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R^0M CONSULTING/BD Cotizaciones/2026/"/>
    </mc:Choice>
  </mc:AlternateContent>
  <xr:revisionPtr revIDLastSave="19" documentId="8_{FBFDA0C7-DFA7-49D1-893B-FA7D64F69E11}" xr6:coauthVersionLast="47" xr6:coauthVersionMax="47" xr10:uidLastSave="{D9E6B9BA-BF05-4C22-8D10-DA531338030D}"/>
  <bookViews>
    <workbookView xWindow="-120" yWindow="-120" windowWidth="29040" windowHeight="15720" activeTab="2" xr2:uid="{BD56D06B-21E9-4384-A208-1E3F36338B99}"/>
  </bookViews>
  <sheets>
    <sheet name="FEBRERO" sheetId="1" r:id="rId1"/>
    <sheet name="MAYO" sheetId="2" r:id="rId2"/>
    <sheet name="JUNIO" sheetId="3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" l="1"/>
  <c r="W5" i="3"/>
  <c r="W4" i="3"/>
  <c r="Q5" i="3"/>
  <c r="S5" i="3" s="1"/>
  <c r="U5" i="3" s="1"/>
  <c r="Q4" i="3"/>
  <c r="AF5" i="3"/>
  <c r="AF4" i="3"/>
  <c r="AE5" i="3"/>
  <c r="V5" i="3"/>
  <c r="AE4" i="3"/>
  <c r="V4" i="3"/>
  <c r="S4" i="3" l="1"/>
  <c r="U4" i="3" s="1"/>
  <c r="Y4" i="3" s="1"/>
  <c r="AG4" i="3" s="1"/>
  <c r="AH4" i="3" s="1"/>
  <c r="AI4" i="3" s="1"/>
  <c r="Y5" i="3"/>
  <c r="AG5" i="3" s="1"/>
  <c r="AH5" i="3" s="1"/>
  <c r="AI5" i="3" s="1"/>
  <c r="J5" i="3" s="1"/>
  <c r="T5" i="3"/>
  <c r="L5" i="3" l="1"/>
  <c r="T4" i="3"/>
  <c r="J4" i="3"/>
  <c r="AJ5" i="3"/>
  <c r="AK5" i="3" s="1"/>
  <c r="AJ4" i="3"/>
  <c r="AK4" i="3" s="1"/>
  <c r="L4" i="3" l="1"/>
  <c r="W9" i="3"/>
  <c r="AE9" i="3"/>
  <c r="X9" i="3"/>
  <c r="V9" i="3"/>
  <c r="S9" i="3"/>
  <c r="U9" i="3" s="1"/>
  <c r="AE15" i="3"/>
  <c r="X15" i="3"/>
  <c r="W15" i="3"/>
  <c r="V15" i="3"/>
  <c r="S15" i="3"/>
  <c r="U15" i="3" s="1"/>
  <c r="J15" i="3"/>
  <c r="AE14" i="3"/>
  <c r="X14" i="3"/>
  <c r="W14" i="3"/>
  <c r="V14" i="3"/>
  <c r="S14" i="3"/>
  <c r="U14" i="3" s="1"/>
  <c r="J14" i="3"/>
  <c r="AE13" i="3"/>
  <c r="X13" i="3"/>
  <c r="W13" i="3"/>
  <c r="V13" i="3"/>
  <c r="S13" i="3"/>
  <c r="U13" i="3" s="1"/>
  <c r="J13" i="3"/>
  <c r="X16" i="3"/>
  <c r="W16" i="3"/>
  <c r="Y9" i="3" l="1"/>
  <c r="AG9" i="3"/>
  <c r="AH9" i="3" s="1"/>
  <c r="AI9" i="3" s="1"/>
  <c r="Y15" i="3"/>
  <c r="AG15" i="3" s="1"/>
  <c r="AH15" i="3" s="1"/>
  <c r="AI15" i="3" s="1"/>
  <c r="T9" i="3"/>
  <c r="Y14" i="3"/>
  <c r="AG14" i="3" s="1"/>
  <c r="AH14" i="3" s="1"/>
  <c r="AI14" i="3" s="1"/>
  <c r="T15" i="3"/>
  <c r="L15" i="3" s="1"/>
  <c r="Y13" i="3"/>
  <c r="AG13" i="3" s="1"/>
  <c r="AH13" i="3" s="1"/>
  <c r="AI13" i="3" s="1"/>
  <c r="T14" i="3"/>
  <c r="L14" i="3" s="1"/>
  <c r="T13" i="3"/>
  <c r="L13" i="3" s="1"/>
  <c r="J9" i="3" l="1"/>
  <c r="L9" i="3" s="1"/>
  <c r="AJ9" i="3"/>
  <c r="AK9" i="3" s="1"/>
  <c r="AJ15" i="3"/>
  <c r="AK15" i="3" s="1"/>
  <c r="AJ13" i="3"/>
  <c r="AK13" i="3"/>
  <c r="AJ14" i="3"/>
  <c r="AK14" i="3" s="1"/>
  <c r="AE16" i="3" l="1"/>
  <c r="V16" i="3"/>
  <c r="S16" i="3" l="1"/>
  <c r="T16" i="3" s="1"/>
  <c r="U16" i="3" l="1"/>
  <c r="Q5" i="2"/>
  <c r="S5" i="2" s="1"/>
  <c r="AE5" i="2"/>
  <c r="V5" i="2"/>
  <c r="AF5" i="2" s="1"/>
  <c r="AF4" i="1"/>
  <c r="X4" i="1"/>
  <c r="W4" i="1"/>
  <c r="AE4" i="1"/>
  <c r="V4" i="1"/>
  <c r="S4" i="1"/>
  <c r="J4" i="1"/>
  <c r="X8" i="1"/>
  <c r="Q8" i="1"/>
  <c r="S8" i="1" s="1"/>
  <c r="AE8" i="1"/>
  <c r="V8" i="1"/>
  <c r="AF8" i="1" s="1"/>
  <c r="J8" i="1"/>
  <c r="Q12" i="1"/>
  <c r="W12" i="1" s="1"/>
  <c r="X12" i="1"/>
  <c r="AE12" i="1"/>
  <c r="V12" i="1"/>
  <c r="AF12" i="1" s="1"/>
  <c r="T5" i="2" l="1"/>
  <c r="Y16" i="3"/>
  <c r="AG16" i="3" s="1"/>
  <c r="J16" i="3"/>
  <c r="L16" i="3" s="1"/>
  <c r="W5" i="2"/>
  <c r="U5" i="2"/>
  <c r="Y5" i="2" s="1"/>
  <c r="AG5" i="2" s="1"/>
  <c r="T4" i="1"/>
  <c r="L4" i="1" s="1"/>
  <c r="U4" i="1"/>
  <c r="U8" i="1"/>
  <c r="T8" i="1"/>
  <c r="L8" i="1" s="1"/>
  <c r="W8" i="1"/>
  <c r="S12" i="1"/>
  <c r="T12" i="1" s="1"/>
  <c r="AH16" i="3" l="1"/>
  <c r="AI16" i="3" s="1"/>
  <c r="AJ16" i="3" s="1"/>
  <c r="AK16" i="3" s="1"/>
  <c r="AH5" i="2"/>
  <c r="AI5" i="2" s="1"/>
  <c r="J5" i="2" s="1"/>
  <c r="L5" i="2" s="1"/>
  <c r="Y4" i="1"/>
  <c r="AG4" i="1" s="1"/>
  <c r="AH4" i="1" s="1"/>
  <c r="AI4" i="1" s="1"/>
  <c r="Y8" i="1"/>
  <c r="AG8" i="1"/>
  <c r="AH8" i="1" s="1"/>
  <c r="AI8" i="1" s="1"/>
  <c r="U12" i="1"/>
  <c r="Y12" i="1" s="1"/>
  <c r="AG12" i="1" s="1"/>
  <c r="AH12" i="1" s="1"/>
  <c r="AI12" i="1" s="1"/>
  <c r="J12" i="1" s="1"/>
  <c r="L12" i="1" s="1"/>
  <c r="AJ5" i="2" l="1"/>
  <c r="AK5" i="2" s="1"/>
  <c r="AJ4" i="1"/>
  <c r="AK4" i="1" s="1"/>
  <c r="AJ8" i="1"/>
  <c r="AK8" i="1" s="1"/>
  <c r="AJ12" i="1"/>
  <c r="AK12" i="1" s="1"/>
</calcChain>
</file>

<file path=xl/sharedStrings.xml><?xml version="1.0" encoding="utf-8"?>
<sst xmlns="http://schemas.openxmlformats.org/spreadsheetml/2006/main" count="324" uniqueCount="84">
  <si>
    <t>Nº</t>
  </si>
  <si>
    <t>Cód. Artíc.</t>
  </si>
  <si>
    <t>Artículo</t>
  </si>
  <si>
    <t>Foto</t>
  </si>
  <si>
    <t xml:space="preserve">Cant. </t>
  </si>
  <si>
    <t>Costo Unit. (S/.) NO Incl. IGV</t>
  </si>
  <si>
    <t xml:space="preserve">Tiempo Entrega </t>
  </si>
  <si>
    <t>Detalles</t>
  </si>
  <si>
    <t>Costo Total. (S/.) NO Incl. IGV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</si>
  <si>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</si>
  <si>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</si>
  <si>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</si>
  <si>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</si>
  <si>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</si>
  <si>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</si>
  <si>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</si>
  <si>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</si>
  <si>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</si>
  <si>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</si>
  <si>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</si>
  <si>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</si>
  <si>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</si>
  <si>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</si>
  <si>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</si>
  <si>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</si>
  <si>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</si>
  <si>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</si>
  <si>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</si>
  <si>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</si>
  <si>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</si>
  <si>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</si>
  <si>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</si>
  <si>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</si>
  <si>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KIT DIA DE LA MUJER</t>
  </si>
  <si>
    <t>CASA HUAMANI
/
TARJETA
IMPRESIONES GRAFICAS GENERALES
/
TAILOY 
/
COMPINA</t>
  </si>
  <si>
    <t>AYUDAME ACA ESA CAJA</t>
  </si>
  <si>
    <t>CASA HUAMANI
S/.15 incluido IGV
/
IMPRESIONES GRAFICAS GENERALES
Tarjeta
S/.1.11 incluido IGV
/
TAILOY  
Papel seda
S/.1,3  Incluido IGV
/
COMPINA
Servicio de Armado
S/.2 + IGV</t>
  </si>
  <si>
    <t>Imagen referencial</t>
  </si>
  <si>
    <t>COTIZACIÓN PROPUESTA_TRANSVIAL_26.02.26</t>
  </si>
  <si>
    <t>5 a 7 Días útiles</t>
  </si>
  <si>
    <r>
      <rPr>
        <b/>
        <u/>
        <sz val="14"/>
        <color rgb="FF000000"/>
        <rFont val="Arial"/>
        <family val="2"/>
      </rPr>
      <t>KIT DIA DE LA MUJER</t>
    </r>
    <r>
      <rPr>
        <sz val="14"/>
        <color indexed="8"/>
        <rFont val="Arial"/>
        <family val="2"/>
      </rPr>
      <t xml:space="preserve">
</t>
    </r>
    <r>
      <rPr>
        <b/>
        <sz val="14"/>
        <color rgb="FF000000"/>
        <rFont val="Arial"/>
        <family val="2"/>
      </rPr>
      <t>Mug Termico</t>
    </r>
    <r>
      <rPr>
        <sz val="14"/>
        <color indexed="8"/>
        <rFont val="Arial"/>
        <family val="2"/>
      </rPr>
      <t xml:space="preserve">
Material: Acero 304 y tapa plastica, Doble pared
Capacidad: 11 onzas o 330 ml
Color: Lila
</t>
    </r>
    <r>
      <rPr>
        <b/>
        <sz val="14"/>
        <color rgb="FFFF0000"/>
        <rFont val="Arial"/>
        <family val="2"/>
      </rPr>
      <t xml:space="preserve">Incluye logo Transvial +  Nombre personalizado.
</t>
    </r>
    <r>
      <rPr>
        <b/>
        <sz val="14"/>
        <color rgb="FF000000"/>
        <rFont val="Arial"/>
        <family val="2"/>
      </rPr>
      <t>Tarjeta</t>
    </r>
    <r>
      <rPr>
        <sz val="14"/>
        <color indexed="8"/>
        <rFont val="Arial"/>
        <family val="2"/>
      </rPr>
      <t xml:space="preserve">
Material puede ser couche 300 grs. Incluye impresión tira y retira, corte recto.
Medida: A6 
</t>
    </r>
    <r>
      <rPr>
        <b/>
        <sz val="14"/>
        <color rgb="FF000000"/>
        <rFont val="Arial"/>
        <family val="2"/>
      </rPr>
      <t>Papel Seda</t>
    </r>
    <r>
      <rPr>
        <sz val="14"/>
        <color indexed="8"/>
        <rFont val="Arial"/>
        <family val="2"/>
      </rPr>
      <t xml:space="preserve">
Papel delgado fino y suave
Color: Lila
</t>
    </r>
    <r>
      <rPr>
        <b/>
        <sz val="14"/>
        <color rgb="FF000000"/>
        <rFont val="Arial"/>
        <family val="2"/>
      </rPr>
      <t>Caja de presentación Cubo</t>
    </r>
    <r>
      <rPr>
        <sz val="14"/>
        <color indexed="8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Caja microcorrugada de 15 x 15 x 15 cm.
Color: Natural
Incluye logo a 1 color a 1 lado en la tapa (opcional)
</t>
    </r>
    <r>
      <rPr>
        <sz val="14"/>
        <color indexed="8"/>
        <rFont val="Arial"/>
        <family val="2"/>
      </rPr>
      <t xml:space="preserve">Presentación: Grupal
</t>
    </r>
    <r>
      <rPr>
        <b/>
        <sz val="14"/>
        <color rgb="FFFF0000"/>
        <rFont val="Arial"/>
        <family val="2"/>
      </rPr>
      <t>*Incluye servicio de armado
*Diseño o arte debe ser facilitado por el cliente.</t>
    </r>
  </si>
  <si>
    <t>EDILBERTO</t>
  </si>
  <si>
    <t xml:space="preserve">Imagen Referencial </t>
  </si>
  <si>
    <t xml:space="preserve">MOCHILA BASIC ARANGO </t>
  </si>
  <si>
    <t xml:space="preserve">
S/.20  Incluido IGV
</t>
  </si>
  <si>
    <t>COTIZACIÓN PROPUESTA_TRANSVIAL_27.05.26</t>
  </si>
  <si>
    <t>14 a 16 Días útiles</t>
  </si>
  <si>
    <r>
      <rPr>
        <b/>
        <u/>
        <sz val="14"/>
        <color rgb="FF000000"/>
        <rFont val="Arial"/>
        <family val="2"/>
      </rPr>
      <t xml:space="preserve">MOCHILA BASIC ARANGO </t>
    </r>
    <r>
      <rPr>
        <sz val="14"/>
        <color indexed="8"/>
        <rFont val="Arial"/>
        <family val="2"/>
      </rPr>
      <t xml:space="preserve">
Material: Tetron kodra (sin portalaptop)
cintas y accesorios
Medida: 40 cm de alto - 28 cm ancho y 14 cm fuelle
Compartimientos: 1 compartimento principal forrado interiormente con tafeta negra (solo espalda y delantero)
Espalda acolchada con corcho
1 bolsillo delantero con cierre negro
Asa de cinta colgadora
Asas acolchadas
2 bolsillos laterales de malla para tomatodo
Cierre: Nylon #8
Color: Negro
Cortesia: Tarjeta 9 x 5 cm full color ambos lados
Presentación: Embolsado individual, empaque plástico grupal.
</t>
    </r>
    <r>
      <rPr>
        <b/>
        <sz val="14"/>
        <color rgb="FFFF0000"/>
        <rFont val="Arial"/>
        <family val="2"/>
      </rPr>
      <t>*Incluye 1 logo estampado a 1 color por 1 lado
*Diseño o arte debe ser facilitado por el cliente.</t>
    </r>
  </si>
  <si>
    <t>COGPI-21819</t>
  </si>
  <si>
    <t>BIDÓN PLEGABLE RISIX</t>
  </si>
  <si>
    <t>GLOBAL PROMO ITEMS</t>
  </si>
  <si>
    <t>COEF-TY-PFB01</t>
  </si>
  <si>
    <t xml:space="preserve">TOMATODO FLEXIBLE </t>
  </si>
  <si>
    <t xml:space="preserve">
S/.3  + IGV
</t>
  </si>
  <si>
    <t>TY-PFB01</t>
  </si>
  <si>
    <t xml:space="preserve">E Y F </t>
  </si>
  <si>
    <t xml:space="preserve">
S/.6.66 + IGV
Tiempo 8 -10 días
</t>
  </si>
  <si>
    <t>LANYARD CORPORATIVO 1.5 CM + TERMINAL METÁLICO</t>
  </si>
  <si>
    <t>CINTA LANYARD CON TICTOC</t>
  </si>
  <si>
    <r>
      <rPr>
        <b/>
        <u/>
        <sz val="14"/>
        <color rgb="FF000000"/>
        <rFont val="Arial"/>
        <family val="2"/>
      </rPr>
      <t>CINTA LANYARD CON TICTOC</t>
    </r>
    <r>
      <rPr>
        <u/>
        <sz val="14"/>
        <color indexed="8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Medidas: 2.5 cm aprox. de ancho.
Material: Soft poliester, acabado satinado, con Tictoc plástico color negro, ganchito/grapa metálica.
Colores: Entero, a elegir.
Presentación: Empaque Gupal 
</t>
    </r>
    <r>
      <rPr>
        <b/>
        <sz val="14"/>
        <color rgb="FFFF0000"/>
        <rFont val="Arial"/>
        <family val="2"/>
      </rPr>
      <t>*Incluye lmpresión full color en ambos lados de la cinta.
*Arte y diseño debe ser facilitado por el cliente</t>
    </r>
  </si>
  <si>
    <t>DIAXIS</t>
  </si>
  <si>
    <r>
      <rPr>
        <b/>
        <u/>
        <sz val="14"/>
        <color rgb="FF000000"/>
        <rFont val="Arial"/>
        <family val="2"/>
      </rPr>
      <t xml:space="preserve">LANYARD CORPORATIVO 1.5 CM + TERMINAL METÁLICO
</t>
    </r>
    <r>
      <rPr>
        <sz val="14"/>
        <color rgb="FF000000"/>
        <rFont val="Arial"/>
        <family val="2"/>
      </rPr>
      <t>Material: SOFT POLIESTER 
Espesor 0.8 mm, Ancho 1.5 cm / Terminal Metálico
/ Acabado Costura
Presentacion: Caja grupal, no bolsa individual</t>
    </r>
    <r>
      <rPr>
        <u/>
        <sz val="14"/>
        <color indexed="8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*Incluye logo o diseño sublimado a full color en ambas caras.
*Diseño o logo debe ser facilitado por el cliente</t>
    </r>
  </si>
  <si>
    <t xml:space="preserve">
S/.1.80 + IGV
</t>
  </si>
  <si>
    <t xml:space="preserve">
S/.3.30 + IGV
</t>
  </si>
  <si>
    <r>
      <rPr>
        <b/>
        <u/>
        <sz val="14"/>
        <color rgb="FF000000"/>
        <rFont val="Arial"/>
        <family val="2"/>
      </rPr>
      <t xml:space="preserve">BIDÓN PLEGABLE RISIX- </t>
    </r>
    <r>
      <rPr>
        <b/>
        <u/>
        <sz val="14"/>
        <color rgb="FFFF0000"/>
        <rFont val="Arial"/>
        <family val="2"/>
      </rPr>
      <t>IMPORTACIÓN DIRECTA</t>
    </r>
    <r>
      <rPr>
        <sz val="14"/>
        <color indexed="8"/>
        <rFont val="Arial"/>
        <family val="2"/>
      </rPr>
      <t xml:space="preserve">
Material: RPET(Ecologico)  con cuerpo flexible
Capacidad: 400 ml
Medidas: 26.5 cm x 11.5 cm x 3 cm
Color: Negro
Presentación: Grupal, no bolsita individual
</t>
    </r>
    <r>
      <rPr>
        <b/>
        <sz val="14"/>
        <color rgb="FFFF0000"/>
        <rFont val="Arial"/>
        <family val="2"/>
      </rPr>
      <t>* Incluye 1 logo a 1 color por 1 lado
*Diseño o arte debe ser facilitado por el cliente.</t>
    </r>
  </si>
  <si>
    <r>
      <rPr>
        <b/>
        <u/>
        <sz val="14"/>
        <color rgb="FF000000"/>
        <rFont val="Arial"/>
        <family val="2"/>
      </rPr>
      <t xml:space="preserve">TOMATODO FLEXIBLE </t>
    </r>
    <r>
      <rPr>
        <sz val="14"/>
        <color indexed="8"/>
        <rFont val="Arial"/>
        <family val="2"/>
      </rPr>
      <t xml:space="preserve">
Material: Polietileno, con sujetador clip de metal 
Capacidad: 500 ml
Medida: 28, 8 cm x 12, 4 cm 
Color: Negro
Presentación: Grupal, no bolsita individual
</t>
    </r>
    <r>
      <rPr>
        <b/>
        <sz val="14"/>
        <color rgb="FFFF0000"/>
        <rFont val="Arial"/>
        <family val="2"/>
      </rPr>
      <t>* Incluye 1 logo a 1 color por 1 lado
*Diseño o arte debe ser facilitado por el cliente.</t>
    </r>
  </si>
  <si>
    <t>21819</t>
  </si>
  <si>
    <t>WILFREDO
Ref.</t>
  </si>
  <si>
    <t>YA INCLUYE</t>
  </si>
  <si>
    <t>10 a 12  Días útiles</t>
  </si>
  <si>
    <t>COTIZACIÓN PROPUESTA_R&amp;M CONSULTING_02.06.26</t>
  </si>
  <si>
    <t>22100</t>
  </si>
  <si>
    <t>COGPI- 22100</t>
  </si>
  <si>
    <r>
      <rPr>
        <b/>
        <u/>
        <sz val="14"/>
        <color rgb="FF000000"/>
        <rFont val="Arial"/>
        <family val="2"/>
      </rPr>
      <t xml:space="preserve">BIDÓN PLEGABLE VLOND- </t>
    </r>
    <r>
      <rPr>
        <b/>
        <u/>
        <sz val="14"/>
        <color rgb="FFFF0000"/>
        <rFont val="Arial"/>
        <family val="2"/>
      </rPr>
      <t>IMPORTACIÓN DIRECTA</t>
    </r>
    <r>
      <rPr>
        <sz val="14"/>
        <color indexed="8"/>
        <rFont val="Arial"/>
        <family val="2"/>
      </rPr>
      <t xml:space="preserve">
Material: TPU (Tipo Goma)
Capacidad: 250 ml
Medidas: 22.6 cm x 6.9 cm 
Color: Blanco
Presentación: Grupal, no bolsita individual
</t>
    </r>
    <r>
      <rPr>
        <b/>
        <sz val="14"/>
        <color rgb="FFFF0000"/>
        <rFont val="Arial"/>
        <family val="2"/>
      </rPr>
      <t>* Incluye 1 logo a 1 color por 1 lado
*Diseño o arte debe ser facilitado por el cliente.</t>
    </r>
  </si>
  <si>
    <t xml:space="preserve">
S/.16.11+ IGV
Tiempo 8 -10 días
</t>
  </si>
  <si>
    <t>COTIZACIÓN PROPUESTA_R&amp;M CONSULTING_03.06.26</t>
  </si>
  <si>
    <t>POLO DEPORTIVO- DRY</t>
  </si>
  <si>
    <t>MAGALY</t>
  </si>
  <si>
    <t>TEXTIL CENTRAL
DAVID</t>
  </si>
  <si>
    <t>SML, S/20.00 +IGV, S/2.50 adicional XL, tiempo de entrega 7 dias</t>
  </si>
  <si>
    <t>23.80 INCL IGV</t>
  </si>
  <si>
    <r>
      <rPr>
        <b/>
        <u/>
        <sz val="16"/>
        <color rgb="FF000000"/>
        <rFont val="Arial"/>
        <family val="2"/>
      </rPr>
      <t xml:space="preserve">POLO DEPORTIVO- DRY </t>
    </r>
    <r>
      <rPr>
        <sz val="16"/>
        <color rgb="FF000000"/>
        <rFont val="Arial"/>
        <family val="2"/>
      </rPr>
      <t xml:space="preserve">
Material:Tela Win o Dry
Modelo: Cuello redondo basteado y mangas cortas basta de la misma tela.
Tallas: Desde S, M, L
Molde unisex
Impresión full color en todo el exterior, interior blanco.
</t>
    </r>
    <r>
      <rPr>
        <sz val="16"/>
        <color theme="1"/>
        <rFont val="Arial"/>
        <family val="2"/>
      </rPr>
      <t>Presentación: Bolsa individual, caja grupal</t>
    </r>
    <r>
      <rPr>
        <b/>
        <sz val="16"/>
        <color rgb="FFFF0000"/>
        <rFont val="Arial"/>
        <family val="2"/>
      </rPr>
      <t xml:space="preserve">
*Arte y diseño debe ser facilitado por el cliente.</t>
    </r>
  </si>
  <si>
    <t>POLO DEPORTIVO OPC.2</t>
  </si>
  <si>
    <r>
      <rPr>
        <b/>
        <u/>
        <sz val="16"/>
        <color rgb="FF000000"/>
        <rFont val="Arial"/>
        <family val="2"/>
      </rPr>
      <t>POLO DEPORTIVO OPC.2</t>
    </r>
    <r>
      <rPr>
        <sz val="16"/>
        <color rgb="FF000000"/>
        <rFont val="Arial"/>
        <family val="2"/>
      </rPr>
      <t xml:space="preserve">
Material: Tela calidad puma, maratón, policuadrado o hexagonal.
Modelo: Cuello redondo basteado y mangas cortas basta de la misma tela.
Tallas: Desde XS a XL
Molde unisex
Impresión full color en todo el exterior, interior blanco.
</t>
    </r>
    <r>
      <rPr>
        <sz val="16"/>
        <color theme="1"/>
        <rFont val="Arial"/>
        <family val="2"/>
      </rPr>
      <t>Presentación: Bolsa individual, caja grupal</t>
    </r>
    <r>
      <rPr>
        <b/>
        <sz val="16"/>
        <color rgb="FFFF0000"/>
        <rFont val="Arial"/>
        <family val="2"/>
      </rPr>
      <t xml:space="preserve">
*Arte y diseño debe ser facilitado por 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</si>
</sst>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S/.&quot;\ #,##0.00"/>
    <numFmt numFmtId="165" formatCode="[$S/.-280A]\ #,##0.00"/>
    <numFmt numFmtId="166" formatCode="&quot;€&quot;\ #,##0.00"/>
    <numFmt numFmtId="167" formatCode="[$$-2C0A]\ #,##0.00"/>
    <numFmt numFmtId="168" formatCode="_-[$$-409]* #,##0.00_ ;_-[$$-409]* \-#,##0.00\ ;_-[$$-409]* &quot;-&quot;??_ ;_-@_ "/>
    <numFmt numFmtId="169" formatCode="_(* #,##0_);_(* \(#,##0\);_(* &quot;-&quot;??_);_(@_)"/>
    <numFmt numFmtId="170" formatCode="_ * #,##0.00_ ;_ * \-#,##0.00_ ;_ * &quot;-&quot;??_ ;_ @_ "/>
    <numFmt numFmtId="171" formatCode="_ &quot;S/.&quot;\ * #,##0.00_ ;_ &quot;S/.&quot;\ * \-#,##0.00_ ;_ &quot;S/.&quot;\ * &quot;-&quot;??_ ;_ @_ "/>
    <numFmt numFmtId="172" formatCode="&quot;S/.&quot;\ #,##0.000"/>
  </numFmts>
  <fonts count="44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10"/>
      <name val="Arial"/>
      <family val="2"/>
    </font>
    <font>
      <sz val="16"/>
      <color theme="2"/>
      <name val="Arial"/>
      <family val="2"/>
    </font>
    <font>
      <u/>
      <sz val="14"/>
      <color indexed="8"/>
      <name val="Arial"/>
      <family val="2"/>
    </font>
    <font>
      <b/>
      <u/>
      <sz val="14"/>
      <color rgb="FF000000"/>
      <name val="Arial"/>
      <family val="2"/>
    </font>
    <font>
      <sz val="14"/>
      <color indexed="8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Arial"/>
      <family val="2"/>
    </font>
    <font>
      <b/>
      <u/>
      <sz val="14"/>
      <color rgb="FFFF0000"/>
      <name val="Arial"/>
      <family val="2"/>
    </font>
    <font>
      <b/>
      <u/>
      <sz val="16"/>
      <color indexed="8"/>
      <name val="Arial"/>
      <family val="2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2"/>
      <name val="Arial"/>
      <family val="2"/>
    </font>
    <font>
      <sz val="14"/>
      <color theme="1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theme="0"/>
      <name val="Arial"/>
      <family val="2"/>
    </font>
    <font>
      <sz val="16"/>
      <color theme="1"/>
      <name val="Aptos Narrow"/>
      <family val="2"/>
      <scheme val="minor"/>
    </font>
    <font>
      <sz val="16"/>
      <color rgb="FFC0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indexed="51"/>
        <bgColor indexed="8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C0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000000"/>
      </patternFill>
    </fill>
    <fill>
      <patternFill patternType="solid">
        <fgColor indexed="55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8" fillId="0" borderId="0"/>
    <xf numFmtId="0" fontId="2" fillId="0" borderId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168" fontId="7" fillId="0" borderId="0" applyFont="0" applyFill="0" applyBorder="0" applyAlignment="0" applyProtection="0"/>
    <xf numFmtId="0" fontId="7" fillId="0" borderId="0"/>
  </cellStyleXfs>
  <cellXfs count="97">
    <xf numFmtId="0" fontId="0" fillId="0" borderId="0" xfId="0"/>
    <xf numFmtId="0" fontId="4" fillId="0" borderId="0" xfId="1" applyFont="1"/>
    <xf numFmtId="0" fontId="6" fillId="0" borderId="0" xfId="1" applyFont="1" applyAlignment="1">
      <alignment horizontal="center" vertical="center" wrapText="1"/>
    </xf>
    <xf numFmtId="0" fontId="4" fillId="2" borderId="0" xfId="1" applyFont="1" applyFill="1"/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wrapText="1"/>
    </xf>
    <xf numFmtId="0" fontId="9" fillId="3" borderId="1" xfId="2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1" fillId="5" borderId="4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0" fillId="7" borderId="4" xfId="1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 wrapText="1"/>
    </xf>
    <xf numFmtId="9" fontId="10" fillId="7" borderId="3" xfId="1" applyNumberFormat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wrapText="1"/>
    </xf>
    <xf numFmtId="0" fontId="4" fillId="0" borderId="0" xfId="1" applyFont="1" applyFill="1" applyBorder="1"/>
    <xf numFmtId="0" fontId="14" fillId="0" borderId="0" xfId="1" applyFont="1" applyFill="1" applyBorder="1" applyAlignment="1">
      <alignment horizontal="center" wrapText="1"/>
    </xf>
    <xf numFmtId="0" fontId="19" fillId="8" borderId="1" xfId="2" applyFont="1" applyFill="1" applyBorder="1" applyAlignment="1">
      <alignment horizontal="center" vertical="center" wrapText="1"/>
    </xf>
    <xf numFmtId="0" fontId="21" fillId="9" borderId="1" xfId="2" applyFont="1" applyFill="1" applyBorder="1" applyAlignment="1">
      <alignment horizontal="center" vertical="center"/>
    </xf>
    <xf numFmtId="165" fontId="19" fillId="10" borderId="1" xfId="2" applyNumberFormat="1" applyFont="1" applyFill="1" applyBorder="1" applyAlignment="1">
      <alignment horizontal="center" vertical="center"/>
    </xf>
    <xf numFmtId="164" fontId="19" fillId="10" borderId="1" xfId="2" applyNumberFormat="1" applyFont="1" applyFill="1" applyBorder="1" applyAlignment="1">
      <alignment horizontal="center" vertical="center"/>
    </xf>
    <xf numFmtId="164" fontId="23" fillId="12" borderId="1" xfId="2" applyNumberFormat="1" applyFont="1" applyFill="1" applyBorder="1" applyAlignment="1">
      <alignment horizontal="center" vertical="center"/>
    </xf>
    <xf numFmtId="164" fontId="19" fillId="13" borderId="1" xfId="2" applyNumberFormat="1" applyFont="1" applyFill="1" applyBorder="1" applyAlignment="1">
      <alignment horizontal="center" vertical="center" wrapText="1"/>
    </xf>
    <xf numFmtId="0" fontId="19" fillId="11" borderId="1" xfId="2" applyFont="1" applyFill="1" applyBorder="1" applyAlignment="1">
      <alignment horizontal="center" vertical="center"/>
    </xf>
    <xf numFmtId="164" fontId="23" fillId="9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5" fillId="0" borderId="0" xfId="5" applyFont="1"/>
    <xf numFmtId="0" fontId="16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164" fontId="18" fillId="0" borderId="1" xfId="2" applyNumberFormat="1" applyFont="1" applyBorder="1" applyAlignment="1">
      <alignment horizontal="center" vertical="center" wrapText="1"/>
    </xf>
    <xf numFmtId="166" fontId="15" fillId="0" borderId="0" xfId="5" applyNumberFormat="1" applyFont="1" applyAlignment="1">
      <alignment horizontal="center" vertical="center"/>
    </xf>
    <xf numFmtId="0" fontId="23" fillId="0" borderId="0" xfId="0" applyFont="1"/>
    <xf numFmtId="165" fontId="23" fillId="0" borderId="1" xfId="2" applyNumberFormat="1" applyFont="1" applyBorder="1" applyAlignment="1">
      <alignment horizontal="center" vertical="center"/>
    </xf>
    <xf numFmtId="164" fontId="22" fillId="10" borderId="1" xfId="2" applyNumberFormat="1" applyFont="1" applyFill="1" applyBorder="1" applyAlignment="1">
      <alignment horizontal="center" vertical="center"/>
    </xf>
    <xf numFmtId="0" fontId="21" fillId="15" borderId="1" xfId="2" applyFont="1" applyFill="1" applyBorder="1" applyAlignment="1">
      <alignment horizontal="center" vertical="center"/>
    </xf>
    <xf numFmtId="164" fontId="23" fillId="0" borderId="1" xfId="2" applyNumberFormat="1" applyFont="1" applyBorder="1" applyAlignment="1">
      <alignment horizontal="center" vertical="center"/>
    </xf>
    <xf numFmtId="164" fontId="24" fillId="0" borderId="1" xfId="2" applyNumberFormat="1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164" fontId="19" fillId="0" borderId="1" xfId="2" applyNumberFormat="1" applyFont="1" applyBorder="1" applyAlignment="1">
      <alignment horizontal="center" vertical="center"/>
    </xf>
    <xf numFmtId="164" fontId="20" fillId="0" borderId="1" xfId="2" applyNumberFormat="1" applyFont="1" applyBorder="1" applyAlignment="1">
      <alignment horizontal="center" vertical="center"/>
    </xf>
    <xf numFmtId="49" fontId="15" fillId="8" borderId="1" xfId="2" applyNumberFormat="1" applyFont="1" applyFill="1" applyBorder="1" applyAlignment="1">
      <alignment horizontal="center" vertical="center" wrapText="1"/>
    </xf>
    <xf numFmtId="167" fontId="20" fillId="8" borderId="1" xfId="2" applyNumberFormat="1" applyFont="1" applyFill="1" applyBorder="1" applyAlignment="1">
      <alignment horizontal="center" vertical="center" wrapText="1"/>
    </xf>
    <xf numFmtId="164" fontId="25" fillId="14" borderId="1" xfId="2" applyNumberFormat="1" applyFont="1" applyFill="1" applyBorder="1" applyAlignment="1">
      <alignment horizontal="center" vertical="center"/>
    </xf>
    <xf numFmtId="165" fontId="15" fillId="0" borderId="1" xfId="4" applyNumberFormat="1" applyFont="1" applyBorder="1" applyAlignment="1">
      <alignment horizontal="center" vertical="center"/>
    </xf>
    <xf numFmtId="165" fontId="21" fillId="0" borderId="1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49" fontId="17" fillId="8" borderId="1" xfId="2" applyNumberFormat="1" applyFont="1" applyFill="1" applyBorder="1" applyAlignment="1">
      <alignment horizontal="center" vertical="center" wrapText="1"/>
    </xf>
    <xf numFmtId="0" fontId="26" fillId="0" borderId="1" xfId="6" applyFont="1" applyBorder="1" applyAlignment="1">
      <alignment horizontal="left" vertical="center" wrapText="1"/>
    </xf>
    <xf numFmtId="9" fontId="23" fillId="0" borderId="0" xfId="8" applyFont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164" fontId="19" fillId="13" borderId="1" xfId="2" quotePrefix="1" applyNumberFormat="1" applyFont="1" applyFill="1" applyBorder="1" applyAlignment="1">
      <alignment horizontal="center" vertical="center" wrapText="1"/>
    </xf>
    <xf numFmtId="0" fontId="19" fillId="16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170" fontId="17" fillId="8" borderId="1" xfId="2" applyNumberFormat="1" applyFont="1" applyFill="1" applyBorder="1" applyAlignment="1">
      <alignment horizontal="center"/>
    </xf>
    <xf numFmtId="164" fontId="18" fillId="8" borderId="1" xfId="2" applyNumberFormat="1" applyFont="1" applyFill="1" applyBorder="1" applyAlignment="1">
      <alignment horizontal="center" vertical="center" wrapText="1"/>
    </xf>
    <xf numFmtId="0" fontId="33" fillId="17" borderId="1" xfId="2" applyFont="1" applyFill="1" applyBorder="1" applyAlignment="1">
      <alignment horizontal="left" vertical="center" wrapText="1"/>
    </xf>
    <xf numFmtId="164" fontId="18" fillId="0" borderId="1" xfId="3" applyNumberFormat="1" applyFont="1" applyBorder="1" applyAlignment="1">
      <alignment horizontal="center" vertical="center" wrapText="1"/>
    </xf>
    <xf numFmtId="164" fontId="36" fillId="0" borderId="0" xfId="0" applyNumberFormat="1" applyFont="1" applyAlignment="1">
      <alignment horizontal="center" vertical="center"/>
    </xf>
    <xf numFmtId="9" fontId="37" fillId="0" borderId="0" xfId="8" applyFont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49" fontId="15" fillId="18" borderId="1" xfId="2" applyNumberFormat="1" applyFont="1" applyFill="1" applyBorder="1" applyAlignment="1">
      <alignment horizontal="center" vertical="center" wrapText="1"/>
    </xf>
    <xf numFmtId="171" fontId="20" fillId="18" borderId="1" xfId="2" applyNumberFormat="1" applyFont="1" applyFill="1" applyBorder="1" applyAlignment="1">
      <alignment vertical="center" wrapText="1"/>
    </xf>
    <xf numFmtId="165" fontId="23" fillId="12" borderId="1" xfId="2" applyNumberFormat="1" applyFont="1" applyFill="1" applyBorder="1" applyAlignment="1">
      <alignment horizontal="center" vertical="center"/>
    </xf>
    <xf numFmtId="164" fontId="38" fillId="12" borderId="1" xfId="2" applyNumberFormat="1" applyFont="1" applyFill="1" applyBorder="1" applyAlignment="1">
      <alignment horizontal="center" vertical="center"/>
    </xf>
    <xf numFmtId="164" fontId="39" fillId="12" borderId="1" xfId="2" applyNumberFormat="1" applyFont="1" applyFill="1" applyBorder="1" applyAlignment="1">
      <alignment horizontal="center" vertical="center"/>
    </xf>
    <xf numFmtId="164" fontId="35" fillId="18" borderId="1" xfId="2" applyNumberFormat="1" applyFont="1" applyFill="1" applyBorder="1" applyAlignment="1">
      <alignment horizontal="center" vertical="center"/>
    </xf>
    <xf numFmtId="164" fontId="17" fillId="8" borderId="1" xfId="2" applyNumberFormat="1" applyFont="1" applyFill="1" applyBorder="1" applyAlignment="1">
      <alignment horizontal="center" vertical="center"/>
    </xf>
    <xf numFmtId="164" fontId="15" fillId="8" borderId="1" xfId="2" applyNumberFormat="1" applyFont="1" applyFill="1" applyBorder="1" applyAlignment="1">
      <alignment horizontal="center" vertical="center" wrapText="1"/>
    </xf>
    <xf numFmtId="164" fontId="19" fillId="19" borderId="1" xfId="2" applyNumberFormat="1" applyFont="1" applyFill="1" applyBorder="1" applyAlignment="1">
      <alignment horizontal="center" vertical="center"/>
    </xf>
    <xf numFmtId="0" fontId="35" fillId="15" borderId="1" xfId="2" applyFont="1" applyFill="1" applyBorder="1" applyAlignment="1">
      <alignment horizontal="center" vertical="center"/>
    </xf>
    <xf numFmtId="164" fontId="20" fillId="8" borderId="1" xfId="2" applyNumberFormat="1" applyFont="1" applyFill="1" applyBorder="1" applyAlignment="1">
      <alignment horizontal="center" vertical="center"/>
    </xf>
    <xf numFmtId="164" fontId="21" fillId="20" borderId="1" xfId="2" applyNumberFormat="1" applyFont="1" applyFill="1" applyBorder="1" applyAlignment="1">
      <alignment horizontal="center" vertical="center"/>
    </xf>
    <xf numFmtId="164" fontId="20" fillId="21" borderId="1" xfId="11" applyNumberFormat="1" applyFont="1" applyFill="1" applyBorder="1" applyAlignment="1">
      <alignment horizontal="center" vertical="center"/>
    </xf>
    <xf numFmtId="172" fontId="40" fillId="14" borderId="1" xfId="2" applyNumberFormat="1" applyFont="1" applyFill="1" applyBorder="1" applyAlignment="1">
      <alignment horizontal="center" vertical="center"/>
    </xf>
    <xf numFmtId="165" fontId="23" fillId="8" borderId="1" xfId="4" applyNumberFormat="1" applyFont="1" applyFill="1" applyBorder="1" applyAlignment="1">
      <alignment horizontal="center" vertical="center"/>
    </xf>
    <xf numFmtId="165" fontId="17" fillId="8" borderId="1" xfId="2" applyNumberFormat="1" applyFont="1" applyFill="1" applyBorder="1" applyAlignment="1">
      <alignment horizontal="center" vertical="center"/>
    </xf>
    <xf numFmtId="165" fontId="41" fillId="0" borderId="0" xfId="0" applyNumberFormat="1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0" fontId="41" fillId="0" borderId="0" xfId="0" applyFont="1"/>
    <xf numFmtId="2" fontId="43" fillId="0" borderId="0" xfId="0" applyNumberFormat="1" applyFont="1" applyAlignment="1">
      <alignment horizontal="center" vertical="center"/>
    </xf>
    <xf numFmtId="0" fontId="7" fillId="0" borderId="0" xfId="3"/>
    <xf numFmtId="0" fontId="5" fillId="0" borderId="1" xfId="1" applyFont="1" applyFill="1" applyBorder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  <xf numFmtId="169" fontId="21" fillId="0" borderId="5" xfId="7" applyNumberFormat="1" applyFont="1" applyFill="1" applyBorder="1" applyAlignment="1">
      <alignment horizontal="center" vertical="center" wrapText="1"/>
    </xf>
    <xf numFmtId="169" fontId="21" fillId="0" borderId="6" xfId="7" applyNumberFormat="1" applyFont="1" applyFill="1" applyBorder="1" applyAlignment="1">
      <alignment horizontal="center" vertical="center" wrapText="1"/>
    </xf>
    <xf numFmtId="169" fontId="21" fillId="0" borderId="5" xfId="10" applyNumberFormat="1" applyFont="1" applyFill="1" applyBorder="1" applyAlignment="1">
      <alignment horizontal="center" vertical="center" wrapText="1"/>
    </xf>
    <xf numFmtId="169" fontId="21" fillId="0" borderId="6" xfId="10" applyNumberFormat="1" applyFont="1" applyFill="1" applyBorder="1" applyAlignment="1">
      <alignment horizontal="center" vertical="center" wrapText="1"/>
    </xf>
  </cellXfs>
  <cellStyles count="12">
    <cellStyle name="Millares 2 2 3 2 2 2 2 2 2 2 2" xfId="7" xr:uid="{0294F422-1DD1-4824-8B57-932C8DC9AD71}"/>
    <cellStyle name="Millares 2 2 3 2 2 2 2 2 2 2 2 2" xfId="10" xr:uid="{76767FA3-8365-45A7-AD93-3C85F5F4D4C2}"/>
    <cellStyle name="Normal" xfId="0" builtinId="0"/>
    <cellStyle name="Normal 10 2" xfId="5" xr:uid="{759278AB-4F45-4C2C-B558-0DC08421DC66}"/>
    <cellStyle name="Normal 2 2" xfId="2" xr:uid="{03CC3CDB-5AB7-4460-98A5-CAF3152B5BEF}"/>
    <cellStyle name="Normal 2 2 6 2" xfId="11" xr:uid="{B7610955-F1B1-4A6D-BA95-A0DC8CAF2093}"/>
    <cellStyle name="Normal 2 3 2 2" xfId="3" xr:uid="{2134E6D5-0723-4451-A842-3F6D3BE12372}"/>
    <cellStyle name="Normal 3" xfId="6" xr:uid="{6632E2D2-D12A-4FB8-9CC5-182FAB877899}"/>
    <cellStyle name="Normal 3 3" xfId="9" xr:uid="{2AB8117C-1CB1-4E9F-BEB6-86279F5776C4}"/>
    <cellStyle name="Normal 3 4 2" xfId="4" xr:uid="{38CA86A3-A8A1-41FD-B9FF-82283EC2AA82}"/>
    <cellStyle name="Porcentaje" xfId="8" builtinId="5"/>
    <cellStyle name="Texto explicativo" xfId="1" builtinId="53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279916</xdr:colOff>
      <xdr:row>11</xdr:row>
      <xdr:rowOff>3308237</xdr:rowOff>
    </xdr:from>
    <xdr:to>
      <xdr:col>13</xdr:col>
      <xdr:colOff>2018243</xdr:colOff>
      <xdr:row>11</xdr:row>
      <xdr:rowOff>4751050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298E4A1-367A-3A7E-01EE-1E468303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0519" y="4430826"/>
          <a:ext cx="1738327" cy="14428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25165BA-C4BB-AE8D-C828-997BAFEE00A2}"/>
            </a:ext>
          </a:extLst>
        </xdr:cNvPr>
        <xdr:cNvSpPr>
          <a:spLocks noChangeAspect="1" noChangeArrowheads="1"/>
        </xdr:cNvSpPr>
      </xdr:nvSpPr>
      <xdr:spPr bwMode="auto">
        <a:xfrm>
          <a:off x="680085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816430</xdr:colOff>
      <xdr:row>11</xdr:row>
      <xdr:rowOff>1102179</xdr:rowOff>
    </xdr:from>
    <xdr:to>
      <xdr:col>4</xdr:col>
      <xdr:colOff>3034394</xdr:colOff>
      <xdr:row>11</xdr:row>
      <xdr:rowOff>4256855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D9AE06-983F-3201-36B3-853FD54C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231572"/>
          <a:ext cx="2217964" cy="3154676"/>
        </a:xfrm>
        <a:prstGeom prst="rect">
          <a:avLst/>
        </a:prstGeom>
      </xdr:spPr>
    </xdr:pic>
    <xdr:clientData/>
  </xdr:twoCellAnchor>
  <xdr:oneCellAnchor>
    <xdr:from>
      <xdr:col>13</xdr:col>
      <xdr:colOff>279916</xdr:colOff>
      <xdr:row>7</xdr:row>
      <xdr:rowOff>3308237</xdr:rowOff>
    </xdr:from>
    <xdr:ext cx="1738327" cy="1442813"/>
    <xdr:pic>
      <xdr:nvPicPr>
        <xdr:cNvPr id="3" name="Imagen 2">
          <a:extLst>
            <a:ext uri="{FF2B5EF4-FFF2-40B4-BE49-F238E27FC236}">
              <a16:creationId xmlns:a16="http://schemas.microsoft.com/office/drawing/2014/main" id="{7C455369-8F7F-488D-A12A-BBDB47D4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  <xdr:oneCellAnchor>
    <xdr:from>
      <xdr:col>4</xdr:col>
      <xdr:colOff>816430</xdr:colOff>
      <xdr:row>7</xdr:row>
      <xdr:rowOff>1102179</xdr:rowOff>
    </xdr:from>
    <xdr:ext cx="2217964" cy="3154676"/>
    <xdr:pic>
      <xdr:nvPicPr>
        <xdr:cNvPr id="4" name="Imagen 3">
          <a:extLst>
            <a:ext uri="{FF2B5EF4-FFF2-40B4-BE49-F238E27FC236}">
              <a16:creationId xmlns:a16="http://schemas.microsoft.com/office/drawing/2014/main" id="{F646B9B7-21A5-45A4-8ADA-15BB1F9E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993572"/>
          <a:ext cx="2217964" cy="3154676"/>
        </a:xfrm>
        <a:prstGeom prst="rect">
          <a:avLst/>
        </a:prstGeom>
      </xdr:spPr>
    </xdr:pic>
    <xdr:clientData/>
  </xdr:oneCellAnchor>
  <xdr:oneCellAnchor>
    <xdr:from>
      <xdr:col>13</xdr:col>
      <xdr:colOff>279916</xdr:colOff>
      <xdr:row>3</xdr:row>
      <xdr:rowOff>3308237</xdr:rowOff>
    </xdr:from>
    <xdr:ext cx="1738327" cy="1442813"/>
    <xdr:pic>
      <xdr:nvPicPr>
        <xdr:cNvPr id="5" name="Imagen 4">
          <a:extLst>
            <a:ext uri="{FF2B5EF4-FFF2-40B4-BE49-F238E27FC236}">
              <a16:creationId xmlns:a16="http://schemas.microsoft.com/office/drawing/2014/main" id="{F92C77D4-78D8-472E-BDD6-552CA9D4D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376702</xdr:colOff>
      <xdr:row>4</xdr:row>
      <xdr:rowOff>185873</xdr:rowOff>
    </xdr:from>
    <xdr:to>
      <xdr:col>4</xdr:col>
      <xdr:colOff>3529263</xdr:colOff>
      <xdr:row>7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0716EE-2C9F-A9B1-E407-68DD9682C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33" t="5336" r="69774" b="7649"/>
        <a:stretch>
          <a:fillRect/>
        </a:stretch>
      </xdr:blipFill>
      <xdr:spPr>
        <a:xfrm>
          <a:off x="3123913" y="1499320"/>
          <a:ext cx="3152561" cy="4546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991644</xdr:colOff>
      <xdr:row>15</xdr:row>
      <xdr:rowOff>271857</xdr:rowOff>
    </xdr:from>
    <xdr:to>
      <xdr:col>4</xdr:col>
      <xdr:colOff>2192055</xdr:colOff>
      <xdr:row>15</xdr:row>
      <xdr:rowOff>2742003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0A50C3-2FC0-65D1-54C5-D597C18A9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3836" y="1602747"/>
          <a:ext cx="1200411" cy="2470146"/>
        </a:xfrm>
        <a:prstGeom prst="rect">
          <a:avLst/>
        </a:prstGeom>
      </xdr:spPr>
    </xdr:pic>
    <xdr:clientData/>
  </xdr:twoCellAnchor>
  <xdr:oneCellAnchor>
    <xdr:from>
      <xdr:col>4</xdr:col>
      <xdr:colOff>652397</xdr:colOff>
      <xdr:row>12</xdr:row>
      <xdr:rowOff>508870</xdr:rowOff>
    </xdr:from>
    <xdr:ext cx="1995832" cy="1396130"/>
    <xdr:pic>
      <xdr:nvPicPr>
        <xdr:cNvPr id="6" name="Imagen 5">
          <a:extLst>
            <a:ext uri="{FF2B5EF4-FFF2-40B4-BE49-F238E27FC236}">
              <a16:creationId xmlns:a16="http://schemas.microsoft.com/office/drawing/2014/main" id="{47284BBF-5AC4-47B9-907F-7C1CD1626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009" t="6553" r="5570" b="6083"/>
        <a:stretch>
          <a:fillRect/>
        </a:stretch>
      </xdr:blipFill>
      <xdr:spPr>
        <a:xfrm>
          <a:off x="4514589" y="7789623"/>
          <a:ext cx="1995832" cy="1396130"/>
        </a:xfrm>
        <a:prstGeom prst="rect">
          <a:avLst/>
        </a:prstGeom>
      </xdr:spPr>
    </xdr:pic>
    <xdr:clientData/>
  </xdr:oneCellAnchor>
  <xdr:oneCellAnchor>
    <xdr:from>
      <xdr:col>4</xdr:col>
      <xdr:colOff>939449</xdr:colOff>
      <xdr:row>13</xdr:row>
      <xdr:rowOff>182672</xdr:rowOff>
    </xdr:from>
    <xdr:ext cx="1399331" cy="1989484"/>
    <xdr:pic>
      <xdr:nvPicPr>
        <xdr:cNvPr id="7" name="Imagen 6">
          <a:extLst>
            <a:ext uri="{FF2B5EF4-FFF2-40B4-BE49-F238E27FC236}">
              <a16:creationId xmlns:a16="http://schemas.microsoft.com/office/drawing/2014/main" id="{D5C565EC-F634-445D-8D14-9D6076B4B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1641" y="9877295"/>
          <a:ext cx="1399331" cy="1989484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14</xdr:row>
      <xdr:rowOff>260958</xdr:rowOff>
    </xdr:from>
    <xdr:ext cx="1107048" cy="1929507"/>
    <xdr:pic>
      <xdr:nvPicPr>
        <xdr:cNvPr id="8" name="Imagen 7">
          <a:extLst>
            <a:ext uri="{FF2B5EF4-FFF2-40B4-BE49-F238E27FC236}">
              <a16:creationId xmlns:a16="http://schemas.microsoft.com/office/drawing/2014/main" id="{2708BABA-4BDE-4090-B5DE-45765904D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4692" y="11847533"/>
          <a:ext cx="1107048" cy="1929507"/>
        </a:xfrm>
        <a:prstGeom prst="rect">
          <a:avLst/>
        </a:prstGeom>
      </xdr:spPr>
    </xdr:pic>
    <xdr:clientData/>
  </xdr:oneCellAnchor>
  <xdr:twoCellAnchor editAs="oneCell">
    <xdr:from>
      <xdr:col>4</xdr:col>
      <xdr:colOff>913355</xdr:colOff>
      <xdr:row>8</xdr:row>
      <xdr:rowOff>221815</xdr:rowOff>
    </xdr:from>
    <xdr:to>
      <xdr:col>4</xdr:col>
      <xdr:colOff>2106626</xdr:colOff>
      <xdr:row>8</xdr:row>
      <xdr:rowOff>2735571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5D3AB5-A4E1-62F9-EB96-B581506BA0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119"/>
        <a:stretch>
          <a:fillRect/>
        </a:stretch>
      </xdr:blipFill>
      <xdr:spPr>
        <a:xfrm>
          <a:off x="4775547" y="1356986"/>
          <a:ext cx="1193271" cy="2513756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4E0B302A-6C89-4097-A942-3C61C0620FBB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4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2CE932B7-766F-4F6C-9646-7DF60237541F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5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4885E89A-9596-4957-93F7-2F78F6DA63ED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9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9ACA4370-8F8C-4D3D-AE44-D7CA2BFD5A75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0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21314B89-3954-4F26-BF4F-B74DA34B1F7D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12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7C0AE52C-7727-4591-9445-638BC32BBBC1}"/>
            </a:ext>
          </a:extLst>
        </xdr:cNvPr>
        <xdr:cNvSpPr>
          <a:spLocks noChangeAspect="1" noChangeArrowheads="1"/>
        </xdr:cNvSpPr>
      </xdr:nvSpPr>
      <xdr:spPr bwMode="auto">
        <a:xfrm>
          <a:off x="281940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5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66DD51C9-FDAA-46F4-A2BC-1BB19A894239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396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6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8FE69F7D-0550-4A97-909A-3529454A79C8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396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7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4F2008C7-4774-4767-A7EE-4198209F73E4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396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8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B94E95FB-3655-4F2E-BCC0-980F018E4C59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396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19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A57C05AE-8BFD-47C6-B8E2-3290823C5636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396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304800" cy="304800"/>
    <xdr:sp macro="" textlink="">
      <xdr:nvSpPr>
        <xdr:cNvPr id="20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F56DCB38-8F5D-4686-8497-9FDF2D02A201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396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1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F2D0E988-F3B8-4D7E-889A-550CA3856016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13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2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06A59EF4-D949-4B9A-BCD7-7E791FEDB744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13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3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E701F9D9-76A9-4D15-B152-21630C9BD10D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13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4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D9D22F9B-F7F5-4B9D-9014-D2F3774D8AA4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13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5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AF499AE2-BF7F-478B-B261-24213DA481C1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13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6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64FE1231-392B-4EE3-8E18-F8EFCCDAEAD2}"/>
            </a:ext>
          </a:extLst>
        </xdr:cNvPr>
        <xdr:cNvSpPr>
          <a:spLocks noChangeAspect="1" noChangeArrowheads="1"/>
        </xdr:cNvSpPr>
      </xdr:nvSpPr>
      <xdr:spPr bwMode="auto">
        <a:xfrm>
          <a:off x="3862192" y="1135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7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E6C2B5B1-1000-4319-8B2C-3CBC0246F004}"/>
            </a:ext>
          </a:extLst>
        </xdr:cNvPr>
        <xdr:cNvSpPr>
          <a:spLocks noChangeAspect="1" noChangeArrowheads="1"/>
        </xdr:cNvSpPr>
      </xdr:nvSpPr>
      <xdr:spPr bwMode="auto">
        <a:xfrm>
          <a:off x="3867150" y="4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8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2F40C3A5-AE1F-493D-AB2F-1E51FD181965}"/>
            </a:ext>
          </a:extLst>
        </xdr:cNvPr>
        <xdr:cNvSpPr>
          <a:spLocks noChangeAspect="1" noChangeArrowheads="1"/>
        </xdr:cNvSpPr>
      </xdr:nvSpPr>
      <xdr:spPr bwMode="auto">
        <a:xfrm>
          <a:off x="3867150" y="4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29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1BF1DD8A-75B6-406E-AD3C-A139D82169EE}"/>
            </a:ext>
          </a:extLst>
        </xdr:cNvPr>
        <xdr:cNvSpPr>
          <a:spLocks noChangeAspect="1" noChangeArrowheads="1"/>
        </xdr:cNvSpPr>
      </xdr:nvSpPr>
      <xdr:spPr bwMode="auto">
        <a:xfrm>
          <a:off x="3867150" y="4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0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E535D83A-7FF1-4E33-AF01-67A1DB754111}"/>
            </a:ext>
          </a:extLst>
        </xdr:cNvPr>
        <xdr:cNvSpPr>
          <a:spLocks noChangeAspect="1" noChangeArrowheads="1"/>
        </xdr:cNvSpPr>
      </xdr:nvSpPr>
      <xdr:spPr bwMode="auto">
        <a:xfrm>
          <a:off x="3867150" y="4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1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E8F20F61-FD3B-4BC4-AB5A-9500346202EA}"/>
            </a:ext>
          </a:extLst>
        </xdr:cNvPr>
        <xdr:cNvSpPr>
          <a:spLocks noChangeAspect="1" noChangeArrowheads="1"/>
        </xdr:cNvSpPr>
      </xdr:nvSpPr>
      <xdr:spPr bwMode="auto">
        <a:xfrm>
          <a:off x="3867150" y="4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</xdr:row>
      <xdr:rowOff>0</xdr:rowOff>
    </xdr:from>
    <xdr:ext cx="304800" cy="304800"/>
    <xdr:sp macro="" textlink="">
      <xdr:nvSpPr>
        <xdr:cNvPr id="32" name="AutoShape 1" descr="CAMOLAND-sombreros de sol con solapa para hombre y mujer, gorro de pesca  con protección UV, ala ancha, ideal para senderismo, Verano - AliExpress">
          <a:extLst>
            <a:ext uri="{FF2B5EF4-FFF2-40B4-BE49-F238E27FC236}">
              <a16:creationId xmlns:a16="http://schemas.microsoft.com/office/drawing/2014/main" id="{5F7C351C-8C87-4CD6-9C83-FF472EFD669B}"/>
            </a:ext>
          </a:extLst>
        </xdr:cNvPr>
        <xdr:cNvSpPr>
          <a:spLocks noChangeAspect="1" noChangeArrowheads="1"/>
        </xdr:cNvSpPr>
      </xdr:nvSpPr>
      <xdr:spPr bwMode="auto">
        <a:xfrm>
          <a:off x="3867150" y="4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571501</xdr:colOff>
      <xdr:row>3</xdr:row>
      <xdr:rowOff>495301</xdr:rowOff>
    </xdr:from>
    <xdr:to>
      <xdr:col>4</xdr:col>
      <xdr:colOff>2505503</xdr:colOff>
      <xdr:row>3</xdr:row>
      <xdr:rowOff>2628900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79ABB11C-1982-2D09-8C23-F1F2F8AA0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05251" y="1638301"/>
          <a:ext cx="1934002" cy="2133599"/>
        </a:xfrm>
        <a:prstGeom prst="rect">
          <a:avLst/>
        </a:prstGeom>
      </xdr:spPr>
    </xdr:pic>
    <xdr:clientData/>
  </xdr:twoCellAnchor>
  <xdr:twoCellAnchor editAs="oneCell">
    <xdr:from>
      <xdr:col>4</xdr:col>
      <xdr:colOff>647700</xdr:colOff>
      <xdr:row>4</xdr:row>
      <xdr:rowOff>609600</xdr:rowOff>
    </xdr:from>
    <xdr:to>
      <xdr:col>4</xdr:col>
      <xdr:colOff>2581702</xdr:colOff>
      <xdr:row>4</xdr:row>
      <xdr:rowOff>2743199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D42C62-1F35-42E4-9438-ED337901B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81450" y="4933950"/>
          <a:ext cx="1934002" cy="21335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0D21-ED42-4E52-8CC6-0C52C1E60F22}">
  <dimension ref="A2:IV14"/>
  <sheetViews>
    <sheetView showGridLines="0" topLeftCell="B1" zoomScale="70" zoomScaleNormal="70" workbookViewId="0">
      <selection activeCell="E4" sqref="E4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2" spans="1:256" ht="26.25" customHeight="1" thickBot="1" x14ac:dyDescent="0.3">
      <c r="A2" s="1"/>
      <c r="B2" s="91" t="s">
        <v>38</v>
      </c>
      <c r="C2" s="91"/>
      <c r="D2" s="91"/>
      <c r="E2" s="91"/>
      <c r="F2" s="91"/>
      <c r="G2" s="91"/>
      <c r="H2" s="91"/>
      <c r="I2" s="91"/>
      <c r="J2" s="91"/>
      <c r="K2" s="2"/>
      <c r="L2" s="3"/>
      <c r="M2" s="3"/>
      <c r="N2" s="3"/>
      <c r="O2" s="4"/>
      <c r="P2" s="3"/>
      <c r="Q2" s="3"/>
      <c r="R2" s="3"/>
      <c r="S2" s="3"/>
      <c r="T2" s="3"/>
      <c r="U2" s="3"/>
      <c r="V2" s="5"/>
      <c r="W2" s="3"/>
      <c r="X2" s="3"/>
      <c r="Y2" s="3"/>
      <c r="Z2" s="6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256" ht="47.25" x14ac:dyDescent="0.25">
      <c r="A3" s="1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/>
      <c r="M3" s="9" t="s">
        <v>9</v>
      </c>
      <c r="N3" s="9" t="s">
        <v>10</v>
      </c>
      <c r="O3" s="9" t="s">
        <v>11</v>
      </c>
      <c r="P3" s="10" t="s">
        <v>12</v>
      </c>
      <c r="Q3" s="11" t="s">
        <v>13</v>
      </c>
      <c r="R3" s="12" t="s">
        <v>14</v>
      </c>
      <c r="S3" s="12" t="s">
        <v>15</v>
      </c>
      <c r="T3" s="13" t="s">
        <v>16</v>
      </c>
      <c r="U3" s="12" t="s">
        <v>17</v>
      </c>
      <c r="V3" s="12" t="s">
        <v>18</v>
      </c>
      <c r="W3" s="14" t="s">
        <v>19</v>
      </c>
      <c r="X3" s="15" t="s">
        <v>20</v>
      </c>
      <c r="Y3" s="10" t="s">
        <v>21</v>
      </c>
      <c r="Z3" s="16" t="s">
        <v>22</v>
      </c>
      <c r="AA3" s="17" t="s">
        <v>23</v>
      </c>
      <c r="AB3" s="17" t="s">
        <v>24</v>
      </c>
      <c r="AC3" s="17" t="s">
        <v>25</v>
      </c>
      <c r="AD3" s="17" t="s">
        <v>26</v>
      </c>
      <c r="AE3" s="18" t="s">
        <v>27</v>
      </c>
      <c r="AF3" s="15" t="s">
        <v>28</v>
      </c>
      <c r="AG3" s="15" t="s">
        <v>29</v>
      </c>
      <c r="AH3" s="19" t="s">
        <v>17</v>
      </c>
      <c r="AI3" s="20" t="s">
        <v>30</v>
      </c>
      <c r="AJ3" s="20" t="s">
        <v>31</v>
      </c>
      <c r="AK3" s="21" t="s">
        <v>32</v>
      </c>
      <c r="AL3" s="22"/>
      <c r="AM3" s="22"/>
      <c r="AN3" s="22"/>
      <c r="AO3" s="22"/>
      <c r="AP3" s="22"/>
      <c r="AQ3" s="22"/>
      <c r="AR3" s="23"/>
      <c r="AS3" s="24"/>
      <c r="AT3" s="24"/>
    </row>
    <row r="4" spans="1:256" s="40" customFormat="1" ht="409.5" customHeight="1" x14ac:dyDescent="0.3">
      <c r="A4" s="35"/>
      <c r="B4" s="36">
        <v>1</v>
      </c>
      <c r="C4" s="92" t="s">
        <v>33</v>
      </c>
      <c r="D4" s="92"/>
      <c r="E4" s="54" t="s">
        <v>37</v>
      </c>
      <c r="F4" s="37">
        <v>400</v>
      </c>
      <c r="G4" s="38">
        <v>37</v>
      </c>
      <c r="H4" s="25" t="s">
        <v>39</v>
      </c>
      <c r="I4" s="56" t="s">
        <v>40</v>
      </c>
      <c r="J4" s="38">
        <f>F4*G4</f>
        <v>14800</v>
      </c>
      <c r="K4" s="39"/>
      <c r="L4" s="57">
        <f>T4/J4</f>
        <v>0.14594594594594595</v>
      </c>
      <c r="M4" s="49" t="s">
        <v>34</v>
      </c>
      <c r="N4" s="55" t="s">
        <v>35</v>
      </c>
      <c r="O4" s="49" t="s">
        <v>36</v>
      </c>
      <c r="P4" s="50"/>
      <c r="Q4" s="41">
        <v>18</v>
      </c>
      <c r="R4" s="26">
        <v>30</v>
      </c>
      <c r="S4" s="27">
        <f t="shared" ref="S4" si="0">Q4*R4/100</f>
        <v>5.4</v>
      </c>
      <c r="T4" s="42">
        <f t="shared" ref="T4" si="1">S4*V4</f>
        <v>2160</v>
      </c>
      <c r="U4" s="28">
        <f t="shared" ref="U4" si="2">Q4+S4</f>
        <v>23.4</v>
      </c>
      <c r="V4" s="43">
        <f t="shared" ref="V4" si="3">F4</f>
        <v>400</v>
      </c>
      <c r="W4" s="29">
        <f>Q4*2</f>
        <v>36</v>
      </c>
      <c r="X4" s="44">
        <f>35+30+80+120</f>
        <v>265</v>
      </c>
      <c r="Y4" s="45">
        <f t="shared" ref="Y4" si="4">V4*U4+W4+X4</f>
        <v>9661</v>
      </c>
      <c r="Z4" s="46"/>
      <c r="AA4" s="30"/>
      <c r="AB4" s="31">
        <v>1</v>
      </c>
      <c r="AC4" s="31">
        <v>1</v>
      </c>
      <c r="AD4" s="31">
        <v>1</v>
      </c>
      <c r="AE4" s="47">
        <f t="shared" ref="AE4" si="5">AA4*AB4*AC4*AD4</f>
        <v>0</v>
      </c>
      <c r="AF4" s="32">
        <f>V4/12*2.85</f>
        <v>95.000000000000014</v>
      </c>
      <c r="AG4" s="48">
        <f t="shared" ref="AG4" si="6">1.5%*(Y4+AE4+AF4)</f>
        <v>146.34</v>
      </c>
      <c r="AH4" s="47">
        <f>Y4+AE4+AG4+AF4</f>
        <v>9902.34</v>
      </c>
      <c r="AI4" s="51">
        <f>AH4/V4</f>
        <v>24.755849999999999</v>
      </c>
      <c r="AJ4" s="52">
        <f t="shared" ref="AJ4" si="7">AI4*18%</f>
        <v>4.4560529999999998</v>
      </c>
      <c r="AK4" s="53">
        <f t="shared" ref="AK4" si="8">AI4+AJ4</f>
        <v>29.211903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</row>
    <row r="6" spans="1:256" ht="26.25" customHeight="1" thickBot="1" x14ac:dyDescent="0.3">
      <c r="A6" s="1"/>
      <c r="B6" s="91" t="s">
        <v>38</v>
      </c>
      <c r="C6" s="91"/>
      <c r="D6" s="91"/>
      <c r="E6" s="91"/>
      <c r="F6" s="91"/>
      <c r="G6" s="91"/>
      <c r="H6" s="91"/>
      <c r="I6" s="91"/>
      <c r="J6" s="91"/>
      <c r="K6" s="2"/>
      <c r="L6" s="3"/>
      <c r="M6" s="3"/>
      <c r="N6" s="3"/>
      <c r="O6" s="4"/>
      <c r="P6" s="3"/>
      <c r="Q6" s="3"/>
      <c r="R6" s="3"/>
      <c r="S6" s="3"/>
      <c r="T6" s="3"/>
      <c r="U6" s="3"/>
      <c r="V6" s="5"/>
      <c r="W6" s="3"/>
      <c r="X6" s="3"/>
      <c r="Y6" s="3"/>
      <c r="Z6" s="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256" ht="47.25" x14ac:dyDescent="0.25">
      <c r="A7" s="1"/>
      <c r="B7" s="7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7</v>
      </c>
      <c r="J7" s="7" t="s">
        <v>8</v>
      </c>
      <c r="K7" s="8"/>
      <c r="M7" s="9" t="s">
        <v>9</v>
      </c>
      <c r="N7" s="9" t="s">
        <v>10</v>
      </c>
      <c r="O7" s="9" t="s">
        <v>11</v>
      </c>
      <c r="P7" s="10" t="s">
        <v>12</v>
      </c>
      <c r="Q7" s="11" t="s">
        <v>13</v>
      </c>
      <c r="R7" s="12" t="s">
        <v>14</v>
      </c>
      <c r="S7" s="12" t="s">
        <v>15</v>
      </c>
      <c r="T7" s="13" t="s">
        <v>16</v>
      </c>
      <c r="U7" s="12" t="s">
        <v>17</v>
      </c>
      <c r="V7" s="12" t="s">
        <v>18</v>
      </c>
      <c r="W7" s="14" t="s">
        <v>19</v>
      </c>
      <c r="X7" s="15" t="s">
        <v>20</v>
      </c>
      <c r="Y7" s="10" t="s">
        <v>21</v>
      </c>
      <c r="Z7" s="16" t="s">
        <v>22</v>
      </c>
      <c r="AA7" s="17" t="s">
        <v>23</v>
      </c>
      <c r="AB7" s="17" t="s">
        <v>24</v>
      </c>
      <c r="AC7" s="17" t="s">
        <v>25</v>
      </c>
      <c r="AD7" s="17" t="s">
        <v>26</v>
      </c>
      <c r="AE7" s="18" t="s">
        <v>27</v>
      </c>
      <c r="AF7" s="15" t="s">
        <v>28</v>
      </c>
      <c r="AG7" s="15" t="s">
        <v>29</v>
      </c>
      <c r="AH7" s="19" t="s">
        <v>17</v>
      </c>
      <c r="AI7" s="20" t="s">
        <v>30</v>
      </c>
      <c r="AJ7" s="20" t="s">
        <v>31</v>
      </c>
      <c r="AK7" s="21" t="s">
        <v>32</v>
      </c>
      <c r="AL7" s="22"/>
      <c r="AM7" s="22"/>
      <c r="AN7" s="22"/>
      <c r="AO7" s="22"/>
      <c r="AP7" s="22"/>
      <c r="AQ7" s="22"/>
      <c r="AR7" s="23"/>
      <c r="AS7" s="24"/>
      <c r="AT7" s="24"/>
    </row>
    <row r="8" spans="1:256" s="40" customFormat="1" ht="409.5" customHeight="1" x14ac:dyDescent="0.3">
      <c r="A8" s="35"/>
      <c r="B8" s="36">
        <v>1</v>
      </c>
      <c r="C8" s="92" t="s">
        <v>33</v>
      </c>
      <c r="D8" s="92"/>
      <c r="E8" s="54" t="s">
        <v>37</v>
      </c>
      <c r="F8" s="37">
        <v>45</v>
      </c>
      <c r="G8" s="38">
        <v>37</v>
      </c>
      <c r="H8" s="25" t="s">
        <v>39</v>
      </c>
      <c r="I8" s="56" t="s">
        <v>40</v>
      </c>
      <c r="J8" s="38">
        <f>F8*G8</f>
        <v>1665</v>
      </c>
      <c r="K8" s="39"/>
      <c r="L8" s="57">
        <f>T8/J8</f>
        <v>0.25567545399476727</v>
      </c>
      <c r="M8" s="49" t="s">
        <v>34</v>
      </c>
      <c r="N8" s="55" t="s">
        <v>35</v>
      </c>
      <c r="O8" s="49" t="s">
        <v>36</v>
      </c>
      <c r="P8" s="50"/>
      <c r="Q8" s="41">
        <f>(15/1.165+2.5+2.5)+0.58+1.3/3+2+50/45</f>
        <v>21.999980925131137</v>
      </c>
      <c r="R8" s="26">
        <v>43</v>
      </c>
      <c r="S8" s="27">
        <f t="shared" ref="S8" si="9">Q8*R8/100</f>
        <v>9.4599917978063885</v>
      </c>
      <c r="T8" s="42">
        <f t="shared" ref="T8" si="10">S8*V8</f>
        <v>425.69963090128749</v>
      </c>
      <c r="U8" s="28">
        <f t="shared" ref="U8" si="11">Q8+S8</f>
        <v>31.459972722937525</v>
      </c>
      <c r="V8" s="43">
        <f t="shared" ref="V8" si="12">F8</f>
        <v>45</v>
      </c>
      <c r="W8" s="29">
        <f>Q8*1</f>
        <v>21.999980925131137</v>
      </c>
      <c r="X8" s="44">
        <f>35+15+15+15+100</f>
        <v>180</v>
      </c>
      <c r="Y8" s="45">
        <f t="shared" ref="Y8" si="13">V8*U8+W8+X8</f>
        <v>1617.69875345732</v>
      </c>
      <c r="Z8" s="46"/>
      <c r="AA8" s="30"/>
      <c r="AB8" s="31">
        <v>1</v>
      </c>
      <c r="AC8" s="31">
        <v>1</v>
      </c>
      <c r="AD8" s="31">
        <v>1</v>
      </c>
      <c r="AE8" s="47">
        <f t="shared" ref="AE8" si="14">AA8*AB8*AC8*AD8</f>
        <v>0</v>
      </c>
      <c r="AF8" s="32">
        <f>V8/12*4.85</f>
        <v>18.1875</v>
      </c>
      <c r="AG8" s="48">
        <f t="shared" ref="AG8" si="15">1.5%*(Y8+AE8+AF8)</f>
        <v>24.538293801859798</v>
      </c>
      <c r="AH8" s="47">
        <f>Y8+AE8+AG8+AF8</f>
        <v>1660.4245472591797</v>
      </c>
      <c r="AI8" s="51">
        <f>AH8/V8</f>
        <v>36.898323272426218</v>
      </c>
      <c r="AJ8" s="52">
        <f t="shared" ref="AJ8" si="16">AI8*18%</f>
        <v>6.6416981890367186</v>
      </c>
      <c r="AK8" s="53">
        <f t="shared" ref="AK8" si="17">AI8+AJ8</f>
        <v>43.540021461462935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</row>
    <row r="10" spans="1:256" ht="26.25" customHeight="1" thickBot="1" x14ac:dyDescent="0.3">
      <c r="A10" s="1"/>
      <c r="B10" s="91" t="s">
        <v>38</v>
      </c>
      <c r="C10" s="91"/>
      <c r="D10" s="91"/>
      <c r="E10" s="91"/>
      <c r="F10" s="91"/>
      <c r="G10" s="91"/>
      <c r="H10" s="91"/>
      <c r="I10" s="91"/>
      <c r="J10" s="91"/>
      <c r="K10" s="2"/>
      <c r="L10" s="3"/>
      <c r="M10" s="3"/>
      <c r="N10" s="3"/>
      <c r="O10" s="4"/>
      <c r="P10" s="3"/>
      <c r="Q10" s="3"/>
      <c r="R10" s="3"/>
      <c r="S10" s="3"/>
      <c r="T10" s="3"/>
      <c r="U10" s="3"/>
      <c r="V10" s="5"/>
      <c r="W10" s="3"/>
      <c r="X10" s="3"/>
      <c r="Y10" s="3"/>
      <c r="Z10" s="6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256" ht="47.25" x14ac:dyDescent="0.25">
      <c r="A11" s="1"/>
      <c r="B11" s="7" t="s">
        <v>0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8"/>
      <c r="M11" s="9" t="s">
        <v>9</v>
      </c>
      <c r="N11" s="9" t="s">
        <v>10</v>
      </c>
      <c r="O11" s="9" t="s">
        <v>11</v>
      </c>
      <c r="P11" s="10" t="s">
        <v>12</v>
      </c>
      <c r="Q11" s="11" t="s">
        <v>13</v>
      </c>
      <c r="R11" s="12" t="s">
        <v>14</v>
      </c>
      <c r="S11" s="12" t="s">
        <v>15</v>
      </c>
      <c r="T11" s="13" t="s">
        <v>16</v>
      </c>
      <c r="U11" s="12" t="s">
        <v>17</v>
      </c>
      <c r="V11" s="12" t="s">
        <v>18</v>
      </c>
      <c r="W11" s="14" t="s">
        <v>19</v>
      </c>
      <c r="X11" s="15" t="s">
        <v>20</v>
      </c>
      <c r="Y11" s="10" t="s">
        <v>21</v>
      </c>
      <c r="Z11" s="16" t="s">
        <v>22</v>
      </c>
      <c r="AA11" s="17" t="s">
        <v>23</v>
      </c>
      <c r="AB11" s="17" t="s">
        <v>24</v>
      </c>
      <c r="AC11" s="17" t="s">
        <v>25</v>
      </c>
      <c r="AD11" s="17" t="s">
        <v>26</v>
      </c>
      <c r="AE11" s="18" t="s">
        <v>27</v>
      </c>
      <c r="AF11" s="15" t="s">
        <v>28</v>
      </c>
      <c r="AG11" s="15" t="s">
        <v>29</v>
      </c>
      <c r="AH11" s="19" t="s">
        <v>17</v>
      </c>
      <c r="AI11" s="20" t="s">
        <v>30</v>
      </c>
      <c r="AJ11" s="20" t="s">
        <v>31</v>
      </c>
      <c r="AK11" s="21" t="s">
        <v>32</v>
      </c>
      <c r="AL11" s="22"/>
      <c r="AM11" s="22"/>
      <c r="AN11" s="22"/>
      <c r="AO11" s="22"/>
      <c r="AP11" s="22"/>
      <c r="AQ11" s="22"/>
      <c r="AR11" s="23"/>
      <c r="AS11" s="24"/>
      <c r="AT11" s="24"/>
    </row>
    <row r="12" spans="1:256" s="40" customFormat="1" ht="409.5" customHeight="1" x14ac:dyDescent="0.3">
      <c r="A12" s="35"/>
      <c r="B12" s="36">
        <v>1</v>
      </c>
      <c r="C12" s="92" t="s">
        <v>33</v>
      </c>
      <c r="D12" s="92"/>
      <c r="E12" s="54" t="s">
        <v>37</v>
      </c>
      <c r="F12" s="37">
        <v>45</v>
      </c>
      <c r="G12" s="38">
        <v>39.9</v>
      </c>
      <c r="H12" s="25" t="s">
        <v>39</v>
      </c>
      <c r="I12" s="56" t="s">
        <v>40</v>
      </c>
      <c r="J12" s="38">
        <f>F12*G12</f>
        <v>1795.5</v>
      </c>
      <c r="K12" s="39"/>
      <c r="L12" s="57">
        <f>T12/J12</f>
        <v>0.26040078737616573</v>
      </c>
      <c r="M12" s="49" t="s">
        <v>34</v>
      </c>
      <c r="N12" s="55" t="s">
        <v>35</v>
      </c>
      <c r="O12" s="49" t="s">
        <v>36</v>
      </c>
      <c r="P12" s="50"/>
      <c r="Q12" s="41">
        <f>(15/1.165+2.5+2.5)+0.58+1.3/3+2.2+40/45+50/45</f>
        <v>23.088869814020025</v>
      </c>
      <c r="R12" s="26">
        <v>45</v>
      </c>
      <c r="S12" s="27">
        <f t="shared" ref="S12" si="18">Q12*R12/100</f>
        <v>10.389991416309012</v>
      </c>
      <c r="T12" s="42">
        <f t="shared" ref="T12" si="19">S12*V12</f>
        <v>467.54961373390557</v>
      </c>
      <c r="U12" s="28">
        <f t="shared" ref="U12" si="20">Q12+S12</f>
        <v>33.478861230329038</v>
      </c>
      <c r="V12" s="43">
        <f t="shared" ref="V12" si="21">F12</f>
        <v>45</v>
      </c>
      <c r="W12" s="29">
        <f>Q12*1</f>
        <v>23.088869814020025</v>
      </c>
      <c r="X12" s="44">
        <f>35+15+15+15+100</f>
        <v>180</v>
      </c>
      <c r="Y12" s="45">
        <f t="shared" ref="Y12" si="22">V12*U12+W12+X12</f>
        <v>1709.6376251788267</v>
      </c>
      <c r="Z12" s="46"/>
      <c r="AA12" s="30"/>
      <c r="AB12" s="31">
        <v>1</v>
      </c>
      <c r="AC12" s="31">
        <v>1</v>
      </c>
      <c r="AD12" s="31">
        <v>1</v>
      </c>
      <c r="AE12" s="47">
        <f t="shared" ref="AE12" si="23">AA12*AB12*AC12*AD12</f>
        <v>0</v>
      </c>
      <c r="AF12" s="32">
        <f>V12/12*4.85</f>
        <v>18.1875</v>
      </c>
      <c r="AG12" s="48">
        <f t="shared" ref="AG12" si="24">1.5%*(Y12+AE12+AF12)</f>
        <v>25.917376877682401</v>
      </c>
      <c r="AH12" s="47">
        <f>Y12+AE12+AG12+AF12</f>
        <v>1753.7425020565092</v>
      </c>
      <c r="AI12" s="51">
        <f>AH12/V12</f>
        <v>38.972055601255761</v>
      </c>
      <c r="AJ12" s="52">
        <f t="shared" ref="AJ12" si="25">AI12*18%</f>
        <v>7.0149700082260367</v>
      </c>
      <c r="AK12" s="53">
        <f t="shared" ref="AK12" si="26">AI12+AJ12</f>
        <v>45.987025609481798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</row>
    <row r="14" spans="1:256" x14ac:dyDescent="0.25">
      <c r="IV14" s="33"/>
    </row>
  </sheetData>
  <sheetProtection selectLockedCells="1" selectUnlockedCells="1"/>
  <mergeCells count="6">
    <mergeCell ref="B10:J10"/>
    <mergeCell ref="C12:D12"/>
    <mergeCell ref="B6:J6"/>
    <mergeCell ref="C8:D8"/>
    <mergeCell ref="B2:J2"/>
    <mergeCell ref="C4:D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416C-0A21-4E9F-80A8-154840DFC0CF}">
  <dimension ref="A3:IV8"/>
  <sheetViews>
    <sheetView showGridLines="0" topLeftCell="B1" zoomScale="95" zoomScaleNormal="95" workbookViewId="0">
      <selection activeCell="B5" sqref="B5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256" ht="26.25" customHeight="1" thickBot="1" x14ac:dyDescent="0.3">
      <c r="A3" s="1"/>
      <c r="B3" s="91" t="s">
        <v>45</v>
      </c>
      <c r="C3" s="91"/>
      <c r="D3" s="91"/>
      <c r="E3" s="91"/>
      <c r="F3" s="91"/>
      <c r="G3" s="91"/>
      <c r="H3" s="91"/>
      <c r="I3" s="91"/>
      <c r="J3" s="91"/>
      <c r="K3" s="2"/>
      <c r="L3" s="3"/>
      <c r="M3" s="3"/>
      <c r="N3" s="3"/>
      <c r="O3" s="4"/>
      <c r="P3" s="3"/>
      <c r="Q3" s="3"/>
      <c r="R3" s="3"/>
      <c r="S3" s="3"/>
      <c r="T3" s="3"/>
      <c r="U3" s="3"/>
      <c r="V3" s="5"/>
      <c r="W3" s="3"/>
      <c r="X3" s="3"/>
      <c r="Y3" s="3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256" ht="47.25" x14ac:dyDescent="0.25">
      <c r="A4" s="1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/>
      <c r="M4" s="9" t="s">
        <v>9</v>
      </c>
      <c r="N4" s="9" t="s">
        <v>10</v>
      </c>
      <c r="O4" s="9" t="s">
        <v>11</v>
      </c>
      <c r="P4" s="10" t="s">
        <v>12</v>
      </c>
      <c r="Q4" s="11" t="s">
        <v>13</v>
      </c>
      <c r="R4" s="12" t="s">
        <v>14</v>
      </c>
      <c r="S4" s="12" t="s">
        <v>15</v>
      </c>
      <c r="T4" s="13" t="s">
        <v>16</v>
      </c>
      <c r="U4" s="12" t="s">
        <v>17</v>
      </c>
      <c r="V4" s="12" t="s">
        <v>18</v>
      </c>
      <c r="W4" s="14" t="s">
        <v>19</v>
      </c>
      <c r="X4" s="15" t="s">
        <v>20</v>
      </c>
      <c r="Y4" s="10" t="s">
        <v>21</v>
      </c>
      <c r="Z4" s="16" t="s">
        <v>22</v>
      </c>
      <c r="AA4" s="17" t="s">
        <v>23</v>
      </c>
      <c r="AB4" s="17" t="s">
        <v>24</v>
      </c>
      <c r="AC4" s="17" t="s">
        <v>25</v>
      </c>
      <c r="AD4" s="17" t="s">
        <v>26</v>
      </c>
      <c r="AE4" s="18" t="s">
        <v>27</v>
      </c>
      <c r="AF4" s="15" t="s">
        <v>28</v>
      </c>
      <c r="AG4" s="15" t="s">
        <v>29</v>
      </c>
      <c r="AH4" s="19" t="s">
        <v>17</v>
      </c>
      <c r="AI4" s="20" t="s">
        <v>30</v>
      </c>
      <c r="AJ4" s="20" t="s">
        <v>31</v>
      </c>
      <c r="AK4" s="21" t="s">
        <v>32</v>
      </c>
      <c r="AL4" s="22"/>
      <c r="AM4" s="22"/>
      <c r="AN4" s="22"/>
      <c r="AO4" s="22"/>
      <c r="AP4" s="22"/>
      <c r="AQ4" s="22"/>
      <c r="AR4" s="23"/>
      <c r="AS4" s="24"/>
      <c r="AT4" s="24"/>
    </row>
    <row r="5" spans="1:256" s="40" customFormat="1" ht="342.75" customHeight="1" x14ac:dyDescent="0.3">
      <c r="A5" s="35"/>
      <c r="B5" s="36">
        <v>1</v>
      </c>
      <c r="C5" s="92" t="s">
        <v>43</v>
      </c>
      <c r="D5" s="92"/>
      <c r="E5" s="54" t="s">
        <v>42</v>
      </c>
      <c r="F5" s="37">
        <v>400</v>
      </c>
      <c r="G5" s="38">
        <v>23.99</v>
      </c>
      <c r="H5" s="25" t="s">
        <v>46</v>
      </c>
      <c r="I5" s="56" t="s">
        <v>47</v>
      </c>
      <c r="J5" s="38">
        <f>F5*G5</f>
        <v>9596</v>
      </c>
      <c r="K5" s="39"/>
      <c r="L5" s="57">
        <f>T5/J5</f>
        <v>0.21183844257141038</v>
      </c>
      <c r="M5" s="49" t="s">
        <v>41</v>
      </c>
      <c r="N5" s="55"/>
      <c r="O5" s="49" t="s">
        <v>44</v>
      </c>
      <c r="P5" s="50"/>
      <c r="Q5" s="41">
        <f>20/1.18+(0.1+0.1+150/400)</f>
        <v>17.524152542372882</v>
      </c>
      <c r="R5" s="26">
        <v>29</v>
      </c>
      <c r="S5" s="27">
        <f t="shared" ref="S5" si="0">Q5*R5/100</f>
        <v>5.0820042372881353</v>
      </c>
      <c r="T5" s="42">
        <f t="shared" ref="T5" si="1">S5*V5</f>
        <v>2032.8016949152541</v>
      </c>
      <c r="U5" s="28">
        <f t="shared" ref="U5" si="2">Q5+S5</f>
        <v>22.606156779661017</v>
      </c>
      <c r="V5" s="43">
        <f t="shared" ref="V5" si="3">F5</f>
        <v>400</v>
      </c>
      <c r="W5" s="29">
        <f>Q5*2</f>
        <v>35.048305084745763</v>
      </c>
      <c r="X5" s="44">
        <v>250</v>
      </c>
      <c r="Y5" s="45">
        <f t="shared" ref="Y5" si="4">V5*U5+W5+X5</f>
        <v>9327.5110169491527</v>
      </c>
      <c r="Z5" s="46"/>
      <c r="AA5" s="30"/>
      <c r="AB5" s="31">
        <v>1</v>
      </c>
      <c r="AC5" s="31">
        <v>1</v>
      </c>
      <c r="AD5" s="31">
        <v>1</v>
      </c>
      <c r="AE5" s="47">
        <f t="shared" ref="AE5" si="5">AA5*AB5*AC5*AD5</f>
        <v>0</v>
      </c>
      <c r="AF5" s="32">
        <f>V5/12*2.85</f>
        <v>95.000000000000014</v>
      </c>
      <c r="AG5" s="48">
        <f>1.5%*(Y5+AE5+AF5)</f>
        <v>141.33766525423729</v>
      </c>
      <c r="AH5" s="47">
        <f>Y5+AE5+AG5+AF5</f>
        <v>9563.8486822033901</v>
      </c>
      <c r="AI5" s="51">
        <f>AH5/V5</f>
        <v>23.909621705508474</v>
      </c>
      <c r="AJ5" s="52">
        <f t="shared" ref="AJ5" si="6">AI5*18%</f>
        <v>4.3037319069915254</v>
      </c>
      <c r="AK5" s="53">
        <f t="shared" ref="AK5" si="7">AI5+AJ5</f>
        <v>28.213353612500001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</row>
    <row r="8" spans="1:256" x14ac:dyDescent="0.25">
      <c r="IV8" s="33"/>
    </row>
  </sheetData>
  <sheetProtection selectLockedCells="1" selectUnlockedCells="1"/>
  <mergeCells count="2">
    <mergeCell ref="B3:J3"/>
    <mergeCell ref="C5:D5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AF59-997D-4539-9232-B4E63744BAB3}">
  <dimension ref="A2:IU16"/>
  <sheetViews>
    <sheetView showGridLines="0" tabSelected="1" zoomScale="50" zoomScaleNormal="50" workbookViewId="0">
      <selection activeCell="B2" sqref="B2:J5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5.85546875" customWidth="1"/>
    <col min="4" max="4" width="25.42578125" customWidth="1"/>
    <col min="5" max="5" width="46.5703125" customWidth="1"/>
    <col min="6" max="6" width="13.140625" customWidth="1"/>
    <col min="7" max="7" width="27" customWidth="1"/>
    <col min="8" max="8" width="17" style="34" customWidth="1"/>
    <col min="9" max="9" width="86.28515625" customWidth="1"/>
    <col min="10" max="10" width="27.5703125" customWidth="1"/>
    <col min="11" max="11" width="15.140625" bestFit="1" customWidth="1"/>
    <col min="12" max="12" width="13.42578125" customWidth="1"/>
    <col min="13" max="13" width="24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2" spans="1:255" ht="26.25" customHeight="1" thickBot="1" x14ac:dyDescent="0.3">
      <c r="A2" s="1"/>
      <c r="B2" s="91" t="s">
        <v>75</v>
      </c>
      <c r="C2" s="91"/>
      <c r="D2" s="91"/>
      <c r="E2" s="91"/>
      <c r="F2" s="91"/>
      <c r="G2" s="91"/>
      <c r="H2" s="91"/>
      <c r="I2" s="91"/>
      <c r="J2" s="91"/>
      <c r="K2" s="2"/>
      <c r="L2" s="3"/>
      <c r="M2" s="3"/>
      <c r="N2" s="3"/>
      <c r="O2" s="4"/>
      <c r="P2" s="3"/>
      <c r="Q2" s="3"/>
      <c r="R2" s="3"/>
      <c r="S2" s="3"/>
      <c r="T2" s="3"/>
      <c r="U2" s="3"/>
      <c r="V2" s="5"/>
      <c r="W2" s="3"/>
      <c r="X2" s="3"/>
      <c r="Y2" s="3"/>
      <c r="Z2" s="6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255" ht="47.25" x14ac:dyDescent="0.25">
      <c r="A3" s="1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/>
      <c r="M3" s="9" t="s">
        <v>9</v>
      </c>
      <c r="N3" s="9" t="s">
        <v>10</v>
      </c>
      <c r="O3" s="9" t="s">
        <v>11</v>
      </c>
      <c r="P3" s="10" t="s">
        <v>12</v>
      </c>
      <c r="Q3" s="11" t="s">
        <v>13</v>
      </c>
      <c r="R3" s="12" t="s">
        <v>14</v>
      </c>
      <c r="S3" s="12" t="s">
        <v>15</v>
      </c>
      <c r="T3" s="13" t="s">
        <v>16</v>
      </c>
      <c r="U3" s="12" t="s">
        <v>17</v>
      </c>
      <c r="V3" s="12" t="s">
        <v>18</v>
      </c>
      <c r="W3" s="14" t="s">
        <v>19</v>
      </c>
      <c r="X3" s="15" t="s">
        <v>20</v>
      </c>
      <c r="Y3" s="10" t="s">
        <v>21</v>
      </c>
      <c r="Z3" s="16" t="s">
        <v>22</v>
      </c>
      <c r="AA3" s="17" t="s">
        <v>23</v>
      </c>
      <c r="AB3" s="17" t="s">
        <v>24</v>
      </c>
      <c r="AC3" s="17" t="s">
        <v>25</v>
      </c>
      <c r="AD3" s="17" t="s">
        <v>26</v>
      </c>
      <c r="AE3" s="18" t="s">
        <v>27</v>
      </c>
      <c r="AF3" s="15" t="s">
        <v>28</v>
      </c>
      <c r="AG3" s="15" t="s">
        <v>29</v>
      </c>
      <c r="AH3" s="19" t="s">
        <v>17</v>
      </c>
      <c r="AI3" s="20" t="s">
        <v>30</v>
      </c>
      <c r="AJ3" s="20" t="s">
        <v>31</v>
      </c>
      <c r="AK3" s="21" t="s">
        <v>32</v>
      </c>
      <c r="AL3" s="22"/>
      <c r="AM3" s="22"/>
      <c r="AN3" s="22"/>
      <c r="AO3" s="22"/>
      <c r="AP3" s="22"/>
      <c r="AQ3" s="22"/>
      <c r="AR3" s="23"/>
      <c r="AS3" s="24"/>
      <c r="AT3" s="24"/>
    </row>
    <row r="4" spans="1:255" ht="250.5" customHeight="1" x14ac:dyDescent="0.35">
      <c r="B4" s="62">
        <v>1</v>
      </c>
      <c r="C4" s="95" t="s">
        <v>76</v>
      </c>
      <c r="D4" s="96"/>
      <c r="E4" s="63"/>
      <c r="F4" s="37">
        <v>200</v>
      </c>
      <c r="G4" s="64">
        <v>28.99</v>
      </c>
      <c r="H4" s="25" t="s">
        <v>69</v>
      </c>
      <c r="I4" s="65" t="s">
        <v>81</v>
      </c>
      <c r="J4" s="66">
        <f>F4*G4</f>
        <v>5798</v>
      </c>
      <c r="K4" s="67">
        <v>32.99</v>
      </c>
      <c r="L4" s="68">
        <f>T4/(J4/1.18)</f>
        <v>0.26252155915833042</v>
      </c>
      <c r="M4" s="69" t="s">
        <v>77</v>
      </c>
      <c r="N4" s="70"/>
      <c r="O4" s="70" t="s">
        <v>80</v>
      </c>
      <c r="P4" s="70"/>
      <c r="Q4" s="71">
        <f>(23.8*150+26.8*50)/200/1.18</f>
        <v>20.805084745762713</v>
      </c>
      <c r="R4" s="43">
        <v>31</v>
      </c>
      <c r="S4" s="72">
        <f t="shared" ref="S4" si="0">Q4*R4/100</f>
        <v>6.4495762711864408</v>
      </c>
      <c r="T4" s="73">
        <f t="shared" ref="T4" si="1">S4*V4</f>
        <v>1289.9152542372881</v>
      </c>
      <c r="U4" s="74">
        <f t="shared" ref="U4" si="2">Q4+S4</f>
        <v>27.254661016949154</v>
      </c>
      <c r="V4" s="43">
        <f>F4</f>
        <v>200</v>
      </c>
      <c r="W4" s="29">
        <f>Q4*3</f>
        <v>62.415254237288138</v>
      </c>
      <c r="X4" s="75">
        <f>20+60+90</f>
        <v>170</v>
      </c>
      <c r="Y4" s="76">
        <f t="shared" ref="Y4" si="3">V4*U4+W4+X4</f>
        <v>5683.3474576271192</v>
      </c>
      <c r="Z4" s="77"/>
      <c r="AA4" s="78">
        <v>0</v>
      </c>
      <c r="AB4" s="79">
        <v>1</v>
      </c>
      <c r="AC4" s="79">
        <v>1</v>
      </c>
      <c r="AD4" s="79">
        <v>1</v>
      </c>
      <c r="AE4" s="80">
        <f t="shared" ref="AE4" si="4">AA4</f>
        <v>0</v>
      </c>
      <c r="AF4" s="81">
        <f>V4/50*2.85</f>
        <v>11.4</v>
      </c>
      <c r="AG4" s="82">
        <f>1.5%*(Y4+AE4+AF4)</f>
        <v>85.421211864406786</v>
      </c>
      <c r="AH4" s="44">
        <f t="shared" ref="AH4" si="5">Y4+AE4+AG4+AF4</f>
        <v>5780.1686694915252</v>
      </c>
      <c r="AI4" s="83">
        <f t="shared" ref="AI4" si="6">AH4/V4</f>
        <v>28.900843347457627</v>
      </c>
      <c r="AJ4" s="84">
        <f t="shared" ref="AJ4" si="7">AI4*18%</f>
        <v>5.2021518025423727</v>
      </c>
      <c r="AK4" s="85">
        <f t="shared" ref="AK4" si="8">AI4+AJ4</f>
        <v>34.102995149999998</v>
      </c>
      <c r="AL4" s="86"/>
      <c r="AM4" s="86"/>
      <c r="AN4" s="86"/>
      <c r="AO4" s="86"/>
      <c r="AP4" s="87"/>
      <c r="AQ4" s="88"/>
      <c r="AR4" s="89"/>
      <c r="AS4" s="89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90"/>
      <c r="DU4" s="90"/>
      <c r="DV4" s="90"/>
      <c r="DW4" s="90"/>
      <c r="DX4" s="90"/>
      <c r="DY4" s="90"/>
      <c r="DZ4" s="90"/>
      <c r="EA4" s="90"/>
      <c r="EB4" s="90"/>
      <c r="EC4" s="90"/>
      <c r="ED4" s="90"/>
      <c r="EE4" s="90"/>
      <c r="EF4" s="90"/>
      <c r="EG4" s="90"/>
      <c r="EH4" s="90"/>
      <c r="EI4" s="90"/>
      <c r="EJ4" s="90"/>
      <c r="EK4" s="90"/>
      <c r="EL4" s="90"/>
      <c r="EM4" s="90"/>
      <c r="EN4" s="90"/>
      <c r="EO4" s="90"/>
      <c r="EP4" s="90"/>
      <c r="EQ4" s="90"/>
      <c r="ER4" s="90"/>
      <c r="ES4" s="90"/>
      <c r="ET4" s="90"/>
      <c r="EU4" s="90"/>
      <c r="EV4" s="90"/>
      <c r="EW4" s="90"/>
      <c r="EX4" s="90"/>
      <c r="EY4" s="90"/>
      <c r="EZ4" s="90"/>
      <c r="FA4" s="90"/>
      <c r="FB4" s="90"/>
      <c r="FC4" s="90"/>
      <c r="FD4" s="90"/>
      <c r="FE4" s="90"/>
      <c r="FF4" s="90"/>
      <c r="FG4" s="90"/>
      <c r="FH4" s="90"/>
      <c r="FI4" s="90"/>
      <c r="FJ4" s="90"/>
      <c r="FK4" s="90"/>
      <c r="FL4" s="90"/>
      <c r="FM4" s="90"/>
      <c r="FN4" s="90"/>
      <c r="FO4" s="90"/>
      <c r="FP4" s="90"/>
      <c r="FQ4" s="90"/>
      <c r="FR4" s="90"/>
      <c r="FS4" s="90"/>
      <c r="FT4" s="90"/>
      <c r="FU4" s="90"/>
      <c r="FV4" s="90"/>
      <c r="FW4" s="90"/>
      <c r="FX4" s="90"/>
      <c r="FY4" s="90"/>
      <c r="FZ4" s="90"/>
      <c r="GA4" s="90"/>
      <c r="GB4" s="90"/>
      <c r="GC4" s="90"/>
      <c r="GD4" s="90"/>
      <c r="GE4" s="90"/>
      <c r="GF4" s="90"/>
      <c r="GG4" s="90"/>
      <c r="GH4" s="90"/>
      <c r="GI4" s="90"/>
      <c r="GJ4" s="90"/>
      <c r="GK4" s="90"/>
      <c r="GL4" s="90"/>
      <c r="GM4" s="90"/>
      <c r="GN4" s="90"/>
      <c r="GO4" s="90"/>
      <c r="GP4" s="90"/>
      <c r="GQ4" s="90"/>
      <c r="GR4" s="90"/>
      <c r="GS4" s="90"/>
      <c r="GT4" s="90"/>
      <c r="GU4" s="90"/>
      <c r="GV4" s="90"/>
      <c r="GW4" s="90"/>
      <c r="GX4" s="90"/>
      <c r="GY4" s="90"/>
      <c r="GZ4" s="90"/>
      <c r="HA4" s="90"/>
      <c r="HB4" s="90"/>
      <c r="HC4" s="90"/>
      <c r="HD4" s="90"/>
      <c r="HE4" s="90"/>
      <c r="HF4" s="90"/>
      <c r="HG4" s="90"/>
      <c r="HH4" s="90"/>
      <c r="HI4" s="90"/>
      <c r="HJ4" s="90"/>
      <c r="HK4" s="90"/>
      <c r="HL4" s="90"/>
      <c r="HM4" s="90"/>
      <c r="HN4" s="90"/>
      <c r="HO4" s="90"/>
      <c r="HP4" s="90"/>
      <c r="HQ4" s="90"/>
      <c r="HR4" s="90"/>
      <c r="HS4" s="90"/>
      <c r="HT4" s="90"/>
      <c r="HU4" s="90"/>
      <c r="HV4" s="90"/>
      <c r="HW4" s="90"/>
      <c r="HX4" s="90"/>
      <c r="HY4" s="90"/>
      <c r="HZ4" s="90"/>
      <c r="IA4" s="90"/>
      <c r="IB4" s="90"/>
      <c r="IC4" s="90"/>
      <c r="ID4" s="90"/>
      <c r="IE4" s="90"/>
      <c r="IF4" s="90"/>
      <c r="IG4" s="90"/>
      <c r="IH4" s="90"/>
      <c r="II4" s="90"/>
      <c r="IJ4" s="90"/>
      <c r="IK4" s="90"/>
      <c r="IL4" s="90"/>
      <c r="IM4" s="90"/>
      <c r="IN4" s="90"/>
      <c r="IO4" s="90"/>
      <c r="IP4" s="90"/>
      <c r="IQ4" s="90"/>
      <c r="IR4" s="90"/>
      <c r="IS4" s="90"/>
      <c r="IT4" s="90"/>
      <c r="IU4" s="90"/>
    </row>
    <row r="5" spans="1:255" ht="252" customHeight="1" x14ac:dyDescent="0.35">
      <c r="B5" s="62">
        <v>2</v>
      </c>
      <c r="C5" s="95" t="s">
        <v>82</v>
      </c>
      <c r="D5" s="96"/>
      <c r="E5" s="63"/>
      <c r="F5" s="37">
        <v>200</v>
      </c>
      <c r="G5" s="64">
        <v>30.99</v>
      </c>
      <c r="H5" s="25" t="s">
        <v>69</v>
      </c>
      <c r="I5" s="65" t="s">
        <v>83</v>
      </c>
      <c r="J5" s="66">
        <f>F5*G5</f>
        <v>6198</v>
      </c>
      <c r="K5" s="67">
        <v>32.99</v>
      </c>
      <c r="L5" s="68">
        <f>T5/(J5/1.18)</f>
        <v>0.2948929090029041</v>
      </c>
      <c r="M5" s="69" t="s">
        <v>78</v>
      </c>
      <c r="N5" s="70"/>
      <c r="O5" s="70" t="s">
        <v>79</v>
      </c>
      <c r="P5" s="70"/>
      <c r="Q5" s="71">
        <f>(20*150+22.5*50)/200</f>
        <v>20.625</v>
      </c>
      <c r="R5" s="43">
        <v>37.549999999999997</v>
      </c>
      <c r="S5" s="72">
        <f t="shared" ref="S5" si="9">Q5*R5/100</f>
        <v>7.7446874999999986</v>
      </c>
      <c r="T5" s="73">
        <f t="shared" ref="T5" si="10">S5*V5</f>
        <v>1548.9374999999998</v>
      </c>
      <c r="U5" s="74">
        <f t="shared" ref="U5" si="11">Q5+S5</f>
        <v>28.369687499999998</v>
      </c>
      <c r="V5" s="43">
        <f>F5</f>
        <v>200</v>
      </c>
      <c r="W5" s="29">
        <f>Q5*3</f>
        <v>61.875</v>
      </c>
      <c r="X5" s="75">
        <v>170</v>
      </c>
      <c r="Y5" s="76">
        <f t="shared" ref="Y5" si="12">V5*U5+W5+X5</f>
        <v>5905.8125</v>
      </c>
      <c r="Z5" s="77"/>
      <c r="AA5" s="78">
        <v>0</v>
      </c>
      <c r="AB5" s="79">
        <v>1</v>
      </c>
      <c r="AC5" s="79">
        <v>1</v>
      </c>
      <c r="AD5" s="79">
        <v>1</v>
      </c>
      <c r="AE5" s="80">
        <f t="shared" ref="AE5" si="13">AA5</f>
        <v>0</v>
      </c>
      <c r="AF5" s="81">
        <f>V5/50*2.85</f>
        <v>11.4</v>
      </c>
      <c r="AG5" s="82">
        <f>1.5%*(Y5+AE5+AF5)</f>
        <v>88.758187499999991</v>
      </c>
      <c r="AH5" s="44">
        <f t="shared" ref="AH5" si="14">Y5+AE5+AG5+AF5</f>
        <v>6005.9706874999993</v>
      </c>
      <c r="AI5" s="83">
        <f t="shared" ref="AI5" si="15">AH5/V5</f>
        <v>30.029853437499995</v>
      </c>
      <c r="AJ5" s="84">
        <f t="shared" ref="AJ5" si="16">AI5*18%</f>
        <v>5.4053736187499988</v>
      </c>
      <c r="AK5" s="85">
        <f t="shared" ref="AK5" si="17">AI5+AJ5</f>
        <v>35.435227056249992</v>
      </c>
      <c r="AL5" s="86"/>
      <c r="AM5" s="86"/>
      <c r="AN5" s="86"/>
      <c r="AO5" s="86"/>
      <c r="AP5" s="87"/>
      <c r="AQ5" s="88"/>
      <c r="AR5" s="89"/>
      <c r="AS5" s="89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90"/>
      <c r="DU5" s="90"/>
      <c r="DV5" s="90"/>
      <c r="DW5" s="90"/>
      <c r="DX5" s="90"/>
      <c r="DY5" s="90"/>
      <c r="DZ5" s="90"/>
      <c r="EA5" s="90"/>
      <c r="EB5" s="90"/>
      <c r="EC5" s="90"/>
      <c r="ED5" s="90"/>
      <c r="EE5" s="90"/>
      <c r="EF5" s="90"/>
      <c r="EG5" s="90"/>
      <c r="EH5" s="90"/>
      <c r="EI5" s="90"/>
      <c r="EJ5" s="90"/>
      <c r="EK5" s="90"/>
      <c r="EL5" s="90"/>
      <c r="EM5" s="90"/>
      <c r="EN5" s="90"/>
      <c r="EO5" s="90"/>
      <c r="EP5" s="90"/>
      <c r="EQ5" s="90"/>
      <c r="ER5" s="90"/>
      <c r="ES5" s="90"/>
      <c r="ET5" s="90"/>
      <c r="EU5" s="90"/>
      <c r="EV5" s="90"/>
      <c r="EW5" s="90"/>
      <c r="EX5" s="90"/>
      <c r="EY5" s="90"/>
      <c r="EZ5" s="90"/>
      <c r="FA5" s="90"/>
      <c r="FB5" s="90"/>
      <c r="FC5" s="90"/>
      <c r="FD5" s="90"/>
      <c r="FE5" s="90"/>
      <c r="FF5" s="90"/>
      <c r="FG5" s="90"/>
      <c r="FH5" s="90"/>
      <c r="FI5" s="90"/>
      <c r="FJ5" s="90"/>
      <c r="FK5" s="90"/>
      <c r="FL5" s="90"/>
      <c r="FM5" s="90"/>
      <c r="FN5" s="90"/>
      <c r="FO5" s="90"/>
      <c r="FP5" s="90"/>
      <c r="FQ5" s="90"/>
      <c r="FR5" s="90"/>
      <c r="FS5" s="90"/>
      <c r="FT5" s="90"/>
      <c r="FU5" s="90"/>
      <c r="FV5" s="90"/>
      <c r="FW5" s="90"/>
      <c r="FX5" s="90"/>
      <c r="FY5" s="90"/>
      <c r="FZ5" s="90"/>
      <c r="GA5" s="90"/>
      <c r="GB5" s="90"/>
      <c r="GC5" s="90"/>
      <c r="GD5" s="90"/>
      <c r="GE5" s="90"/>
      <c r="GF5" s="90"/>
      <c r="GG5" s="90"/>
      <c r="GH5" s="90"/>
      <c r="GI5" s="90"/>
      <c r="GJ5" s="90"/>
      <c r="GK5" s="90"/>
      <c r="GL5" s="90"/>
      <c r="GM5" s="90"/>
      <c r="GN5" s="90"/>
      <c r="GO5" s="90"/>
      <c r="GP5" s="90"/>
      <c r="GQ5" s="90"/>
      <c r="GR5" s="90"/>
      <c r="GS5" s="90"/>
      <c r="GT5" s="90"/>
      <c r="GU5" s="90"/>
      <c r="GV5" s="90"/>
      <c r="GW5" s="90"/>
      <c r="GX5" s="90"/>
      <c r="GY5" s="90"/>
      <c r="GZ5" s="90"/>
      <c r="HA5" s="90"/>
      <c r="HB5" s="90"/>
      <c r="HC5" s="90"/>
      <c r="HD5" s="90"/>
      <c r="HE5" s="90"/>
      <c r="HF5" s="90"/>
      <c r="HG5" s="90"/>
      <c r="HH5" s="90"/>
      <c r="HI5" s="90"/>
      <c r="HJ5" s="90"/>
      <c r="HK5" s="90"/>
      <c r="HL5" s="90"/>
      <c r="HM5" s="90"/>
      <c r="HN5" s="90"/>
      <c r="HO5" s="90"/>
      <c r="HP5" s="90"/>
      <c r="HQ5" s="90"/>
      <c r="HR5" s="90"/>
      <c r="HS5" s="90"/>
      <c r="HT5" s="90"/>
      <c r="HU5" s="90"/>
      <c r="HV5" s="90"/>
      <c r="HW5" s="90"/>
      <c r="HX5" s="90"/>
      <c r="HY5" s="90"/>
      <c r="HZ5" s="90"/>
      <c r="IA5" s="90"/>
      <c r="IB5" s="90"/>
      <c r="IC5" s="90"/>
      <c r="ID5" s="90"/>
      <c r="IE5" s="90"/>
      <c r="IF5" s="90"/>
      <c r="IG5" s="90"/>
      <c r="IH5" s="90"/>
      <c r="II5" s="90"/>
      <c r="IJ5" s="90"/>
      <c r="IK5" s="90"/>
      <c r="IL5" s="90"/>
      <c r="IM5" s="90"/>
      <c r="IN5" s="90"/>
      <c r="IO5" s="90"/>
      <c r="IP5" s="90"/>
      <c r="IQ5" s="90"/>
      <c r="IR5" s="90"/>
      <c r="IS5" s="90"/>
      <c r="IT5" s="90"/>
      <c r="IU5" s="90"/>
    </row>
    <row r="7" spans="1:255" ht="26.25" customHeight="1" thickBot="1" x14ac:dyDescent="0.3">
      <c r="A7" s="1"/>
      <c r="B7" s="91" t="s">
        <v>75</v>
      </c>
      <c r="C7" s="91"/>
      <c r="D7" s="91"/>
      <c r="E7" s="91"/>
      <c r="F7" s="91"/>
      <c r="G7" s="91"/>
      <c r="H7" s="91"/>
      <c r="I7" s="91"/>
      <c r="J7" s="91"/>
      <c r="K7" s="2"/>
      <c r="L7" s="3"/>
      <c r="M7" s="3"/>
      <c r="N7" s="3"/>
      <c r="O7" s="4"/>
      <c r="P7" s="3"/>
      <c r="Q7" s="3"/>
      <c r="R7" s="3"/>
      <c r="S7" s="3"/>
      <c r="T7" s="3"/>
      <c r="U7" s="3"/>
      <c r="V7" s="5"/>
      <c r="W7" s="3"/>
      <c r="X7" s="3"/>
      <c r="Y7" s="3"/>
      <c r="Z7" s="6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255" ht="47.25" x14ac:dyDescent="0.25">
      <c r="A8" s="1"/>
      <c r="B8" s="7" t="s">
        <v>0</v>
      </c>
      <c r="C8" s="7" t="s">
        <v>1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6</v>
      </c>
      <c r="I8" s="7" t="s">
        <v>7</v>
      </c>
      <c r="J8" s="7" t="s">
        <v>8</v>
      </c>
      <c r="K8" s="8"/>
      <c r="M8" s="9" t="s">
        <v>9</v>
      </c>
      <c r="N8" s="9" t="s">
        <v>10</v>
      </c>
      <c r="O8" s="9" t="s">
        <v>11</v>
      </c>
      <c r="P8" s="10" t="s">
        <v>12</v>
      </c>
      <c r="Q8" s="11" t="s">
        <v>13</v>
      </c>
      <c r="R8" s="12" t="s">
        <v>14</v>
      </c>
      <c r="S8" s="12" t="s">
        <v>15</v>
      </c>
      <c r="T8" s="13" t="s">
        <v>16</v>
      </c>
      <c r="U8" s="12" t="s">
        <v>17</v>
      </c>
      <c r="V8" s="12" t="s">
        <v>18</v>
      </c>
      <c r="W8" s="14" t="s">
        <v>19</v>
      </c>
      <c r="X8" s="15" t="s">
        <v>20</v>
      </c>
      <c r="Y8" s="10" t="s">
        <v>21</v>
      </c>
      <c r="Z8" s="16" t="s">
        <v>22</v>
      </c>
      <c r="AA8" s="17" t="s">
        <v>23</v>
      </c>
      <c r="AB8" s="17" t="s">
        <v>24</v>
      </c>
      <c r="AC8" s="17" t="s">
        <v>25</v>
      </c>
      <c r="AD8" s="17" t="s">
        <v>26</v>
      </c>
      <c r="AE8" s="18" t="s">
        <v>27</v>
      </c>
      <c r="AF8" s="15" t="s">
        <v>28</v>
      </c>
      <c r="AG8" s="15" t="s">
        <v>29</v>
      </c>
      <c r="AH8" s="19" t="s">
        <v>17</v>
      </c>
      <c r="AI8" s="20" t="s">
        <v>30</v>
      </c>
      <c r="AJ8" s="20" t="s">
        <v>31</v>
      </c>
      <c r="AK8" s="21" t="s">
        <v>32</v>
      </c>
      <c r="AL8" s="22"/>
      <c r="AM8" s="22"/>
      <c r="AN8" s="22"/>
      <c r="AO8" s="22"/>
      <c r="AP8" s="22"/>
      <c r="AQ8" s="22"/>
      <c r="AR8" s="23"/>
      <c r="AS8" s="24"/>
      <c r="AT8" s="24"/>
    </row>
    <row r="9" spans="1:255" s="40" customFormat="1" ht="237.75" customHeight="1" x14ac:dyDescent="0.3">
      <c r="A9" s="35"/>
      <c r="B9" s="36">
        <v>1</v>
      </c>
      <c r="C9" s="58" t="s">
        <v>72</v>
      </c>
      <c r="D9" s="58" t="s">
        <v>49</v>
      </c>
      <c r="E9" s="59" t="s">
        <v>42</v>
      </c>
      <c r="F9" s="37">
        <v>200</v>
      </c>
      <c r="G9" s="38">
        <v>25.55</v>
      </c>
      <c r="H9" s="61" t="s">
        <v>69</v>
      </c>
      <c r="I9" s="56" t="s">
        <v>73</v>
      </c>
      <c r="J9" s="38">
        <f>F9*G9</f>
        <v>5110</v>
      </c>
      <c r="K9" s="39"/>
      <c r="L9" s="57">
        <f>T9/J9</f>
        <v>0.2459060665362035</v>
      </c>
      <c r="M9" s="49" t="s">
        <v>50</v>
      </c>
      <c r="N9" s="49" t="s">
        <v>71</v>
      </c>
      <c r="O9" s="49" t="s">
        <v>74</v>
      </c>
      <c r="P9" s="50"/>
      <c r="Q9" s="41">
        <v>16.11</v>
      </c>
      <c r="R9" s="26">
        <v>39</v>
      </c>
      <c r="S9" s="27">
        <f t="shared" ref="S9" si="18">Q9*R9/100</f>
        <v>6.2828999999999997</v>
      </c>
      <c r="T9" s="42">
        <f>S9*V9</f>
        <v>1256.58</v>
      </c>
      <c r="U9" s="28">
        <f t="shared" ref="U9" si="19">Q9+S9</f>
        <v>22.392899999999997</v>
      </c>
      <c r="V9" s="43">
        <f t="shared" ref="V9" si="20">F9</f>
        <v>200</v>
      </c>
      <c r="W9" s="29">
        <f>Q9*5</f>
        <v>80.55</v>
      </c>
      <c r="X9" s="44">
        <f>15+35+35+70</f>
        <v>155</v>
      </c>
      <c r="Y9" s="45">
        <f>V9*U9+W9+X9</f>
        <v>4714.13</v>
      </c>
      <c r="Z9" s="46" t="s">
        <v>67</v>
      </c>
      <c r="AA9" s="30">
        <v>260</v>
      </c>
      <c r="AB9" s="31">
        <v>1</v>
      </c>
      <c r="AC9" s="31">
        <v>1</v>
      </c>
      <c r="AD9" s="31">
        <v>1</v>
      </c>
      <c r="AE9" s="47">
        <f t="shared" ref="AE9" si="21">AA9*AB9*AC9*AD9</f>
        <v>260</v>
      </c>
      <c r="AF9" s="32">
        <v>4.8499999999999996</v>
      </c>
      <c r="AG9" s="48">
        <f>2.5%*(Y9+AE9+AF9)</f>
        <v>124.47450000000002</v>
      </c>
      <c r="AH9" s="47">
        <f>Y9+AE9+AG9+AF9</f>
        <v>5103.4545000000007</v>
      </c>
      <c r="AI9" s="51">
        <f>AH9/V9</f>
        <v>25.517272500000004</v>
      </c>
      <c r="AJ9" s="52">
        <f t="shared" ref="AJ9" si="22">AI9*18%</f>
        <v>4.5931090500000007</v>
      </c>
      <c r="AK9" s="53">
        <f t="shared" ref="AK9" si="23">AI9+AJ9</f>
        <v>30.110381550000007</v>
      </c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</row>
    <row r="11" spans="1:255" ht="26.25" customHeight="1" thickBot="1" x14ac:dyDescent="0.3">
      <c r="A11" s="1"/>
      <c r="B11" s="91" t="s">
        <v>70</v>
      </c>
      <c r="C11" s="91"/>
      <c r="D11" s="91"/>
      <c r="E11" s="91"/>
      <c r="F11" s="91"/>
      <c r="G11" s="91"/>
      <c r="H11" s="91"/>
      <c r="I11" s="91"/>
      <c r="J11" s="91"/>
      <c r="K11" s="2"/>
      <c r="L11" s="3"/>
      <c r="M11" s="3"/>
      <c r="N11" s="3"/>
      <c r="O11" s="4"/>
      <c r="P11" s="3"/>
      <c r="Q11" s="3"/>
      <c r="R11" s="3"/>
      <c r="S11" s="3"/>
      <c r="T11" s="3"/>
      <c r="U11" s="3"/>
      <c r="V11" s="5"/>
      <c r="W11" s="3"/>
      <c r="X11" s="3"/>
      <c r="Y11" s="3"/>
      <c r="Z11" s="6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255" ht="47.25" x14ac:dyDescent="0.25">
      <c r="A12" s="1"/>
      <c r="B12" s="7" t="s">
        <v>0</v>
      </c>
      <c r="C12" s="7" t="s">
        <v>1</v>
      </c>
      <c r="D12" s="7" t="s">
        <v>2</v>
      </c>
      <c r="E12" s="7" t="s">
        <v>3</v>
      </c>
      <c r="F12" s="7" t="s">
        <v>4</v>
      </c>
      <c r="G12" s="7" t="s">
        <v>5</v>
      </c>
      <c r="H12" s="7" t="s">
        <v>6</v>
      </c>
      <c r="I12" s="7" t="s">
        <v>7</v>
      </c>
      <c r="J12" s="7" t="s">
        <v>8</v>
      </c>
      <c r="K12" s="8"/>
      <c r="M12" s="9" t="s">
        <v>9</v>
      </c>
      <c r="N12" s="9" t="s">
        <v>10</v>
      </c>
      <c r="O12" s="9" t="s">
        <v>11</v>
      </c>
      <c r="P12" s="10" t="s">
        <v>12</v>
      </c>
      <c r="Q12" s="11" t="s">
        <v>13</v>
      </c>
      <c r="R12" s="12" t="s">
        <v>14</v>
      </c>
      <c r="S12" s="12" t="s">
        <v>15</v>
      </c>
      <c r="T12" s="13" t="s">
        <v>16</v>
      </c>
      <c r="U12" s="12" t="s">
        <v>17</v>
      </c>
      <c r="V12" s="12" t="s">
        <v>18</v>
      </c>
      <c r="W12" s="14" t="s">
        <v>19</v>
      </c>
      <c r="X12" s="15" t="s">
        <v>20</v>
      </c>
      <c r="Y12" s="10" t="s">
        <v>21</v>
      </c>
      <c r="Z12" s="16" t="s">
        <v>22</v>
      </c>
      <c r="AA12" s="17" t="s">
        <v>23</v>
      </c>
      <c r="AB12" s="17" t="s">
        <v>24</v>
      </c>
      <c r="AC12" s="17" t="s">
        <v>25</v>
      </c>
      <c r="AD12" s="17" t="s">
        <v>26</v>
      </c>
      <c r="AE12" s="18" t="s">
        <v>27</v>
      </c>
      <c r="AF12" s="15" t="s">
        <v>28</v>
      </c>
      <c r="AG12" s="15" t="s">
        <v>29</v>
      </c>
      <c r="AH12" s="19" t="s">
        <v>17</v>
      </c>
      <c r="AI12" s="20" t="s">
        <v>30</v>
      </c>
      <c r="AJ12" s="20" t="s">
        <v>31</v>
      </c>
      <c r="AK12" s="21" t="s">
        <v>32</v>
      </c>
      <c r="AL12" s="22"/>
      <c r="AM12" s="22"/>
      <c r="AN12" s="22"/>
      <c r="AO12" s="22"/>
      <c r="AP12" s="22"/>
      <c r="AQ12" s="22"/>
      <c r="AR12" s="23"/>
      <c r="AS12" s="24"/>
      <c r="AT12" s="24"/>
    </row>
    <row r="13" spans="1:255" s="40" customFormat="1" ht="190.5" customHeight="1" x14ac:dyDescent="0.3">
      <c r="A13" s="35"/>
      <c r="B13" s="36">
        <v>1</v>
      </c>
      <c r="C13" s="58" t="s">
        <v>51</v>
      </c>
      <c r="D13" s="58" t="s">
        <v>57</v>
      </c>
      <c r="E13" s="59" t="s">
        <v>42</v>
      </c>
      <c r="F13" s="37">
        <v>200</v>
      </c>
      <c r="G13" s="38">
        <v>3.9</v>
      </c>
      <c r="H13" s="25" t="s">
        <v>39</v>
      </c>
      <c r="I13" s="56" t="s">
        <v>61</v>
      </c>
      <c r="J13" s="38">
        <f>F13*G13</f>
        <v>780</v>
      </c>
      <c r="K13" s="39"/>
      <c r="L13" s="57">
        <f>T13/J13</f>
        <v>0.32307692307692309</v>
      </c>
      <c r="M13" s="49" t="s">
        <v>60</v>
      </c>
      <c r="N13" s="49"/>
      <c r="O13" s="49" t="s">
        <v>62</v>
      </c>
      <c r="P13" s="50"/>
      <c r="Q13" s="41">
        <v>1.8</v>
      </c>
      <c r="R13" s="26">
        <v>70</v>
      </c>
      <c r="S13" s="27">
        <f t="shared" ref="S13:S15" si="24">Q13*R13/100</f>
        <v>1.26</v>
      </c>
      <c r="T13" s="42">
        <f t="shared" ref="T13:T15" si="25">S13*V13</f>
        <v>252</v>
      </c>
      <c r="U13" s="28">
        <f t="shared" ref="U13" si="26">Q13+S13</f>
        <v>3.06</v>
      </c>
      <c r="V13" s="43">
        <f t="shared" ref="V13:V15" si="27">F13</f>
        <v>200</v>
      </c>
      <c r="W13" s="29">
        <f>Q13*5+10</f>
        <v>19</v>
      </c>
      <c r="X13" s="44">
        <f>15+30+50</f>
        <v>95</v>
      </c>
      <c r="Y13" s="45">
        <f t="shared" ref="Y13:Y15" si="28">V13*U13+W13+X13</f>
        <v>726</v>
      </c>
      <c r="Z13" s="46" t="s">
        <v>68</v>
      </c>
      <c r="AA13" s="60">
        <v>0</v>
      </c>
      <c r="AB13" s="31">
        <v>1</v>
      </c>
      <c r="AC13" s="31">
        <v>1</v>
      </c>
      <c r="AD13" s="31">
        <v>1</v>
      </c>
      <c r="AE13" s="47">
        <f t="shared" ref="AE13:AE15" si="29">AA13*AB13*AC13*AD13</f>
        <v>0</v>
      </c>
      <c r="AF13" s="32">
        <v>3.85</v>
      </c>
      <c r="AG13" s="48">
        <f>2.5%*(Y13+AE13+AF13)</f>
        <v>18.24625</v>
      </c>
      <c r="AH13" s="47">
        <f>Y13+AE13+AG13+AF13</f>
        <v>748.09625000000005</v>
      </c>
      <c r="AI13" s="51">
        <f>AH13/V13</f>
        <v>3.7404812500000002</v>
      </c>
      <c r="AJ13" s="52">
        <f t="shared" ref="AJ13:AJ15" si="30">AI13*18%</f>
        <v>0.67328662500000003</v>
      </c>
      <c r="AK13" s="53">
        <f t="shared" ref="AK13:AK15" si="31">AI13+AJ13</f>
        <v>4.4137678750000005</v>
      </c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</row>
    <row r="14" spans="1:255" s="40" customFormat="1" ht="190.5" customHeight="1" x14ac:dyDescent="0.3">
      <c r="A14" s="35"/>
      <c r="B14" s="36">
        <v>2</v>
      </c>
      <c r="C14" s="93" t="s">
        <v>58</v>
      </c>
      <c r="D14" s="94"/>
      <c r="E14" s="59" t="s">
        <v>42</v>
      </c>
      <c r="F14" s="37">
        <v>200</v>
      </c>
      <c r="G14" s="38">
        <v>5.99</v>
      </c>
      <c r="H14" s="25" t="s">
        <v>39</v>
      </c>
      <c r="I14" s="56" t="s">
        <v>59</v>
      </c>
      <c r="J14" s="38">
        <f>F14*G14</f>
        <v>1198</v>
      </c>
      <c r="K14" s="39"/>
      <c r="L14" s="57">
        <f>T14/J14</f>
        <v>0.30300500834724542</v>
      </c>
      <c r="M14" s="49" t="s">
        <v>60</v>
      </c>
      <c r="N14" s="49"/>
      <c r="O14" s="49" t="s">
        <v>63</v>
      </c>
      <c r="P14" s="50"/>
      <c r="Q14" s="41">
        <v>3.3</v>
      </c>
      <c r="R14" s="26">
        <v>55</v>
      </c>
      <c r="S14" s="27">
        <f t="shared" si="24"/>
        <v>1.8149999999999999</v>
      </c>
      <c r="T14" s="42">
        <f t="shared" si="25"/>
        <v>363</v>
      </c>
      <c r="U14" s="28">
        <f>Q14+S14</f>
        <v>5.1150000000000002</v>
      </c>
      <c r="V14" s="43">
        <f t="shared" si="27"/>
        <v>200</v>
      </c>
      <c r="W14" s="29">
        <f>Q14*5+10</f>
        <v>26.5</v>
      </c>
      <c r="X14" s="44">
        <f>15+30+50</f>
        <v>95</v>
      </c>
      <c r="Y14" s="45">
        <f t="shared" si="28"/>
        <v>1144.5</v>
      </c>
      <c r="Z14" s="46" t="s">
        <v>68</v>
      </c>
      <c r="AA14" s="60">
        <v>0</v>
      </c>
      <c r="AB14" s="31">
        <v>1</v>
      </c>
      <c r="AC14" s="31">
        <v>1</v>
      </c>
      <c r="AD14" s="31">
        <v>1</v>
      </c>
      <c r="AE14" s="47">
        <f t="shared" si="29"/>
        <v>0</v>
      </c>
      <c r="AF14" s="32">
        <v>3.85</v>
      </c>
      <c r="AG14" s="48">
        <f>2.5%*(Y14+AE14+AF14)</f>
        <v>28.708749999999998</v>
      </c>
      <c r="AH14" s="47">
        <f>Y14+AE14+AG14+AF14</f>
        <v>1177.0587499999999</v>
      </c>
      <c r="AI14" s="51">
        <f>AH14/V14</f>
        <v>5.8852937499999998</v>
      </c>
      <c r="AJ14" s="52">
        <f t="shared" si="30"/>
        <v>1.0593528749999999</v>
      </c>
      <c r="AK14" s="53">
        <f t="shared" si="31"/>
        <v>6.9446466249999999</v>
      </c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</row>
    <row r="15" spans="1:255" s="40" customFormat="1" ht="190.5" customHeight="1" x14ac:dyDescent="0.3">
      <c r="A15" s="35"/>
      <c r="B15" s="36">
        <v>3</v>
      </c>
      <c r="C15" s="58" t="s">
        <v>51</v>
      </c>
      <c r="D15" s="58" t="s">
        <v>52</v>
      </c>
      <c r="E15" s="59" t="s">
        <v>42</v>
      </c>
      <c r="F15" s="37">
        <v>200</v>
      </c>
      <c r="G15" s="38">
        <v>6.99</v>
      </c>
      <c r="H15" s="25" t="s">
        <v>39</v>
      </c>
      <c r="I15" s="56" t="s">
        <v>65</v>
      </c>
      <c r="J15" s="38">
        <f>F15*G15</f>
        <v>1398</v>
      </c>
      <c r="K15" s="39"/>
      <c r="L15" s="57">
        <f>T15/J15</f>
        <v>0.29184549356223177</v>
      </c>
      <c r="M15" s="49" t="s">
        <v>55</v>
      </c>
      <c r="N15" s="49" t="s">
        <v>54</v>
      </c>
      <c r="O15" s="49" t="s">
        <v>53</v>
      </c>
      <c r="P15" s="50"/>
      <c r="Q15" s="41">
        <v>3</v>
      </c>
      <c r="R15" s="26">
        <v>68</v>
      </c>
      <c r="S15" s="27">
        <f t="shared" si="24"/>
        <v>2.04</v>
      </c>
      <c r="T15" s="42">
        <f t="shared" si="25"/>
        <v>408</v>
      </c>
      <c r="U15" s="28">
        <f t="shared" ref="U15" si="32">Q15+S15</f>
        <v>5.04</v>
      </c>
      <c r="V15" s="43">
        <f t="shared" si="27"/>
        <v>200</v>
      </c>
      <c r="W15" s="29">
        <f>Q15*5</f>
        <v>15</v>
      </c>
      <c r="X15" s="44">
        <f>15+60+35+70</f>
        <v>180</v>
      </c>
      <c r="Y15" s="45">
        <f t="shared" si="28"/>
        <v>1203</v>
      </c>
      <c r="Z15" s="46" t="s">
        <v>67</v>
      </c>
      <c r="AA15" s="30">
        <v>160</v>
      </c>
      <c r="AB15" s="31">
        <v>1</v>
      </c>
      <c r="AC15" s="31">
        <v>1</v>
      </c>
      <c r="AD15" s="31">
        <v>1</v>
      </c>
      <c r="AE15" s="47">
        <f t="shared" si="29"/>
        <v>160</v>
      </c>
      <c r="AF15" s="32">
        <v>4.8499999999999996</v>
      </c>
      <c r="AG15" s="48">
        <f>2.5%*(Y15+AE15+AF15)</f>
        <v>34.196249999999999</v>
      </c>
      <c r="AH15" s="47">
        <f>Y15+AE15+AG15+AF15</f>
        <v>1402.0462499999999</v>
      </c>
      <c r="AI15" s="51">
        <f>AH15/V15</f>
        <v>7.0102312499999995</v>
      </c>
      <c r="AJ15" s="52">
        <f t="shared" si="30"/>
        <v>1.261841625</v>
      </c>
      <c r="AK15" s="53">
        <f t="shared" si="31"/>
        <v>8.2720728749999992</v>
      </c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</row>
    <row r="16" spans="1:255" s="40" customFormat="1" ht="237.75" customHeight="1" x14ac:dyDescent="0.3">
      <c r="A16" s="35"/>
      <c r="B16" s="36">
        <v>4</v>
      </c>
      <c r="C16" s="58" t="s">
        <v>48</v>
      </c>
      <c r="D16" s="58" t="s">
        <v>49</v>
      </c>
      <c r="E16" s="59" t="s">
        <v>42</v>
      </c>
      <c r="F16" s="37">
        <v>200</v>
      </c>
      <c r="G16" s="38">
        <v>11.59</v>
      </c>
      <c r="H16" s="61" t="s">
        <v>69</v>
      </c>
      <c r="I16" s="56" t="s">
        <v>64</v>
      </c>
      <c r="J16" s="38">
        <f>F16*G16</f>
        <v>2318</v>
      </c>
      <c r="K16" s="39"/>
      <c r="L16" s="57">
        <f>T16/J16</f>
        <v>0.24709232096635031</v>
      </c>
      <c r="M16" s="49" t="s">
        <v>50</v>
      </c>
      <c r="N16" s="49" t="s">
        <v>66</v>
      </c>
      <c r="O16" s="49" t="s">
        <v>56</v>
      </c>
      <c r="P16" s="50"/>
      <c r="Q16" s="41">
        <v>6.66</v>
      </c>
      <c r="R16" s="26">
        <v>43</v>
      </c>
      <c r="S16" s="27">
        <f t="shared" ref="S16" si="33">Q16*R16/100</f>
        <v>2.8637999999999999</v>
      </c>
      <c r="T16" s="42">
        <f>S16*V16</f>
        <v>572.76</v>
      </c>
      <c r="U16" s="28">
        <f t="shared" ref="U16" si="34">Q16+S16</f>
        <v>9.5237999999999996</v>
      </c>
      <c r="V16" s="43">
        <f t="shared" ref="V16" si="35">F16</f>
        <v>200</v>
      </c>
      <c r="W16" s="29">
        <f>Q16*5</f>
        <v>33.299999999999997</v>
      </c>
      <c r="X16" s="44">
        <f>15+35+35+70</f>
        <v>155</v>
      </c>
      <c r="Y16" s="45">
        <f>V16*U16+W16+X16</f>
        <v>2093.06</v>
      </c>
      <c r="Z16" s="46" t="s">
        <v>67</v>
      </c>
      <c r="AA16" s="30">
        <v>160</v>
      </c>
      <c r="AB16" s="31">
        <v>1</v>
      </c>
      <c r="AC16" s="31">
        <v>1</v>
      </c>
      <c r="AD16" s="31">
        <v>1</v>
      </c>
      <c r="AE16" s="47">
        <f t="shared" ref="AE16" si="36">AA16*AB16*AC16*AD16</f>
        <v>160</v>
      </c>
      <c r="AF16" s="32">
        <v>4.8499999999999996</v>
      </c>
      <c r="AG16" s="48">
        <f>2.5%*(Y16+AE16+AF16)</f>
        <v>56.447749999999999</v>
      </c>
      <c r="AH16" s="47">
        <f>Y16+AE16+AG16+AF16</f>
        <v>2314.3577499999997</v>
      </c>
      <c r="AI16" s="51">
        <f>AH16/V16</f>
        <v>11.571788749999998</v>
      </c>
      <c r="AJ16" s="52">
        <f t="shared" ref="AJ16" si="37">AI16*18%</f>
        <v>2.0829219749999996</v>
      </c>
      <c r="AK16" s="53">
        <f t="shared" ref="AK16" si="38">AI16+AJ16</f>
        <v>13.654710724999997</v>
      </c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</row>
  </sheetData>
  <sheetProtection selectLockedCells="1" selectUnlockedCells="1"/>
  <mergeCells count="6">
    <mergeCell ref="B11:J11"/>
    <mergeCell ref="C14:D14"/>
    <mergeCell ref="B7:J7"/>
    <mergeCell ref="B2:J2"/>
    <mergeCell ref="C5:D5"/>
    <mergeCell ref="C4:D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MAYO</vt:lpstr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2025-05-30T18:19:36Z</dcterms:created>
  <dcterms:modified xsi:type="dcterms:W3CDTF">2026-06-04T17:28:33Z</dcterms:modified>
  <cp:category/>
  <cp:contentStatus/>
</cp:coreProperties>
</file>