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Nueva carpeta\"/>
    </mc:Choice>
  </mc:AlternateContent>
  <xr:revisionPtr revIDLastSave="74" documentId="13_ncr:1_{F81CB5F9-01F5-44F2-8707-57FDA4346281}" xr6:coauthVersionLast="47" xr6:coauthVersionMax="47" xr10:uidLastSave="{C4E2EFA4-7A9A-4D5F-9283-038FBEE764FB}"/>
  <bookViews>
    <workbookView xWindow="-120" yWindow="-120" windowWidth="29040" windowHeight="15720" xr2:uid="{453357D9-42B8-40B0-95B1-A098777BE681}"/>
  </bookViews>
  <sheets>
    <sheet name="MAYO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10" i="1"/>
  <c r="Q9" i="1"/>
  <c r="Q8" i="1"/>
  <c r="Q7" i="1"/>
  <c r="Q6" i="1"/>
  <c r="Q5" i="1"/>
  <c r="W10" i="1"/>
  <c r="W9" i="1"/>
  <c r="W8" i="1"/>
  <c r="W7" i="1"/>
  <c r="W6" i="1"/>
  <c r="W5" i="1"/>
  <c r="W4" i="1"/>
  <c r="W19" i="1"/>
  <c r="W20" i="1"/>
  <c r="W21" i="1"/>
  <c r="W22" i="1"/>
  <c r="R23" i="1"/>
  <c r="S23" i="1"/>
  <c r="T23" i="1"/>
  <c r="V23" i="1"/>
  <c r="X23" i="1"/>
  <c r="AD23" i="1"/>
  <c r="AF23" i="1"/>
  <c r="AG23" i="1"/>
  <c r="AH23" i="1"/>
  <c r="AI23" i="1"/>
  <c r="AJ23" i="1"/>
  <c r="AK23" i="1"/>
  <c r="AL23" i="1"/>
  <c r="AM23" i="1"/>
  <c r="AN23" i="1"/>
  <c r="AO23" i="1"/>
  <c r="AP23" i="1"/>
  <c r="AQ23" i="1"/>
  <c r="AS23" i="1"/>
  <c r="AT23" i="1"/>
  <c r="R24" i="1"/>
  <c r="S24" i="1"/>
  <c r="T24" i="1"/>
  <c r="V24" i="1"/>
  <c r="X24" i="1"/>
  <c r="AD24" i="1"/>
  <c r="AF24" i="1"/>
  <c r="AG24" i="1"/>
  <c r="AH24" i="1"/>
  <c r="AI24" i="1"/>
  <c r="AJ24" i="1"/>
  <c r="AK24" i="1"/>
  <c r="AL24" i="1"/>
  <c r="AM24" i="1"/>
  <c r="AN24" i="1"/>
  <c r="AO24" i="1"/>
  <c r="AP24" i="1"/>
  <c r="AQ24" i="1"/>
  <c r="AS24" i="1"/>
  <c r="AT24" i="1"/>
  <c r="AE10" i="1"/>
  <c r="V10" i="1"/>
  <c r="S9" i="1"/>
  <c r="AE9" i="1"/>
  <c r="V9" i="1"/>
  <c r="S8" i="1"/>
  <c r="AE8" i="1"/>
  <c r="V8" i="1"/>
  <c r="AE7" i="1"/>
  <c r="V7" i="1"/>
  <c r="S7" i="1"/>
  <c r="S6" i="1"/>
  <c r="AE6" i="1"/>
  <c r="V6" i="1"/>
  <c r="S5" i="1"/>
  <c r="AE5" i="1"/>
  <c r="V5" i="1"/>
  <c r="S4" i="1"/>
  <c r="AE4" i="1"/>
  <c r="V4" i="1"/>
  <c r="X22" i="1"/>
  <c r="S10" i="1" l="1"/>
  <c r="T10" i="1" s="1"/>
  <c r="T9" i="1"/>
  <c r="AR9" i="1"/>
  <c r="U9" i="1"/>
  <c r="T8" i="1"/>
  <c r="AR8" i="1"/>
  <c r="U8" i="1"/>
  <c r="T7" i="1"/>
  <c r="AR7" i="1"/>
  <c r="U7" i="1"/>
  <c r="T6" i="1"/>
  <c r="U6" i="1"/>
  <c r="AR6" i="1"/>
  <c r="T5" i="1"/>
  <c r="U5" i="1"/>
  <c r="AR5" i="1"/>
  <c r="T4" i="1"/>
  <c r="U4" i="1"/>
  <c r="AR4" i="1"/>
  <c r="AR10" i="1" l="1"/>
  <c r="U10" i="1"/>
  <c r="Y10" i="1" s="1"/>
  <c r="AG10" i="1" s="1"/>
  <c r="AH10" i="1" s="1"/>
  <c r="AI10" i="1" s="1"/>
  <c r="Y9" i="1"/>
  <c r="Y6" i="1"/>
  <c r="AG6" i="1" s="1"/>
  <c r="AH6" i="1" s="1"/>
  <c r="AI6" i="1" s="1"/>
  <c r="Y8" i="1"/>
  <c r="Y7" i="1"/>
  <c r="Y5" i="1"/>
  <c r="Y4" i="1"/>
  <c r="AJ10" i="1" l="1"/>
  <c r="AK10" i="1" s="1"/>
  <c r="J10" i="1"/>
  <c r="AG9" i="1"/>
  <c r="AH9" i="1" s="1"/>
  <c r="AI9" i="1" s="1"/>
  <c r="AG8" i="1"/>
  <c r="AH8" i="1" s="1"/>
  <c r="AI8" i="1" s="1"/>
  <c r="AG7" i="1"/>
  <c r="AH7" i="1" s="1"/>
  <c r="AI7" i="1" s="1"/>
  <c r="AJ6" i="1"/>
  <c r="AK6" i="1" s="1"/>
  <c r="J6" i="1"/>
  <c r="AG5" i="1"/>
  <c r="AH5" i="1" s="1"/>
  <c r="AI5" i="1" s="1"/>
  <c r="AG4" i="1"/>
  <c r="AH4" i="1" s="1"/>
  <c r="AI4" i="1" s="1"/>
  <c r="J4" i="1" s="1"/>
  <c r="AO10" i="1" l="1"/>
  <c r="AN10" i="1"/>
  <c r="AQ10" i="1"/>
  <c r="AP10" i="1"/>
  <c r="AJ9" i="1"/>
  <c r="AK9" i="1" s="1"/>
  <c r="J9" i="1"/>
  <c r="AJ8" i="1"/>
  <c r="AK8" i="1" s="1"/>
  <c r="J8" i="1"/>
  <c r="AJ7" i="1"/>
  <c r="AK7" i="1" s="1"/>
  <c r="J7" i="1"/>
  <c r="AO6" i="1"/>
  <c r="AP6" i="1"/>
  <c r="AN6" i="1"/>
  <c r="AQ6" i="1"/>
  <c r="AJ5" i="1"/>
  <c r="AK5" i="1" s="1"/>
  <c r="J5" i="1"/>
  <c r="J11" i="1" s="1"/>
  <c r="AJ4" i="1"/>
  <c r="AK4" i="1" s="1"/>
  <c r="AU10" i="1" l="1"/>
  <c r="AS10" i="1"/>
  <c r="AV10" i="1" s="1"/>
  <c r="AO9" i="1"/>
  <c r="AN9" i="1"/>
  <c r="AQ9" i="1"/>
  <c r="AP9" i="1"/>
  <c r="AO8" i="1"/>
  <c r="AN8" i="1"/>
  <c r="AQ8" i="1"/>
  <c r="AP8" i="1"/>
  <c r="AO7" i="1"/>
  <c r="AN7" i="1"/>
  <c r="AU7" i="1" s="1"/>
  <c r="AQ7" i="1"/>
  <c r="AP7" i="1"/>
  <c r="AS6" i="1"/>
  <c r="AV6" i="1" s="1"/>
  <c r="AU6" i="1"/>
  <c r="AO5" i="1"/>
  <c r="AN5" i="1"/>
  <c r="AP5" i="1"/>
  <c r="AQ5" i="1"/>
  <c r="AO4" i="1"/>
  <c r="AN4" i="1"/>
  <c r="AP4" i="1"/>
  <c r="AQ4" i="1"/>
  <c r="J12" i="1" l="1"/>
  <c r="J13" i="1" s="1"/>
  <c r="AU9" i="1"/>
  <c r="AS7" i="1"/>
  <c r="AV7" i="1" s="1"/>
  <c r="AS9" i="1"/>
  <c r="AV9" i="1" s="1"/>
  <c r="AS8" i="1"/>
  <c r="AV8" i="1" s="1"/>
  <c r="AU4" i="1"/>
  <c r="AU8" i="1"/>
  <c r="AU5" i="1"/>
  <c r="AS5" i="1"/>
  <c r="AV5" i="1" s="1"/>
  <c r="AS4" i="1"/>
  <c r="AV4" i="1" s="1"/>
  <c r="AE22" i="1" l="1"/>
  <c r="V22" i="1"/>
  <c r="Q21" i="1"/>
  <c r="S21" i="1" s="1"/>
  <c r="AE21" i="1"/>
  <c r="V21" i="1"/>
  <c r="Q20" i="1"/>
  <c r="AE20" i="1"/>
  <c r="V20" i="1"/>
  <c r="Q19" i="1"/>
  <c r="S19" i="1" s="1"/>
  <c r="U19" i="1" s="1"/>
  <c r="AE19" i="1"/>
  <c r="V19" i="1"/>
  <c r="AF33" i="1"/>
  <c r="AE33" i="1"/>
  <c r="V33" i="1"/>
  <c r="S33" i="1"/>
  <c r="U33" i="1" s="1"/>
  <c r="W33" i="1" s="1"/>
  <c r="AF32" i="1"/>
  <c r="AE32" i="1"/>
  <c r="V32" i="1"/>
  <c r="S32" i="1"/>
  <c r="Q38" i="1"/>
  <c r="S22" i="1" l="1"/>
  <c r="T21" i="1"/>
  <c r="AR21" i="1"/>
  <c r="U21" i="1"/>
  <c r="S20" i="1"/>
  <c r="U20" i="1" s="1"/>
  <c r="Y19" i="1"/>
  <c r="AR19" i="1"/>
  <c r="T19" i="1"/>
  <c r="Y33" i="1"/>
  <c r="AG33" i="1" s="1"/>
  <c r="AR33" i="1"/>
  <c r="T33" i="1"/>
  <c r="T32" i="1"/>
  <c r="U32" i="1"/>
  <c r="W32" i="1" s="1"/>
  <c r="AR32" i="1"/>
  <c r="AE39" i="1"/>
  <c r="V39" i="1"/>
  <c r="Q39" i="1"/>
  <c r="S39" i="1" s="1"/>
  <c r="AE41" i="1"/>
  <c r="V41" i="1"/>
  <c r="S41" i="1"/>
  <c r="Y21" i="1" l="1"/>
  <c r="AG21" i="1" s="1"/>
  <c r="AH21" i="1" s="1"/>
  <c r="AI21" i="1" s="1"/>
  <c r="AR22" i="1"/>
  <c r="T22" i="1"/>
  <c r="U22" i="1"/>
  <c r="Y20" i="1"/>
  <c r="AR20" i="1"/>
  <c r="T20" i="1"/>
  <c r="AG19" i="1"/>
  <c r="AH19" i="1" s="1"/>
  <c r="AI19" i="1" s="1"/>
  <c r="Y32" i="1"/>
  <c r="AG32" i="1" s="1"/>
  <c r="AH32" i="1" s="1"/>
  <c r="AI32" i="1" s="1"/>
  <c r="G32" i="1" s="1"/>
  <c r="J32" i="1" s="1"/>
  <c r="AH33" i="1"/>
  <c r="AI33" i="1" s="1"/>
  <c r="AJ33" i="1" s="1"/>
  <c r="AK33" i="1" s="1"/>
  <c r="T39" i="1"/>
  <c r="AR39" i="1"/>
  <c r="U39" i="1"/>
  <c r="W39" i="1" s="1"/>
  <c r="T41" i="1"/>
  <c r="U41" i="1"/>
  <c r="G33" i="1" l="1"/>
  <c r="J33" i="1" s="1"/>
  <c r="Y22" i="1"/>
  <c r="AJ21" i="1"/>
  <c r="AK21" i="1" s="1"/>
  <c r="J21" i="1"/>
  <c r="AG20" i="1"/>
  <c r="AH20" i="1" s="1"/>
  <c r="AI20" i="1" s="1"/>
  <c r="AJ19" i="1"/>
  <c r="AK19" i="1" s="1"/>
  <c r="J19" i="1"/>
  <c r="AO33" i="1"/>
  <c r="AN33" i="1"/>
  <c r="AQ33" i="1"/>
  <c r="AP33" i="1"/>
  <c r="AJ32" i="1"/>
  <c r="AK32" i="1" s="1"/>
  <c r="W41" i="1"/>
  <c r="Y41" i="1" s="1"/>
  <c r="AG41" i="1" s="1"/>
  <c r="Y39" i="1"/>
  <c r="AG39" i="1" s="1"/>
  <c r="AG22" i="1" l="1"/>
  <c r="AH22" i="1" s="1"/>
  <c r="AI22" i="1" s="1"/>
  <c r="AO21" i="1"/>
  <c r="AN21" i="1"/>
  <c r="AQ21" i="1"/>
  <c r="AP21" i="1"/>
  <c r="AJ20" i="1"/>
  <c r="AK20" i="1" s="1"/>
  <c r="J20" i="1"/>
  <c r="AO19" i="1"/>
  <c r="AN19" i="1"/>
  <c r="AP19" i="1"/>
  <c r="AQ19" i="1"/>
  <c r="AU33" i="1"/>
  <c r="AS33" i="1"/>
  <c r="AV33" i="1" s="1"/>
  <c r="AO32" i="1"/>
  <c r="AN32" i="1"/>
  <c r="AQ32" i="1"/>
  <c r="AP32" i="1"/>
  <c r="AH41" i="1"/>
  <c r="AI41" i="1" s="1"/>
  <c r="J41" i="1" s="1"/>
  <c r="AH39" i="1"/>
  <c r="AI39" i="1" s="1"/>
  <c r="AJ22" i="1" l="1"/>
  <c r="AK22" i="1" s="1"/>
  <c r="J22" i="1"/>
  <c r="J25" i="1" s="1"/>
  <c r="J26" i="1" s="1"/>
  <c r="J27" i="1" s="1"/>
  <c r="AU32" i="1"/>
  <c r="AU19" i="1"/>
  <c r="AS21" i="1"/>
  <c r="AV21" i="1" s="1"/>
  <c r="AU21" i="1"/>
  <c r="AP20" i="1"/>
  <c r="AQ20" i="1"/>
  <c r="AO20" i="1"/>
  <c r="AN20" i="1"/>
  <c r="AS19" i="1"/>
  <c r="AV19" i="1" s="1"/>
  <c r="AS32" i="1"/>
  <c r="AV32" i="1" s="1"/>
  <c r="AJ39" i="1"/>
  <c r="AK39" i="1" s="1"/>
  <c r="J39" i="1"/>
  <c r="AJ41" i="1"/>
  <c r="AK41" i="1" s="1"/>
  <c r="AO22" i="1" l="1"/>
  <c r="AQ22" i="1"/>
  <c r="AP22" i="1"/>
  <c r="AN22" i="1"/>
  <c r="AS20" i="1"/>
  <c r="AV20" i="1" s="1"/>
  <c r="AU20" i="1"/>
  <c r="AQ39" i="1"/>
  <c r="AP39" i="1"/>
  <c r="AO39" i="1"/>
  <c r="AN39" i="1"/>
  <c r="AU22" i="1" l="1"/>
  <c r="AS22" i="1"/>
  <c r="AV22" i="1" s="1"/>
  <c r="AU39" i="1"/>
  <c r="AS39" i="1"/>
  <c r="AV39" i="1" s="1"/>
  <c r="Q40" i="1" l="1"/>
  <c r="AE40" i="1"/>
  <c r="V40" i="1"/>
  <c r="AE38" i="1"/>
  <c r="V38" i="1"/>
  <c r="S38" i="1"/>
  <c r="U38" i="1" s="1"/>
  <c r="W38" i="1" s="1"/>
  <c r="AF45" i="1"/>
  <c r="S40" i="1" l="1"/>
  <c r="T38" i="1"/>
  <c r="Y38" i="1"/>
  <c r="AG38" i="1" s="1"/>
  <c r="AR38" i="1"/>
  <c r="V45" i="1"/>
  <c r="AE45" i="1"/>
  <c r="T40" i="1" l="1"/>
  <c r="AR40" i="1"/>
  <c r="U40" i="1"/>
  <c r="W40" i="1" s="1"/>
  <c r="AH38" i="1"/>
  <c r="AI38" i="1" s="1"/>
  <c r="S45" i="1"/>
  <c r="U45" i="1" s="1"/>
  <c r="W45" i="1" s="1"/>
  <c r="Y40" i="1" l="1"/>
  <c r="AG40" i="1" s="1"/>
  <c r="J38" i="1"/>
  <c r="AJ38" i="1"/>
  <c r="AK38" i="1" s="1"/>
  <c r="Y45" i="1"/>
  <c r="AG45" i="1" s="1"/>
  <c r="T45" i="1"/>
  <c r="AR45" i="1"/>
  <c r="AH40" i="1" l="1"/>
  <c r="AI40" i="1" s="1"/>
  <c r="AQ38" i="1"/>
  <c r="AP38" i="1"/>
  <c r="AO38" i="1"/>
  <c r="AN38" i="1"/>
  <c r="AH45" i="1"/>
  <c r="AI45" i="1" s="1"/>
  <c r="AJ40" i="1" l="1"/>
  <c r="AK40" i="1" s="1"/>
  <c r="J40" i="1"/>
  <c r="AU38" i="1"/>
  <c r="AS38" i="1"/>
  <c r="AV38" i="1" s="1"/>
  <c r="AJ45" i="1"/>
  <c r="AK45" i="1" s="1"/>
  <c r="J45" i="1"/>
  <c r="AN40" i="1" l="1"/>
  <c r="AP40" i="1"/>
  <c r="AO40" i="1"/>
  <c r="AQ40" i="1"/>
  <c r="AN45" i="1"/>
  <c r="AP45" i="1"/>
  <c r="AO45" i="1"/>
  <c r="AQ45" i="1"/>
  <c r="AS40" i="1" l="1"/>
  <c r="AV40" i="1" s="1"/>
  <c r="AU40" i="1"/>
  <c r="AS45" i="1"/>
  <c r="AV45" i="1" s="1"/>
  <c r="AU4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 - Karina</author>
    <author/>
  </authors>
  <commentList>
    <comment ref="AF3" authorId="0" shapeId="0" xr:uid="{F1048F41-BE6E-4167-9F51-819B8923DC80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3" authorId="0" shapeId="0" xr:uid="{DBFEB644-14F5-4360-B178-BB0F0693A279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  <comment ref="AF18" authorId="0" shapeId="0" xr:uid="{FFB5D068-ECF1-45E9-91FA-C1E143159D83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18" authorId="0" shapeId="0" xr:uid="{C8C38D0F-AE0B-4C4E-B65F-4D9E1C677F04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  <comment ref="AF31" authorId="0" shapeId="0" xr:uid="{B7D998AE-3B43-46ED-8A69-06E4B1878332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31" authorId="0" shapeId="0" xr:uid="{41C853F5-61B7-4836-8155-BE9639FF0BFF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  <comment ref="AF37" authorId="0" shapeId="0" xr:uid="{CC6E3662-F624-4105-83DA-07CEB0C349B6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37" authorId="0" shapeId="0" xr:uid="{E53CE6C4-36AF-4AE2-9877-CBCDB926C013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  <comment ref="AF41" authorId="1" shapeId="0" xr:uid="{1CEFFD08-CCD4-4892-AEC8-78A917587CE5}">
      <text>
        <r>
          <rPr>
            <sz val="11"/>
            <color rgb="FF000000"/>
            <rFont val="Calibri"/>
            <family val="2"/>
            <scheme val="minor"/>
          </rPr>
          <t xml:space="preserve">Por Caja entra 75 unid
</t>
        </r>
      </text>
    </comment>
    <comment ref="AF44" authorId="0" shapeId="0" xr:uid="{DBCB2E3E-672D-4CCE-A169-D5CA6120F152}">
      <text>
        <r>
          <rPr>
            <b/>
            <sz val="9"/>
            <color indexed="81"/>
            <rFont val="Tahoma"/>
            <family val="2"/>
          </rPr>
          <t>Costo Caja x S3.5.  Capc. dependerá prod. Consultar c LOG - Ronald</t>
        </r>
      </text>
    </comment>
    <comment ref="AG44" authorId="0" shapeId="0" xr:uid="{377413B2-0D8D-481D-BF08-D69FF24E21A7}">
      <text>
        <r>
          <rPr>
            <b/>
            <sz val="9"/>
            <color indexed="81"/>
            <rFont val="Tahoma"/>
            <family val="2"/>
          </rPr>
          <t>Por formula jalará el 1% Costo toall prod</t>
        </r>
      </text>
    </comment>
  </commentList>
</comments>
</file>

<file path=xl/sharedStrings.xml><?xml version="1.0" encoding="utf-8"?>
<sst xmlns="http://schemas.openxmlformats.org/spreadsheetml/2006/main" count="368" uniqueCount="129">
  <si>
    <t>COTIZACIÓN PROPUESTA_SAN ANTONIO_SERVICIO DECORACION DE TIENDAS POR SEDE_VENTANAS_04.06.26</t>
  </si>
  <si>
    <t>CREDITO A 15 O 30 DIAS</t>
  </si>
  <si>
    <t>MARGEN GANANCIA, MINIMA - S/.150 - PARA PEDIDOS POCOS COMO 30 -50-100 UNID. DE PRODUCTOS ECONOMICOS (EJM. LAPICEROS, LLAVEROS PLASTICOS)
                                        PROMEDIA - S/.400 A 500 - PARA PEDIDOS MAS DE 150 UNID DE PRODCUCTOS COSTO MEDIO-ALTO (EJM. LAPICEROS METALICOS)</t>
  </si>
  <si>
    <t>Nº</t>
  </si>
  <si>
    <t>Cód. Artíc.</t>
  </si>
  <si>
    <t>Artículo</t>
  </si>
  <si>
    <t>Foto</t>
  </si>
  <si>
    <t>Cant.</t>
  </si>
  <si>
    <t xml:space="preserve">Costo uni. 
No IGV (S/.) </t>
  </si>
  <si>
    <t>Tiempo Entrega</t>
  </si>
  <si>
    <t>Detalles</t>
  </si>
  <si>
    <t xml:space="preserve">Costo total
NO IGV (S/.) </t>
  </si>
  <si>
    <t>EN 7 SEDES</t>
  </si>
  <si>
    <t>proveedor</t>
  </si>
  <si>
    <t>Cod. Prod. Prov.</t>
  </si>
  <si>
    <t>Obseraciones</t>
  </si>
  <si>
    <t>costo $</t>
  </si>
  <si>
    <t>COSTO S/.</t>
  </si>
  <si>
    <t>%</t>
  </si>
  <si>
    <t>Resultado</t>
  </si>
  <si>
    <t>Margen</t>
  </si>
  <si>
    <t>Total</t>
  </si>
  <si>
    <t>Cantidad</t>
  </si>
  <si>
    <t>Costo MUESTRA Unidad</t>
  </si>
  <si>
    <t>Movilidad</t>
  </si>
  <si>
    <t>Total Producto</t>
  </si>
  <si>
    <t>Tipo de Impresión</t>
  </si>
  <si>
    <t>Costo impresión</t>
  </si>
  <si>
    <t>Cant Color</t>
  </si>
  <si>
    <t>Cant Lados</t>
  </si>
  <si>
    <t>Cantidad por Millar</t>
  </si>
  <si>
    <t>Costo Impresión</t>
  </si>
  <si>
    <t>Empaq</t>
  </si>
  <si>
    <t>Seguro CRT</t>
  </si>
  <si>
    <t>Costo S/. Sin IGV</t>
  </si>
  <si>
    <t>I.G.V</t>
  </si>
  <si>
    <t>TOTAL</t>
  </si>
  <si>
    <t>Total Factura</t>
  </si>
  <si>
    <t>impuesto 18%</t>
  </si>
  <si>
    <t>impuesto 2%</t>
  </si>
  <si>
    <t>Gastos Administracion 5%</t>
  </si>
  <si>
    <t>Utilidad bruta</t>
  </si>
  <si>
    <t>Utilidad</t>
  </si>
  <si>
    <t>% Bruto</t>
  </si>
  <si>
    <t>% utilidad</t>
  </si>
  <si>
    <t>VINIL PARA LAS VENTANAS</t>
  </si>
  <si>
    <t xml:space="preserve">Imagen referencial </t>
  </si>
  <si>
    <t xml:space="preserve">3 a 5 
días útiles producción
+
1 día útil por instalacipon por sede  </t>
  </si>
  <si>
    <r>
      <rPr>
        <b/>
        <u/>
        <sz val="16"/>
        <color rgb="FF000000"/>
        <rFont val="Arial"/>
      </rPr>
      <t xml:space="preserve">VINIL PARA LAS VENTANAS
</t>
    </r>
    <r>
      <rPr>
        <sz val="16"/>
        <color rgb="FF000000"/>
        <rFont val="Arial"/>
      </rPr>
      <t xml:space="preserve">Materia: Vinil adhesivo con laminado
Medidas: 189x 120cm / 184x 120cm / 160*120cm
Impresión full color 
Acabado: Troquelado
Presentacion: Grupal
</t>
    </r>
    <r>
      <rPr>
        <b/>
        <sz val="16"/>
        <color rgb="FF000000"/>
        <rFont val="Arial"/>
      </rPr>
      <t xml:space="preserve">Incluye instalacion sede Angamos
</t>
    </r>
    <r>
      <rPr>
        <sz val="16"/>
        <color rgb="FF000000"/>
        <rFont val="Arial"/>
      </rPr>
      <t xml:space="preserve">Incluye instalacion en cada sedes con personal especializado con material EEP, seguro SCRT y escaleras como material para instalar. / Movilidad t raslado de personal y materiales / insumos
</t>
    </r>
    <r>
      <rPr>
        <sz val="16"/>
        <color rgb="FFFF0000"/>
        <rFont val="Arial"/>
      </rPr>
      <t xml:space="preserve">*Arte y diseño facilitado por el cliente.
</t>
    </r>
    <r>
      <rPr>
        <sz val="16"/>
        <color rgb="FF000000"/>
        <rFont val="Arial"/>
      </rPr>
      <t xml:space="preserve">
</t>
    </r>
    <r>
      <rPr>
        <b/>
        <sz val="16"/>
        <color rgb="FF000000"/>
        <rFont val="Arial"/>
      </rPr>
      <t>**Incluye prueba color en un fomato A4</t>
    </r>
  </si>
  <si>
    <t>A definir pegado si e spor dentro  o por fuera</t>
  </si>
  <si>
    <t>MARIO
Cel.920 150 336</t>
  </si>
  <si>
    <t>6 Ventanas
Angamos
 S/.580 +IGV
Incluye vinil + instalacion
Tiempo 3 dias</t>
  </si>
  <si>
    <t>INCLUYE</t>
  </si>
  <si>
    <r>
      <rPr>
        <b/>
        <u/>
        <sz val="16"/>
        <color rgb="FF000000"/>
        <rFont val="Arial"/>
      </rPr>
      <t xml:space="preserve">VINIL PARA LAS VENTANAS
</t>
    </r>
    <r>
      <rPr>
        <sz val="16"/>
        <color rgb="FF000000"/>
        <rFont val="Arial"/>
      </rPr>
      <t xml:space="preserve">Materia: Vinil adhesivo con laminado
Medidas: 189x 120cm / 184x 120cm / 160*120cm
Impresión full color 
Acabado: Troquelado
Presentacion: Grupal
</t>
    </r>
    <r>
      <rPr>
        <b/>
        <sz val="16"/>
        <color rgb="FF000000"/>
        <rFont val="Arial"/>
      </rPr>
      <t xml:space="preserve">Incluye instalacion sede Polo
</t>
    </r>
    <r>
      <rPr>
        <sz val="16"/>
        <color rgb="FF000000"/>
        <rFont val="Arial"/>
      </rPr>
      <t xml:space="preserve">Incluye instalacion en cada sedes con personal especializado con material EEP, seguro SCRT y escaleras como material para instalar. / Movilidad t raslado de personal y materiales / insumos
</t>
    </r>
    <r>
      <rPr>
        <sz val="16"/>
        <color rgb="FFFF0000"/>
        <rFont val="Arial"/>
      </rPr>
      <t xml:space="preserve">*Arte y diseño facilitado por el cliente.
</t>
    </r>
    <r>
      <rPr>
        <sz val="16"/>
        <color rgb="FF000000"/>
        <rFont val="Arial"/>
      </rPr>
      <t xml:space="preserve">
</t>
    </r>
    <r>
      <rPr>
        <b/>
        <sz val="16"/>
        <color rgb="FF000000"/>
        <rFont val="Arial"/>
      </rPr>
      <t>**Incluye prueba color en un fomato A4</t>
    </r>
  </si>
  <si>
    <t>3 Ventanas
El Polo
 S/.400 +IGV
Incluye vinil + instalacion
Tiempo 3 dias</t>
  </si>
  <si>
    <r>
      <rPr>
        <b/>
        <u/>
        <sz val="16"/>
        <color rgb="FF000000"/>
        <rFont val="Arial"/>
      </rPr>
      <t xml:space="preserve">VINIL PARA LAS VENTANAS
</t>
    </r>
    <r>
      <rPr>
        <sz val="16"/>
        <color rgb="FF000000"/>
        <rFont val="Arial"/>
      </rPr>
      <t xml:space="preserve">Materia: Vinil adhesivo con laminado
Medidas: 189x 120cm / 184x 120cm / 160*120cm
Impresión full color 
Acabado: Troquelado
Presentacion: Grupal
</t>
    </r>
    <r>
      <rPr>
        <b/>
        <sz val="16"/>
        <color rgb="FF000000"/>
        <rFont val="Arial"/>
      </rPr>
      <t xml:space="preserve">Incluye instalacion sede Encalada
</t>
    </r>
    <r>
      <rPr>
        <sz val="16"/>
        <color rgb="FF000000"/>
        <rFont val="Arial"/>
      </rPr>
      <t xml:space="preserve">Incluye instalacion en cada sedes con personal especializado con material EEP, seguro SCRT y escaleras como material para instalar. / Movilidad t raslado de personal y materiales / insumos
</t>
    </r>
    <r>
      <rPr>
        <sz val="16"/>
        <color rgb="FFFF0000"/>
        <rFont val="Arial"/>
      </rPr>
      <t xml:space="preserve">*Arte y diseño facilitado por el cliente.
</t>
    </r>
    <r>
      <rPr>
        <sz val="16"/>
        <color rgb="FF000000"/>
        <rFont val="Arial"/>
      </rPr>
      <t xml:space="preserve">
</t>
    </r>
    <r>
      <rPr>
        <b/>
        <sz val="16"/>
        <color rgb="FF000000"/>
        <rFont val="Arial"/>
      </rPr>
      <t>**Incluye prueba color en un fomato A4</t>
    </r>
  </si>
  <si>
    <t>6 Ventanas
Encalada
 S/.580 +IGV
Incluye vinil + instalacion
Tiempo 3 dias</t>
  </si>
  <si>
    <r>
      <rPr>
        <b/>
        <u/>
        <sz val="16"/>
        <color rgb="FF000000"/>
        <rFont val="Arial"/>
      </rPr>
      <t xml:space="preserve">VINIL PARA LAS VENTANAS
</t>
    </r>
    <r>
      <rPr>
        <sz val="16"/>
        <color rgb="FF000000"/>
        <rFont val="Arial"/>
      </rPr>
      <t xml:space="preserve">Materia: Vinil adhesivo con laminado
Medidas: 189x 120cm / 184x 120cm / 160*120cm
Impresión full color 
Acabado: Troquelado
Presentacion: Grupal
</t>
    </r>
    <r>
      <rPr>
        <b/>
        <sz val="16"/>
        <color rgb="FF000000"/>
        <rFont val="Arial"/>
      </rPr>
      <t xml:space="preserve">Incluye instalacion sede Ferrero
</t>
    </r>
    <r>
      <rPr>
        <sz val="16"/>
        <color rgb="FF000000"/>
        <rFont val="Arial"/>
      </rPr>
      <t xml:space="preserve">Incluye instalacion en cada sedes con personal especializado con material EEP, seguro SCRT y escaleras como material para instalar. / Movilidad t raslado de personal y materiales / insumos
</t>
    </r>
    <r>
      <rPr>
        <sz val="16"/>
        <color rgb="FFFF0000"/>
        <rFont val="Arial"/>
      </rPr>
      <t xml:space="preserve">*Arte y diseño facilitado por el cliente.
</t>
    </r>
    <r>
      <rPr>
        <sz val="16"/>
        <color rgb="FF000000"/>
        <rFont val="Arial"/>
      </rPr>
      <t xml:space="preserve">
</t>
    </r>
    <r>
      <rPr>
        <b/>
        <sz val="16"/>
        <color rgb="FF000000"/>
        <rFont val="Arial"/>
      </rPr>
      <t>**Incluye prueba color en un fomato A4</t>
    </r>
  </si>
  <si>
    <t>6 Ventanas
Ferrero
 S/.580 +IGV
Incluye vinil + instalacion
Tiempo 3 dias</t>
  </si>
  <si>
    <r>
      <rPr>
        <b/>
        <u/>
        <sz val="16"/>
        <color rgb="FF000000"/>
        <rFont val="Arial"/>
      </rPr>
      <t xml:space="preserve">VINIL PARA LAS VENTANAS
</t>
    </r>
    <r>
      <rPr>
        <sz val="16"/>
        <color rgb="FF000000"/>
        <rFont val="Arial"/>
      </rPr>
      <t xml:space="preserve">Materia: Vinil adhesivo con laminado
Medidas: 189x 120cm / 184x 120cm / 160*120cm
Impresión full color 
Acabado: Troquelado
Presentacion: Grupal
</t>
    </r>
    <r>
      <rPr>
        <b/>
        <sz val="16"/>
        <color rgb="FF000000"/>
        <rFont val="Arial"/>
      </rPr>
      <t xml:space="preserve">Incluye instalacion sede Guardia Civil
</t>
    </r>
    <r>
      <rPr>
        <sz val="16"/>
        <color rgb="FF000000"/>
        <rFont val="Arial"/>
      </rPr>
      <t xml:space="preserve">Incluye instalacion en cada sedes con personal especializado con material EEP, seguro SCRT y escaleras como material para instalar. / Movilidad t raslado de personal y materiales / insumos
</t>
    </r>
    <r>
      <rPr>
        <sz val="16"/>
        <color rgb="FFFF0000"/>
        <rFont val="Arial"/>
      </rPr>
      <t xml:space="preserve">*Arte y diseño facilitado por el cliente.
</t>
    </r>
    <r>
      <rPr>
        <sz val="16"/>
        <color rgb="FF000000"/>
        <rFont val="Arial"/>
      </rPr>
      <t xml:space="preserve">
</t>
    </r>
    <r>
      <rPr>
        <b/>
        <sz val="16"/>
        <color rgb="FF000000"/>
        <rFont val="Arial"/>
      </rPr>
      <t>**Incluye prueba color en un fomato A4</t>
    </r>
  </si>
  <si>
    <t>5 Ventanas
Guardia civil
 S/.525 +IGV
Incluye vinil + instalacion
Tiempo 3 dias</t>
  </si>
  <si>
    <r>
      <rPr>
        <b/>
        <u/>
        <sz val="16"/>
        <color rgb="FF000000"/>
        <rFont val="Arial"/>
      </rPr>
      <t xml:space="preserve">VINIL PARA LAS VENTANAS
</t>
    </r>
    <r>
      <rPr>
        <sz val="16"/>
        <color rgb="FF000000"/>
        <rFont val="Arial"/>
      </rPr>
      <t xml:space="preserve">Materia: Vinil adhesivo con laminado
Medidas: 189x 120cm / 184x 120cm / 160*120cm
Impresión full color 
Acabado: Troquelado
Presentacion: Grupal
</t>
    </r>
    <r>
      <rPr>
        <b/>
        <sz val="16"/>
        <color rgb="FF000000"/>
        <rFont val="Arial"/>
      </rPr>
      <t xml:space="preserve">Incluye instalacion sede Lesa
</t>
    </r>
    <r>
      <rPr>
        <sz val="16"/>
        <color rgb="FF000000"/>
        <rFont val="Arial"/>
      </rPr>
      <t xml:space="preserve">Incluye instalacion en cada sedes con personal especializado con material EEP, seguro SCRT y escaleras como material para instalar. / Movilidad t raslado de personal y materiales / insumos
</t>
    </r>
    <r>
      <rPr>
        <sz val="16"/>
        <color rgb="FFFF0000"/>
        <rFont val="Arial"/>
      </rPr>
      <t xml:space="preserve">*Arte y diseño facilitado por el cliente.
</t>
    </r>
    <r>
      <rPr>
        <sz val="16"/>
        <color rgb="FF000000"/>
        <rFont val="Arial"/>
      </rPr>
      <t xml:space="preserve">
</t>
    </r>
    <r>
      <rPr>
        <b/>
        <sz val="16"/>
        <color rgb="FF000000"/>
        <rFont val="Arial"/>
      </rPr>
      <t>**Incluye prueba color en un fomato A4</t>
    </r>
  </si>
  <si>
    <t>6 Ventanas
Lesa
 S/.595 +IGV
Incluye vinil + instalacion
Tiempo 3 dias</t>
  </si>
  <si>
    <r>
      <rPr>
        <b/>
        <u/>
        <sz val="16"/>
        <color rgb="FF000000"/>
        <rFont val="Arial"/>
      </rPr>
      <t xml:space="preserve">VINIL PARA LAS VENTANAS
</t>
    </r>
    <r>
      <rPr>
        <sz val="16"/>
        <color rgb="FF000000"/>
        <rFont val="Arial"/>
      </rPr>
      <t xml:space="preserve">Materia: Vinil adhesivo con laminado
Medidas: 189x 120cm / 184x 120cm / 160*120cm
Impresión full color 
Acabado: Troquelado
Presentacion: Grupal
</t>
    </r>
    <r>
      <rPr>
        <b/>
        <sz val="16"/>
        <color rgb="FF000000"/>
        <rFont val="Arial"/>
      </rPr>
      <t>Incluye instalacion sede Magdalena
I</t>
    </r>
    <r>
      <rPr>
        <sz val="16"/>
        <color rgb="FF000000"/>
        <rFont val="Arial"/>
      </rPr>
      <t xml:space="preserve">ncluye instalacion en cada sedes con personal especializado con material EEP, seguro SCRT y escaleras como material para instalar. / Movilidad t raslado de personal y materiales / insumos
</t>
    </r>
    <r>
      <rPr>
        <sz val="16"/>
        <color rgb="FFFF0000"/>
        <rFont val="Arial"/>
      </rPr>
      <t xml:space="preserve">*Arte y diseño facilitado por el cliente.
</t>
    </r>
    <r>
      <rPr>
        <sz val="16"/>
        <color rgb="FF000000"/>
        <rFont val="Arial"/>
      </rPr>
      <t xml:space="preserve">
</t>
    </r>
    <r>
      <rPr>
        <b/>
        <sz val="16"/>
        <color rgb="FF000000"/>
        <rFont val="Arial"/>
      </rPr>
      <t>**Incluye prueba color en un fomato A4</t>
    </r>
  </si>
  <si>
    <t>7 Ventanas
Magdalena
 S/.665 +IGV
Incluye vinil + instalacion
Tiempo 3 dias</t>
  </si>
  <si>
    <t xml:space="preserve">SUB TOTAL </t>
  </si>
  <si>
    <t xml:space="preserve">IGV </t>
  </si>
  <si>
    <t>COTIZACIÓN PROPUESTA_SAN ANTONIO_SERVICIO DECORACION DE TIENDAS_Colgante, Vinil para Vitrinas y Ventas y Serv Instalación_27.05.26</t>
  </si>
  <si>
    <t>EN 9 SEDES</t>
  </si>
  <si>
    <t>COLGANTES</t>
  </si>
  <si>
    <t>5 a 7
días útiles</t>
  </si>
  <si>
    <r>
      <rPr>
        <b/>
        <u/>
        <sz val="16"/>
        <rFont val="Arial"/>
        <family val="2"/>
      </rPr>
      <t>COLGANTES</t>
    </r>
    <r>
      <rPr>
        <sz val="16"/>
        <rFont val="Arial"/>
        <family val="2"/>
      </rPr>
      <t xml:space="preserve">
Material: Celtex 3mm
Medida: 28 cm
Modelo: Redondo
Impresión full color tira y retira
Presentacion: Grupal
</t>
    </r>
    <r>
      <rPr>
        <sz val="16"/>
        <color rgb="FFFF0000"/>
        <rFont val="Arial"/>
        <family val="2"/>
      </rPr>
      <t>*Arte y diseño facilitado por el cliente.</t>
    </r>
    <r>
      <rPr>
        <sz val="16"/>
        <rFont val="Arial"/>
        <family val="2"/>
      </rPr>
      <t xml:space="preserve">
</t>
    </r>
    <r>
      <rPr>
        <b/>
        <i/>
        <sz val="16"/>
        <rFont val="Arial"/>
        <family val="2"/>
      </rPr>
      <t>**Incluye prueba color en un fomato A4</t>
    </r>
  </si>
  <si>
    <t xml:space="preserve">COLGANTE
104 und a  S/.1,352 +IGV
</t>
  </si>
  <si>
    <t>VINIL PARA LAS VITRINAS</t>
  </si>
  <si>
    <r>
      <rPr>
        <b/>
        <u/>
        <sz val="16"/>
        <rFont val="Arial"/>
        <family val="2"/>
      </rPr>
      <t>VINIL PARA LAS VITRINAS</t>
    </r>
    <r>
      <rPr>
        <sz val="16"/>
        <rFont val="Arial"/>
        <family val="2"/>
      </rPr>
      <t xml:space="preserve">
Materia: Vinil adhesivo con laminado
Medidas: 148 x 70cm / 94x48cm / 160*84cm
Impresión full color 
Acabado: Corte recto
Presentacion: Grupal
</t>
    </r>
    <r>
      <rPr>
        <sz val="16"/>
        <color rgb="FFFF0000"/>
        <rFont val="Arial"/>
        <family val="2"/>
      </rPr>
      <t xml:space="preserve">*Arte y diseño facilitado por el cliente.
</t>
    </r>
    <r>
      <rPr>
        <b/>
        <sz val="16"/>
        <rFont val="Arial"/>
        <family val="2"/>
      </rPr>
      <t>**Incluye prueba color en un fomato A4</t>
    </r>
  </si>
  <si>
    <t>VINIL PARA LAS VITRINAS
25 und a S/.1400 +IGV</t>
  </si>
  <si>
    <r>
      <rPr>
        <b/>
        <u/>
        <sz val="16"/>
        <rFont val="Arial"/>
        <family val="2"/>
      </rPr>
      <t>VINIL PARA LAS VENTANAS</t>
    </r>
    <r>
      <rPr>
        <sz val="16"/>
        <rFont val="Arial"/>
        <family val="2"/>
      </rPr>
      <t xml:space="preserve">
Materia: Vinil adhesivo con laminado
Medidas: 189x 120cm / 184x 120cm / 160*120cm
Impresión full color 
Acabado: Corte recto
Presentacion: Grupal
</t>
    </r>
    <r>
      <rPr>
        <sz val="16"/>
        <color rgb="FFFF0000"/>
        <rFont val="Arial"/>
        <family val="2"/>
      </rPr>
      <t>*Arte y diseño facilitado por el cliente.</t>
    </r>
    <r>
      <rPr>
        <sz val="16"/>
        <rFont val="Arial"/>
        <family val="2"/>
      </rPr>
      <t xml:space="preserve">
</t>
    </r>
    <r>
      <rPr>
        <b/>
        <sz val="16"/>
        <rFont val="Arial"/>
        <family val="2"/>
      </rPr>
      <t>**Incluye prueba color en un fomato A4</t>
    </r>
  </si>
  <si>
    <t>39 ventanas S/2,613</t>
  </si>
  <si>
    <t>SERVICIO DE INSTALACION POR SEDE</t>
  </si>
  <si>
    <r>
      <rPr>
        <b/>
        <u/>
        <sz val="16"/>
        <rFont val="Arial"/>
        <family val="2"/>
      </rPr>
      <t>SERVICIO DE INSTALACION POR SEDE</t>
    </r>
    <r>
      <rPr>
        <sz val="16"/>
        <rFont val="Arial"/>
        <family val="2"/>
      </rPr>
      <t xml:space="preserve">
Decoracion en 9 sedes dentro de Lima metropolitana.de colgantes (104), en vitrina (25) y ventana (39)
Instalación por sede por 1 día</t>
    </r>
    <r>
      <rPr>
        <b/>
        <sz val="16"/>
        <rFont val="Arial"/>
        <family val="2"/>
      </rPr>
      <t xml:space="preserve">
</t>
    </r>
    <r>
      <rPr>
        <b/>
        <i/>
        <sz val="16"/>
        <rFont val="Arial"/>
        <family val="2"/>
      </rPr>
      <t>Incluye visita a sedes 1 fecha antes para validar medidas  e incluye adecaciónn de artes</t>
    </r>
  </si>
  <si>
    <t>S/.250  instalacion de los 3  productos a decorar por cada sede
Total de sedes 9 
S/.250 x 9 = S/.2250 +IGV
Tiempo 3 dias</t>
  </si>
  <si>
    <r>
      <rPr>
        <b/>
        <sz val="16"/>
        <color rgb="FF000000"/>
        <rFont val="Arial"/>
      </rPr>
      <t xml:space="preserve">INSTALACIÓN
</t>
    </r>
    <r>
      <rPr>
        <sz val="16"/>
        <color rgb="FF000000"/>
        <rFont val="Arial"/>
      </rPr>
      <t>Incluye instalacion en cada sedes con personal especializado con material EEP, seguro SCRT y escaleras como material para instalar.</t>
    </r>
  </si>
  <si>
    <r>
      <rPr>
        <b/>
        <u/>
        <sz val="16"/>
        <color rgb="FF000000"/>
        <rFont val="Arial"/>
      </rPr>
      <t xml:space="preserve">MOVILIDAD
</t>
    </r>
    <r>
      <rPr>
        <sz val="16"/>
        <color rgb="FF000000"/>
        <rFont val="Arial"/>
      </rPr>
      <t>Traslado de personal y materiales / insumos</t>
    </r>
  </si>
  <si>
    <t>COTIZACIÓN PROPUESTA_SAN ANTONIO_LIBRETA ANILLADA_26.05.26</t>
  </si>
  <si>
    <t>LIBRETA ANILLADA</t>
  </si>
  <si>
    <t>7 a 10
días útiles</t>
  </si>
  <si>
    <r>
      <rPr>
        <b/>
        <u/>
        <sz val="16"/>
        <rFont val="Arial"/>
        <family val="2"/>
      </rPr>
      <t>LIBRETA ANILLADA</t>
    </r>
    <r>
      <rPr>
        <sz val="16"/>
        <rFont val="Arial"/>
        <family val="2"/>
      </rPr>
      <t xml:space="preserve">
Tamaño cerrado: A6
Impresión Tapa y contra tapa: Full color ó 1 color 
Interior (la guarda) para Tapa y Contratapa sin impresión 
INTERIORES 
</t>
    </r>
    <r>
      <rPr>
        <b/>
        <sz val="16"/>
        <rFont val="Arial"/>
        <family val="2"/>
      </rPr>
      <t>Hojas blancas sin impresion : 50 Hojas interiores, material: bond de 75 gr</t>
    </r>
    <r>
      <rPr>
        <sz val="16"/>
        <rFont val="Arial"/>
        <family val="2"/>
      </rPr>
      <t xml:space="preserve">
doble ring blanco
ACABADOS : 
Tapa dura, anillado, compaginado, plastificado mate la tapa 
Presentacion: Grupal
</t>
    </r>
    <r>
      <rPr>
        <sz val="16"/>
        <color rgb="FFFF0000"/>
        <rFont val="Arial"/>
        <family val="2"/>
      </rPr>
      <t>*No incluye servicio de diseño.
*Arte y diseño facilitado por el cliente.</t>
    </r>
  </si>
  <si>
    <t>SERVICIOS PUBLICITARIOS
GYL
Cel.992454160
/
ACGRAF PERU
Cel.922 128 532</t>
  </si>
  <si>
    <t>SERVICIOS PUBLICITARIOS
GYL
50 und a S/.270 +IGV
Tiempo 3 dias
Muestra S/.20
/
ACGRAF PERU
50 und a S/.8.50 +IGV</t>
  </si>
  <si>
    <r>
      <rPr>
        <b/>
        <u/>
        <sz val="16"/>
        <rFont val="Arial"/>
        <family val="2"/>
      </rPr>
      <t>LIBRETA ANILLADA</t>
    </r>
    <r>
      <rPr>
        <sz val="16"/>
        <rFont val="Arial"/>
        <family val="2"/>
      </rPr>
      <t xml:space="preserve">
Tamaño cerrado: A6
Impresión Tapa y contra tapa: Full color ó 1 color 
Interior (la guarda) para Tapa y Contratapa sin impresión 
INTERIORES 
</t>
    </r>
    <r>
      <rPr>
        <b/>
        <sz val="16"/>
        <rFont val="Arial"/>
        <family val="2"/>
      </rPr>
      <t>Hojas cuadriculada: 100 Hojas interiores, material: bond de 75 gr, impresión: 1 color tira y retira.</t>
    </r>
    <r>
      <rPr>
        <sz val="16"/>
        <rFont val="Arial"/>
        <family val="2"/>
      </rPr>
      <t xml:space="preserve">
doble ring color blanco
ACABADOS : 
Tapa dura, anillado, compaginado, plastificado mate la tapa 
Presentacion: Grupal
</t>
    </r>
    <r>
      <rPr>
        <sz val="16"/>
        <color rgb="FFFF0000"/>
        <rFont val="Arial"/>
        <family val="2"/>
      </rPr>
      <t>*No incluye servicio de diseño.
*Arte y diseño facilitado por el cliente.</t>
    </r>
  </si>
  <si>
    <t>SERVICIOS PUBLICITARIOS
GYL
50 und a S/.350 +IGV
Tiempo 3 dias
Muestra S/.20
/
ACGRAF PERU
50 und a S/.9 +IGV</t>
  </si>
  <si>
    <t>COTIZACIÓN PROPUESTA_SAN ANTONIO_NECESER, LAPICERO METALICO, LAPICERO PLASTICO,LIBRETA_25.05.26</t>
  </si>
  <si>
    <t>COCK-3429</t>
  </si>
  <si>
    <t>NECESER DE PVC CON CREMALLERA</t>
  </si>
  <si>
    <r>
      <rPr>
        <b/>
        <u/>
        <sz val="16"/>
        <rFont val="Arial"/>
        <family val="2"/>
      </rPr>
      <t>NECESER DE PVC CON CREMALLERA</t>
    </r>
    <r>
      <rPr>
        <sz val="16"/>
        <rFont val="Arial"/>
        <family val="2"/>
      </rPr>
      <t xml:space="preserve">
Material: PVC
Medida: 24 x 21 x 6,5 cm
Color: Blanco pavonado, rojo y azul
Presentación: Empaque grupal
</t>
    </r>
    <r>
      <rPr>
        <sz val="16"/>
        <color rgb="FFFF0000"/>
        <rFont val="Arial"/>
        <family val="2"/>
      </rPr>
      <t>*Incluye 1 logo a 1 color por 1 lado )timta especial para adherencia)
*Arte y diseño facilitado por el cliente</t>
    </r>
  </si>
  <si>
    <t>CKI</t>
  </si>
  <si>
    <t>3429</t>
  </si>
  <si>
    <t>S/. 3.15 C/U
Incluido IGV</t>
  </si>
  <si>
    <t>TAMPOGRAFIA AMERICANA 
Precio ref. 
50 a S/. 150
+IGV
Logo a 1 color</t>
  </si>
  <si>
    <t>COEF-TVP-05A</t>
  </si>
  <si>
    <t>LAPICERO PLASTICO</t>
  </si>
  <si>
    <r>
      <rPr>
        <b/>
        <u/>
        <sz val="16"/>
        <rFont val="Arial"/>
        <family val="2"/>
      </rPr>
      <t>LAPICERO PLASTICO</t>
    </r>
    <r>
      <rPr>
        <sz val="16"/>
        <rFont val="Arial"/>
        <family val="2"/>
      </rPr>
      <t xml:space="preserve">
Material: Plastico
Medida: 14 cm 
Color: Cuerpo blanco con detalle Rojo, Naranja y negro
Tinta: Azul
Presentación: Empaque individual 
</t>
    </r>
    <r>
      <rPr>
        <sz val="16"/>
        <color rgb="FFFF0000"/>
        <rFont val="Arial"/>
        <family val="2"/>
      </rPr>
      <t>*Incluye 1 logo a 1 color por 1 lado
*Arte y diseño facilitado por el cliente</t>
    </r>
  </si>
  <si>
    <t>EYF</t>
  </si>
  <si>
    <t>TVP-05A</t>
  </si>
  <si>
    <t>50 a S/. 42.00
+IGV</t>
  </si>
  <si>
    <t>HUGO
Cel. 987 109 882
50 a S/. 30
+IGV
/
GRAMPHOS
Pilar
Cel. 994 228 471
50 a S/. 60
+IGV</t>
  </si>
  <si>
    <t>COEF-B-5006-5</t>
  </si>
  <si>
    <t>LAPICERO METALICO</t>
  </si>
  <si>
    <r>
      <rPr>
        <b/>
        <u/>
        <sz val="16"/>
        <rFont val="Arial"/>
        <family val="2"/>
      </rPr>
      <t>LAPICERO METALICO</t>
    </r>
    <r>
      <rPr>
        <sz val="16"/>
        <rFont val="Arial"/>
        <family val="2"/>
      </rPr>
      <t xml:space="preserve">
Material: Metalico
Medida: 14.5 cm 
Color: Blanco, negro, plateado y gris
Tinta seca negro
Presentación: Bolsita individual 
</t>
    </r>
    <r>
      <rPr>
        <sz val="16"/>
        <color rgb="FFFF0000"/>
        <rFont val="Arial"/>
        <family val="2"/>
      </rPr>
      <t>*Incluye 1 logo a 1 color por 1 lado
*Arte y diseño facilitado por el cliente</t>
    </r>
  </si>
  <si>
    <t>B-5006-5</t>
  </si>
  <si>
    <t>50 a S/. 250
+IGV</t>
  </si>
  <si>
    <t>HUGO
Cel. 987 109 882
50 a S/. 70
+IGV
/
GRAMPHOS
Pilar
Cel. 994 228 471
50 a S/. 60
+IGV</t>
  </si>
  <si>
    <t>COEF-RKN-820</t>
  </si>
  <si>
    <t>LIBRETA ANILLADA ECOLÓGICA</t>
  </si>
  <si>
    <r>
      <rPr>
        <b/>
        <u/>
        <sz val="16"/>
        <color rgb="FF000000"/>
        <rFont val="Arial"/>
        <family val="2"/>
      </rPr>
      <t>LIBRETA ANILLADA ECOLÓGICA</t>
    </r>
    <r>
      <rPr>
        <sz val="16"/>
        <color rgb="FF000000"/>
        <rFont val="Arial"/>
        <family val="2"/>
      </rPr>
      <t xml:space="preserve">
Material: Cartón reciclado
Medida: 14 x 6 cm 
Incluye 50 hojas rayadas (Aprox.) y un lapicero ecologico 
Color: Negro, 
Presentación: Bolsita individual 
</t>
    </r>
    <r>
      <rPr>
        <sz val="16"/>
        <color rgb="FFFF0000"/>
        <rFont val="Arial"/>
        <family val="2"/>
      </rPr>
      <t xml:space="preserve">*Incluye 1 logo a 1color por 1 lado serigrafia
*Arte y diseño facilitado por el cliente </t>
    </r>
  </si>
  <si>
    <r>
      <rPr>
        <b/>
        <sz val="14"/>
        <rFont val="Arial"/>
        <family val="2"/>
      </rPr>
      <t>EYF</t>
    </r>
    <r>
      <rPr>
        <sz val="14"/>
        <rFont val="Arial"/>
        <family val="2"/>
      </rPr>
      <t xml:space="preserve">
/
PROMO MERCH</t>
    </r>
  </si>
  <si>
    <t>RKN-820
/
ECO-07</t>
  </si>
  <si>
    <t>EYF
25 a S/. 4.00
+IGV
/
PROMO MERCH
25 a S/. 3.40
+IGV</t>
  </si>
  <si>
    <t>EDGAR UV
25 a S/. 20 
Logo full color</t>
  </si>
  <si>
    <t>COTIZACIÓN PROPUESTA_SAN ANTONIO_MOCHILA DELIVERY_25.05.26</t>
  </si>
  <si>
    <t>50/50, LIMA</t>
  </si>
  <si>
    <t xml:space="preserve">Costo uni. No IGV (S/.) </t>
  </si>
  <si>
    <t>MOCHILA DELVERY</t>
  </si>
  <si>
    <t>Vie 29 Mayo*</t>
  </si>
  <si>
    <r>
      <rPr>
        <b/>
        <u/>
        <sz val="16"/>
        <color rgb="FF000000"/>
        <rFont val="Arial"/>
        <family val="2"/>
      </rPr>
      <t xml:space="preserve">MOCHILA DELVERY
</t>
    </r>
    <r>
      <rPr>
        <sz val="16"/>
        <color rgb="FF000000"/>
        <rFont val="Arial"/>
        <family val="2"/>
      </rPr>
      <t xml:space="preserve">Material: Lino impermeable / termico
Medida: 40 cm ancho x 50 cm alto x 40 cm profundidad
Abre por la parte frontal, con diviciones despleglables y ligas.
Asas acolchadas
Cierres reyes.
Color: Negro
Presentación: Grupal
</t>
    </r>
    <r>
      <rPr>
        <sz val="16"/>
        <color rgb="FFFF0000"/>
        <rFont val="Arial"/>
        <family val="2"/>
      </rPr>
      <t xml:space="preserve">*No incluye logo
*Arte y diseño facilitado por el cliente.
</t>
    </r>
    <r>
      <rPr>
        <sz val="16"/>
        <color rgb="FF000000"/>
        <rFont val="Arial"/>
        <family val="2"/>
      </rPr>
      <t xml:space="preserve">
</t>
    </r>
    <r>
      <rPr>
        <b/>
        <sz val="16"/>
        <color rgb="FFFF0000"/>
        <rFont val="Arial"/>
        <family val="2"/>
      </rPr>
      <t>+S/.9,00+IGV costo adicional por logo full color en vinil y colocarlo dentro de las 3 micas</t>
    </r>
  </si>
  <si>
    <t>DEAVANCE
Claudia
Cel.977 182 258</t>
  </si>
  <si>
    <t>5 und a S/.110 +IGV
Sin logo
Costo adicional logo
Logo en vinil y colocarlo dentro de las 3 micas, tiene un costo adicional de 10.00
a 5 soles te puedo dejar x cada mochila ya que esta llevando 05</t>
  </si>
  <si>
    <t xml:space="preserve"> INCLUYE</t>
  </si>
  <si>
    <t>(*) Fecha  Entrega en caso aprobarse hoy Lu 25 Mayo de 3 a 4pm con Orden compra y adelanto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</si>
</sst>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[$$-409]* #,##0.00_ ;_-[$$-409]* \-#,##0.00\ ;_-[$$-409]* &quot;-&quot;??_ ;_-@_ "/>
    <numFmt numFmtId="165" formatCode="_(* #,##0_);_(* \(#,##0\);_(* &quot;-&quot;??_);_(@_)"/>
    <numFmt numFmtId="166" formatCode="&quot;S/.&quot;\ #,##0.00"/>
    <numFmt numFmtId="167" formatCode="_ &quot;S/.&quot;\ * #,##0.00_ ;_ &quot;S/.&quot;\ * \-#,##0.00_ ;_ &quot;S/.&quot;\ * &quot;-&quot;??_ ;_ @_ "/>
    <numFmt numFmtId="168" formatCode="[$S/.-280A]\ #,##0.00"/>
    <numFmt numFmtId="169" formatCode="&quot;S/&quot;\ #,##0.00"/>
    <numFmt numFmtId="170" formatCode="_ * #,##0.00_ ;_ * \-#,##0.00_ ;_ * &quot;-&quot;??_ ;_ @_ "/>
  </numFmts>
  <fonts count="7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color rgb="FF000000"/>
      <name val="Arial"/>
      <family val="2"/>
    </font>
    <font>
      <b/>
      <sz val="10"/>
      <name val="Arial"/>
      <family val="2"/>
    </font>
    <font>
      <b/>
      <sz val="12"/>
      <color theme="1"/>
      <name val="Arial"/>
      <family val="2"/>
    </font>
    <font>
      <b/>
      <sz val="10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theme="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name val="Arial"/>
      <family val="2"/>
    </font>
    <font>
      <sz val="11"/>
      <color indexed="8"/>
      <name val="Calibri"/>
      <family val="2"/>
    </font>
    <font>
      <b/>
      <sz val="18"/>
      <name val="Arial"/>
      <family val="2"/>
    </font>
    <font>
      <sz val="16"/>
      <color indexed="8"/>
      <name val="Arial"/>
      <family val="2"/>
    </font>
    <font>
      <sz val="11"/>
      <name val="Arial"/>
      <family val="2"/>
    </font>
    <font>
      <sz val="11"/>
      <color rgb="FF000000"/>
      <name val="Calibri"/>
      <family val="2"/>
      <scheme val="minor"/>
    </font>
    <font>
      <sz val="9"/>
      <color rgb="FFFF0000"/>
      <name val="Arial"/>
      <family val="2"/>
    </font>
    <font>
      <sz val="14"/>
      <color theme="1"/>
      <name val="Arial"/>
      <family val="2"/>
    </font>
    <font>
      <b/>
      <sz val="14"/>
      <name val="Arial"/>
      <family val="2"/>
    </font>
    <font>
      <sz val="14"/>
      <color rgb="FF000000"/>
      <name val="Arial"/>
      <family val="2"/>
    </font>
    <font>
      <b/>
      <sz val="14"/>
      <color rgb="FF333333"/>
      <name val="Arial"/>
      <family val="2"/>
    </font>
    <font>
      <sz val="14"/>
      <color rgb="FF333333"/>
      <name val="Arial"/>
      <family val="2"/>
    </font>
    <font>
      <b/>
      <sz val="14"/>
      <color rgb="FFFF0000"/>
      <name val="Arial"/>
      <family val="2"/>
    </font>
    <font>
      <sz val="14"/>
      <color rgb="FFFF0000"/>
      <name val="Arial"/>
      <family val="2"/>
    </font>
    <font>
      <b/>
      <sz val="14"/>
      <color rgb="FFFFFFFF"/>
      <name val="Arial"/>
      <family val="2"/>
    </font>
    <font>
      <sz val="11"/>
      <color theme="1"/>
      <name val="Calibri"/>
      <family val="2"/>
    </font>
    <font>
      <sz val="11"/>
      <color rgb="FFC00000"/>
      <name val="Calibri"/>
      <family val="2"/>
    </font>
    <font>
      <b/>
      <sz val="11"/>
      <color rgb="FF000000"/>
      <name val="Calibri"/>
      <family val="2"/>
    </font>
    <font>
      <b/>
      <sz val="9"/>
      <color indexed="81"/>
      <name val="Tahoma"/>
      <family val="2"/>
    </font>
    <font>
      <sz val="12"/>
      <color rgb="FFFF0000"/>
      <name val="Arial"/>
      <family val="2"/>
    </font>
    <font>
      <b/>
      <sz val="12"/>
      <name val="Arial"/>
      <family val="2"/>
    </font>
    <font>
      <sz val="1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u/>
      <sz val="16"/>
      <color rgb="FF000000"/>
      <name val="Arial"/>
      <family val="2"/>
    </font>
    <font>
      <sz val="16"/>
      <color rgb="FF000000"/>
      <name val="Arial"/>
      <family val="2"/>
    </font>
    <font>
      <sz val="16"/>
      <color rgb="FFFF0000"/>
      <name val="Arial"/>
      <family val="2"/>
    </font>
    <font>
      <b/>
      <sz val="16"/>
      <color rgb="FFFF0000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b/>
      <u/>
      <sz val="16"/>
      <name val="Arial"/>
      <family val="2"/>
    </font>
    <font>
      <sz val="14"/>
      <name val="Arial"/>
      <family val="2"/>
    </font>
    <font>
      <b/>
      <sz val="16"/>
      <color rgb="FF333333"/>
      <name val="Arial"/>
      <family val="2"/>
    </font>
    <font>
      <sz val="16"/>
      <color rgb="FF333333"/>
      <name val="Arial"/>
      <family val="2"/>
    </font>
    <font>
      <b/>
      <sz val="11"/>
      <color theme="1"/>
      <name val="Calibri"/>
      <family val="2"/>
      <scheme val="minor"/>
    </font>
    <font>
      <sz val="14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0"/>
      <color indexed="63"/>
      <name val="Arial"/>
      <family val="2"/>
    </font>
    <font>
      <sz val="10"/>
      <color indexed="63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rgb="FFC00000"/>
      <name val="Calibri"/>
      <family val="2"/>
      <scheme val="minor"/>
    </font>
    <font>
      <b/>
      <sz val="16"/>
      <color indexed="8"/>
      <name val="Arial"/>
      <family val="2"/>
    </font>
    <font>
      <b/>
      <i/>
      <sz val="16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b/>
      <sz val="18"/>
      <color indexed="63"/>
      <name val="Arial"/>
      <family val="2"/>
    </font>
    <font>
      <sz val="18"/>
      <color indexed="63"/>
      <name val="Arial"/>
      <family val="2"/>
    </font>
    <font>
      <sz val="18"/>
      <color rgb="FF000000"/>
      <name val="Arial"/>
      <family val="2"/>
    </font>
    <font>
      <b/>
      <sz val="18"/>
      <color rgb="FFFF0000"/>
      <name val="Arial"/>
      <family val="2"/>
    </font>
    <font>
      <sz val="18"/>
      <color indexed="8"/>
      <name val="Arial"/>
      <family val="2"/>
    </font>
    <font>
      <sz val="18"/>
      <color rgb="FFFF0000"/>
      <name val="Arial"/>
      <family val="2"/>
    </font>
    <font>
      <sz val="18"/>
      <color indexed="10"/>
      <name val="Arial"/>
      <family val="2"/>
    </font>
    <font>
      <b/>
      <sz val="18"/>
      <color theme="0"/>
      <name val="Arial"/>
      <family val="2"/>
    </font>
    <font>
      <sz val="16"/>
      <color theme="1"/>
      <name val="Calibri"/>
      <family val="2"/>
      <scheme val="minor"/>
    </font>
    <font>
      <sz val="16"/>
      <color rgb="FFC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u/>
      <sz val="16"/>
      <color rgb="FF000000"/>
      <name val="Arial"/>
    </font>
    <font>
      <sz val="16"/>
      <color rgb="FF000000"/>
      <name val="Arial"/>
    </font>
    <font>
      <b/>
      <sz val="16"/>
      <color rgb="FF000000"/>
      <name val="Arial"/>
    </font>
    <font>
      <sz val="16"/>
      <color rgb="FFFF0000"/>
      <name val="Arial"/>
    </font>
    <font>
      <sz val="16"/>
      <name val="Arial"/>
    </font>
    <font>
      <sz val="16"/>
      <color rgb="FFFF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 tint="-0.249977111117893"/>
        <bgColor rgb="FFD8D8D8"/>
      </patternFill>
    </fill>
    <fill>
      <patternFill patternType="solid">
        <fgColor indexed="9"/>
        <bgColor indexed="26"/>
      </patternFill>
    </fill>
    <fill>
      <patternFill patternType="solid">
        <fgColor rgb="FFFFC000"/>
        <bgColor indexed="26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0" tint="-0.14999847407452621"/>
        <bgColor indexed="8"/>
      </patternFill>
    </fill>
    <fill>
      <patternFill patternType="solid">
        <fgColor indexed="9"/>
        <bgColor indexed="8"/>
      </patternFill>
    </fill>
    <fill>
      <patternFill patternType="solid">
        <fgColor theme="0"/>
        <bgColor indexed="26"/>
      </patternFill>
    </fill>
  </fills>
  <borders count="6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rgb="FF000000"/>
      </bottom>
      <diagonal/>
    </border>
    <border>
      <left style="thin">
        <color indexed="64"/>
      </left>
      <right/>
      <top/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</borders>
  <cellStyleXfs count="8">
    <xf numFmtId="0" fontId="0" fillId="0" borderId="0"/>
    <xf numFmtId="0" fontId="2" fillId="0" borderId="0"/>
    <xf numFmtId="0" fontId="1" fillId="0" borderId="0"/>
    <xf numFmtId="164" fontId="12" fillId="0" borderId="0" applyFont="0" applyFill="0" applyBorder="0" applyAlignment="0" applyProtection="0"/>
    <xf numFmtId="0" fontId="1" fillId="0" borderId="0"/>
    <xf numFmtId="0" fontId="1" fillId="0" borderId="0"/>
    <xf numFmtId="0" fontId="2" fillId="0" borderId="0"/>
    <xf numFmtId="164" fontId="12" fillId="0" borderId="0" applyFont="0" applyFill="0" applyBorder="0" applyAlignment="0" applyProtection="0"/>
  </cellStyleXfs>
  <cellXfs count="268">
    <xf numFmtId="0" fontId="0" fillId="0" borderId="0" xfId="0"/>
    <xf numFmtId="0" fontId="2" fillId="0" borderId="0" xfId="1"/>
    <xf numFmtId="0" fontId="2" fillId="4" borderId="0" xfId="1" applyFill="1"/>
    <xf numFmtId="0" fontId="6" fillId="5" borderId="5" xfId="1" applyFont="1" applyFill="1" applyBorder="1" applyAlignment="1">
      <alignment horizontal="center" vertical="center" wrapText="1"/>
    </xf>
    <xf numFmtId="0" fontId="6" fillId="5" borderId="6" xfId="1" applyFont="1" applyFill="1" applyBorder="1" applyAlignment="1">
      <alignment horizontal="center" vertical="center" wrapText="1"/>
    </xf>
    <xf numFmtId="0" fontId="6" fillId="5" borderId="7" xfId="1" applyFont="1" applyFill="1" applyBorder="1" applyAlignment="1">
      <alignment horizontal="center" vertical="center" wrapText="1"/>
    </xf>
    <xf numFmtId="0" fontId="4" fillId="6" borderId="5" xfId="1" applyFont="1" applyFill="1" applyBorder="1" applyAlignment="1">
      <alignment horizontal="center" vertical="center" wrapText="1"/>
    </xf>
    <xf numFmtId="0" fontId="4" fillId="6" borderId="6" xfId="1" applyFont="1" applyFill="1" applyBorder="1" applyAlignment="1">
      <alignment horizontal="center" vertical="center" wrapText="1"/>
    </xf>
    <xf numFmtId="0" fontId="4" fillId="6" borderId="7" xfId="1" applyFont="1" applyFill="1" applyBorder="1" applyAlignment="1">
      <alignment horizontal="center" vertical="center" wrapText="1"/>
    </xf>
    <xf numFmtId="0" fontId="4" fillId="3" borderId="6" xfId="1" applyFont="1" applyFill="1" applyBorder="1" applyAlignment="1">
      <alignment horizontal="center" vertical="center" wrapText="1"/>
    </xf>
    <xf numFmtId="0" fontId="4" fillId="3" borderId="7" xfId="1" applyFont="1" applyFill="1" applyBorder="1" applyAlignment="1">
      <alignment horizontal="center" vertical="center" wrapText="1"/>
    </xf>
    <xf numFmtId="0" fontId="7" fillId="5" borderId="5" xfId="1" applyFont="1" applyFill="1" applyBorder="1" applyAlignment="1">
      <alignment horizontal="center" vertical="center" wrapText="1"/>
    </xf>
    <xf numFmtId="0" fontId="6" fillId="7" borderId="5" xfId="1" applyFont="1" applyFill="1" applyBorder="1" applyAlignment="1">
      <alignment horizontal="center" vertical="center" wrapText="1"/>
    </xf>
    <xf numFmtId="0" fontId="8" fillId="7" borderId="6" xfId="1" applyFont="1" applyFill="1" applyBorder="1" applyAlignment="1">
      <alignment horizontal="center" vertical="center" wrapText="1"/>
    </xf>
    <xf numFmtId="9" fontId="8" fillId="7" borderId="7" xfId="1" applyNumberFormat="1" applyFont="1" applyFill="1" applyBorder="1" applyAlignment="1">
      <alignment horizontal="center" vertical="center"/>
    </xf>
    <xf numFmtId="0" fontId="9" fillId="8" borderId="8" xfId="0" applyFont="1" applyFill="1" applyBorder="1" applyAlignment="1">
      <alignment horizontal="center" wrapText="1"/>
    </xf>
    <xf numFmtId="0" fontId="9" fillId="0" borderId="0" xfId="0" applyFont="1"/>
    <xf numFmtId="0" fontId="10" fillId="8" borderId="8" xfId="0" applyFont="1" applyFill="1" applyBorder="1" applyAlignment="1">
      <alignment horizontal="center" wrapText="1"/>
    </xf>
    <xf numFmtId="168" fontId="18" fillId="9" borderId="2" xfId="1" applyNumberFormat="1" applyFont="1" applyFill="1" applyBorder="1" applyAlignment="1">
      <alignment horizontal="center" vertical="center"/>
    </xf>
    <xf numFmtId="0" fontId="19" fillId="10" borderId="2" xfId="1" applyFont="1" applyFill="1" applyBorder="1" applyAlignment="1">
      <alignment horizontal="center" vertical="center"/>
    </xf>
    <xf numFmtId="168" fontId="20" fillId="11" borderId="2" xfId="1" applyNumberFormat="1" applyFont="1" applyFill="1" applyBorder="1" applyAlignment="1">
      <alignment horizontal="center" vertical="center"/>
    </xf>
    <xf numFmtId="166" fontId="21" fillId="11" borderId="2" xfId="1" applyNumberFormat="1" applyFont="1" applyFill="1" applyBorder="1" applyAlignment="1">
      <alignment horizontal="center" vertical="center"/>
    </xf>
    <xf numFmtId="166" fontId="22" fillId="11" borderId="2" xfId="1" applyNumberFormat="1" applyFont="1" applyFill="1" applyBorder="1" applyAlignment="1">
      <alignment horizontal="center" vertical="center"/>
    </xf>
    <xf numFmtId="166" fontId="20" fillId="11" borderId="2" xfId="1" applyNumberFormat="1" applyFont="1" applyFill="1" applyBorder="1" applyAlignment="1">
      <alignment horizontal="center" vertical="center"/>
    </xf>
    <xf numFmtId="166" fontId="18" fillId="12" borderId="2" xfId="1" applyNumberFormat="1" applyFont="1" applyFill="1" applyBorder="1" applyAlignment="1">
      <alignment horizontal="center" vertical="center"/>
    </xf>
    <xf numFmtId="166" fontId="23" fillId="2" borderId="2" xfId="1" applyNumberFormat="1" applyFont="1" applyFill="1" applyBorder="1" applyAlignment="1">
      <alignment horizontal="center" vertical="center"/>
    </xf>
    <xf numFmtId="0" fontId="20" fillId="10" borderId="2" xfId="1" applyFont="1" applyFill="1" applyBorder="1" applyAlignment="1">
      <alignment horizontal="center" vertical="center"/>
    </xf>
    <xf numFmtId="166" fontId="24" fillId="2" borderId="2" xfId="1" applyNumberFormat="1" applyFont="1" applyFill="1" applyBorder="1" applyAlignment="1">
      <alignment horizontal="center" vertical="center"/>
    </xf>
    <xf numFmtId="166" fontId="20" fillId="10" borderId="2" xfId="1" applyNumberFormat="1" applyFont="1" applyFill="1" applyBorder="1" applyAlignment="1">
      <alignment horizontal="center" vertical="center"/>
    </xf>
    <xf numFmtId="166" fontId="20" fillId="2" borderId="2" xfId="1" applyNumberFormat="1" applyFont="1" applyFill="1" applyBorder="1" applyAlignment="1">
      <alignment horizontal="center" vertical="center"/>
    </xf>
    <xf numFmtId="166" fontId="20" fillId="0" borderId="2" xfId="1" applyNumberFormat="1" applyFont="1" applyBorder="1" applyAlignment="1">
      <alignment horizontal="center" vertical="center"/>
    </xf>
    <xf numFmtId="166" fontId="25" fillId="13" borderId="2" xfId="1" applyNumberFormat="1" applyFont="1" applyFill="1" applyBorder="1" applyAlignment="1">
      <alignment horizontal="center" vertical="center"/>
    </xf>
    <xf numFmtId="168" fontId="20" fillId="2" borderId="2" xfId="2" applyNumberFormat="1" applyFont="1" applyFill="1" applyBorder="1" applyAlignment="1">
      <alignment horizontal="center" vertical="center"/>
    </xf>
    <xf numFmtId="168" fontId="23" fillId="2" borderId="3" xfId="1" applyNumberFormat="1" applyFont="1" applyFill="1" applyBorder="1" applyAlignment="1">
      <alignment horizontal="center" vertical="center"/>
    </xf>
    <xf numFmtId="166" fontId="26" fillId="0" borderId="0" xfId="0" applyNumberFormat="1" applyFont="1"/>
    <xf numFmtId="168" fontId="27" fillId="0" borderId="9" xfId="4" applyNumberFormat="1" applyFont="1" applyBorder="1" applyAlignment="1">
      <alignment horizontal="center" vertical="center"/>
    </xf>
    <xf numFmtId="168" fontId="26" fillId="0" borderId="9" xfId="0" applyNumberFormat="1" applyFont="1" applyBorder="1" applyAlignment="1">
      <alignment horizontal="center" vertical="center"/>
    </xf>
    <xf numFmtId="168" fontId="27" fillId="0" borderId="9" xfId="0" applyNumberFormat="1" applyFont="1" applyBorder="1" applyAlignment="1">
      <alignment horizontal="center" vertical="center"/>
    </xf>
    <xf numFmtId="0" fontId="26" fillId="0" borderId="0" xfId="0" applyFont="1"/>
    <xf numFmtId="2" fontId="28" fillId="0" borderId="9" xfId="0" applyNumberFormat="1" applyFont="1" applyBorder="1" applyAlignment="1">
      <alignment horizontal="center" vertical="center"/>
    </xf>
    <xf numFmtId="0" fontId="5" fillId="3" borderId="10" xfId="1" applyFont="1" applyFill="1" applyBorder="1" applyAlignment="1">
      <alignment horizontal="center" vertical="center" wrapText="1"/>
    </xf>
    <xf numFmtId="0" fontId="5" fillId="3" borderId="10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 wrapText="1"/>
    </xf>
    <xf numFmtId="0" fontId="32" fillId="0" borderId="0" xfId="0" applyFont="1"/>
    <xf numFmtId="0" fontId="31" fillId="3" borderId="5" xfId="1" applyFont="1" applyFill="1" applyBorder="1" applyAlignment="1">
      <alignment horizontal="center" vertical="center" wrapText="1"/>
    </xf>
    <xf numFmtId="0" fontId="4" fillId="0" borderId="0" xfId="1" applyFont="1"/>
    <xf numFmtId="49" fontId="15" fillId="4" borderId="1" xfId="1" applyNumberFormat="1" applyFont="1" applyFill="1" applyBorder="1" applyAlignment="1">
      <alignment horizontal="center" vertical="center" wrapText="1"/>
    </xf>
    <xf numFmtId="49" fontId="15" fillId="2" borderId="2" xfId="1" applyNumberFormat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166" fontId="11" fillId="4" borderId="2" xfId="1" applyNumberFormat="1" applyFont="1" applyFill="1" applyBorder="1" applyAlignment="1">
      <alignment horizontal="center" vertical="center" wrapText="1"/>
    </xf>
    <xf numFmtId="167" fontId="17" fillId="2" borderId="2" xfId="1" applyNumberFormat="1" applyFont="1" applyFill="1" applyBorder="1" applyAlignment="1">
      <alignment horizontal="center" vertical="center" wrapText="1"/>
    </xf>
    <xf numFmtId="0" fontId="0" fillId="4" borderId="0" xfId="0" applyFill="1"/>
    <xf numFmtId="0" fontId="32" fillId="4" borderId="0" xfId="0" applyFont="1" applyFill="1"/>
    <xf numFmtId="0" fontId="0" fillId="4" borderId="0" xfId="0" applyFill="1" applyAlignment="1">
      <alignment vertical="center" wrapText="1"/>
    </xf>
    <xf numFmtId="0" fontId="32" fillId="4" borderId="0" xfId="0" applyFont="1" applyFill="1" applyAlignment="1">
      <alignment vertical="center" wrapText="1"/>
    </xf>
    <xf numFmtId="0" fontId="5" fillId="3" borderId="15" xfId="1" applyFont="1" applyFill="1" applyBorder="1" applyAlignment="1">
      <alignment horizontal="center" vertical="center" wrapText="1"/>
    </xf>
    <xf numFmtId="0" fontId="5" fillId="3" borderId="16" xfId="2" applyFont="1" applyFill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wrapText="1"/>
    </xf>
    <xf numFmtId="0" fontId="13" fillId="0" borderId="20" xfId="1" applyFont="1" applyBorder="1" applyAlignment="1">
      <alignment horizontal="center" vertical="center" wrapText="1"/>
    </xf>
    <xf numFmtId="166" fontId="13" fillId="4" borderId="20" xfId="1" applyNumberFormat="1" applyFont="1" applyFill="1" applyBorder="1" applyAlignment="1">
      <alignment horizontal="center" vertical="center" wrapText="1"/>
    </xf>
    <xf numFmtId="0" fontId="14" fillId="4" borderId="20" xfId="1" applyFont="1" applyFill="1" applyBorder="1" applyAlignment="1">
      <alignment horizontal="center" vertical="center" wrapText="1"/>
    </xf>
    <xf numFmtId="166" fontId="13" fillId="0" borderId="22" xfId="1" applyNumberFormat="1" applyFont="1" applyBorder="1" applyAlignment="1">
      <alignment horizontal="center" vertical="center" wrapText="1"/>
    </xf>
    <xf numFmtId="0" fontId="38" fillId="0" borderId="21" xfId="1" applyFont="1" applyBorder="1" applyAlignment="1">
      <alignment horizontal="left" vertical="center" wrapText="1"/>
    </xf>
    <xf numFmtId="0" fontId="41" fillId="0" borderId="0" xfId="0" applyFont="1" applyAlignment="1">
      <alignment vertical="center" wrapText="1"/>
    </xf>
    <xf numFmtId="0" fontId="2" fillId="0" borderId="0" xfId="0" applyFont="1"/>
    <xf numFmtId="0" fontId="11" fillId="0" borderId="26" xfId="0" applyFont="1" applyBorder="1"/>
    <xf numFmtId="0" fontId="11" fillId="0" borderId="0" xfId="0" applyFont="1"/>
    <xf numFmtId="49" fontId="15" fillId="4" borderId="27" xfId="1" applyNumberFormat="1" applyFont="1" applyFill="1" applyBorder="1" applyAlignment="1">
      <alignment horizontal="center" vertical="center" wrapText="1"/>
    </xf>
    <xf numFmtId="49" fontId="15" fillId="2" borderId="28" xfId="1" applyNumberFormat="1" applyFont="1" applyFill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 wrapText="1"/>
    </xf>
    <xf numFmtId="167" fontId="17" fillId="2" borderId="28" xfId="1" applyNumberFormat="1" applyFont="1" applyFill="1" applyBorder="1" applyAlignment="1">
      <alignment horizontal="center" vertical="center" wrapText="1"/>
    </xf>
    <xf numFmtId="168" fontId="18" fillId="9" borderId="28" xfId="1" applyNumberFormat="1" applyFont="1" applyFill="1" applyBorder="1" applyAlignment="1">
      <alignment horizontal="center" vertical="center"/>
    </xf>
    <xf numFmtId="0" fontId="19" fillId="10" borderId="28" xfId="1" applyFont="1" applyFill="1" applyBorder="1" applyAlignment="1">
      <alignment horizontal="center" vertical="center"/>
    </xf>
    <xf numFmtId="168" fontId="20" fillId="11" borderId="28" xfId="1" applyNumberFormat="1" applyFont="1" applyFill="1" applyBorder="1" applyAlignment="1">
      <alignment horizontal="center" vertical="center"/>
    </xf>
    <xf numFmtId="166" fontId="21" fillId="11" borderId="28" xfId="1" applyNumberFormat="1" applyFont="1" applyFill="1" applyBorder="1" applyAlignment="1">
      <alignment horizontal="center" vertical="center"/>
    </xf>
    <xf numFmtId="166" fontId="22" fillId="11" borderId="28" xfId="1" applyNumberFormat="1" applyFont="1" applyFill="1" applyBorder="1" applyAlignment="1">
      <alignment horizontal="center" vertical="center"/>
    </xf>
    <xf numFmtId="166" fontId="20" fillId="11" borderId="28" xfId="1" applyNumberFormat="1" applyFont="1" applyFill="1" applyBorder="1" applyAlignment="1">
      <alignment horizontal="center" vertical="center"/>
    </xf>
    <xf numFmtId="166" fontId="18" fillId="12" borderId="28" xfId="1" applyNumberFormat="1" applyFont="1" applyFill="1" applyBorder="1" applyAlignment="1">
      <alignment horizontal="center" vertical="center"/>
    </xf>
    <xf numFmtId="166" fontId="23" fillId="2" borderId="28" xfId="1" applyNumberFormat="1" applyFont="1" applyFill="1" applyBorder="1" applyAlignment="1">
      <alignment horizontal="center" vertical="center"/>
    </xf>
    <xf numFmtId="166" fontId="11" fillId="4" borderId="28" xfId="1" applyNumberFormat="1" applyFont="1" applyFill="1" applyBorder="1" applyAlignment="1">
      <alignment horizontal="center" vertical="center" wrapText="1"/>
    </xf>
    <xf numFmtId="0" fontId="20" fillId="10" borderId="28" xfId="1" applyFont="1" applyFill="1" applyBorder="1" applyAlignment="1">
      <alignment horizontal="center" vertical="center"/>
    </xf>
    <xf numFmtId="166" fontId="24" fillId="2" borderId="28" xfId="1" applyNumberFormat="1" applyFont="1" applyFill="1" applyBorder="1" applyAlignment="1">
      <alignment horizontal="center" vertical="center"/>
    </xf>
    <xf numFmtId="166" fontId="20" fillId="10" borderId="28" xfId="1" applyNumberFormat="1" applyFont="1" applyFill="1" applyBorder="1" applyAlignment="1">
      <alignment horizontal="center" vertical="center"/>
    </xf>
    <xf numFmtId="166" fontId="20" fillId="0" borderId="28" xfId="1" applyNumberFormat="1" applyFont="1" applyBorder="1" applyAlignment="1">
      <alignment horizontal="center" vertical="center"/>
    </xf>
    <xf numFmtId="166" fontId="25" fillId="13" borderId="28" xfId="1" applyNumberFormat="1" applyFont="1" applyFill="1" applyBorder="1" applyAlignment="1">
      <alignment horizontal="center" vertical="center"/>
    </xf>
    <xf numFmtId="168" fontId="20" fillId="2" borderId="28" xfId="2" applyNumberFormat="1" applyFont="1" applyFill="1" applyBorder="1" applyAlignment="1">
      <alignment horizontal="center" vertical="center"/>
    </xf>
    <xf numFmtId="168" fontId="23" fillId="2" borderId="29" xfId="1" applyNumberFormat="1" applyFont="1" applyFill="1" applyBorder="1" applyAlignment="1">
      <alignment horizontal="center" vertical="center"/>
    </xf>
    <xf numFmtId="49" fontId="41" fillId="0" borderId="23" xfId="0" applyNumberFormat="1" applyFont="1" applyBorder="1" applyAlignment="1">
      <alignment horizontal="center" vertical="center" wrapText="1"/>
    </xf>
    <xf numFmtId="49" fontId="41" fillId="0" borderId="24" xfId="0" applyNumberFormat="1" applyFont="1" applyBorder="1" applyAlignment="1">
      <alignment horizontal="center" vertical="center" wrapText="1"/>
    </xf>
    <xf numFmtId="49" fontId="11" fillId="0" borderId="24" xfId="0" applyNumberFormat="1" applyFont="1" applyBorder="1" applyAlignment="1">
      <alignment horizontal="center" vertical="center" wrapText="1"/>
    </xf>
    <xf numFmtId="49" fontId="41" fillId="0" borderId="30" xfId="0" applyNumberFormat="1" applyFont="1" applyBorder="1" applyAlignment="1">
      <alignment horizontal="center" vertical="center" wrapText="1"/>
    </xf>
    <xf numFmtId="166" fontId="42" fillId="15" borderId="24" xfId="0" applyNumberFormat="1" applyFont="1" applyFill="1" applyBorder="1" applyAlignment="1">
      <alignment horizontal="center" vertical="center"/>
    </xf>
    <xf numFmtId="166" fontId="43" fillId="15" borderId="24" xfId="0" applyNumberFormat="1" applyFont="1" applyFill="1" applyBorder="1" applyAlignment="1">
      <alignment horizontal="center" vertical="center"/>
    </xf>
    <xf numFmtId="166" fontId="41" fillId="14" borderId="24" xfId="0" applyNumberFormat="1" applyFont="1" applyFill="1" applyBorder="1" applyAlignment="1">
      <alignment horizontal="center" vertical="center"/>
    </xf>
    <xf numFmtId="166" fontId="39" fillId="17" borderId="24" xfId="0" applyNumberFormat="1" applyFont="1" applyFill="1" applyBorder="1" applyAlignment="1">
      <alignment horizontal="center" vertical="center"/>
    </xf>
    <xf numFmtId="166" fontId="41" fillId="18" borderId="24" xfId="0" applyNumberFormat="1" applyFont="1" applyFill="1" applyBorder="1" applyAlignment="1">
      <alignment horizontal="center" vertical="center"/>
    </xf>
    <xf numFmtId="166" fontId="20" fillId="0" borderId="24" xfId="0" applyNumberFormat="1" applyFont="1" applyBorder="1" applyAlignment="1">
      <alignment horizontal="center" vertical="center" wrapText="1"/>
    </xf>
    <xf numFmtId="0" fontId="19" fillId="14" borderId="24" xfId="0" applyFont="1" applyFill="1" applyBorder="1" applyAlignment="1">
      <alignment horizontal="center" vertical="center"/>
    </xf>
    <xf numFmtId="166" fontId="20" fillId="12" borderId="24" xfId="0" applyNumberFormat="1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 wrapText="1"/>
    </xf>
    <xf numFmtId="0" fontId="39" fillId="0" borderId="31" xfId="0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wrapText="1"/>
    </xf>
    <xf numFmtId="0" fontId="13" fillId="0" borderId="2" xfId="1" applyFont="1" applyBorder="1" applyAlignment="1">
      <alignment horizontal="center" vertical="center" wrapText="1"/>
    </xf>
    <xf numFmtId="166" fontId="13" fillId="4" borderId="2" xfId="1" applyNumberFormat="1" applyFont="1" applyFill="1" applyBorder="1" applyAlignment="1">
      <alignment horizontal="center" vertical="center" wrapText="1"/>
    </xf>
    <xf numFmtId="0" fontId="14" fillId="4" borderId="2" xfId="1" applyFont="1" applyFill="1" applyBorder="1" applyAlignment="1">
      <alignment horizontal="center" vertical="center" wrapText="1"/>
    </xf>
    <xf numFmtId="166" fontId="13" fillId="0" borderId="33" xfId="1" applyNumberFormat="1" applyFont="1" applyBorder="1" applyAlignment="1">
      <alignment horizontal="center" vertical="center" wrapText="1"/>
    </xf>
    <xf numFmtId="0" fontId="39" fillId="0" borderId="34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wrapText="1"/>
    </xf>
    <xf numFmtId="0" fontId="13" fillId="0" borderId="35" xfId="0" applyFont="1" applyBorder="1" applyAlignment="1">
      <alignment horizontal="center" vertical="center" wrapText="1"/>
    </xf>
    <xf numFmtId="168" fontId="13" fillId="0" borderId="35" xfId="0" applyNumberFormat="1" applyFont="1" applyBorder="1" applyAlignment="1">
      <alignment horizontal="center" vertical="center"/>
    </xf>
    <xf numFmtId="0" fontId="39" fillId="0" borderId="36" xfId="0" applyFont="1" applyBorder="1" applyAlignment="1">
      <alignment horizontal="center" vertical="center" wrapText="1"/>
    </xf>
    <xf numFmtId="166" fontId="13" fillId="0" borderId="39" xfId="1" applyNumberFormat="1" applyFont="1" applyBorder="1" applyAlignment="1">
      <alignment horizontal="center" vertical="center" wrapText="1"/>
    </xf>
    <xf numFmtId="0" fontId="39" fillId="0" borderId="40" xfId="0" applyFont="1" applyBorder="1" applyAlignment="1">
      <alignment horizontal="center" vertical="center" wrapText="1"/>
    </xf>
    <xf numFmtId="166" fontId="13" fillId="0" borderId="42" xfId="1" applyNumberFormat="1" applyFont="1" applyBorder="1" applyAlignment="1">
      <alignment horizontal="center" vertical="center" wrapText="1"/>
    </xf>
    <xf numFmtId="0" fontId="5" fillId="3" borderId="43" xfId="2" applyFont="1" applyFill="1" applyBorder="1" applyAlignment="1">
      <alignment horizontal="center" vertical="center" wrapText="1"/>
    </xf>
    <xf numFmtId="0" fontId="5" fillId="3" borderId="48" xfId="2" applyFont="1" applyFill="1" applyBorder="1" applyAlignment="1">
      <alignment horizontal="center" vertical="center" wrapText="1"/>
    </xf>
    <xf numFmtId="166" fontId="13" fillId="0" borderId="11" xfId="0" applyNumberFormat="1" applyFont="1" applyBorder="1" applyAlignment="1">
      <alignment horizontal="center" vertical="center" wrapText="1"/>
    </xf>
    <xf numFmtId="165" fontId="19" fillId="0" borderId="2" xfId="3" applyNumberFormat="1" applyFont="1" applyFill="1" applyBorder="1" applyAlignment="1">
      <alignment horizontal="center" vertical="center" wrapText="1"/>
    </xf>
    <xf numFmtId="165" fontId="19" fillId="0" borderId="38" xfId="3" applyNumberFormat="1" applyFont="1" applyFill="1" applyBorder="1" applyAlignment="1">
      <alignment horizontal="center" vertical="center" wrapText="1"/>
    </xf>
    <xf numFmtId="0" fontId="19" fillId="0" borderId="35" xfId="0" applyFont="1" applyBorder="1" applyAlignment="1">
      <alignment horizontal="center" vertical="center" wrapText="1"/>
    </xf>
    <xf numFmtId="0" fontId="38" fillId="0" borderId="44" xfId="1" applyFont="1" applyBorder="1" applyAlignment="1">
      <alignment horizontal="left" vertical="center" wrapText="1"/>
    </xf>
    <xf numFmtId="49" fontId="15" fillId="2" borderId="0" xfId="1" applyNumberFormat="1" applyFont="1" applyFill="1" applyAlignment="1">
      <alignment horizontal="center" vertical="center" wrapText="1"/>
    </xf>
    <xf numFmtId="0" fontId="2" fillId="0" borderId="0" xfId="6"/>
    <xf numFmtId="166" fontId="11" fillId="0" borderId="0" xfId="6" applyNumberFormat="1" applyFont="1" applyAlignment="1">
      <alignment horizontal="center" vertical="center"/>
    </xf>
    <xf numFmtId="168" fontId="46" fillId="4" borderId="1" xfId="1" applyNumberFormat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horizontal="center" vertical="center"/>
    </xf>
    <xf numFmtId="168" fontId="46" fillId="6" borderId="2" xfId="1" applyNumberFormat="1" applyFont="1" applyFill="1" applyBorder="1" applyAlignment="1">
      <alignment horizontal="center" vertical="center"/>
    </xf>
    <xf numFmtId="166" fontId="47" fillId="6" borderId="2" xfId="1" applyNumberFormat="1" applyFont="1" applyFill="1" applyBorder="1" applyAlignment="1">
      <alignment horizontal="center" vertical="center"/>
    </xf>
    <xf numFmtId="166" fontId="48" fillId="6" borderId="2" xfId="1" applyNumberFormat="1" applyFont="1" applyFill="1" applyBorder="1" applyAlignment="1">
      <alignment horizontal="center" vertical="center"/>
    </xf>
    <xf numFmtId="166" fontId="46" fillId="6" borderId="3" xfId="1" applyNumberFormat="1" applyFont="1" applyFill="1" applyBorder="1" applyAlignment="1">
      <alignment horizontal="center" vertical="center"/>
    </xf>
    <xf numFmtId="166" fontId="46" fillId="4" borderId="50" xfId="1" applyNumberFormat="1" applyFont="1" applyFill="1" applyBorder="1" applyAlignment="1">
      <alignment horizontal="center" vertical="center"/>
    </xf>
    <xf numFmtId="166" fontId="49" fillId="4" borderId="51" xfId="1" applyNumberFormat="1" applyFont="1" applyFill="1" applyBorder="1" applyAlignment="1">
      <alignment horizontal="center" vertical="center"/>
    </xf>
    <xf numFmtId="166" fontId="2" fillId="4" borderId="52" xfId="1" applyNumberFormat="1" applyFill="1" applyBorder="1" applyAlignment="1">
      <alignment horizontal="center" vertical="center" wrapText="1"/>
    </xf>
    <xf numFmtId="166" fontId="46" fillId="12" borderId="8" xfId="1" applyNumberFormat="1" applyFont="1" applyFill="1" applyBorder="1" applyAlignment="1">
      <alignment horizontal="center" vertical="center"/>
    </xf>
    <xf numFmtId="0" fontId="46" fillId="9" borderId="8" xfId="1" applyFont="1" applyFill="1" applyBorder="1" applyAlignment="1">
      <alignment horizontal="center" vertical="center"/>
    </xf>
    <xf numFmtId="166" fontId="50" fillId="4" borderId="51" xfId="1" applyNumberFormat="1" applyFont="1" applyFill="1" applyBorder="1" applyAlignment="1">
      <alignment horizontal="center" vertical="center"/>
    </xf>
    <xf numFmtId="166" fontId="51" fillId="9" borderId="50" xfId="1" applyNumberFormat="1" applyFont="1" applyFill="1" applyBorder="1" applyAlignment="1">
      <alignment horizontal="center" vertical="center"/>
    </xf>
    <xf numFmtId="166" fontId="51" fillId="4" borderId="50" xfId="1" applyNumberFormat="1" applyFont="1" applyFill="1" applyBorder="1" applyAlignment="1">
      <alignment horizontal="center" vertical="center"/>
    </xf>
    <xf numFmtId="166" fontId="46" fillId="0" borderId="53" xfId="1" applyNumberFormat="1" applyFont="1" applyBorder="1" applyAlignment="1">
      <alignment horizontal="center" vertical="center"/>
    </xf>
    <xf numFmtId="166" fontId="52" fillId="7" borderId="54" xfId="1" applyNumberFormat="1" applyFont="1" applyFill="1" applyBorder="1" applyAlignment="1">
      <alignment horizontal="center" vertical="center"/>
    </xf>
    <xf numFmtId="168" fontId="46" fillId="4" borderId="54" xfId="2" applyNumberFormat="1" applyFont="1" applyFill="1" applyBorder="1" applyAlignment="1">
      <alignment horizontal="center" vertical="center"/>
    </xf>
    <xf numFmtId="168" fontId="49" fillId="4" borderId="55" xfId="1" applyNumberFormat="1" applyFont="1" applyFill="1" applyBorder="1" applyAlignment="1">
      <alignment horizontal="center" vertical="center"/>
    </xf>
    <xf numFmtId="166" fontId="2" fillId="0" borderId="0" xfId="6" applyNumberFormat="1"/>
    <xf numFmtId="168" fontId="53" fillId="0" borderId="8" xfId="4" applyNumberFormat="1" applyFont="1" applyBorder="1" applyAlignment="1">
      <alignment horizontal="center" vertical="center"/>
    </xf>
    <xf numFmtId="168" fontId="2" fillId="0" borderId="8" xfId="6" applyNumberFormat="1" applyBorder="1" applyAlignment="1">
      <alignment horizontal="center" vertical="center"/>
    </xf>
    <xf numFmtId="168" fontId="53" fillId="0" borderId="8" xfId="6" applyNumberFormat="1" applyFont="1" applyBorder="1" applyAlignment="1">
      <alignment horizontal="center" vertical="center"/>
    </xf>
    <xf numFmtId="2" fontId="44" fillId="0" borderId="8" xfId="6" applyNumberFormat="1" applyFont="1" applyBorder="1" applyAlignment="1">
      <alignment horizontal="center" vertical="center"/>
    </xf>
    <xf numFmtId="0" fontId="49" fillId="0" borderId="0" xfId="1" applyFont="1"/>
    <xf numFmtId="0" fontId="50" fillId="4" borderId="0" xfId="1" applyFont="1" applyFill="1"/>
    <xf numFmtId="0" fontId="39" fillId="4" borderId="0" xfId="1" applyFont="1" applyFill="1" applyAlignment="1">
      <alignment horizontal="center" vertical="center"/>
    </xf>
    <xf numFmtId="165" fontId="39" fillId="4" borderId="0" xfId="7" applyNumberFormat="1" applyFont="1" applyFill="1" applyBorder="1" applyAlignment="1">
      <alignment horizontal="center" vertical="center" wrapText="1"/>
    </xf>
    <xf numFmtId="170" fontId="36" fillId="4" borderId="0" xfId="1" applyNumberFormat="1" applyFont="1" applyFill="1" applyAlignment="1">
      <alignment horizontal="center"/>
    </xf>
    <xf numFmtId="0" fontId="13" fillId="0" borderId="0" xfId="1" applyFont="1" applyAlignment="1">
      <alignment horizontal="center" vertical="center" wrapText="1"/>
    </xf>
    <xf numFmtId="166" fontId="13" fillId="4" borderId="0" xfId="1" applyNumberFormat="1" applyFont="1" applyFill="1" applyAlignment="1">
      <alignment horizontal="center" vertical="center" wrapText="1"/>
    </xf>
    <xf numFmtId="0" fontId="14" fillId="19" borderId="0" xfId="1" applyFont="1" applyFill="1" applyAlignment="1">
      <alignment horizontal="center" vertical="center" wrapText="1"/>
    </xf>
    <xf numFmtId="0" fontId="41" fillId="0" borderId="0" xfId="1" applyFont="1" applyAlignment="1">
      <alignment horizontal="center" vertical="center" wrapText="1"/>
    </xf>
    <xf numFmtId="49" fontId="41" fillId="2" borderId="0" xfId="1" applyNumberFormat="1" applyFont="1" applyFill="1" applyAlignment="1">
      <alignment horizontal="center" vertical="center" wrapText="1"/>
    </xf>
    <xf numFmtId="49" fontId="56" fillId="2" borderId="0" xfId="1" applyNumberFormat="1" applyFont="1" applyFill="1" applyAlignment="1">
      <alignment horizontal="center" vertical="center" wrapText="1"/>
    </xf>
    <xf numFmtId="167" fontId="56" fillId="2" borderId="0" xfId="1" applyNumberFormat="1" applyFont="1" applyFill="1" applyAlignment="1">
      <alignment vertical="center" wrapText="1"/>
    </xf>
    <xf numFmtId="0" fontId="13" fillId="21" borderId="0" xfId="1" applyFont="1" applyFill="1" applyAlignment="1">
      <alignment horizontal="center" vertical="center"/>
    </xf>
    <xf numFmtId="168" fontId="57" fillId="6" borderId="0" xfId="1" applyNumberFormat="1" applyFont="1" applyFill="1" applyAlignment="1">
      <alignment horizontal="center" vertical="center"/>
    </xf>
    <xf numFmtId="166" fontId="58" fillId="6" borderId="0" xfId="1" applyNumberFormat="1" applyFont="1" applyFill="1" applyAlignment="1">
      <alignment horizontal="center" vertical="center"/>
    </xf>
    <xf numFmtId="166" fontId="59" fillId="6" borderId="0" xfId="1" applyNumberFormat="1" applyFont="1" applyFill="1" applyAlignment="1">
      <alignment horizontal="center" vertical="center"/>
    </xf>
    <xf numFmtId="166" fontId="57" fillId="6" borderId="0" xfId="1" applyNumberFormat="1" applyFont="1" applyFill="1" applyAlignment="1">
      <alignment horizontal="center" vertical="center"/>
    </xf>
    <xf numFmtId="166" fontId="60" fillId="2" borderId="0" xfId="1" applyNumberFormat="1" applyFont="1" applyFill="1" applyAlignment="1">
      <alignment horizontal="center" vertical="center"/>
    </xf>
    <xf numFmtId="166" fontId="61" fillId="4" borderId="0" xfId="1" applyNumberFormat="1" applyFont="1" applyFill="1" applyAlignment="1">
      <alignment horizontal="center" vertical="center"/>
    </xf>
    <xf numFmtId="166" fontId="56" fillId="4" borderId="0" xfId="1" applyNumberFormat="1" applyFont="1" applyFill="1" applyAlignment="1">
      <alignment horizontal="center" vertical="center" wrapText="1"/>
    </xf>
    <xf numFmtId="166" fontId="62" fillId="22" borderId="0" xfId="1" applyNumberFormat="1" applyFont="1" applyFill="1" applyAlignment="1">
      <alignment horizontal="center" vertical="center"/>
    </xf>
    <xf numFmtId="0" fontId="60" fillId="21" borderId="0" xfId="1" applyFont="1" applyFill="1" applyAlignment="1">
      <alignment horizontal="center" vertical="center"/>
    </xf>
    <xf numFmtId="166" fontId="63" fillId="4" borderId="0" xfId="1" applyNumberFormat="1" applyFont="1" applyFill="1" applyAlignment="1">
      <alignment horizontal="center" vertical="center"/>
    </xf>
    <xf numFmtId="166" fontId="13" fillId="9" borderId="0" xfId="1" applyNumberFormat="1" applyFont="1" applyFill="1" applyAlignment="1">
      <alignment horizontal="center" vertical="center"/>
    </xf>
    <xf numFmtId="166" fontId="64" fillId="23" borderId="0" xfId="1" applyNumberFormat="1" applyFont="1" applyFill="1" applyAlignment="1">
      <alignment horizontal="center" vertical="center"/>
    </xf>
    <xf numFmtId="166" fontId="57" fillId="0" borderId="0" xfId="1" applyNumberFormat="1" applyFont="1" applyAlignment="1">
      <alignment horizontal="center" vertical="center"/>
    </xf>
    <xf numFmtId="166" fontId="65" fillId="7" borderId="0" xfId="1" applyNumberFormat="1" applyFont="1" applyFill="1" applyAlignment="1">
      <alignment horizontal="center" vertical="center"/>
    </xf>
    <xf numFmtId="168" fontId="57" fillId="4" borderId="0" xfId="2" applyNumberFormat="1" applyFont="1" applyFill="1" applyAlignment="1">
      <alignment horizontal="center" vertical="center"/>
    </xf>
    <xf numFmtId="168" fontId="61" fillId="4" borderId="0" xfId="1" applyNumberFormat="1" applyFont="1" applyFill="1" applyAlignment="1">
      <alignment horizontal="center" vertical="center"/>
    </xf>
    <xf numFmtId="168" fontId="66" fillId="0" borderId="0" xfId="0" applyNumberFormat="1" applyFont="1" applyAlignment="1">
      <alignment horizontal="center" vertical="center"/>
    </xf>
    <xf numFmtId="168" fontId="67" fillId="0" borderId="0" xfId="0" applyNumberFormat="1" applyFont="1" applyAlignment="1">
      <alignment horizontal="center" vertical="center"/>
    </xf>
    <xf numFmtId="0" fontId="66" fillId="0" borderId="0" xfId="0" applyFont="1"/>
    <xf numFmtId="2" fontId="68" fillId="0" borderId="0" xfId="0" applyNumberFormat="1" applyFont="1" applyAlignment="1">
      <alignment horizontal="center" vertical="center"/>
    </xf>
    <xf numFmtId="0" fontId="1" fillId="0" borderId="0" xfId="4"/>
    <xf numFmtId="0" fontId="54" fillId="20" borderId="59" xfId="1" applyFont="1" applyFill="1" applyBorder="1" applyAlignment="1">
      <alignment horizontal="center" vertical="center" wrapText="1"/>
    </xf>
    <xf numFmtId="166" fontId="13" fillId="0" borderId="60" xfId="4" applyNumberFormat="1" applyFont="1" applyBorder="1" applyAlignment="1">
      <alignment horizontal="center" vertical="center" wrapText="1"/>
    </xf>
    <xf numFmtId="0" fontId="54" fillId="24" borderId="1" xfId="1" applyFont="1" applyFill="1" applyBorder="1" applyAlignment="1">
      <alignment horizontal="center" vertical="center" wrapText="1"/>
    </xf>
    <xf numFmtId="166" fontId="13" fillId="0" borderId="3" xfId="4" applyNumberFormat="1" applyFont="1" applyBorder="1" applyAlignment="1">
      <alignment horizontal="center" vertical="center" wrapText="1"/>
    </xf>
    <xf numFmtId="0" fontId="54" fillId="24" borderId="52" xfId="1" applyFont="1" applyFill="1" applyBorder="1" applyAlignment="1">
      <alignment horizontal="center" vertical="center" wrapText="1"/>
    </xf>
    <xf numFmtId="166" fontId="13" fillId="0" borderId="61" xfId="4" applyNumberFormat="1" applyFont="1" applyBorder="1" applyAlignment="1">
      <alignment horizontal="center" vertical="center" wrapText="1"/>
    </xf>
    <xf numFmtId="0" fontId="69" fillId="3" borderId="15" xfId="1" applyFont="1" applyFill="1" applyBorder="1" applyAlignment="1">
      <alignment horizontal="center" vertical="center" wrapText="1"/>
    </xf>
    <xf numFmtId="0" fontId="69" fillId="3" borderId="10" xfId="1" applyFont="1" applyFill="1" applyBorder="1" applyAlignment="1">
      <alignment horizontal="center" vertical="center" wrapText="1"/>
    </xf>
    <xf numFmtId="0" fontId="69" fillId="3" borderId="10" xfId="2" applyFont="1" applyFill="1" applyBorder="1" applyAlignment="1">
      <alignment horizontal="center" vertical="center" wrapText="1"/>
    </xf>
    <xf numFmtId="0" fontId="69" fillId="3" borderId="43" xfId="2" applyFont="1" applyFill="1" applyBorder="1" applyAlignment="1">
      <alignment horizontal="center" vertical="center" wrapText="1"/>
    </xf>
    <xf numFmtId="0" fontId="69" fillId="3" borderId="48" xfId="2" applyFont="1" applyFill="1" applyBorder="1" applyAlignment="1">
      <alignment horizontal="center" vertical="center" wrapText="1"/>
    </xf>
    <xf numFmtId="0" fontId="38" fillId="0" borderId="45" xfId="1" applyFont="1" applyBorder="1" applyAlignment="1">
      <alignment horizontal="left" vertical="center" wrapText="1"/>
    </xf>
    <xf numFmtId="0" fontId="38" fillId="4" borderId="56" xfId="1" applyFont="1" applyFill="1" applyBorder="1" applyAlignment="1">
      <alignment horizontal="left" vertical="center" wrapText="1"/>
    </xf>
    <xf numFmtId="165" fontId="19" fillId="0" borderId="32" xfId="3" applyNumberFormat="1" applyFont="1" applyFill="1" applyBorder="1" applyAlignment="1">
      <alignment horizontal="center" vertical="center" wrapText="1"/>
    </xf>
    <xf numFmtId="165" fontId="19" fillId="0" borderId="41" xfId="3" applyNumberFormat="1" applyFont="1" applyFill="1" applyBorder="1" applyAlignment="1">
      <alignment horizontal="center" vertical="center" wrapText="1"/>
    </xf>
    <xf numFmtId="0" fontId="30" fillId="0" borderId="37" xfId="0" applyFont="1" applyBorder="1" applyAlignment="1">
      <alignment horizontal="center" wrapText="1"/>
    </xf>
    <xf numFmtId="0" fontId="30" fillId="0" borderId="8" xfId="0" applyFont="1" applyBorder="1" applyAlignment="1">
      <alignment horizontal="center" wrapText="1"/>
    </xf>
    <xf numFmtId="0" fontId="13" fillId="0" borderId="37" xfId="1" applyFont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166" fontId="13" fillId="4" borderId="37" xfId="1" applyNumberFormat="1" applyFont="1" applyFill="1" applyBorder="1" applyAlignment="1">
      <alignment horizontal="center" vertical="center" wrapText="1"/>
    </xf>
    <xf numFmtId="166" fontId="13" fillId="4" borderId="8" xfId="1" applyNumberFormat="1" applyFont="1" applyFill="1" applyBorder="1" applyAlignment="1">
      <alignment horizontal="center" vertical="center" wrapText="1"/>
    </xf>
    <xf numFmtId="0" fontId="14" fillId="4" borderId="37" xfId="1" applyFont="1" applyFill="1" applyBorder="1" applyAlignment="1">
      <alignment horizontal="center" vertical="center" wrapText="1"/>
    </xf>
    <xf numFmtId="0" fontId="14" fillId="4" borderId="8" xfId="1" applyFont="1" applyFill="1" applyBorder="1" applyAlignment="1">
      <alignment horizontal="center" vertical="center" wrapText="1"/>
    </xf>
    <xf numFmtId="165" fontId="19" fillId="0" borderId="37" xfId="3" applyNumberFormat="1" applyFont="1" applyFill="1" applyBorder="1" applyAlignment="1">
      <alignment horizontal="center" vertical="center" wrapText="1"/>
    </xf>
    <xf numFmtId="165" fontId="19" fillId="0" borderId="8" xfId="3" applyNumberFormat="1" applyFont="1" applyFill="1" applyBorder="1" applyAlignment="1">
      <alignment horizontal="center" vertical="center" wrapText="1"/>
    </xf>
    <xf numFmtId="0" fontId="39" fillId="0" borderId="62" xfId="0" applyFont="1" applyBorder="1" applyAlignment="1">
      <alignment horizontal="center" vertical="center" wrapText="1"/>
    </xf>
    <xf numFmtId="0" fontId="39" fillId="0" borderId="50" xfId="0" applyFont="1" applyBorder="1" applyAlignment="1">
      <alignment horizontal="center" vertical="center" wrapText="1"/>
    </xf>
    <xf numFmtId="0" fontId="39" fillId="0" borderId="57" xfId="0" applyFont="1" applyBorder="1" applyAlignment="1">
      <alignment horizontal="center" vertical="center" wrapText="1"/>
    </xf>
    <xf numFmtId="0" fontId="30" fillId="0" borderId="37" xfId="0" applyFont="1" applyBorder="1" applyAlignment="1">
      <alignment horizontal="center" wrapText="1"/>
    </xf>
    <xf numFmtId="0" fontId="30" fillId="0" borderId="8" xfId="0" applyFont="1" applyBorder="1" applyAlignment="1">
      <alignment horizontal="center" wrapText="1"/>
    </xf>
    <xf numFmtId="0" fontId="30" fillId="0" borderId="58" xfId="0" applyFont="1" applyBorder="1" applyAlignment="1">
      <alignment horizontal="center" wrapText="1"/>
    </xf>
    <xf numFmtId="0" fontId="13" fillId="0" borderId="37" xfId="1" applyFont="1" applyBorder="1" applyAlignment="1">
      <alignment horizontal="center" vertical="center" wrapText="1"/>
    </xf>
    <xf numFmtId="0" fontId="13" fillId="0" borderId="8" xfId="1" applyFont="1" applyBorder="1" applyAlignment="1">
      <alignment horizontal="center" vertical="center" wrapText="1"/>
    </xf>
    <xf numFmtId="0" fontId="13" fillId="0" borderId="58" xfId="1" applyFont="1" applyBorder="1" applyAlignment="1">
      <alignment horizontal="center" vertical="center" wrapText="1"/>
    </xf>
    <xf numFmtId="166" fontId="13" fillId="4" borderId="37" xfId="1" applyNumberFormat="1" applyFont="1" applyFill="1" applyBorder="1" applyAlignment="1">
      <alignment horizontal="center" vertical="center" wrapText="1"/>
    </xf>
    <xf numFmtId="166" fontId="13" fillId="4" borderId="8" xfId="1" applyNumberFormat="1" applyFont="1" applyFill="1" applyBorder="1" applyAlignment="1">
      <alignment horizontal="center" vertical="center" wrapText="1"/>
    </xf>
    <xf numFmtId="166" fontId="13" fillId="4" borderId="58" xfId="1" applyNumberFormat="1" applyFont="1" applyFill="1" applyBorder="1" applyAlignment="1">
      <alignment horizontal="center" vertical="center" wrapText="1"/>
    </xf>
    <xf numFmtId="0" fontId="14" fillId="4" borderId="37" xfId="1" applyFont="1" applyFill="1" applyBorder="1" applyAlignment="1">
      <alignment horizontal="center" vertical="center" wrapText="1"/>
    </xf>
    <xf numFmtId="0" fontId="14" fillId="4" borderId="8" xfId="1" applyFont="1" applyFill="1" applyBorder="1" applyAlignment="1">
      <alignment horizontal="center" vertical="center" wrapText="1"/>
    </xf>
    <xf numFmtId="0" fontId="14" fillId="4" borderId="58" xfId="1" applyFont="1" applyFill="1" applyBorder="1" applyAlignment="1">
      <alignment horizontal="center" vertical="center" wrapText="1"/>
    </xf>
    <xf numFmtId="165" fontId="19" fillId="0" borderId="37" xfId="3" applyNumberFormat="1" applyFont="1" applyFill="1" applyBorder="1" applyAlignment="1">
      <alignment horizontal="center" vertical="center" wrapText="1"/>
    </xf>
    <xf numFmtId="165" fontId="19" fillId="0" borderId="8" xfId="3" applyNumberFormat="1" applyFont="1" applyFill="1" applyBorder="1" applyAlignment="1">
      <alignment horizontal="center" vertical="center" wrapText="1"/>
    </xf>
    <xf numFmtId="165" fontId="19" fillId="0" borderId="58" xfId="3" applyNumberFormat="1" applyFont="1" applyFill="1" applyBorder="1" applyAlignment="1">
      <alignment horizontal="center" vertical="center" wrapText="1"/>
    </xf>
    <xf numFmtId="165" fontId="19" fillId="0" borderId="45" xfId="3" applyNumberFormat="1" applyFont="1" applyFill="1" applyBorder="1" applyAlignment="1">
      <alignment horizontal="center" vertical="center" wrapText="1"/>
    </xf>
    <xf numFmtId="165" fontId="19" fillId="0" borderId="41" xfId="3" applyNumberFormat="1" applyFont="1" applyFill="1" applyBorder="1" applyAlignment="1">
      <alignment horizontal="center" vertical="center" wrapText="1"/>
    </xf>
    <xf numFmtId="166" fontId="13" fillId="0" borderId="49" xfId="1" applyNumberFormat="1" applyFont="1" applyBorder="1" applyAlignment="1">
      <alignment horizontal="center" vertical="center" wrapText="1"/>
    </xf>
    <xf numFmtId="166" fontId="13" fillId="0" borderId="11" xfId="1" applyNumberFormat="1" applyFont="1" applyBorder="1" applyAlignment="1">
      <alignment horizontal="center" vertical="center" wrapText="1"/>
    </xf>
    <xf numFmtId="49" fontId="15" fillId="4" borderId="6" xfId="1" applyNumberFormat="1" applyFont="1" applyFill="1" applyBorder="1" applyAlignment="1">
      <alignment horizontal="center" vertical="center" wrapText="1"/>
    </xf>
    <xf numFmtId="0" fontId="45" fillId="0" borderId="6" xfId="0" applyFont="1" applyBorder="1" applyAlignment="1">
      <alignment horizontal="center" vertical="center" wrapText="1"/>
    </xf>
    <xf numFmtId="0" fontId="33" fillId="4" borderId="0" xfId="0" applyFont="1" applyFill="1" applyAlignment="1">
      <alignment horizontal="left" vertical="center" wrapText="1"/>
    </xf>
    <xf numFmtId="0" fontId="3" fillId="2" borderId="12" xfId="1" applyFont="1" applyFill="1" applyBorder="1" applyAlignment="1">
      <alignment horizontal="center" vertical="center" wrapText="1"/>
    </xf>
    <xf numFmtId="0" fontId="3" fillId="2" borderId="13" xfId="1" applyFont="1" applyFill="1" applyBorder="1" applyAlignment="1">
      <alignment horizontal="center" vertical="center" wrapText="1"/>
    </xf>
    <xf numFmtId="0" fontId="3" fillId="2" borderId="14" xfId="1" applyFont="1" applyFill="1" applyBorder="1" applyAlignment="1">
      <alignment horizontal="center" vertical="center" wrapText="1"/>
    </xf>
    <xf numFmtId="0" fontId="4" fillId="0" borderId="4" xfId="1" applyFont="1" applyBorder="1" applyAlignment="1">
      <alignment horizontal="left" vertical="center" wrapText="1"/>
    </xf>
    <xf numFmtId="165" fontId="31" fillId="0" borderId="18" xfId="3" applyNumberFormat="1" applyFont="1" applyFill="1" applyBorder="1" applyAlignment="1">
      <alignment horizontal="center" vertical="center" wrapText="1"/>
    </xf>
    <xf numFmtId="165" fontId="31" fillId="0" borderId="19" xfId="3" applyNumberFormat="1" applyFont="1" applyFill="1" applyBorder="1" applyAlignment="1">
      <alignment horizontal="center" vertical="center" wrapText="1"/>
    </xf>
    <xf numFmtId="165" fontId="19" fillId="0" borderId="44" xfId="3" applyNumberFormat="1" applyFont="1" applyFill="1" applyBorder="1" applyAlignment="1">
      <alignment horizontal="center" vertical="center" wrapText="1"/>
    </xf>
    <xf numFmtId="165" fontId="19" fillId="0" borderId="32" xfId="3" applyNumberFormat="1" applyFont="1" applyFill="1" applyBorder="1" applyAlignment="1">
      <alignment horizontal="center" vertical="center" wrapText="1"/>
    </xf>
    <xf numFmtId="0" fontId="74" fillId="0" borderId="45" xfId="1" applyFont="1" applyBorder="1" applyAlignment="1">
      <alignment horizontal="left" vertical="center" wrapText="1"/>
    </xf>
    <xf numFmtId="0" fontId="45" fillId="0" borderId="0" xfId="0" applyFont="1" applyBorder="1" applyAlignment="1">
      <alignment horizontal="center" vertical="center" wrapText="1"/>
    </xf>
    <xf numFmtId="49" fontId="15" fillId="4" borderId="0" xfId="1" applyNumberFormat="1" applyFont="1" applyFill="1" applyBorder="1" applyAlignment="1">
      <alignment horizontal="center" vertical="center" wrapText="1"/>
    </xf>
    <xf numFmtId="0" fontId="45" fillId="0" borderId="2" xfId="0" applyFont="1" applyBorder="1" applyAlignment="1">
      <alignment horizontal="center" vertical="center" wrapText="1"/>
    </xf>
    <xf numFmtId="0" fontId="71" fillId="4" borderId="56" xfId="2" applyFont="1" applyFill="1" applyBorder="1" applyAlignment="1">
      <alignment horizontal="left" vertical="center" wrapText="1"/>
    </xf>
    <xf numFmtId="0" fontId="71" fillId="4" borderId="10" xfId="2" applyFont="1" applyFill="1" applyBorder="1" applyAlignment="1">
      <alignment horizontal="left" vertical="center" wrapText="1"/>
    </xf>
    <xf numFmtId="0" fontId="69" fillId="3" borderId="63" xfId="1" applyFont="1" applyFill="1" applyBorder="1" applyAlignment="1">
      <alignment horizontal="center" vertical="center" wrapText="1"/>
    </xf>
    <xf numFmtId="0" fontId="69" fillId="3" borderId="64" xfId="1" applyFont="1" applyFill="1" applyBorder="1" applyAlignment="1">
      <alignment horizontal="center" vertical="center" wrapText="1"/>
    </xf>
    <xf numFmtId="0" fontId="69" fillId="3" borderId="64" xfId="2" applyFont="1" applyFill="1" applyBorder="1" applyAlignment="1">
      <alignment horizontal="center" vertical="center" wrapText="1"/>
    </xf>
    <xf numFmtId="0" fontId="69" fillId="3" borderId="65" xfId="2" applyFont="1" applyFill="1" applyBorder="1" applyAlignment="1">
      <alignment horizontal="center" vertical="center" wrapText="1"/>
    </xf>
    <xf numFmtId="0" fontId="69" fillId="3" borderId="66" xfId="2" applyFont="1" applyFill="1" applyBorder="1" applyAlignment="1">
      <alignment horizontal="center" vertical="center" wrapText="1"/>
    </xf>
    <xf numFmtId="165" fontId="19" fillId="0" borderId="46" xfId="3" applyNumberFormat="1" applyFont="1" applyFill="1" applyBorder="1" applyAlignment="1">
      <alignment horizontal="center" vertical="center" wrapText="1"/>
    </xf>
    <xf numFmtId="165" fontId="19" fillId="0" borderId="38" xfId="3" applyNumberFormat="1" applyFont="1" applyFill="1" applyBorder="1" applyAlignment="1">
      <alignment horizontal="center" vertical="center" wrapText="1"/>
    </xf>
    <xf numFmtId="0" fontId="74" fillId="0" borderId="46" xfId="1" applyFont="1" applyBorder="1" applyAlignment="1">
      <alignment horizontal="left" vertical="center" wrapText="1"/>
    </xf>
    <xf numFmtId="0" fontId="75" fillId="0" borderId="0" xfId="0" applyFont="1" applyAlignment="1">
      <alignment horizontal="center" wrapText="1"/>
    </xf>
    <xf numFmtId="0" fontId="38" fillId="0" borderId="46" xfId="1" applyFont="1" applyBorder="1" applyAlignment="1">
      <alignment horizontal="left" vertical="center" wrapText="1"/>
    </xf>
    <xf numFmtId="0" fontId="38" fillId="0" borderId="0" xfId="0" applyFont="1"/>
    <xf numFmtId="0" fontId="35" fillId="0" borderId="35" xfId="0" applyFont="1" applyBorder="1" applyAlignment="1">
      <alignment horizontal="center" vertical="center" wrapText="1"/>
    </xf>
    <xf numFmtId="0" fontId="35" fillId="0" borderId="47" xfId="0" applyFont="1" applyBorder="1" applyAlignment="1">
      <alignment horizontal="left" vertical="center" wrapText="1"/>
    </xf>
    <xf numFmtId="169" fontId="35" fillId="9" borderId="24" xfId="0" applyNumberFormat="1" applyFont="1" applyFill="1" applyBorder="1" applyAlignment="1">
      <alignment horizontal="center" vertical="center"/>
    </xf>
    <xf numFmtId="168" fontId="38" fillId="15" borderId="24" xfId="0" applyNumberFormat="1" applyFont="1" applyFill="1" applyBorder="1" applyAlignment="1">
      <alignment horizontal="center" vertical="center"/>
    </xf>
    <xf numFmtId="166" fontId="35" fillId="15" borderId="24" xfId="0" applyNumberFormat="1" applyFont="1" applyFill="1" applyBorder="1" applyAlignment="1">
      <alignment horizontal="center" vertical="center"/>
    </xf>
    <xf numFmtId="166" fontId="37" fillId="0" borderId="24" xfId="0" applyNumberFormat="1" applyFont="1" applyBorder="1" applyAlignment="1">
      <alignment horizontal="center" vertical="center"/>
    </xf>
    <xf numFmtId="0" fontId="35" fillId="14" borderId="24" xfId="0" applyFont="1" applyFill="1" applyBorder="1" applyAlignment="1">
      <alignment horizontal="center" vertical="center"/>
    </xf>
    <xf numFmtId="166" fontId="36" fillId="16" borderId="24" xfId="0" applyNumberFormat="1" applyFont="1" applyFill="1" applyBorder="1" applyAlignment="1">
      <alignment horizontal="center" vertical="center"/>
    </xf>
    <xf numFmtId="166" fontId="38" fillId="0" borderId="24" xfId="0" applyNumberFormat="1" applyFont="1" applyBorder="1" applyAlignment="1">
      <alignment horizontal="center" vertical="center"/>
    </xf>
    <xf numFmtId="168" fontId="38" fillId="0" borderId="24" xfId="0" applyNumberFormat="1" applyFont="1" applyBorder="1" applyAlignment="1">
      <alignment horizontal="center" vertical="center"/>
    </xf>
    <xf numFmtId="168" fontId="37" fillId="0" borderId="25" xfId="0" applyNumberFormat="1" applyFont="1" applyBorder="1" applyAlignment="1">
      <alignment horizontal="center" vertical="center"/>
    </xf>
  </cellXfs>
  <cellStyles count="8">
    <cellStyle name="Millares 2 2 3 2 2 2 2" xfId="3" xr:uid="{366524C1-5468-42BA-9CEB-B00BAB473D80}"/>
    <cellStyle name="Millares 2 2 3 2 2 2 2 2 2 2 2 2" xfId="7" xr:uid="{8884B852-8958-4A60-8BE1-FB9F283A5257}"/>
    <cellStyle name="Normal" xfId="0" builtinId="0"/>
    <cellStyle name="Normal 10 2" xfId="6" xr:uid="{46C054FE-1D6C-49E4-8CDB-97E1FB8C2855}"/>
    <cellStyle name="Normal 2 2" xfId="1" xr:uid="{EF9C867C-C1BF-4F75-A5D5-76619CFBC61E}"/>
    <cellStyle name="Normal 2 3 2 2" xfId="4" xr:uid="{5A906D7D-358D-4A94-8CC1-AF5A76DD9D2C}"/>
    <cellStyle name="Normal 3 4 2" xfId="2" xr:uid="{0B6E6955-5526-411F-B720-8C200AE573B8}"/>
    <cellStyle name="Normal 3 4 2 4" xfId="5" xr:uid="{A3F49583-972F-4343-9731-E0FA79D1DD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107156</xdr:colOff>
      <xdr:row>44</xdr:row>
      <xdr:rowOff>357188</xdr:rowOff>
    </xdr:from>
    <xdr:to>
      <xdr:col>4</xdr:col>
      <xdr:colOff>2626062</xdr:colOff>
      <xdr:row>44</xdr:row>
      <xdr:rowOff>2833688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FBEEE82-CC35-4263-A449-8D33EB6204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38" t="63313" r="67307" b="11470"/>
        <a:stretch>
          <a:fillRect/>
        </a:stretch>
      </xdr:blipFill>
      <xdr:spPr>
        <a:xfrm>
          <a:off x="3024187" y="1393032"/>
          <a:ext cx="2518906" cy="2476500"/>
        </a:xfrm>
        <a:prstGeom prst="rect">
          <a:avLst/>
        </a:prstGeom>
      </xdr:spPr>
    </xdr:pic>
    <xdr:clientData/>
  </xdr:twoCellAnchor>
  <xdr:oneCellAnchor>
    <xdr:from>
      <xdr:col>4</xdr:col>
      <xdr:colOff>190501</xdr:colOff>
      <xdr:row>37</xdr:row>
      <xdr:rowOff>182750</xdr:rowOff>
    </xdr:from>
    <xdr:ext cx="2612572" cy="1722250"/>
    <xdr:pic>
      <xdr:nvPicPr>
        <xdr:cNvPr id="6" name="Imagen 5">
          <a:extLst>
            <a:ext uri="{FF2B5EF4-FFF2-40B4-BE49-F238E27FC236}">
              <a16:creationId xmlns:a16="http://schemas.microsoft.com/office/drawing/2014/main" id="{60A30A3B-2F48-4CD8-B457-E21DA439B1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7423" r="2805"/>
        <a:stretch/>
      </xdr:blipFill>
      <xdr:spPr>
        <a:xfrm>
          <a:off x="3646715" y="1216893"/>
          <a:ext cx="2612572" cy="1722250"/>
        </a:xfrm>
        <a:prstGeom prst="rect">
          <a:avLst/>
        </a:prstGeom>
      </xdr:spPr>
    </xdr:pic>
    <xdr:clientData/>
  </xdr:oneCellAnchor>
  <xdr:twoCellAnchor editAs="oneCell">
    <xdr:from>
      <xdr:col>4</xdr:col>
      <xdr:colOff>702469</xdr:colOff>
      <xdr:row>39</xdr:row>
      <xdr:rowOff>369093</xdr:rowOff>
    </xdr:from>
    <xdr:to>
      <xdr:col>4</xdr:col>
      <xdr:colOff>2102618</xdr:colOff>
      <xdr:row>39</xdr:row>
      <xdr:rowOff>2088262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E7B405F2-C2E1-4CE8-AE1F-9460A733317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3667125" y="6226968"/>
          <a:ext cx="1400149" cy="1719169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304800</xdr:colOff>
      <xdr:row>40</xdr:row>
      <xdr:rowOff>304800</xdr:rowOff>
    </xdr:to>
    <xdr:sp macro="" textlink="">
      <xdr:nvSpPr>
        <xdr:cNvPr id="12" name="AutoShape 7" descr="Barron Ecocard A6 Notebook (BF3190) - AMTY Shop">
          <a:extLst>
            <a:ext uri="{FF2B5EF4-FFF2-40B4-BE49-F238E27FC236}">
              <a16:creationId xmlns:a16="http://schemas.microsoft.com/office/drawing/2014/main" id="{57DC496E-DD58-4F62-ABC1-61DF4BFA94DB}"/>
            </a:ext>
          </a:extLst>
        </xdr:cNvPr>
        <xdr:cNvSpPr>
          <a:spLocks noChangeAspect="1" noChangeArrowheads="1"/>
        </xdr:cNvSpPr>
      </xdr:nvSpPr>
      <xdr:spPr bwMode="auto">
        <a:xfrm>
          <a:off x="2914650" y="10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304800</xdr:colOff>
      <xdr:row>40</xdr:row>
      <xdr:rowOff>304800</xdr:rowOff>
    </xdr:to>
    <xdr:sp macro="" textlink="">
      <xdr:nvSpPr>
        <xdr:cNvPr id="13" name="AutoShape 8" descr="Barron Ecocard A6 Notebook (BF3190) - AMTY Shop">
          <a:extLst>
            <a:ext uri="{FF2B5EF4-FFF2-40B4-BE49-F238E27FC236}">
              <a16:creationId xmlns:a16="http://schemas.microsoft.com/office/drawing/2014/main" id="{2C99A816-5E13-46DB-83AE-D14F9F0F9C65}"/>
            </a:ext>
          </a:extLst>
        </xdr:cNvPr>
        <xdr:cNvSpPr>
          <a:spLocks noChangeAspect="1" noChangeArrowheads="1"/>
        </xdr:cNvSpPr>
      </xdr:nvSpPr>
      <xdr:spPr bwMode="auto">
        <a:xfrm>
          <a:off x="2914650" y="10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304800</xdr:colOff>
      <xdr:row>40</xdr:row>
      <xdr:rowOff>304800</xdr:rowOff>
    </xdr:to>
    <xdr:sp macro="" textlink="">
      <xdr:nvSpPr>
        <xdr:cNvPr id="14" name="AutoShape 9" descr="Barron Ecocard A6 Notebook (BF3190) - AMTY Shop">
          <a:extLst>
            <a:ext uri="{FF2B5EF4-FFF2-40B4-BE49-F238E27FC236}">
              <a16:creationId xmlns:a16="http://schemas.microsoft.com/office/drawing/2014/main" id="{1943EB55-BB98-4F0F-86EF-5AF32F66F669}"/>
            </a:ext>
          </a:extLst>
        </xdr:cNvPr>
        <xdr:cNvSpPr>
          <a:spLocks noChangeAspect="1" noChangeArrowheads="1"/>
        </xdr:cNvSpPr>
      </xdr:nvSpPr>
      <xdr:spPr bwMode="auto">
        <a:xfrm>
          <a:off x="2914650" y="10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625930</xdr:colOff>
      <xdr:row>40</xdr:row>
      <xdr:rowOff>231318</xdr:rowOff>
    </xdr:from>
    <xdr:to>
      <xdr:col>4</xdr:col>
      <xdr:colOff>2313216</xdr:colOff>
      <xdr:row>40</xdr:row>
      <xdr:rowOff>1918604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437CA9C9-A830-4418-AC2A-CC50719723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82144" y="6082389"/>
          <a:ext cx="1687286" cy="1687286"/>
        </a:xfrm>
        <a:prstGeom prst="rect">
          <a:avLst/>
        </a:prstGeom>
      </xdr:spPr>
    </xdr:pic>
    <xdr:clientData/>
  </xdr:twoCellAnchor>
  <xdr:oneCellAnchor>
    <xdr:from>
      <xdr:col>4</xdr:col>
      <xdr:colOff>476251</xdr:colOff>
      <xdr:row>38</xdr:row>
      <xdr:rowOff>467662</xdr:rowOff>
    </xdr:from>
    <xdr:ext cx="1857375" cy="1718886"/>
    <xdr:pic>
      <xdr:nvPicPr>
        <xdr:cNvPr id="17" name="Imagen 16">
          <a:extLst>
            <a:ext uri="{FF2B5EF4-FFF2-40B4-BE49-F238E27FC236}">
              <a16:creationId xmlns:a16="http://schemas.microsoft.com/office/drawing/2014/main" id="{2810D6C5-035D-444D-B925-83DF38DBF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932465" y="10972376"/>
          <a:ext cx="1857375" cy="1718886"/>
        </a:xfrm>
        <a:prstGeom prst="rect">
          <a:avLst/>
        </a:prstGeom>
      </xdr:spPr>
    </xdr:pic>
    <xdr:clientData/>
  </xdr:oneCellAnchor>
  <xdr:twoCellAnchor editAs="oneCell">
    <xdr:from>
      <xdr:col>4</xdr:col>
      <xdr:colOff>421822</xdr:colOff>
      <xdr:row>37</xdr:row>
      <xdr:rowOff>993321</xdr:rowOff>
    </xdr:from>
    <xdr:to>
      <xdr:col>4</xdr:col>
      <xdr:colOff>1415143</xdr:colOff>
      <xdr:row>37</xdr:row>
      <xdr:rowOff>1432358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06D7DE2-95EB-5245-2733-0051D0695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78036" y="2027464"/>
          <a:ext cx="993321" cy="439037"/>
        </a:xfrm>
        <a:prstGeom prst="rect">
          <a:avLst/>
        </a:prstGeom>
      </xdr:spPr>
    </xdr:pic>
    <xdr:clientData/>
  </xdr:twoCellAnchor>
  <xdr:twoCellAnchor editAs="oneCell">
    <xdr:from>
      <xdr:col>4</xdr:col>
      <xdr:colOff>544286</xdr:colOff>
      <xdr:row>31</xdr:row>
      <xdr:rowOff>503465</xdr:rowOff>
    </xdr:from>
    <xdr:to>
      <xdr:col>4</xdr:col>
      <xdr:colOff>2163537</xdr:colOff>
      <xdr:row>31</xdr:row>
      <xdr:rowOff>2881497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4EF16A56-9D93-A3D3-7835-B726F36229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33107" y="1537608"/>
          <a:ext cx="1619251" cy="2378032"/>
        </a:xfrm>
        <a:prstGeom prst="rect">
          <a:avLst/>
        </a:prstGeom>
      </xdr:spPr>
    </xdr:pic>
    <xdr:clientData/>
  </xdr:twoCellAnchor>
  <xdr:oneCellAnchor>
    <xdr:from>
      <xdr:col>4</xdr:col>
      <xdr:colOff>544286</xdr:colOff>
      <xdr:row>32</xdr:row>
      <xdr:rowOff>503465</xdr:rowOff>
    </xdr:from>
    <xdr:ext cx="1619251" cy="2378032"/>
    <xdr:pic>
      <xdr:nvPicPr>
        <xdr:cNvPr id="5" name="Imagen 4">
          <a:extLst>
            <a:ext uri="{FF2B5EF4-FFF2-40B4-BE49-F238E27FC236}">
              <a16:creationId xmlns:a16="http://schemas.microsoft.com/office/drawing/2014/main" id="{3630BC36-ED98-48A1-BEF3-0E9B060296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633107" y="1537608"/>
          <a:ext cx="1619251" cy="2378032"/>
        </a:xfrm>
        <a:prstGeom prst="rect">
          <a:avLst/>
        </a:prstGeom>
      </xdr:spPr>
    </xdr:pic>
    <xdr:clientData/>
  </xdr:oneCellAnchor>
  <xdr:twoCellAnchor editAs="oneCell">
    <xdr:from>
      <xdr:col>4</xdr:col>
      <xdr:colOff>122464</xdr:colOff>
      <xdr:row>18</xdr:row>
      <xdr:rowOff>1387928</xdr:rowOff>
    </xdr:from>
    <xdr:to>
      <xdr:col>4</xdr:col>
      <xdr:colOff>2544535</xdr:colOff>
      <xdr:row>18</xdr:row>
      <xdr:rowOff>2694214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B5FDD96-26C1-42DB-9F64-9C7699DED77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932" t="59973" r="6965"/>
        <a:stretch>
          <a:fillRect/>
        </a:stretch>
      </xdr:blipFill>
      <xdr:spPr>
        <a:xfrm>
          <a:off x="2558143" y="2422071"/>
          <a:ext cx="2422071" cy="1306286"/>
        </a:xfrm>
        <a:prstGeom prst="rect">
          <a:avLst/>
        </a:prstGeom>
      </xdr:spPr>
    </xdr:pic>
    <xdr:clientData/>
  </xdr:twoCellAnchor>
  <xdr:twoCellAnchor editAs="oneCell">
    <xdr:from>
      <xdr:col>4</xdr:col>
      <xdr:colOff>163286</xdr:colOff>
      <xdr:row>18</xdr:row>
      <xdr:rowOff>54429</xdr:rowOff>
    </xdr:from>
    <xdr:to>
      <xdr:col>4</xdr:col>
      <xdr:colOff>2528739</xdr:colOff>
      <xdr:row>18</xdr:row>
      <xdr:rowOff>1413955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D7D147E-FD27-35C1-11D8-10C3AA1A4A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252107" y="1088572"/>
          <a:ext cx="2365453" cy="1359526"/>
        </a:xfrm>
        <a:prstGeom prst="rect">
          <a:avLst/>
        </a:prstGeom>
      </xdr:spPr>
    </xdr:pic>
    <xdr:clientData/>
  </xdr:twoCellAnchor>
  <xdr:twoCellAnchor editAs="oneCell">
    <xdr:from>
      <xdr:col>4</xdr:col>
      <xdr:colOff>54430</xdr:colOff>
      <xdr:row>19</xdr:row>
      <xdr:rowOff>312964</xdr:rowOff>
    </xdr:from>
    <xdr:to>
      <xdr:col>4</xdr:col>
      <xdr:colOff>2767385</xdr:colOff>
      <xdr:row>19</xdr:row>
      <xdr:rowOff>1812710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B6A3A14-71DA-647E-9A3C-DA189ED63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43251" y="5238750"/>
          <a:ext cx="2712955" cy="1499746"/>
        </a:xfrm>
        <a:prstGeom prst="rect">
          <a:avLst/>
        </a:prstGeom>
      </xdr:spPr>
    </xdr:pic>
    <xdr:clientData/>
  </xdr:twoCellAnchor>
  <xdr:twoCellAnchor editAs="oneCell">
    <xdr:from>
      <xdr:col>4</xdr:col>
      <xdr:colOff>421822</xdr:colOff>
      <xdr:row>20</xdr:row>
      <xdr:rowOff>12808</xdr:rowOff>
    </xdr:from>
    <xdr:to>
      <xdr:col>4</xdr:col>
      <xdr:colOff>2163536</xdr:colOff>
      <xdr:row>20</xdr:row>
      <xdr:rowOff>1222549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EA8AB82A-E1D1-EE72-39CD-01DE277AD3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-2904" r="50485" b="-1"/>
        <a:stretch/>
      </xdr:blipFill>
      <xdr:spPr>
        <a:xfrm>
          <a:off x="3510643" y="7904951"/>
          <a:ext cx="1741714" cy="1209741"/>
        </a:xfrm>
        <a:prstGeom prst="rect">
          <a:avLst/>
        </a:prstGeom>
      </xdr:spPr>
    </xdr:pic>
    <xdr:clientData/>
  </xdr:twoCellAnchor>
  <xdr:twoCellAnchor editAs="oneCell">
    <xdr:from>
      <xdr:col>4</xdr:col>
      <xdr:colOff>408214</xdr:colOff>
      <xdr:row>21</xdr:row>
      <xdr:rowOff>136072</xdr:rowOff>
    </xdr:from>
    <xdr:to>
      <xdr:col>4</xdr:col>
      <xdr:colOff>2223620</xdr:colOff>
      <xdr:row>21</xdr:row>
      <xdr:rowOff>1755322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ECE99BEC-9B4E-D3D8-0DFF-A9C60BEFD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7035" y="10994572"/>
          <a:ext cx="1815406" cy="1619250"/>
        </a:xfrm>
        <a:prstGeom prst="rect">
          <a:avLst/>
        </a:prstGeom>
      </xdr:spPr>
    </xdr:pic>
    <xdr:clientData/>
  </xdr:twoCellAnchor>
  <xdr:twoCellAnchor editAs="oneCell">
    <xdr:from>
      <xdr:col>4</xdr:col>
      <xdr:colOff>403633</xdr:colOff>
      <xdr:row>21</xdr:row>
      <xdr:rowOff>1795450</xdr:rowOff>
    </xdr:from>
    <xdr:to>
      <xdr:col>4</xdr:col>
      <xdr:colOff>2245180</xdr:colOff>
      <xdr:row>22</xdr:row>
      <xdr:rowOff>1211035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DA967731-B61C-6C44-938C-E5A790722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2454" y="12653950"/>
          <a:ext cx="1841547" cy="1347799"/>
        </a:xfrm>
        <a:prstGeom prst="rect">
          <a:avLst/>
        </a:prstGeom>
      </xdr:spPr>
    </xdr:pic>
    <xdr:clientData/>
  </xdr:twoCellAnchor>
  <xdr:twoCellAnchor editAs="oneCell">
    <xdr:from>
      <xdr:col>4</xdr:col>
      <xdr:colOff>204107</xdr:colOff>
      <xdr:row>22</xdr:row>
      <xdr:rowOff>81643</xdr:rowOff>
    </xdr:from>
    <xdr:to>
      <xdr:col>4</xdr:col>
      <xdr:colOff>2407607</xdr:colOff>
      <xdr:row>23</xdr:row>
      <xdr:rowOff>489856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622B756B-50D4-D4BD-9A4C-C273C2C26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2928" y="13906500"/>
          <a:ext cx="2203500" cy="1673678"/>
        </a:xfrm>
        <a:prstGeom prst="rect">
          <a:avLst/>
        </a:prstGeom>
      </xdr:spPr>
    </xdr:pic>
    <xdr:clientData/>
  </xdr:twoCellAnchor>
  <xdr:twoCellAnchor editAs="oneCell">
    <xdr:from>
      <xdr:col>4</xdr:col>
      <xdr:colOff>462643</xdr:colOff>
      <xdr:row>20</xdr:row>
      <xdr:rowOff>1197429</xdr:rowOff>
    </xdr:from>
    <xdr:to>
      <xdr:col>4</xdr:col>
      <xdr:colOff>2154732</xdr:colOff>
      <xdr:row>20</xdr:row>
      <xdr:rowOff>2341055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CB56C862-A437-4429-9F17-4A4C88ED16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1845" t="2614"/>
        <a:stretch/>
      </xdr:blipFill>
      <xdr:spPr>
        <a:xfrm>
          <a:off x="3551464" y="9089572"/>
          <a:ext cx="1692089" cy="1143626"/>
        </a:xfrm>
        <a:prstGeom prst="rect">
          <a:avLst/>
        </a:prstGeom>
      </xdr:spPr>
    </xdr:pic>
    <xdr:clientData/>
  </xdr:twoCellAnchor>
  <xdr:oneCellAnchor>
    <xdr:from>
      <xdr:col>4</xdr:col>
      <xdr:colOff>421822</xdr:colOff>
      <xdr:row>3</xdr:row>
      <xdr:rowOff>12808</xdr:rowOff>
    </xdr:from>
    <xdr:ext cx="1741714" cy="1209741"/>
    <xdr:pic>
      <xdr:nvPicPr>
        <xdr:cNvPr id="16" name="Imagen 15">
          <a:extLst>
            <a:ext uri="{FF2B5EF4-FFF2-40B4-BE49-F238E27FC236}">
              <a16:creationId xmlns:a16="http://schemas.microsoft.com/office/drawing/2014/main" id="{17EEF56C-BFCF-4762-9025-62E0FCEB36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-2904" r="50485" b="-1"/>
        <a:stretch/>
      </xdr:blipFill>
      <xdr:spPr>
        <a:xfrm>
          <a:off x="2857501" y="8367594"/>
          <a:ext cx="1741714" cy="1209741"/>
        </a:xfrm>
        <a:prstGeom prst="rect">
          <a:avLst/>
        </a:prstGeom>
      </xdr:spPr>
    </xdr:pic>
    <xdr:clientData/>
  </xdr:oneCellAnchor>
  <xdr:oneCellAnchor>
    <xdr:from>
      <xdr:col>4</xdr:col>
      <xdr:colOff>462643</xdr:colOff>
      <xdr:row>3</xdr:row>
      <xdr:rowOff>1245054</xdr:rowOff>
    </xdr:from>
    <xdr:ext cx="1692089" cy="1143626"/>
    <xdr:pic>
      <xdr:nvPicPr>
        <xdr:cNvPr id="22" name="Imagen 21">
          <a:extLst>
            <a:ext uri="{FF2B5EF4-FFF2-40B4-BE49-F238E27FC236}">
              <a16:creationId xmlns:a16="http://schemas.microsoft.com/office/drawing/2014/main" id="{70B35746-2201-4810-8196-58B7B67C55B3}"/>
            </a:ext>
            <a:ext uri="{147F2762-F138-4A5C-976F-8EAC2B608ADB}">
              <a16:predDERef xmlns:a16="http://schemas.microsoft.com/office/drawing/2014/main" pred="{17EEF56C-BFCF-4762-9025-62E0FCEB36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1845" t="2614"/>
        <a:stretch/>
      </xdr:blipFill>
      <xdr:spPr>
        <a:xfrm>
          <a:off x="2881993" y="2349954"/>
          <a:ext cx="1692089" cy="1143626"/>
        </a:xfrm>
        <a:prstGeom prst="rect">
          <a:avLst/>
        </a:prstGeom>
      </xdr:spPr>
    </xdr:pic>
    <xdr:clientData/>
  </xdr:oneCellAnchor>
  <xdr:oneCellAnchor>
    <xdr:from>
      <xdr:col>4</xdr:col>
      <xdr:colOff>421822</xdr:colOff>
      <xdr:row>4</xdr:row>
      <xdr:rowOff>12808</xdr:rowOff>
    </xdr:from>
    <xdr:ext cx="1741714" cy="1209741"/>
    <xdr:pic>
      <xdr:nvPicPr>
        <xdr:cNvPr id="23" name="Imagen 22">
          <a:extLst>
            <a:ext uri="{FF2B5EF4-FFF2-40B4-BE49-F238E27FC236}">
              <a16:creationId xmlns:a16="http://schemas.microsoft.com/office/drawing/2014/main" id="{679C650D-6902-47D8-BA12-FD31065D47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-2904" r="50485" b="-1"/>
        <a:stretch/>
      </xdr:blipFill>
      <xdr:spPr>
        <a:xfrm>
          <a:off x="2857501" y="1114987"/>
          <a:ext cx="1741714" cy="1209741"/>
        </a:xfrm>
        <a:prstGeom prst="rect">
          <a:avLst/>
        </a:prstGeom>
      </xdr:spPr>
    </xdr:pic>
    <xdr:clientData/>
  </xdr:oneCellAnchor>
  <xdr:oneCellAnchor>
    <xdr:from>
      <xdr:col>4</xdr:col>
      <xdr:colOff>462643</xdr:colOff>
      <xdr:row>4</xdr:row>
      <xdr:rowOff>1197429</xdr:rowOff>
    </xdr:from>
    <xdr:ext cx="1692089" cy="1143626"/>
    <xdr:pic>
      <xdr:nvPicPr>
        <xdr:cNvPr id="24" name="Imagen 23">
          <a:extLst>
            <a:ext uri="{FF2B5EF4-FFF2-40B4-BE49-F238E27FC236}">
              <a16:creationId xmlns:a16="http://schemas.microsoft.com/office/drawing/2014/main" id="{68875644-C192-45C2-A5F7-AD679FC9AE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1845" t="2614"/>
        <a:stretch/>
      </xdr:blipFill>
      <xdr:spPr>
        <a:xfrm>
          <a:off x="2898322" y="2299608"/>
          <a:ext cx="1692089" cy="1143626"/>
        </a:xfrm>
        <a:prstGeom prst="rect">
          <a:avLst/>
        </a:prstGeom>
      </xdr:spPr>
    </xdr:pic>
    <xdr:clientData/>
  </xdr:oneCellAnchor>
  <xdr:oneCellAnchor>
    <xdr:from>
      <xdr:col>4</xdr:col>
      <xdr:colOff>421822</xdr:colOff>
      <xdr:row>5</xdr:row>
      <xdr:rowOff>12808</xdr:rowOff>
    </xdr:from>
    <xdr:ext cx="1741714" cy="1209741"/>
    <xdr:pic>
      <xdr:nvPicPr>
        <xdr:cNvPr id="25" name="Imagen 24">
          <a:extLst>
            <a:ext uri="{FF2B5EF4-FFF2-40B4-BE49-F238E27FC236}">
              <a16:creationId xmlns:a16="http://schemas.microsoft.com/office/drawing/2014/main" id="{70FCF374-1C7C-4B0C-867C-9528625F76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-2904" r="50485" b="-1"/>
        <a:stretch/>
      </xdr:blipFill>
      <xdr:spPr>
        <a:xfrm>
          <a:off x="2857501" y="4108558"/>
          <a:ext cx="1741714" cy="1209741"/>
        </a:xfrm>
        <a:prstGeom prst="rect">
          <a:avLst/>
        </a:prstGeom>
      </xdr:spPr>
    </xdr:pic>
    <xdr:clientData/>
  </xdr:oneCellAnchor>
  <xdr:oneCellAnchor>
    <xdr:from>
      <xdr:col>4</xdr:col>
      <xdr:colOff>462643</xdr:colOff>
      <xdr:row>5</xdr:row>
      <xdr:rowOff>1197429</xdr:rowOff>
    </xdr:from>
    <xdr:ext cx="1692089" cy="1143626"/>
    <xdr:pic>
      <xdr:nvPicPr>
        <xdr:cNvPr id="26" name="Imagen 25">
          <a:extLst>
            <a:ext uri="{FF2B5EF4-FFF2-40B4-BE49-F238E27FC236}">
              <a16:creationId xmlns:a16="http://schemas.microsoft.com/office/drawing/2014/main" id="{6F4D568D-D57F-4E88-99F1-6511209C94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1845" t="2614"/>
        <a:stretch/>
      </xdr:blipFill>
      <xdr:spPr>
        <a:xfrm>
          <a:off x="2898322" y="5293179"/>
          <a:ext cx="1692089" cy="1143626"/>
        </a:xfrm>
        <a:prstGeom prst="rect">
          <a:avLst/>
        </a:prstGeom>
      </xdr:spPr>
    </xdr:pic>
    <xdr:clientData/>
  </xdr:oneCellAnchor>
  <xdr:oneCellAnchor>
    <xdr:from>
      <xdr:col>4</xdr:col>
      <xdr:colOff>421822</xdr:colOff>
      <xdr:row>6</xdr:row>
      <xdr:rowOff>12808</xdr:rowOff>
    </xdr:from>
    <xdr:ext cx="1741714" cy="1209741"/>
    <xdr:pic>
      <xdr:nvPicPr>
        <xdr:cNvPr id="27" name="Imagen 26">
          <a:extLst>
            <a:ext uri="{FF2B5EF4-FFF2-40B4-BE49-F238E27FC236}">
              <a16:creationId xmlns:a16="http://schemas.microsoft.com/office/drawing/2014/main" id="{7942A9E4-53AB-4C51-9D2C-BC584BE868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-2904" r="50485" b="-1"/>
        <a:stretch/>
      </xdr:blipFill>
      <xdr:spPr>
        <a:xfrm>
          <a:off x="2857501" y="7102129"/>
          <a:ext cx="1741714" cy="1209741"/>
        </a:xfrm>
        <a:prstGeom prst="rect">
          <a:avLst/>
        </a:prstGeom>
      </xdr:spPr>
    </xdr:pic>
    <xdr:clientData/>
  </xdr:oneCellAnchor>
  <xdr:oneCellAnchor>
    <xdr:from>
      <xdr:col>4</xdr:col>
      <xdr:colOff>462643</xdr:colOff>
      <xdr:row>6</xdr:row>
      <xdr:rowOff>1197429</xdr:rowOff>
    </xdr:from>
    <xdr:ext cx="1692089" cy="1143626"/>
    <xdr:pic>
      <xdr:nvPicPr>
        <xdr:cNvPr id="28" name="Imagen 27">
          <a:extLst>
            <a:ext uri="{FF2B5EF4-FFF2-40B4-BE49-F238E27FC236}">
              <a16:creationId xmlns:a16="http://schemas.microsoft.com/office/drawing/2014/main" id="{9FCE28F2-7057-4C13-B137-9F04484B4F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1845" t="2614"/>
        <a:stretch/>
      </xdr:blipFill>
      <xdr:spPr>
        <a:xfrm>
          <a:off x="2898322" y="8286750"/>
          <a:ext cx="1692089" cy="1143626"/>
        </a:xfrm>
        <a:prstGeom prst="rect">
          <a:avLst/>
        </a:prstGeom>
      </xdr:spPr>
    </xdr:pic>
    <xdr:clientData/>
  </xdr:oneCellAnchor>
  <xdr:oneCellAnchor>
    <xdr:from>
      <xdr:col>4</xdr:col>
      <xdr:colOff>421822</xdr:colOff>
      <xdr:row>7</xdr:row>
      <xdr:rowOff>12808</xdr:rowOff>
    </xdr:from>
    <xdr:ext cx="1741714" cy="1209741"/>
    <xdr:pic>
      <xdr:nvPicPr>
        <xdr:cNvPr id="29" name="Imagen 28">
          <a:extLst>
            <a:ext uri="{FF2B5EF4-FFF2-40B4-BE49-F238E27FC236}">
              <a16:creationId xmlns:a16="http://schemas.microsoft.com/office/drawing/2014/main" id="{FE7DE796-A90D-452F-8E34-773D53093A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-2904" r="50485" b="-1"/>
        <a:stretch/>
      </xdr:blipFill>
      <xdr:spPr>
        <a:xfrm>
          <a:off x="2857501" y="10095701"/>
          <a:ext cx="1741714" cy="1209741"/>
        </a:xfrm>
        <a:prstGeom prst="rect">
          <a:avLst/>
        </a:prstGeom>
      </xdr:spPr>
    </xdr:pic>
    <xdr:clientData/>
  </xdr:oneCellAnchor>
  <xdr:oneCellAnchor>
    <xdr:from>
      <xdr:col>4</xdr:col>
      <xdr:colOff>462643</xdr:colOff>
      <xdr:row>7</xdr:row>
      <xdr:rowOff>1197429</xdr:rowOff>
    </xdr:from>
    <xdr:ext cx="1692089" cy="1143626"/>
    <xdr:pic>
      <xdr:nvPicPr>
        <xdr:cNvPr id="30" name="Imagen 29">
          <a:extLst>
            <a:ext uri="{FF2B5EF4-FFF2-40B4-BE49-F238E27FC236}">
              <a16:creationId xmlns:a16="http://schemas.microsoft.com/office/drawing/2014/main" id="{4C68F02B-3651-4EB4-BB8C-63B04DFB09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1845" t="2614"/>
        <a:stretch/>
      </xdr:blipFill>
      <xdr:spPr>
        <a:xfrm>
          <a:off x="2898322" y="11280322"/>
          <a:ext cx="1692089" cy="1143626"/>
        </a:xfrm>
        <a:prstGeom prst="rect">
          <a:avLst/>
        </a:prstGeom>
      </xdr:spPr>
    </xdr:pic>
    <xdr:clientData/>
  </xdr:oneCellAnchor>
  <xdr:oneCellAnchor>
    <xdr:from>
      <xdr:col>4</xdr:col>
      <xdr:colOff>421822</xdr:colOff>
      <xdr:row>8</xdr:row>
      <xdr:rowOff>12808</xdr:rowOff>
    </xdr:from>
    <xdr:ext cx="1741714" cy="1209741"/>
    <xdr:pic>
      <xdr:nvPicPr>
        <xdr:cNvPr id="31" name="Imagen 30">
          <a:extLst>
            <a:ext uri="{FF2B5EF4-FFF2-40B4-BE49-F238E27FC236}">
              <a16:creationId xmlns:a16="http://schemas.microsoft.com/office/drawing/2014/main" id="{6EEC150A-D374-4B40-B70C-284D192C4AD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-2904" r="50485" b="-1"/>
        <a:stretch/>
      </xdr:blipFill>
      <xdr:spPr>
        <a:xfrm>
          <a:off x="2857501" y="13089272"/>
          <a:ext cx="1741714" cy="1209741"/>
        </a:xfrm>
        <a:prstGeom prst="rect">
          <a:avLst/>
        </a:prstGeom>
      </xdr:spPr>
    </xdr:pic>
    <xdr:clientData/>
  </xdr:oneCellAnchor>
  <xdr:oneCellAnchor>
    <xdr:from>
      <xdr:col>4</xdr:col>
      <xdr:colOff>462643</xdr:colOff>
      <xdr:row>8</xdr:row>
      <xdr:rowOff>1197429</xdr:rowOff>
    </xdr:from>
    <xdr:ext cx="1692089" cy="1143626"/>
    <xdr:pic>
      <xdr:nvPicPr>
        <xdr:cNvPr id="32" name="Imagen 31">
          <a:extLst>
            <a:ext uri="{FF2B5EF4-FFF2-40B4-BE49-F238E27FC236}">
              <a16:creationId xmlns:a16="http://schemas.microsoft.com/office/drawing/2014/main" id="{1DBCB83E-2FE2-49D6-A49D-959C43FF58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1845" t="2614"/>
        <a:stretch/>
      </xdr:blipFill>
      <xdr:spPr>
        <a:xfrm>
          <a:off x="2898322" y="14273893"/>
          <a:ext cx="1692089" cy="1143626"/>
        </a:xfrm>
        <a:prstGeom prst="rect">
          <a:avLst/>
        </a:prstGeom>
      </xdr:spPr>
    </xdr:pic>
    <xdr:clientData/>
  </xdr:oneCellAnchor>
  <xdr:oneCellAnchor>
    <xdr:from>
      <xdr:col>4</xdr:col>
      <xdr:colOff>419100</xdr:colOff>
      <xdr:row>9</xdr:row>
      <xdr:rowOff>9525</xdr:rowOff>
    </xdr:from>
    <xdr:ext cx="1733550" cy="1200150"/>
    <xdr:pic>
      <xdr:nvPicPr>
        <xdr:cNvPr id="33" name="Imagen 32">
          <a:extLst>
            <a:ext uri="{FF2B5EF4-FFF2-40B4-BE49-F238E27FC236}">
              <a16:creationId xmlns:a16="http://schemas.microsoft.com/office/drawing/2014/main" id="{EE609E62-E65F-4D76-AD7C-0E3CBC3311D9}"/>
            </a:ext>
            <a:ext uri="{147F2762-F138-4A5C-976F-8EAC2B608ADB}">
              <a16:predDERef xmlns:a16="http://schemas.microsoft.com/office/drawing/2014/main" pred="{1DBCB83E-2FE2-49D6-A49D-959C43FF580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t="-2904" r="50485" b="-1"/>
        <a:stretch/>
      </xdr:blipFill>
      <xdr:spPr>
        <a:xfrm>
          <a:off x="2838450" y="19059525"/>
          <a:ext cx="1733550" cy="1200150"/>
        </a:xfrm>
        <a:prstGeom prst="rect">
          <a:avLst/>
        </a:prstGeom>
      </xdr:spPr>
    </xdr:pic>
    <xdr:clientData/>
  </xdr:oneCellAnchor>
  <xdr:oneCellAnchor>
    <xdr:from>
      <xdr:col>4</xdr:col>
      <xdr:colOff>462643</xdr:colOff>
      <xdr:row>9</xdr:row>
      <xdr:rowOff>1197429</xdr:rowOff>
    </xdr:from>
    <xdr:ext cx="1692089" cy="1143626"/>
    <xdr:pic>
      <xdr:nvPicPr>
        <xdr:cNvPr id="34" name="Imagen 33">
          <a:extLst>
            <a:ext uri="{FF2B5EF4-FFF2-40B4-BE49-F238E27FC236}">
              <a16:creationId xmlns:a16="http://schemas.microsoft.com/office/drawing/2014/main" id="{BF5A4E0A-CE52-4C0A-846F-6662468B7D4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/>
        <a:srcRect l="51845" t="2614"/>
        <a:stretch/>
      </xdr:blipFill>
      <xdr:spPr>
        <a:xfrm>
          <a:off x="2898322" y="17267465"/>
          <a:ext cx="1692089" cy="114362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6660C-A451-4EC2-A5E0-42342CD7551A}">
  <dimension ref="A1:IU48"/>
  <sheetViews>
    <sheetView tabSelected="1" zoomScale="59" zoomScaleNormal="59" workbookViewId="0">
      <selection activeCell="I4" sqref="I4"/>
    </sheetView>
  </sheetViews>
  <sheetFormatPr defaultColWidth="11.42578125" defaultRowHeight="15.75"/>
  <cols>
    <col min="1" max="1" width="3.28515625" customWidth="1"/>
    <col min="2" max="2" width="7.85546875" customWidth="1"/>
    <col min="3" max="3" width="12.140625" customWidth="1"/>
    <col min="4" max="4" width="13" customWidth="1"/>
    <col min="5" max="5" width="42.42578125" customWidth="1"/>
    <col min="6" max="6" width="17.5703125" customWidth="1"/>
    <col min="7" max="7" width="19" customWidth="1"/>
    <col min="8" max="8" width="19.28515625" customWidth="1"/>
    <col min="9" max="9" width="81.140625" customWidth="1"/>
    <col min="10" max="10" width="27.28515625" customWidth="1"/>
    <col min="11" max="11" width="23" customWidth="1"/>
    <col min="13" max="13" width="24.5703125" customWidth="1"/>
    <col min="14" max="14" width="15" customWidth="1"/>
    <col min="15" max="15" width="30.28515625" customWidth="1"/>
    <col min="17" max="17" width="18.28515625" customWidth="1"/>
    <col min="19" max="19" width="15.85546875" customWidth="1"/>
    <col min="20" max="20" width="20.5703125" customWidth="1"/>
    <col min="21" max="21" width="17.28515625" customWidth="1"/>
    <col min="23" max="23" width="18.28515625" customWidth="1"/>
    <col min="24" max="25" width="21" customWidth="1"/>
    <col min="26" max="26" width="35" style="43" customWidth="1"/>
    <col min="27" max="27" width="19" customWidth="1"/>
    <col min="31" max="31" width="18.5703125" customWidth="1"/>
    <col min="32" max="32" width="14.42578125" customWidth="1"/>
    <col min="33" max="33" width="17.42578125" customWidth="1"/>
    <col min="34" max="34" width="18.42578125" customWidth="1"/>
    <col min="35" max="35" width="17.42578125" customWidth="1"/>
    <col min="36" max="36" width="17.140625" customWidth="1"/>
    <col min="37" max="37" width="20.140625" customWidth="1"/>
  </cols>
  <sheetData>
    <row r="1" spans="2:255" ht="16.5" thickBot="1"/>
    <row r="2" spans="2:255" ht="29.45" customHeight="1">
      <c r="B2" s="232" t="s">
        <v>0</v>
      </c>
      <c r="C2" s="233"/>
      <c r="D2" s="233"/>
      <c r="E2" s="233"/>
      <c r="F2" s="233"/>
      <c r="G2" s="233"/>
      <c r="H2" s="233"/>
      <c r="I2" s="233"/>
      <c r="J2" s="234"/>
      <c r="K2" s="148" t="s">
        <v>1</v>
      </c>
      <c r="L2" s="1"/>
      <c r="M2" s="235" t="s">
        <v>2</v>
      </c>
      <c r="N2" s="235"/>
      <c r="O2" s="235"/>
      <c r="P2" s="235"/>
      <c r="Q2" s="235"/>
      <c r="R2" s="235"/>
      <c r="S2" s="235"/>
      <c r="T2" s="235"/>
      <c r="U2" s="235"/>
      <c r="V2" s="235"/>
      <c r="W2" s="235"/>
      <c r="X2" s="235"/>
      <c r="Y2" s="235"/>
      <c r="Z2" s="235"/>
      <c r="AA2" s="235"/>
      <c r="AB2" s="235"/>
      <c r="AC2" s="235"/>
      <c r="AD2" s="1"/>
      <c r="AE2" s="1"/>
      <c r="AF2" s="1"/>
      <c r="AG2" s="1"/>
      <c r="AH2" s="1"/>
      <c r="AI2" s="1"/>
      <c r="AJ2" s="1"/>
      <c r="AK2" s="1"/>
    </row>
    <row r="3" spans="2:255" ht="41.25" customHeight="1" thickBot="1">
      <c r="B3" s="246" t="s">
        <v>3</v>
      </c>
      <c r="C3" s="247" t="s">
        <v>4</v>
      </c>
      <c r="D3" s="247" t="s">
        <v>5</v>
      </c>
      <c r="E3" s="247" t="s">
        <v>6</v>
      </c>
      <c r="F3" s="247" t="s">
        <v>7</v>
      </c>
      <c r="G3" s="248" t="s">
        <v>8</v>
      </c>
      <c r="H3" s="248" t="s">
        <v>9</v>
      </c>
      <c r="I3" s="249" t="s">
        <v>10</v>
      </c>
      <c r="J3" s="250" t="s">
        <v>11</v>
      </c>
      <c r="K3" s="149" t="s">
        <v>12</v>
      </c>
      <c r="L3" s="2"/>
      <c r="M3" s="3" t="s">
        <v>13</v>
      </c>
      <c r="N3" s="4" t="s">
        <v>14</v>
      </c>
      <c r="O3" s="4" t="s">
        <v>15</v>
      </c>
      <c r="P3" s="5" t="s">
        <v>16</v>
      </c>
      <c r="Q3" s="6" t="s">
        <v>17</v>
      </c>
      <c r="R3" s="7" t="s">
        <v>18</v>
      </c>
      <c r="S3" s="7" t="s">
        <v>19</v>
      </c>
      <c r="T3" s="7" t="s">
        <v>20</v>
      </c>
      <c r="U3" s="7" t="s">
        <v>21</v>
      </c>
      <c r="V3" s="7" t="s">
        <v>22</v>
      </c>
      <c r="W3" s="8" t="s">
        <v>23</v>
      </c>
      <c r="X3" s="3" t="s">
        <v>24</v>
      </c>
      <c r="Y3" s="5" t="s">
        <v>25</v>
      </c>
      <c r="Z3" s="44" t="s">
        <v>26</v>
      </c>
      <c r="AA3" s="9" t="s">
        <v>27</v>
      </c>
      <c r="AB3" s="9" t="s">
        <v>28</v>
      </c>
      <c r="AC3" s="9" t="s">
        <v>29</v>
      </c>
      <c r="AD3" s="9" t="s">
        <v>30</v>
      </c>
      <c r="AE3" s="10" t="s">
        <v>31</v>
      </c>
      <c r="AF3" s="11" t="s">
        <v>32</v>
      </c>
      <c r="AG3" s="11" t="s">
        <v>33</v>
      </c>
      <c r="AH3" s="12" t="s">
        <v>21</v>
      </c>
      <c r="AI3" s="13" t="s">
        <v>34</v>
      </c>
      <c r="AJ3" s="13" t="s">
        <v>35</v>
      </c>
      <c r="AK3" s="14" t="s">
        <v>36</v>
      </c>
      <c r="AN3" s="15" t="s">
        <v>37</v>
      </c>
      <c r="AO3" s="15" t="s">
        <v>38</v>
      </c>
      <c r="AP3" s="15" t="s">
        <v>39</v>
      </c>
      <c r="AQ3" s="15" t="s">
        <v>40</v>
      </c>
      <c r="AR3" s="15" t="s">
        <v>41</v>
      </c>
      <c r="AS3" s="15" t="s">
        <v>42</v>
      </c>
      <c r="AT3" s="16"/>
      <c r="AU3" s="17" t="s">
        <v>43</v>
      </c>
      <c r="AV3" s="17" t="s">
        <v>44</v>
      </c>
    </row>
    <row r="4" spans="2:255" s="1" customFormat="1" ht="281.25" customHeight="1">
      <c r="B4" s="111">
        <v>1</v>
      </c>
      <c r="C4" s="251" t="s">
        <v>45</v>
      </c>
      <c r="D4" s="252"/>
      <c r="E4" s="197" t="s">
        <v>46</v>
      </c>
      <c r="F4" s="199">
        <v>6</v>
      </c>
      <c r="G4" s="201">
        <v>165.9</v>
      </c>
      <c r="H4" s="203" t="s">
        <v>47</v>
      </c>
      <c r="I4" s="253" t="s">
        <v>48</v>
      </c>
      <c r="J4" s="112">
        <f t="shared" ref="J4" si="0">F4*G4</f>
        <v>995.40000000000009</v>
      </c>
      <c r="K4" s="254" t="s">
        <v>49</v>
      </c>
      <c r="L4"/>
      <c r="M4" s="46" t="s">
        <v>50</v>
      </c>
      <c r="N4" s="47"/>
      <c r="O4" s="243" t="s">
        <v>51</v>
      </c>
      <c r="P4" s="50"/>
      <c r="Q4" s="18">
        <f>610/6</f>
        <v>101.66666666666667</v>
      </c>
      <c r="R4" s="19">
        <v>40</v>
      </c>
      <c r="S4" s="20">
        <f t="shared" ref="S4" si="1">Q4*R4/100</f>
        <v>40.666666666666671</v>
      </c>
      <c r="T4" s="21">
        <f t="shared" ref="T4" si="2">S4*V4</f>
        <v>244.00000000000003</v>
      </c>
      <c r="U4" s="22">
        <f t="shared" ref="U4" si="3">Q4+S4</f>
        <v>142.33333333333334</v>
      </c>
      <c r="V4" s="19">
        <f t="shared" ref="V4" si="4">F4</f>
        <v>6</v>
      </c>
      <c r="W4" s="23">
        <f>30</f>
        <v>30</v>
      </c>
      <c r="X4" s="24">
        <v>60</v>
      </c>
      <c r="Y4" s="25">
        <f t="shared" ref="Y4" si="5">V4*U4+W4+X4</f>
        <v>944</v>
      </c>
      <c r="Z4" s="49" t="s">
        <v>52</v>
      </c>
      <c r="AA4" s="24">
        <v>0</v>
      </c>
      <c r="AB4" s="26">
        <v>1</v>
      </c>
      <c r="AC4" s="26">
        <v>1</v>
      </c>
      <c r="AD4" s="26">
        <v>1</v>
      </c>
      <c r="AE4" s="27">
        <f t="shared" ref="AE4" si="6">AA4*AB4*AC4*AD4</f>
        <v>0</v>
      </c>
      <c r="AF4" s="28">
        <v>10</v>
      </c>
      <c r="AG4" s="27">
        <f t="shared" ref="AG4:AG9" si="7">2%*(Y4+AE4+AF4)</f>
        <v>19.080000000000002</v>
      </c>
      <c r="AH4" s="30">
        <f t="shared" ref="AH4" si="8">Y4+AE4+AG4+AF4</f>
        <v>973.08</v>
      </c>
      <c r="AI4" s="31">
        <f t="shared" ref="AI4" si="9">AH4/V4</f>
        <v>162.18</v>
      </c>
      <c r="AJ4" s="32">
        <f t="shared" ref="AJ4" si="10">AI4*18%</f>
        <v>29.192399999999999</v>
      </c>
      <c r="AK4" s="33">
        <f t="shared" ref="AK4" si="11">AI4+AJ4</f>
        <v>191.3724</v>
      </c>
      <c r="AL4"/>
      <c r="AM4" s="34"/>
      <c r="AN4" s="35">
        <f t="shared" ref="AN4" si="12">AK4*V4</f>
        <v>1148.2344000000001</v>
      </c>
      <c r="AO4" s="36">
        <f t="shared" ref="AO4" si="13">(AK4-(AK4/1.18))*V4</f>
        <v>175.15439999999995</v>
      </c>
      <c r="AP4" s="36">
        <f t="shared" ref="AP4" si="14">(AK4-(AK4/1.02))*V4</f>
        <v>22.514399999999966</v>
      </c>
      <c r="AQ4" s="36">
        <f t="shared" ref="AQ4" si="15">(AK4-(AK4/1.05))*V4</f>
        <v>54.677828571428563</v>
      </c>
      <c r="AR4" s="36">
        <f t="shared" ref="AR4" si="16">S4*V4</f>
        <v>244.00000000000003</v>
      </c>
      <c r="AS4" s="37">
        <f t="shared" ref="AS4" si="17">AR4-AQ4-AP4</f>
        <v>166.8077714285715</v>
      </c>
      <c r="AT4" s="38"/>
      <c r="AU4" s="39">
        <f t="shared" ref="AU4:AU9" si="18">AR4*100/(AN4-AO4-AR4)</f>
        <v>33.466834915235637</v>
      </c>
      <c r="AV4" s="39">
        <f t="shared" ref="AV4" si="19">AS4*100/(AN4-AO4-AR4-AP4-AQ4)</f>
        <v>25.588418549871342</v>
      </c>
    </row>
    <row r="5" spans="2:255" s="1" customFormat="1" ht="299.25" customHeight="1">
      <c r="B5" s="113">
        <v>2</v>
      </c>
      <c r="C5" s="225" t="s">
        <v>45</v>
      </c>
      <c r="D5" s="226"/>
      <c r="E5" s="198" t="s">
        <v>46</v>
      </c>
      <c r="F5" s="200">
        <v>3</v>
      </c>
      <c r="G5" s="202">
        <v>239.9</v>
      </c>
      <c r="H5" s="204" t="s">
        <v>47</v>
      </c>
      <c r="I5" s="240" t="s">
        <v>53</v>
      </c>
      <c r="J5" s="114">
        <f t="shared" ref="J5" si="20">F5*G5</f>
        <v>719.7</v>
      </c>
      <c r="K5"/>
      <c r="L5"/>
      <c r="M5" s="46" t="s">
        <v>50</v>
      </c>
      <c r="N5" s="47"/>
      <c r="O5" s="243" t="s">
        <v>54</v>
      </c>
      <c r="P5" s="50"/>
      <c r="Q5" s="18">
        <f>420/3</f>
        <v>140</v>
      </c>
      <c r="R5" s="19">
        <v>40</v>
      </c>
      <c r="S5" s="20">
        <f t="shared" ref="S5" si="21">Q5*R5/100</f>
        <v>56</v>
      </c>
      <c r="T5" s="21">
        <f t="shared" ref="T5" si="22">S5*V5</f>
        <v>168</v>
      </c>
      <c r="U5" s="22">
        <f t="shared" ref="U5" si="23">Q5+S5</f>
        <v>196</v>
      </c>
      <c r="V5" s="19">
        <f t="shared" ref="V5" si="24">F5</f>
        <v>3</v>
      </c>
      <c r="W5" s="23">
        <f>30</f>
        <v>30</v>
      </c>
      <c r="X5" s="24">
        <v>40</v>
      </c>
      <c r="Y5" s="25">
        <f t="shared" ref="Y5" si="25">V5*U5+W5+X5</f>
        <v>658</v>
      </c>
      <c r="Z5" s="49" t="s">
        <v>52</v>
      </c>
      <c r="AA5" s="24">
        <v>0</v>
      </c>
      <c r="AB5" s="26">
        <v>1</v>
      </c>
      <c r="AC5" s="26">
        <v>1</v>
      </c>
      <c r="AD5" s="26">
        <v>1</v>
      </c>
      <c r="AE5" s="27">
        <f t="shared" ref="AE5" si="26">AA5*AB5*AC5*AD5</f>
        <v>0</v>
      </c>
      <c r="AF5" s="28">
        <v>10</v>
      </c>
      <c r="AG5" s="27">
        <f t="shared" si="7"/>
        <v>13.36</v>
      </c>
      <c r="AH5" s="30">
        <f t="shared" ref="AH5" si="27">Y5+AE5+AG5+AF5</f>
        <v>681.36</v>
      </c>
      <c r="AI5" s="31">
        <f t="shared" ref="AI5" si="28">AH5/V5</f>
        <v>227.12</v>
      </c>
      <c r="AJ5" s="32">
        <f t="shared" ref="AJ5" si="29">AI5*18%</f>
        <v>40.881599999999999</v>
      </c>
      <c r="AK5" s="33">
        <f t="shared" ref="AK5" si="30">AI5+AJ5</f>
        <v>268.0016</v>
      </c>
      <c r="AL5"/>
      <c r="AM5" s="34"/>
      <c r="AN5" s="35">
        <f t="shared" ref="AN5" si="31">AK5*V5</f>
        <v>804.00479999999993</v>
      </c>
      <c r="AO5" s="36">
        <f t="shared" ref="AO5" si="32">(AK5-(AK5/1.18))*V5</f>
        <v>122.64479999999998</v>
      </c>
      <c r="AP5" s="36">
        <f t="shared" ref="AP5" si="33">(AK5-(AK5/1.02))*V5</f>
        <v>15.76479999999998</v>
      </c>
      <c r="AQ5" s="36">
        <f t="shared" ref="AQ5" si="34">(AK5-(AK5/1.05))*V5</f>
        <v>38.285942857142857</v>
      </c>
      <c r="AR5" s="36">
        <f t="shared" ref="AR5" si="35">S5*V5</f>
        <v>168</v>
      </c>
      <c r="AS5" s="37">
        <f t="shared" ref="AS5" si="36">AR5-AQ5-AP5</f>
        <v>113.94925714285716</v>
      </c>
      <c r="AT5" s="38"/>
      <c r="AU5" s="39">
        <f t="shared" si="18"/>
        <v>32.72557269752221</v>
      </c>
      <c r="AV5" s="39">
        <f t="shared" ref="AV5" si="37">AS5*100/(AN5-AO5-AR5-AP5-AQ5)</f>
        <v>24.808830950127355</v>
      </c>
    </row>
    <row r="6" spans="2:255" s="1" customFormat="1" ht="304.5" customHeight="1">
      <c r="B6" s="113">
        <v>3</v>
      </c>
      <c r="C6" s="225" t="s">
        <v>45</v>
      </c>
      <c r="D6" s="226"/>
      <c r="E6" s="198" t="s">
        <v>46</v>
      </c>
      <c r="F6" s="200">
        <v>6</v>
      </c>
      <c r="G6" s="202">
        <v>165.9</v>
      </c>
      <c r="H6" s="204" t="s">
        <v>47</v>
      </c>
      <c r="I6" s="240" t="s">
        <v>55</v>
      </c>
      <c r="J6" s="114">
        <f t="shared" ref="J6" si="38">F6*G6</f>
        <v>995.40000000000009</v>
      </c>
      <c r="K6"/>
      <c r="L6"/>
      <c r="M6" s="46" t="s">
        <v>50</v>
      </c>
      <c r="N6" s="47"/>
      <c r="O6" s="243" t="s">
        <v>56</v>
      </c>
      <c r="P6" s="50"/>
      <c r="Q6" s="18">
        <f>610/6</f>
        <v>101.66666666666667</v>
      </c>
      <c r="R6" s="19">
        <v>40</v>
      </c>
      <c r="S6" s="20">
        <f t="shared" ref="S6" si="39">Q6*R6/100</f>
        <v>40.666666666666671</v>
      </c>
      <c r="T6" s="21">
        <f t="shared" ref="T6" si="40">S6*V6</f>
        <v>244.00000000000003</v>
      </c>
      <c r="U6" s="22">
        <f t="shared" ref="U6" si="41">Q6+S6</f>
        <v>142.33333333333334</v>
      </c>
      <c r="V6" s="19">
        <f t="shared" ref="V6" si="42">F6</f>
        <v>6</v>
      </c>
      <c r="W6" s="23">
        <f>30</f>
        <v>30</v>
      </c>
      <c r="X6" s="24">
        <v>60</v>
      </c>
      <c r="Y6" s="25">
        <f t="shared" ref="Y6" si="43">V6*U6+W6+X6</f>
        <v>944</v>
      </c>
      <c r="Z6" s="49" t="s">
        <v>52</v>
      </c>
      <c r="AA6" s="24">
        <v>0</v>
      </c>
      <c r="AB6" s="26">
        <v>1</v>
      </c>
      <c r="AC6" s="26">
        <v>1</v>
      </c>
      <c r="AD6" s="26">
        <v>1</v>
      </c>
      <c r="AE6" s="27">
        <f t="shared" ref="AE6" si="44">AA6*AB6*AC6*AD6</f>
        <v>0</v>
      </c>
      <c r="AF6" s="28">
        <v>10</v>
      </c>
      <c r="AG6" s="27">
        <f t="shared" si="7"/>
        <v>19.080000000000002</v>
      </c>
      <c r="AH6" s="30">
        <f t="shared" ref="AH6" si="45">Y6+AE6+AG6+AF6</f>
        <v>973.08</v>
      </c>
      <c r="AI6" s="31">
        <f t="shared" ref="AI6" si="46">AH6/V6</f>
        <v>162.18</v>
      </c>
      <c r="AJ6" s="32">
        <f t="shared" ref="AJ6" si="47">AI6*18%</f>
        <v>29.192399999999999</v>
      </c>
      <c r="AK6" s="33">
        <f t="shared" ref="AK6" si="48">AI6+AJ6</f>
        <v>191.3724</v>
      </c>
      <c r="AL6"/>
      <c r="AM6" s="34"/>
      <c r="AN6" s="35">
        <f t="shared" ref="AN6" si="49">AK6*V6</f>
        <v>1148.2344000000001</v>
      </c>
      <c r="AO6" s="36">
        <f t="shared" ref="AO6" si="50">(AK6-(AK6/1.18))*V6</f>
        <v>175.15439999999995</v>
      </c>
      <c r="AP6" s="36">
        <f t="shared" ref="AP6" si="51">(AK6-(AK6/1.02))*V6</f>
        <v>22.514399999999966</v>
      </c>
      <c r="AQ6" s="36">
        <f t="shared" ref="AQ6" si="52">(AK6-(AK6/1.05))*V6</f>
        <v>54.677828571428563</v>
      </c>
      <c r="AR6" s="36">
        <f t="shared" ref="AR6" si="53">S6*V6</f>
        <v>244.00000000000003</v>
      </c>
      <c r="AS6" s="37">
        <f t="shared" ref="AS6" si="54">AR6-AQ6-AP6</f>
        <v>166.8077714285715</v>
      </c>
      <c r="AT6" s="38"/>
      <c r="AU6" s="39">
        <f t="shared" si="18"/>
        <v>33.466834915235637</v>
      </c>
      <c r="AV6" s="39">
        <f t="shared" ref="AV6" si="55">AS6*100/(AN6-AO6-AR6-AP6-AQ6)</f>
        <v>25.588418549871342</v>
      </c>
    </row>
    <row r="7" spans="2:255" s="1" customFormat="1" ht="293.25" customHeight="1">
      <c r="B7" s="113">
        <v>4</v>
      </c>
      <c r="C7" s="225" t="s">
        <v>45</v>
      </c>
      <c r="D7" s="226"/>
      <c r="E7" s="198" t="s">
        <v>46</v>
      </c>
      <c r="F7" s="200">
        <v>6</v>
      </c>
      <c r="G7" s="202">
        <v>165.9</v>
      </c>
      <c r="H7" s="204" t="s">
        <v>47</v>
      </c>
      <c r="I7" s="240" t="s">
        <v>57</v>
      </c>
      <c r="J7" s="114">
        <f t="shared" ref="J7" si="56">F7*G7</f>
        <v>995.40000000000009</v>
      </c>
      <c r="K7"/>
      <c r="L7"/>
      <c r="M7" s="46" t="s">
        <v>50</v>
      </c>
      <c r="N7" s="47"/>
      <c r="O7" s="243" t="s">
        <v>58</v>
      </c>
      <c r="P7" s="50"/>
      <c r="Q7" s="18">
        <f>610/6</f>
        <v>101.66666666666667</v>
      </c>
      <c r="R7" s="19">
        <v>40</v>
      </c>
      <c r="S7" s="20">
        <f t="shared" ref="S7" si="57">Q7*R7/100</f>
        <v>40.666666666666671</v>
      </c>
      <c r="T7" s="21">
        <f t="shared" ref="T7" si="58">S7*V7</f>
        <v>244.00000000000003</v>
      </c>
      <c r="U7" s="22">
        <f t="shared" ref="U7" si="59">Q7+S7</f>
        <v>142.33333333333334</v>
      </c>
      <c r="V7" s="19">
        <f t="shared" ref="V7" si="60">F7</f>
        <v>6</v>
      </c>
      <c r="W7" s="23">
        <f>30</f>
        <v>30</v>
      </c>
      <c r="X7" s="24">
        <v>60</v>
      </c>
      <c r="Y7" s="25">
        <f t="shared" ref="Y7" si="61">V7*U7+W7+X7</f>
        <v>944</v>
      </c>
      <c r="Z7" s="49" t="s">
        <v>52</v>
      </c>
      <c r="AA7" s="24">
        <v>0</v>
      </c>
      <c r="AB7" s="26">
        <v>1</v>
      </c>
      <c r="AC7" s="26">
        <v>1</v>
      </c>
      <c r="AD7" s="26">
        <v>1</v>
      </c>
      <c r="AE7" s="27">
        <f t="shared" ref="AE7" si="62">AA7*AB7*AC7*AD7</f>
        <v>0</v>
      </c>
      <c r="AF7" s="28">
        <v>10</v>
      </c>
      <c r="AG7" s="27">
        <f t="shared" si="7"/>
        <v>19.080000000000002</v>
      </c>
      <c r="AH7" s="30">
        <f t="shared" ref="AH7" si="63">Y7+AE7+AG7+AF7</f>
        <v>973.08</v>
      </c>
      <c r="AI7" s="31">
        <f t="shared" ref="AI7" si="64">AH7/V7</f>
        <v>162.18</v>
      </c>
      <c r="AJ7" s="32">
        <f t="shared" ref="AJ7" si="65">AI7*18%</f>
        <v>29.192399999999999</v>
      </c>
      <c r="AK7" s="33">
        <f t="shared" ref="AK7" si="66">AI7+AJ7</f>
        <v>191.3724</v>
      </c>
      <c r="AL7"/>
      <c r="AM7" s="34"/>
      <c r="AN7" s="35">
        <f t="shared" ref="AN7" si="67">AK7*V7</f>
        <v>1148.2344000000001</v>
      </c>
      <c r="AO7" s="36">
        <f t="shared" ref="AO7" si="68">(AK7-(AK7/1.18))*V7</f>
        <v>175.15439999999995</v>
      </c>
      <c r="AP7" s="36">
        <f t="shared" ref="AP7" si="69">(AK7-(AK7/1.02))*V7</f>
        <v>22.514399999999966</v>
      </c>
      <c r="AQ7" s="36">
        <f t="shared" ref="AQ7" si="70">(AK7-(AK7/1.05))*V7</f>
        <v>54.677828571428563</v>
      </c>
      <c r="AR7" s="36">
        <f t="shared" ref="AR7" si="71">S7*V7</f>
        <v>244.00000000000003</v>
      </c>
      <c r="AS7" s="37">
        <f t="shared" ref="AS7" si="72">AR7-AQ7-AP7</f>
        <v>166.8077714285715</v>
      </c>
      <c r="AT7" s="38"/>
      <c r="AU7" s="39">
        <f t="shared" si="18"/>
        <v>33.466834915235637</v>
      </c>
      <c r="AV7" s="39">
        <f t="shared" ref="AV7" si="73">AS7*100/(AN7-AO7-AR7-AP7-AQ7)</f>
        <v>25.588418549871342</v>
      </c>
    </row>
    <row r="8" spans="2:255" s="1" customFormat="1" ht="308.25" customHeight="1">
      <c r="B8" s="113">
        <v>5</v>
      </c>
      <c r="C8" s="225" t="s">
        <v>45</v>
      </c>
      <c r="D8" s="226"/>
      <c r="E8" s="198" t="s">
        <v>46</v>
      </c>
      <c r="F8" s="200">
        <v>5</v>
      </c>
      <c r="G8" s="202">
        <v>185.9</v>
      </c>
      <c r="H8" s="204" t="s">
        <v>47</v>
      </c>
      <c r="I8" s="240" t="s">
        <v>59</v>
      </c>
      <c r="J8" s="114">
        <f t="shared" ref="J8" si="74">F8*G8</f>
        <v>929.5</v>
      </c>
      <c r="K8"/>
      <c r="L8"/>
      <c r="M8" s="46" t="s">
        <v>50</v>
      </c>
      <c r="N8" s="47"/>
      <c r="O8" s="243" t="s">
        <v>60</v>
      </c>
      <c r="P8" s="50"/>
      <c r="Q8" s="18">
        <f>550/5</f>
        <v>110</v>
      </c>
      <c r="R8" s="19">
        <v>40</v>
      </c>
      <c r="S8" s="20">
        <f t="shared" ref="S8" si="75">Q8*R8/100</f>
        <v>44</v>
      </c>
      <c r="T8" s="21">
        <f t="shared" ref="T8" si="76">S8*V8</f>
        <v>220</v>
      </c>
      <c r="U8" s="22">
        <f t="shared" ref="U8" si="77">Q8+S8</f>
        <v>154</v>
      </c>
      <c r="V8" s="19">
        <f t="shared" ref="V8" si="78">F8</f>
        <v>5</v>
      </c>
      <c r="W8" s="23">
        <f>30</f>
        <v>30</v>
      </c>
      <c r="X8" s="24">
        <v>60</v>
      </c>
      <c r="Y8" s="25">
        <f t="shared" ref="Y8" si="79">V8*U8+W8+X8</f>
        <v>860</v>
      </c>
      <c r="Z8" s="49" t="s">
        <v>52</v>
      </c>
      <c r="AA8" s="24">
        <v>0</v>
      </c>
      <c r="AB8" s="26">
        <v>1</v>
      </c>
      <c r="AC8" s="26">
        <v>1</v>
      </c>
      <c r="AD8" s="26">
        <v>1</v>
      </c>
      <c r="AE8" s="27">
        <f t="shared" ref="AE8" si="80">AA8*AB8*AC8*AD8</f>
        <v>0</v>
      </c>
      <c r="AF8" s="28">
        <v>10</v>
      </c>
      <c r="AG8" s="27">
        <f t="shared" si="7"/>
        <v>17.400000000000002</v>
      </c>
      <c r="AH8" s="30">
        <f t="shared" ref="AH8" si="81">Y8+AE8+AG8+AF8</f>
        <v>887.4</v>
      </c>
      <c r="AI8" s="31">
        <f t="shared" ref="AI8" si="82">AH8/V8</f>
        <v>177.48</v>
      </c>
      <c r="AJ8" s="32">
        <f t="shared" ref="AJ8" si="83">AI8*18%</f>
        <v>31.946399999999997</v>
      </c>
      <c r="AK8" s="33">
        <f t="shared" ref="AK8" si="84">AI8+AJ8</f>
        <v>209.4264</v>
      </c>
      <c r="AL8"/>
      <c r="AM8" s="34"/>
      <c r="AN8" s="35">
        <f t="shared" ref="AN8" si="85">AK8*V8</f>
        <v>1047.1320000000001</v>
      </c>
      <c r="AO8" s="36">
        <f t="shared" ref="AO8" si="86">(AK8-(AK8/1.18))*V8</f>
        <v>159.73199999999991</v>
      </c>
      <c r="AP8" s="36">
        <f t="shared" ref="AP8" si="87">(AK8-(AK8/1.02))*V8</f>
        <v>20.532000000000039</v>
      </c>
      <c r="AQ8" s="36">
        <f t="shared" ref="AQ8" si="88">(AK8-(AK8/1.05))*V8</f>
        <v>49.863428571428585</v>
      </c>
      <c r="AR8" s="36">
        <f t="shared" ref="AR8" si="89">S8*V8</f>
        <v>220</v>
      </c>
      <c r="AS8" s="37">
        <f t="shared" ref="AS8" si="90">AR8-AQ8-AP8</f>
        <v>149.60457142857138</v>
      </c>
      <c r="AT8" s="38"/>
      <c r="AU8" s="39">
        <f t="shared" si="18"/>
        <v>32.963739886125261</v>
      </c>
      <c r="AV8" s="39">
        <f t="shared" ref="AV8" si="91">AS8*100/(AN8-AO8-AR8-AP8-AQ8)</f>
        <v>25.059200312416838</v>
      </c>
    </row>
    <row r="9" spans="2:255" s="1" customFormat="1" ht="297.75" customHeight="1">
      <c r="B9" s="113">
        <v>6</v>
      </c>
      <c r="C9" s="225" t="s">
        <v>45</v>
      </c>
      <c r="D9" s="226"/>
      <c r="E9" s="198" t="s">
        <v>46</v>
      </c>
      <c r="F9" s="200">
        <v>6</v>
      </c>
      <c r="G9" s="202">
        <v>169.9</v>
      </c>
      <c r="H9" s="204" t="s">
        <v>47</v>
      </c>
      <c r="I9" s="240" t="s">
        <v>61</v>
      </c>
      <c r="J9" s="114">
        <f t="shared" ref="J9" si="92">F9*G9</f>
        <v>1019.4000000000001</v>
      </c>
      <c r="K9"/>
      <c r="L9"/>
      <c r="M9" s="46" t="s">
        <v>50</v>
      </c>
      <c r="N9" s="47"/>
      <c r="O9" s="243" t="s">
        <v>62</v>
      </c>
      <c r="P9" s="50"/>
      <c r="Q9" s="18">
        <f>610/6</f>
        <v>101.66666666666667</v>
      </c>
      <c r="R9" s="19">
        <v>40</v>
      </c>
      <c r="S9" s="20">
        <f t="shared" ref="S9" si="93">Q9*R9/100</f>
        <v>40.666666666666671</v>
      </c>
      <c r="T9" s="21">
        <f t="shared" ref="T9" si="94">S9*V9</f>
        <v>244.00000000000003</v>
      </c>
      <c r="U9" s="22">
        <f t="shared" ref="U9" si="95">Q9+S9</f>
        <v>142.33333333333334</v>
      </c>
      <c r="V9" s="19">
        <f t="shared" ref="V9" si="96">F9</f>
        <v>6</v>
      </c>
      <c r="W9" s="23">
        <f>30</f>
        <v>30</v>
      </c>
      <c r="X9" s="24">
        <v>60</v>
      </c>
      <c r="Y9" s="25">
        <f t="shared" ref="Y9" si="97">V9*U9+W9+X9</f>
        <v>944</v>
      </c>
      <c r="Z9" s="49" t="s">
        <v>52</v>
      </c>
      <c r="AA9" s="24">
        <v>0</v>
      </c>
      <c r="AB9" s="26">
        <v>1</v>
      </c>
      <c r="AC9" s="26">
        <v>1</v>
      </c>
      <c r="AD9" s="26">
        <v>1</v>
      </c>
      <c r="AE9" s="27">
        <f t="shared" ref="AE9" si="98">AA9*AB9*AC9*AD9</f>
        <v>0</v>
      </c>
      <c r="AF9" s="28">
        <v>10</v>
      </c>
      <c r="AG9" s="27">
        <f t="shared" si="7"/>
        <v>19.080000000000002</v>
      </c>
      <c r="AH9" s="30">
        <f t="shared" ref="AH9" si="99">Y9+AE9+AG9+AF9</f>
        <v>973.08</v>
      </c>
      <c r="AI9" s="31">
        <f t="shared" ref="AI9" si="100">AH9/V9</f>
        <v>162.18</v>
      </c>
      <c r="AJ9" s="32">
        <f t="shared" ref="AJ9" si="101">AI9*18%</f>
        <v>29.192399999999999</v>
      </c>
      <c r="AK9" s="33">
        <f t="shared" ref="AK9" si="102">AI9+AJ9</f>
        <v>191.3724</v>
      </c>
      <c r="AL9"/>
      <c r="AM9" s="34"/>
      <c r="AN9" s="35">
        <f t="shared" ref="AN9" si="103">AK9*V9</f>
        <v>1148.2344000000001</v>
      </c>
      <c r="AO9" s="36">
        <f t="shared" ref="AO9" si="104">(AK9-(AK9/1.18))*V9</f>
        <v>175.15439999999995</v>
      </c>
      <c r="AP9" s="36">
        <f t="shared" ref="AP9" si="105">(AK9-(AK9/1.02))*V9</f>
        <v>22.514399999999966</v>
      </c>
      <c r="AQ9" s="36">
        <f t="shared" ref="AQ9" si="106">(AK9-(AK9/1.05))*V9</f>
        <v>54.677828571428563</v>
      </c>
      <c r="AR9" s="36">
        <f t="shared" ref="AR9" si="107">S9*V9</f>
        <v>244.00000000000003</v>
      </c>
      <c r="AS9" s="37">
        <f t="shared" ref="AS9" si="108">AR9-AQ9-AP9</f>
        <v>166.8077714285715</v>
      </c>
      <c r="AT9" s="38"/>
      <c r="AU9" s="39">
        <f t="shared" si="18"/>
        <v>33.466834915235637</v>
      </c>
      <c r="AV9" s="39">
        <f t="shared" ref="AV9" si="109">AS9*100/(AN9-AO9-AR9-AP9-AQ9)</f>
        <v>25.588418549871342</v>
      </c>
    </row>
    <row r="10" spans="2:255" s="1" customFormat="1" ht="285.75" customHeight="1">
      <c r="B10" s="113">
        <v>7</v>
      </c>
      <c r="C10" s="225" t="s">
        <v>45</v>
      </c>
      <c r="D10" s="226"/>
      <c r="E10" s="198" t="s">
        <v>46</v>
      </c>
      <c r="F10" s="200">
        <v>7</v>
      </c>
      <c r="G10" s="202">
        <v>159.9</v>
      </c>
      <c r="H10" s="204" t="s">
        <v>47</v>
      </c>
      <c r="I10" s="240" t="s">
        <v>63</v>
      </c>
      <c r="J10" s="114">
        <f t="shared" ref="J10" si="110">F10*G10</f>
        <v>1119.3</v>
      </c>
      <c r="K10"/>
      <c r="L10"/>
      <c r="M10" s="46" t="s">
        <v>50</v>
      </c>
      <c r="N10" s="47"/>
      <c r="O10" s="243" t="s">
        <v>64</v>
      </c>
      <c r="P10" s="50"/>
      <c r="Q10" s="18">
        <f>690/7</f>
        <v>98.571428571428569</v>
      </c>
      <c r="R10" s="19">
        <v>40</v>
      </c>
      <c r="S10" s="20">
        <f t="shared" ref="S10" si="111">Q10*R10/100</f>
        <v>39.428571428571423</v>
      </c>
      <c r="T10" s="21">
        <f t="shared" ref="T10" si="112">S10*V10</f>
        <v>275.99999999999994</v>
      </c>
      <c r="U10" s="22">
        <f t="shared" ref="U10" si="113">Q10+S10</f>
        <v>138</v>
      </c>
      <c r="V10" s="19">
        <f t="shared" ref="V10" si="114">F10</f>
        <v>7</v>
      </c>
      <c r="W10" s="23">
        <f>30</f>
        <v>30</v>
      </c>
      <c r="X10" s="24">
        <v>60</v>
      </c>
      <c r="Y10" s="25">
        <f t="shared" ref="Y10" si="115">V10*U10+W10+X10</f>
        <v>1056</v>
      </c>
      <c r="Z10" s="49" t="s">
        <v>52</v>
      </c>
      <c r="AA10" s="24">
        <v>0</v>
      </c>
      <c r="AB10" s="26">
        <v>1</v>
      </c>
      <c r="AC10" s="26">
        <v>1</v>
      </c>
      <c r="AD10" s="26">
        <v>1</v>
      </c>
      <c r="AE10" s="27">
        <f t="shared" ref="AE10" si="116">AA10*AB10*AC10*AD10</f>
        <v>0</v>
      </c>
      <c r="AF10" s="28">
        <v>10</v>
      </c>
      <c r="AG10" s="27">
        <f t="shared" ref="AG10" si="117">2%*(Y10+AE10+AF10)</f>
        <v>21.32</v>
      </c>
      <c r="AH10" s="30">
        <f t="shared" ref="AH10" si="118">Y10+AE10+AG10+AF10</f>
        <v>1087.32</v>
      </c>
      <c r="AI10" s="31">
        <f t="shared" ref="AI10" si="119">AH10/V10</f>
        <v>155.33142857142857</v>
      </c>
      <c r="AJ10" s="32">
        <f t="shared" ref="AJ10" si="120">AI10*18%</f>
        <v>27.959657142857143</v>
      </c>
      <c r="AK10" s="33">
        <f t="shared" ref="AK10" si="121">AI10+AJ10</f>
        <v>183.29108571428571</v>
      </c>
      <c r="AL10"/>
      <c r="AM10" s="34"/>
      <c r="AN10" s="35">
        <f t="shared" ref="AN10" si="122">AK10*V10</f>
        <v>1283.0376000000001</v>
      </c>
      <c r="AO10" s="36">
        <f t="shared" ref="AO10" si="123">(AK10-(AK10/1.18))*V10</f>
        <v>195.71759999999998</v>
      </c>
      <c r="AP10" s="36">
        <f t="shared" ref="AP10" si="124">(AK10-(AK10/1.02))*V10</f>
        <v>25.157599999999945</v>
      </c>
      <c r="AQ10" s="36">
        <f t="shared" ref="AQ10" si="125">(AK10-(AK10/1.05))*V10</f>
        <v>61.097028571428666</v>
      </c>
      <c r="AR10" s="36">
        <f t="shared" ref="AR10" si="126">S10*V10</f>
        <v>275.99999999999994</v>
      </c>
      <c r="AS10" s="37">
        <f t="shared" ref="AS10" si="127">AR10-AQ10-AP10</f>
        <v>189.74537142857133</v>
      </c>
      <c r="AT10" s="38"/>
      <c r="AU10" s="39">
        <f t="shared" ref="AU10" si="128">AR10*100/(AN10-AO10-AR10)</f>
        <v>34.018636296405845</v>
      </c>
      <c r="AV10" s="39">
        <f t="shared" ref="AV10" si="129">AS10*100/(AN10-AO10-AR10-AP10-AQ10)</f>
        <v>26.16941573898675</v>
      </c>
    </row>
    <row r="11" spans="2:255" ht="27" customHeight="1">
      <c r="B11" s="150"/>
      <c r="C11" s="151"/>
      <c r="D11" s="151"/>
      <c r="E11" s="152"/>
      <c r="F11" s="153"/>
      <c r="G11" s="154"/>
      <c r="H11" s="155"/>
      <c r="I11" s="184" t="s">
        <v>65</v>
      </c>
      <c r="J11" s="185">
        <f>SUM(J4:J10)</f>
        <v>6774.0999999999995</v>
      </c>
      <c r="M11" s="156"/>
      <c r="N11" s="157"/>
      <c r="O11" s="157"/>
      <c r="P11" s="158"/>
      <c r="Q11" s="159"/>
      <c r="R11" s="160"/>
      <c r="S11" s="161"/>
      <c r="T11" s="162"/>
      <c r="U11" s="163"/>
      <c r="V11" s="160"/>
      <c r="W11" s="164"/>
      <c r="X11" s="165"/>
      <c r="Y11" s="166"/>
      <c r="Z11" s="167"/>
      <c r="AA11" s="168"/>
      <c r="AB11" s="169"/>
      <c r="AC11" s="169"/>
      <c r="AD11" s="169"/>
      <c r="AE11" s="170"/>
      <c r="AF11" s="171"/>
      <c r="AG11" s="172"/>
      <c r="AH11" s="173"/>
      <c r="AI11" s="174"/>
      <c r="AJ11" s="175"/>
      <c r="AK11" s="176"/>
      <c r="AL11" s="177"/>
      <c r="AM11" s="177"/>
      <c r="AN11" s="177"/>
      <c r="AO11" s="177"/>
      <c r="AP11" s="178"/>
      <c r="AQ11" s="179"/>
      <c r="AR11" s="180"/>
      <c r="AS11" s="180"/>
      <c r="AT11" s="181"/>
      <c r="AU11" s="181"/>
      <c r="AV11" s="181"/>
      <c r="AW11" s="181"/>
      <c r="AX11" s="181"/>
      <c r="AY11" s="181"/>
      <c r="AZ11" s="181"/>
      <c r="BA11" s="181"/>
      <c r="BB11" s="181"/>
      <c r="BC11" s="181"/>
      <c r="BD11" s="181"/>
      <c r="BE11" s="181"/>
      <c r="BF11" s="181"/>
      <c r="BG11" s="181"/>
      <c r="BH11" s="181"/>
      <c r="BI11" s="181"/>
      <c r="BJ11" s="181"/>
      <c r="BK11" s="181"/>
      <c r="BL11" s="181"/>
      <c r="BM11" s="181"/>
      <c r="BN11" s="181"/>
      <c r="BO11" s="181"/>
      <c r="BP11" s="181"/>
      <c r="BQ11" s="181"/>
      <c r="BR11" s="181"/>
      <c r="BS11" s="181"/>
      <c r="BT11" s="181"/>
      <c r="BU11" s="181"/>
      <c r="BV11" s="181"/>
      <c r="BW11" s="181"/>
      <c r="BX11" s="181"/>
      <c r="BY11" s="181"/>
      <c r="BZ11" s="181"/>
      <c r="CA11" s="181"/>
      <c r="CB11" s="181"/>
      <c r="CC11" s="181"/>
      <c r="CD11" s="181"/>
      <c r="CE11" s="181"/>
      <c r="CF11" s="181"/>
      <c r="CG11" s="181"/>
      <c r="CH11" s="181"/>
      <c r="CI11" s="181"/>
      <c r="CJ11" s="181"/>
      <c r="CK11" s="181"/>
      <c r="CL11" s="181"/>
      <c r="CM11" s="181"/>
      <c r="CN11" s="181"/>
      <c r="CO11" s="181"/>
      <c r="CP11" s="181"/>
      <c r="CQ11" s="181"/>
      <c r="CR11" s="181"/>
      <c r="CS11" s="181"/>
      <c r="CT11" s="181"/>
      <c r="CU11" s="181"/>
      <c r="CV11" s="181"/>
      <c r="CW11" s="181"/>
      <c r="CX11" s="181"/>
      <c r="CY11" s="181"/>
      <c r="CZ11" s="181"/>
      <c r="DA11" s="181"/>
      <c r="DB11" s="181"/>
      <c r="DC11" s="181"/>
      <c r="DD11" s="181"/>
      <c r="DE11" s="181"/>
      <c r="DF11" s="181"/>
      <c r="DG11" s="181"/>
      <c r="DH11" s="181"/>
      <c r="DI11" s="181"/>
      <c r="DJ11" s="181"/>
      <c r="DK11" s="181"/>
      <c r="DL11" s="181"/>
      <c r="DM11" s="181"/>
      <c r="DN11" s="181"/>
      <c r="DO11" s="181"/>
      <c r="DP11" s="181"/>
      <c r="DQ11" s="181"/>
      <c r="DR11" s="181"/>
      <c r="DS11" s="181"/>
      <c r="DT11" s="181"/>
      <c r="DU11" s="181"/>
      <c r="DV11" s="181"/>
      <c r="DW11" s="181"/>
      <c r="DX11" s="181"/>
      <c r="DY11" s="181"/>
      <c r="DZ11" s="181"/>
      <c r="EA11" s="181"/>
      <c r="EB11" s="181"/>
      <c r="EC11" s="181"/>
      <c r="ED11" s="181"/>
      <c r="EE11" s="181"/>
      <c r="EF11" s="181"/>
      <c r="EG11" s="181"/>
      <c r="EH11" s="181"/>
      <c r="EI11" s="181"/>
      <c r="EJ11" s="181"/>
      <c r="EK11" s="181"/>
      <c r="EL11" s="181"/>
      <c r="EM11" s="181"/>
      <c r="EN11" s="181"/>
      <c r="EO11" s="181"/>
      <c r="EP11" s="181"/>
      <c r="EQ11" s="181"/>
      <c r="ER11" s="181"/>
      <c r="ES11" s="181"/>
      <c r="ET11" s="181"/>
      <c r="EU11" s="181"/>
      <c r="EV11" s="181"/>
      <c r="EW11" s="181"/>
      <c r="EX11" s="181"/>
      <c r="EY11" s="181"/>
      <c r="EZ11" s="181"/>
      <c r="FA11" s="181"/>
      <c r="FB11" s="181"/>
      <c r="FC11" s="181"/>
      <c r="FD11" s="181"/>
      <c r="FE11" s="181"/>
      <c r="FF11" s="181"/>
      <c r="FG11" s="181"/>
      <c r="FH11" s="181"/>
      <c r="FI11" s="181"/>
      <c r="FJ11" s="181"/>
      <c r="FK11" s="181"/>
      <c r="FL11" s="181"/>
      <c r="FM11" s="181"/>
      <c r="FN11" s="181"/>
      <c r="FO11" s="181"/>
      <c r="FP11" s="181"/>
      <c r="FQ11" s="181"/>
      <c r="FR11" s="181"/>
      <c r="FS11" s="181"/>
      <c r="FT11" s="181"/>
      <c r="FU11" s="181"/>
      <c r="FV11" s="181"/>
      <c r="FW11" s="181"/>
      <c r="FX11" s="181"/>
      <c r="FY11" s="181"/>
      <c r="FZ11" s="181"/>
      <c r="GA11" s="181"/>
      <c r="GB11" s="181"/>
      <c r="GC11" s="181"/>
      <c r="GD11" s="181"/>
      <c r="GE11" s="181"/>
      <c r="GF11" s="181"/>
      <c r="GG11" s="181"/>
      <c r="GH11" s="181"/>
      <c r="GI11" s="181"/>
      <c r="GJ11" s="181"/>
      <c r="GK11" s="181"/>
      <c r="GL11" s="181"/>
      <c r="GM11" s="181"/>
      <c r="GN11" s="181"/>
      <c r="GO11" s="181"/>
      <c r="GP11" s="181"/>
      <c r="GQ11" s="181"/>
      <c r="GR11" s="181"/>
      <c r="GS11" s="181"/>
      <c r="GT11" s="181"/>
      <c r="GU11" s="181"/>
      <c r="GV11" s="181"/>
      <c r="GW11" s="181"/>
      <c r="GX11" s="181"/>
      <c r="GY11" s="181"/>
      <c r="GZ11" s="181"/>
      <c r="HA11" s="181"/>
      <c r="HB11" s="181"/>
      <c r="HC11" s="181"/>
      <c r="HD11" s="181"/>
      <c r="HE11" s="181"/>
      <c r="HF11" s="181"/>
      <c r="HG11" s="181"/>
      <c r="HH11" s="181"/>
      <c r="HI11" s="181"/>
      <c r="HJ11" s="181"/>
      <c r="HK11" s="181"/>
      <c r="HL11" s="181"/>
      <c r="HM11" s="181"/>
      <c r="HN11" s="181"/>
      <c r="HO11" s="181"/>
      <c r="HP11" s="181"/>
      <c r="HQ11" s="181"/>
      <c r="HR11" s="181"/>
      <c r="HS11" s="181"/>
      <c r="HT11" s="181"/>
      <c r="HU11" s="181"/>
      <c r="HV11" s="181"/>
      <c r="HW11" s="181"/>
      <c r="HX11" s="181"/>
      <c r="HY11" s="181"/>
      <c r="HZ11" s="181"/>
      <c r="IA11" s="181"/>
      <c r="IB11" s="181"/>
      <c r="IC11" s="181"/>
      <c r="ID11" s="181"/>
      <c r="IE11" s="181"/>
      <c r="IF11" s="181"/>
      <c r="IG11" s="181"/>
      <c r="IH11" s="181"/>
      <c r="II11" s="181"/>
      <c r="IJ11" s="181"/>
      <c r="IK11" s="181"/>
      <c r="IL11" s="181"/>
      <c r="IM11" s="181"/>
      <c r="IN11" s="181"/>
      <c r="IO11" s="181"/>
      <c r="IP11" s="181"/>
      <c r="IQ11" s="181"/>
      <c r="IR11" s="181"/>
      <c r="IS11" s="181"/>
      <c r="IT11" s="181"/>
      <c r="IU11" s="181"/>
    </row>
    <row r="12" spans="2:255" ht="27" customHeight="1">
      <c r="B12" s="150"/>
      <c r="C12" s="151"/>
      <c r="D12" s="151"/>
      <c r="E12" s="152"/>
      <c r="F12" s="153"/>
      <c r="G12" s="154"/>
      <c r="H12" s="155"/>
      <c r="I12" s="186" t="s">
        <v>66</v>
      </c>
      <c r="J12" s="187">
        <f>J11*18%</f>
        <v>1219.338</v>
      </c>
      <c r="M12" s="156"/>
      <c r="N12" s="157"/>
      <c r="O12" s="157"/>
      <c r="P12" s="158"/>
      <c r="Q12" s="159"/>
      <c r="R12" s="160"/>
      <c r="S12" s="161"/>
      <c r="T12" s="162"/>
      <c r="U12" s="163"/>
      <c r="V12" s="160"/>
      <c r="W12" s="164"/>
      <c r="X12" s="165"/>
      <c r="Y12" s="166"/>
      <c r="Z12" s="167"/>
      <c r="AA12" s="168"/>
      <c r="AB12" s="169"/>
      <c r="AC12" s="169"/>
      <c r="AD12" s="169"/>
      <c r="AE12" s="170"/>
      <c r="AF12" s="171"/>
      <c r="AG12" s="172"/>
      <c r="AH12" s="173"/>
      <c r="AI12" s="174"/>
      <c r="AJ12" s="175"/>
      <c r="AK12" s="176"/>
      <c r="AL12" s="177"/>
      <c r="AM12" s="177"/>
      <c r="AN12" s="177"/>
      <c r="AO12" s="177"/>
      <c r="AP12" s="178"/>
      <c r="AQ12" s="179"/>
      <c r="AR12" s="180"/>
      <c r="AS12" s="180"/>
      <c r="AT12" s="181"/>
      <c r="AU12" s="181"/>
      <c r="AV12" s="181"/>
      <c r="AW12" s="181"/>
      <c r="AX12" s="181"/>
      <c r="AY12" s="181"/>
      <c r="AZ12" s="181"/>
      <c r="BA12" s="181"/>
      <c r="BB12" s="181"/>
      <c r="BC12" s="181"/>
      <c r="BD12" s="181"/>
      <c r="BE12" s="181"/>
      <c r="BF12" s="181"/>
      <c r="BG12" s="181"/>
      <c r="BH12" s="181"/>
      <c r="BI12" s="181"/>
      <c r="BJ12" s="181"/>
      <c r="BK12" s="181"/>
      <c r="BL12" s="181"/>
      <c r="BM12" s="181"/>
      <c r="BN12" s="181"/>
      <c r="BO12" s="181"/>
      <c r="BP12" s="181"/>
      <c r="BQ12" s="181"/>
      <c r="BR12" s="181"/>
      <c r="BS12" s="181"/>
      <c r="BT12" s="181"/>
      <c r="BU12" s="181"/>
      <c r="BV12" s="181"/>
      <c r="BW12" s="181"/>
      <c r="BX12" s="181"/>
      <c r="BY12" s="181"/>
      <c r="BZ12" s="181"/>
      <c r="CA12" s="181"/>
      <c r="CB12" s="181"/>
      <c r="CC12" s="181"/>
      <c r="CD12" s="181"/>
      <c r="CE12" s="181"/>
      <c r="CF12" s="181"/>
      <c r="CG12" s="181"/>
      <c r="CH12" s="181"/>
      <c r="CI12" s="181"/>
      <c r="CJ12" s="181"/>
      <c r="CK12" s="181"/>
      <c r="CL12" s="181"/>
      <c r="CM12" s="181"/>
      <c r="CN12" s="181"/>
      <c r="CO12" s="181"/>
      <c r="CP12" s="181"/>
      <c r="CQ12" s="181"/>
      <c r="CR12" s="181"/>
      <c r="CS12" s="181"/>
      <c r="CT12" s="181"/>
      <c r="CU12" s="181"/>
      <c r="CV12" s="181"/>
      <c r="CW12" s="181"/>
      <c r="CX12" s="181"/>
      <c r="CY12" s="181"/>
      <c r="CZ12" s="181"/>
      <c r="DA12" s="181"/>
      <c r="DB12" s="181"/>
      <c r="DC12" s="181"/>
      <c r="DD12" s="181"/>
      <c r="DE12" s="181"/>
      <c r="DF12" s="181"/>
      <c r="DG12" s="181"/>
      <c r="DH12" s="181"/>
      <c r="DI12" s="181"/>
      <c r="DJ12" s="181"/>
      <c r="DK12" s="181"/>
      <c r="DL12" s="181"/>
      <c r="DM12" s="181"/>
      <c r="DN12" s="181"/>
      <c r="DO12" s="181"/>
      <c r="DP12" s="181"/>
      <c r="DQ12" s="181"/>
      <c r="DR12" s="181"/>
      <c r="DS12" s="181"/>
      <c r="DT12" s="181"/>
      <c r="DU12" s="181"/>
      <c r="DV12" s="181"/>
      <c r="DW12" s="181"/>
      <c r="DX12" s="181"/>
      <c r="DY12" s="181"/>
      <c r="DZ12" s="181"/>
      <c r="EA12" s="181"/>
      <c r="EB12" s="181"/>
      <c r="EC12" s="181"/>
      <c r="ED12" s="181"/>
      <c r="EE12" s="181"/>
      <c r="EF12" s="181"/>
      <c r="EG12" s="181"/>
      <c r="EH12" s="181"/>
      <c r="EI12" s="181"/>
      <c r="EJ12" s="181"/>
      <c r="EK12" s="181"/>
      <c r="EL12" s="181"/>
      <c r="EM12" s="181"/>
      <c r="EN12" s="181"/>
      <c r="EO12" s="181"/>
      <c r="EP12" s="181"/>
      <c r="EQ12" s="181"/>
      <c r="ER12" s="181"/>
      <c r="ES12" s="181"/>
      <c r="ET12" s="181"/>
      <c r="EU12" s="181"/>
      <c r="EV12" s="181"/>
      <c r="EW12" s="181"/>
      <c r="EX12" s="181"/>
      <c r="EY12" s="181"/>
      <c r="EZ12" s="181"/>
      <c r="FA12" s="181"/>
      <c r="FB12" s="181"/>
      <c r="FC12" s="181"/>
      <c r="FD12" s="181"/>
      <c r="FE12" s="181"/>
      <c r="FF12" s="181"/>
      <c r="FG12" s="181"/>
      <c r="FH12" s="181"/>
      <c r="FI12" s="181"/>
      <c r="FJ12" s="181"/>
      <c r="FK12" s="181"/>
      <c r="FL12" s="181"/>
      <c r="FM12" s="181"/>
      <c r="FN12" s="181"/>
      <c r="FO12" s="181"/>
      <c r="FP12" s="181"/>
      <c r="FQ12" s="181"/>
      <c r="FR12" s="181"/>
      <c r="FS12" s="181"/>
      <c r="FT12" s="181"/>
      <c r="FU12" s="181"/>
      <c r="FV12" s="181"/>
      <c r="FW12" s="181"/>
      <c r="FX12" s="181"/>
      <c r="FY12" s="181"/>
      <c r="FZ12" s="181"/>
      <c r="GA12" s="181"/>
      <c r="GB12" s="181"/>
      <c r="GC12" s="181"/>
      <c r="GD12" s="181"/>
      <c r="GE12" s="181"/>
      <c r="GF12" s="181"/>
      <c r="GG12" s="181"/>
      <c r="GH12" s="181"/>
      <c r="GI12" s="181"/>
      <c r="GJ12" s="181"/>
      <c r="GK12" s="181"/>
      <c r="GL12" s="181"/>
      <c r="GM12" s="181"/>
      <c r="GN12" s="181"/>
      <c r="GO12" s="181"/>
      <c r="GP12" s="181"/>
      <c r="GQ12" s="181"/>
      <c r="GR12" s="181"/>
      <c r="GS12" s="181"/>
      <c r="GT12" s="181"/>
      <c r="GU12" s="181"/>
      <c r="GV12" s="181"/>
      <c r="GW12" s="181"/>
      <c r="GX12" s="181"/>
      <c r="GY12" s="181"/>
      <c r="GZ12" s="181"/>
      <c r="HA12" s="181"/>
      <c r="HB12" s="181"/>
      <c r="HC12" s="181"/>
      <c r="HD12" s="181"/>
      <c r="HE12" s="181"/>
      <c r="HF12" s="181"/>
      <c r="HG12" s="181"/>
      <c r="HH12" s="181"/>
      <c r="HI12" s="181"/>
      <c r="HJ12" s="181"/>
      <c r="HK12" s="181"/>
      <c r="HL12" s="181"/>
      <c r="HM12" s="181"/>
      <c r="HN12" s="181"/>
      <c r="HO12" s="181"/>
      <c r="HP12" s="181"/>
      <c r="HQ12" s="181"/>
      <c r="HR12" s="181"/>
      <c r="HS12" s="181"/>
      <c r="HT12" s="181"/>
      <c r="HU12" s="181"/>
      <c r="HV12" s="181"/>
      <c r="HW12" s="181"/>
      <c r="HX12" s="181"/>
      <c r="HY12" s="181"/>
      <c r="HZ12" s="181"/>
      <c r="IA12" s="181"/>
      <c r="IB12" s="181"/>
      <c r="IC12" s="181"/>
      <c r="ID12" s="181"/>
      <c r="IE12" s="181"/>
      <c r="IF12" s="181"/>
      <c r="IG12" s="181"/>
      <c r="IH12" s="181"/>
      <c r="II12" s="181"/>
      <c r="IJ12" s="181"/>
      <c r="IK12" s="181"/>
      <c r="IL12" s="181"/>
      <c r="IM12" s="181"/>
      <c r="IN12" s="181"/>
      <c r="IO12" s="181"/>
      <c r="IP12" s="181"/>
      <c r="IQ12" s="181"/>
      <c r="IR12" s="181"/>
      <c r="IS12" s="181"/>
      <c r="IT12" s="181"/>
      <c r="IU12" s="181"/>
    </row>
    <row r="13" spans="2:255" ht="27" customHeight="1">
      <c r="B13" s="150"/>
      <c r="C13" s="151"/>
      <c r="D13" s="151"/>
      <c r="E13" s="152"/>
      <c r="F13" s="153"/>
      <c r="G13" s="154"/>
      <c r="H13" s="155"/>
      <c r="I13" s="182" t="s">
        <v>36</v>
      </c>
      <c r="J13" s="183">
        <f>J11+J12</f>
        <v>7993.4379999999992</v>
      </c>
      <c r="M13" s="156"/>
      <c r="N13" s="157"/>
      <c r="O13" s="157"/>
      <c r="P13" s="158"/>
      <c r="Q13" s="159"/>
      <c r="R13" s="160"/>
      <c r="S13" s="161"/>
      <c r="T13" s="162"/>
      <c r="U13" s="163"/>
      <c r="V13" s="160"/>
      <c r="W13" s="164"/>
      <c r="X13" s="165"/>
      <c r="Y13" s="166"/>
      <c r="Z13" s="167"/>
      <c r="AA13" s="168"/>
      <c r="AB13" s="169"/>
      <c r="AC13" s="169"/>
      <c r="AD13" s="169"/>
      <c r="AE13" s="170"/>
      <c r="AF13" s="171"/>
      <c r="AG13" s="172"/>
      <c r="AH13" s="173"/>
      <c r="AI13" s="174"/>
      <c r="AJ13" s="175"/>
      <c r="AK13" s="176"/>
      <c r="AL13" s="177"/>
      <c r="AM13" s="177"/>
      <c r="AN13" s="177"/>
      <c r="AO13" s="177"/>
      <c r="AP13" s="178"/>
      <c r="AQ13" s="179"/>
      <c r="AR13" s="180"/>
      <c r="AS13" s="180"/>
      <c r="AT13" s="181"/>
      <c r="AU13" s="181"/>
      <c r="AV13" s="181"/>
      <c r="AW13" s="181"/>
      <c r="AX13" s="181"/>
      <c r="AY13" s="181"/>
      <c r="AZ13" s="181"/>
      <c r="BA13" s="181"/>
      <c r="BB13" s="181"/>
      <c r="BC13" s="181"/>
      <c r="BD13" s="181"/>
      <c r="BE13" s="181"/>
      <c r="BF13" s="181"/>
      <c r="BG13" s="181"/>
      <c r="BH13" s="181"/>
      <c r="BI13" s="181"/>
      <c r="BJ13" s="181"/>
      <c r="BK13" s="181"/>
      <c r="BL13" s="181"/>
      <c r="BM13" s="181"/>
      <c r="BN13" s="181"/>
      <c r="BO13" s="181"/>
      <c r="BP13" s="181"/>
      <c r="BQ13" s="181"/>
      <c r="BR13" s="181"/>
      <c r="BS13" s="181"/>
      <c r="BT13" s="181"/>
      <c r="BU13" s="181"/>
      <c r="BV13" s="181"/>
      <c r="BW13" s="181"/>
      <c r="BX13" s="181"/>
      <c r="BY13" s="181"/>
      <c r="BZ13" s="181"/>
      <c r="CA13" s="181"/>
      <c r="CB13" s="181"/>
      <c r="CC13" s="181"/>
      <c r="CD13" s="181"/>
      <c r="CE13" s="181"/>
      <c r="CF13" s="181"/>
      <c r="CG13" s="181"/>
      <c r="CH13" s="181"/>
      <c r="CI13" s="181"/>
      <c r="CJ13" s="181"/>
      <c r="CK13" s="181"/>
      <c r="CL13" s="181"/>
      <c r="CM13" s="181"/>
      <c r="CN13" s="181"/>
      <c r="CO13" s="181"/>
      <c r="CP13" s="181"/>
      <c r="CQ13" s="181"/>
      <c r="CR13" s="181"/>
      <c r="CS13" s="181"/>
      <c r="CT13" s="181"/>
      <c r="CU13" s="181"/>
      <c r="CV13" s="181"/>
      <c r="CW13" s="181"/>
      <c r="CX13" s="181"/>
      <c r="CY13" s="181"/>
      <c r="CZ13" s="181"/>
      <c r="DA13" s="181"/>
      <c r="DB13" s="181"/>
      <c r="DC13" s="181"/>
      <c r="DD13" s="181"/>
      <c r="DE13" s="181"/>
      <c r="DF13" s="181"/>
      <c r="DG13" s="181"/>
      <c r="DH13" s="181"/>
      <c r="DI13" s="181"/>
      <c r="DJ13" s="181"/>
      <c r="DK13" s="181"/>
      <c r="DL13" s="181"/>
      <c r="DM13" s="181"/>
      <c r="DN13" s="181"/>
      <c r="DO13" s="181"/>
      <c r="DP13" s="181"/>
      <c r="DQ13" s="181"/>
      <c r="DR13" s="181"/>
      <c r="DS13" s="181"/>
      <c r="DT13" s="181"/>
      <c r="DU13" s="181"/>
      <c r="DV13" s="181"/>
      <c r="DW13" s="181"/>
      <c r="DX13" s="181"/>
      <c r="DY13" s="181"/>
      <c r="DZ13" s="181"/>
      <c r="EA13" s="181"/>
      <c r="EB13" s="181"/>
      <c r="EC13" s="181"/>
      <c r="ED13" s="181"/>
      <c r="EE13" s="181"/>
      <c r="EF13" s="181"/>
      <c r="EG13" s="181"/>
      <c r="EH13" s="181"/>
      <c r="EI13" s="181"/>
      <c r="EJ13" s="181"/>
      <c r="EK13" s="181"/>
      <c r="EL13" s="181"/>
      <c r="EM13" s="181"/>
      <c r="EN13" s="181"/>
      <c r="EO13" s="181"/>
      <c r="EP13" s="181"/>
      <c r="EQ13" s="181"/>
      <c r="ER13" s="181"/>
      <c r="ES13" s="181"/>
      <c r="ET13" s="181"/>
      <c r="EU13" s="181"/>
      <c r="EV13" s="181"/>
      <c r="EW13" s="181"/>
      <c r="EX13" s="181"/>
      <c r="EY13" s="181"/>
      <c r="EZ13" s="181"/>
      <c r="FA13" s="181"/>
      <c r="FB13" s="181"/>
      <c r="FC13" s="181"/>
      <c r="FD13" s="181"/>
      <c r="FE13" s="181"/>
      <c r="FF13" s="181"/>
      <c r="FG13" s="181"/>
      <c r="FH13" s="181"/>
      <c r="FI13" s="181"/>
      <c r="FJ13" s="181"/>
      <c r="FK13" s="181"/>
      <c r="FL13" s="181"/>
      <c r="FM13" s="181"/>
      <c r="FN13" s="181"/>
      <c r="FO13" s="181"/>
      <c r="FP13" s="181"/>
      <c r="FQ13" s="181"/>
      <c r="FR13" s="181"/>
      <c r="FS13" s="181"/>
      <c r="FT13" s="181"/>
      <c r="FU13" s="181"/>
      <c r="FV13" s="181"/>
      <c r="FW13" s="181"/>
      <c r="FX13" s="181"/>
      <c r="FY13" s="181"/>
      <c r="FZ13" s="181"/>
      <c r="GA13" s="181"/>
      <c r="GB13" s="181"/>
      <c r="GC13" s="181"/>
      <c r="GD13" s="181"/>
      <c r="GE13" s="181"/>
      <c r="GF13" s="181"/>
      <c r="GG13" s="181"/>
      <c r="GH13" s="181"/>
      <c r="GI13" s="181"/>
      <c r="GJ13" s="181"/>
      <c r="GK13" s="181"/>
      <c r="GL13" s="181"/>
      <c r="GM13" s="181"/>
      <c r="GN13" s="181"/>
      <c r="GO13" s="181"/>
      <c r="GP13" s="181"/>
      <c r="GQ13" s="181"/>
      <c r="GR13" s="181"/>
      <c r="GS13" s="181"/>
      <c r="GT13" s="181"/>
      <c r="GU13" s="181"/>
      <c r="GV13" s="181"/>
      <c r="GW13" s="181"/>
      <c r="GX13" s="181"/>
      <c r="GY13" s="181"/>
      <c r="GZ13" s="181"/>
      <c r="HA13" s="181"/>
      <c r="HB13" s="181"/>
      <c r="HC13" s="181"/>
      <c r="HD13" s="181"/>
      <c r="HE13" s="181"/>
      <c r="HF13" s="181"/>
      <c r="HG13" s="181"/>
      <c r="HH13" s="181"/>
      <c r="HI13" s="181"/>
      <c r="HJ13" s="181"/>
      <c r="HK13" s="181"/>
      <c r="HL13" s="181"/>
      <c r="HM13" s="181"/>
      <c r="HN13" s="181"/>
      <c r="HO13" s="181"/>
      <c r="HP13" s="181"/>
      <c r="HQ13" s="181"/>
      <c r="HR13" s="181"/>
      <c r="HS13" s="181"/>
      <c r="HT13" s="181"/>
      <c r="HU13" s="181"/>
      <c r="HV13" s="181"/>
      <c r="HW13" s="181"/>
      <c r="HX13" s="181"/>
      <c r="HY13" s="181"/>
      <c r="HZ13" s="181"/>
      <c r="IA13" s="181"/>
      <c r="IB13" s="181"/>
      <c r="IC13" s="181"/>
      <c r="ID13" s="181"/>
      <c r="IE13" s="181"/>
      <c r="IF13" s="181"/>
      <c r="IG13" s="181"/>
      <c r="IH13" s="181"/>
      <c r="II13" s="181"/>
      <c r="IJ13" s="181"/>
      <c r="IK13" s="181"/>
      <c r="IL13" s="181"/>
      <c r="IM13" s="181"/>
      <c r="IN13" s="181"/>
      <c r="IO13" s="181"/>
      <c r="IP13" s="181"/>
      <c r="IQ13" s="181"/>
      <c r="IR13" s="181"/>
      <c r="IS13" s="181"/>
      <c r="IT13" s="181"/>
      <c r="IU13" s="181"/>
    </row>
    <row r="16" spans="2:255" ht="16.5" customHeight="1"/>
    <row r="17" spans="2:255" ht="29.45" customHeight="1">
      <c r="B17" s="232" t="s">
        <v>67</v>
      </c>
      <c r="C17" s="233"/>
      <c r="D17" s="233"/>
      <c r="E17" s="233"/>
      <c r="F17" s="233"/>
      <c r="G17" s="233"/>
      <c r="H17" s="233"/>
      <c r="I17" s="233"/>
      <c r="J17" s="234"/>
      <c r="K17" s="148" t="s">
        <v>1</v>
      </c>
      <c r="L17" s="1"/>
      <c r="M17" s="235" t="s">
        <v>2</v>
      </c>
      <c r="N17" s="235"/>
      <c r="O17" s="235"/>
      <c r="P17" s="235"/>
      <c r="Q17" s="235"/>
      <c r="R17" s="235"/>
      <c r="S17" s="235"/>
      <c r="T17" s="235"/>
      <c r="U17" s="235"/>
      <c r="V17" s="235"/>
      <c r="W17" s="235"/>
      <c r="X17" s="235"/>
      <c r="Y17" s="235"/>
      <c r="Z17" s="235"/>
      <c r="AA17" s="235"/>
      <c r="AB17" s="235"/>
      <c r="AC17" s="235"/>
      <c r="AD17" s="1"/>
      <c r="AE17" s="1"/>
      <c r="AF17" s="1"/>
      <c r="AG17" s="1"/>
      <c r="AH17" s="1"/>
      <c r="AI17" s="1"/>
      <c r="AJ17" s="1"/>
      <c r="AK17" s="1"/>
    </row>
    <row r="18" spans="2:255" ht="41.25" customHeight="1">
      <c r="B18" s="188" t="s">
        <v>3</v>
      </c>
      <c r="C18" s="189" t="s">
        <v>4</v>
      </c>
      <c r="D18" s="189" t="s">
        <v>5</v>
      </c>
      <c r="E18" s="189" t="s">
        <v>6</v>
      </c>
      <c r="F18" s="189" t="s">
        <v>7</v>
      </c>
      <c r="G18" s="190" t="s">
        <v>8</v>
      </c>
      <c r="H18" s="190" t="s">
        <v>9</v>
      </c>
      <c r="I18" s="191" t="s">
        <v>10</v>
      </c>
      <c r="J18" s="192" t="s">
        <v>11</v>
      </c>
      <c r="K18" s="149" t="s">
        <v>68</v>
      </c>
      <c r="L18" s="2"/>
      <c r="M18" s="3" t="s">
        <v>13</v>
      </c>
      <c r="N18" s="4" t="s">
        <v>14</v>
      </c>
      <c r="O18" s="4" t="s">
        <v>15</v>
      </c>
      <c r="P18" s="5" t="s">
        <v>16</v>
      </c>
      <c r="Q18" s="6" t="s">
        <v>17</v>
      </c>
      <c r="R18" s="7" t="s">
        <v>18</v>
      </c>
      <c r="S18" s="7" t="s">
        <v>19</v>
      </c>
      <c r="T18" s="7" t="s">
        <v>20</v>
      </c>
      <c r="U18" s="7" t="s">
        <v>21</v>
      </c>
      <c r="V18" s="7" t="s">
        <v>22</v>
      </c>
      <c r="W18" s="8" t="s">
        <v>23</v>
      </c>
      <c r="X18" s="3" t="s">
        <v>24</v>
      </c>
      <c r="Y18" s="5" t="s">
        <v>25</v>
      </c>
      <c r="Z18" s="44" t="s">
        <v>26</v>
      </c>
      <c r="AA18" s="9" t="s">
        <v>27</v>
      </c>
      <c r="AB18" s="9" t="s">
        <v>28</v>
      </c>
      <c r="AC18" s="9" t="s">
        <v>29</v>
      </c>
      <c r="AD18" s="9" t="s">
        <v>30</v>
      </c>
      <c r="AE18" s="10" t="s">
        <v>31</v>
      </c>
      <c r="AF18" s="11" t="s">
        <v>32</v>
      </c>
      <c r="AG18" s="11" t="s">
        <v>33</v>
      </c>
      <c r="AH18" s="12" t="s">
        <v>21</v>
      </c>
      <c r="AI18" s="13" t="s">
        <v>34</v>
      </c>
      <c r="AJ18" s="13" t="s">
        <v>35</v>
      </c>
      <c r="AK18" s="14" t="s">
        <v>36</v>
      </c>
      <c r="AN18" s="15" t="s">
        <v>37</v>
      </c>
      <c r="AO18" s="15" t="s">
        <v>38</v>
      </c>
      <c r="AP18" s="15" t="s">
        <v>39</v>
      </c>
      <c r="AQ18" s="15" t="s">
        <v>40</v>
      </c>
      <c r="AR18" s="15" t="s">
        <v>41</v>
      </c>
      <c r="AS18" s="15" t="s">
        <v>42</v>
      </c>
      <c r="AT18" s="16"/>
      <c r="AU18" s="17" t="s">
        <v>43</v>
      </c>
      <c r="AV18" s="17" t="s">
        <v>44</v>
      </c>
    </row>
    <row r="19" spans="2:255" s="1" customFormat="1" ht="222.75" customHeight="1">
      <c r="B19" s="101">
        <v>1</v>
      </c>
      <c r="C19" s="238" t="s">
        <v>69</v>
      </c>
      <c r="D19" s="239"/>
      <c r="E19" s="102" t="s">
        <v>46</v>
      </c>
      <c r="F19" s="103">
        <v>104</v>
      </c>
      <c r="G19" s="104">
        <v>19.489999999999998</v>
      </c>
      <c r="H19" s="105" t="s">
        <v>70</v>
      </c>
      <c r="I19" s="121" t="s">
        <v>71</v>
      </c>
      <c r="J19" s="106">
        <f t="shared" ref="J19" si="130">F19*G19</f>
        <v>2026.9599999999998</v>
      </c>
      <c r="K19"/>
      <c r="L19"/>
      <c r="M19" s="46" t="s">
        <v>50</v>
      </c>
      <c r="N19" s="47"/>
      <c r="O19" s="48" t="s">
        <v>72</v>
      </c>
      <c r="P19" s="50"/>
      <c r="Q19" s="18">
        <f>1352/104</f>
        <v>13</v>
      </c>
      <c r="R19" s="19">
        <v>35</v>
      </c>
      <c r="S19" s="20">
        <f t="shared" ref="S19" si="131">Q19*R19/100</f>
        <v>4.55</v>
      </c>
      <c r="T19" s="21">
        <f t="shared" ref="T19" si="132">S19*V19</f>
        <v>473.2</v>
      </c>
      <c r="U19" s="22">
        <f t="shared" ref="U19" si="133">Q19+S19</f>
        <v>17.55</v>
      </c>
      <c r="V19" s="19">
        <f t="shared" ref="V19" si="134">F19</f>
        <v>104</v>
      </c>
      <c r="W19" s="23">
        <f>U19*2+30</f>
        <v>65.099999999999994</v>
      </c>
      <c r="X19" s="24">
        <v>50</v>
      </c>
      <c r="Y19" s="25">
        <f t="shared" ref="Y19" si="135">V19*U19+W19+X19</f>
        <v>1940.3</v>
      </c>
      <c r="Z19" s="49" t="s">
        <v>52</v>
      </c>
      <c r="AA19" s="24">
        <v>0</v>
      </c>
      <c r="AB19" s="26">
        <v>1</v>
      </c>
      <c r="AC19" s="26">
        <v>1</v>
      </c>
      <c r="AD19" s="26">
        <v>1</v>
      </c>
      <c r="AE19" s="27">
        <f t="shared" ref="AE19" si="136">AA19*AB19*AC19*AD19</f>
        <v>0</v>
      </c>
      <c r="AF19" s="28">
        <v>30</v>
      </c>
      <c r="AG19" s="27">
        <f>2%*(Y19+AE19+AF19)</f>
        <v>39.405999999999999</v>
      </c>
      <c r="AH19" s="30">
        <f t="shared" ref="AH19" si="137">Y19+AE19+AG19+AF19</f>
        <v>2009.7059999999999</v>
      </c>
      <c r="AI19" s="31">
        <f t="shared" ref="AI19" si="138">AH19/V19</f>
        <v>19.324096153846153</v>
      </c>
      <c r="AJ19" s="32">
        <f t="shared" ref="AJ19" si="139">AI19*18%</f>
        <v>3.4783373076923074</v>
      </c>
      <c r="AK19" s="33">
        <f t="shared" ref="AK19" si="140">AI19+AJ19</f>
        <v>22.80243346153846</v>
      </c>
      <c r="AL19"/>
      <c r="AM19" s="34"/>
      <c r="AN19" s="35">
        <f t="shared" ref="AN19" si="141">AK19*V19</f>
        <v>2371.4530799999998</v>
      </c>
      <c r="AO19" s="36">
        <f t="shared" ref="AO19" si="142">(AK19-(AK19/1.18))*V19</f>
        <v>361.74707999999993</v>
      </c>
      <c r="AP19" s="36">
        <f t="shared" ref="AP19" si="143">(AK19-(AK19/1.02))*V19</f>
        <v>46.499080000000163</v>
      </c>
      <c r="AQ19" s="36">
        <f t="shared" ref="AQ19" si="144">(AK19-(AK19/1.05))*V19</f>
        <v>112.92633714285722</v>
      </c>
      <c r="AR19" s="36">
        <f t="shared" ref="AR19" si="145">S19*V19</f>
        <v>473.2</v>
      </c>
      <c r="AS19" s="37">
        <f t="shared" ref="AS19" si="146">AR19-AQ19-AP19</f>
        <v>313.7745828571426</v>
      </c>
      <c r="AT19" s="38"/>
      <c r="AU19" s="39">
        <f>AR19*100/(AN19-AO19-AR19)</f>
        <v>30.797146252601685</v>
      </c>
      <c r="AV19" s="39">
        <f t="shared" ref="AV19" si="147">AS19*100/(AN19-AO19-AR19-AP19-AQ19)</f>
        <v>22.785491768835239</v>
      </c>
    </row>
    <row r="20" spans="2:255" s="1" customFormat="1" ht="203.25" customHeight="1">
      <c r="B20" s="113">
        <v>2</v>
      </c>
      <c r="C20" s="225" t="s">
        <v>73</v>
      </c>
      <c r="D20" s="226"/>
      <c r="E20" s="198" t="s">
        <v>46</v>
      </c>
      <c r="F20" s="200">
        <v>25</v>
      </c>
      <c r="G20" s="202">
        <v>89.9</v>
      </c>
      <c r="H20" s="204" t="s">
        <v>70</v>
      </c>
      <c r="I20" s="193" t="s">
        <v>74</v>
      </c>
      <c r="J20" s="114">
        <f t="shared" ref="J20" si="148">F20*G20</f>
        <v>2247.5</v>
      </c>
      <c r="K20"/>
      <c r="L20"/>
      <c r="M20" s="46" t="s">
        <v>50</v>
      </c>
      <c r="N20" s="47"/>
      <c r="O20" s="48" t="s">
        <v>75</v>
      </c>
      <c r="P20" s="50"/>
      <c r="Q20" s="18">
        <f>1400/25</f>
        <v>56</v>
      </c>
      <c r="R20" s="19">
        <v>35</v>
      </c>
      <c r="S20" s="20">
        <f t="shared" ref="S20" si="149">Q20*R20/100</f>
        <v>19.600000000000001</v>
      </c>
      <c r="T20" s="21">
        <f t="shared" ref="T20" si="150">S20*V20</f>
        <v>490.00000000000006</v>
      </c>
      <c r="U20" s="22">
        <f t="shared" ref="U20" si="151">Q20+S20</f>
        <v>75.599999999999994</v>
      </c>
      <c r="V20" s="19">
        <f t="shared" ref="V20" si="152">F20</f>
        <v>25</v>
      </c>
      <c r="W20" s="23">
        <f>U20*2+30</f>
        <v>181.2</v>
      </c>
      <c r="X20" s="24">
        <v>35</v>
      </c>
      <c r="Y20" s="25">
        <f t="shared" ref="Y20" si="153">V20*U20+W20+X20</f>
        <v>2106.1999999999998</v>
      </c>
      <c r="Z20" s="49" t="s">
        <v>52</v>
      </c>
      <c r="AA20" s="24">
        <v>0</v>
      </c>
      <c r="AB20" s="26">
        <v>1</v>
      </c>
      <c r="AC20" s="26">
        <v>1</v>
      </c>
      <c r="AD20" s="26">
        <v>1</v>
      </c>
      <c r="AE20" s="27">
        <f t="shared" ref="AE20" si="154">AA20*AB20*AC20*AD20</f>
        <v>0</v>
      </c>
      <c r="AF20" s="28">
        <v>15</v>
      </c>
      <c r="AG20" s="27">
        <f>2%*(Y20+AE20+AF20)</f>
        <v>42.423999999999999</v>
      </c>
      <c r="AH20" s="30">
        <f t="shared" ref="AH20" si="155">Y20+AE20+AG20+AF20</f>
        <v>2163.6239999999998</v>
      </c>
      <c r="AI20" s="31">
        <f t="shared" ref="AI20" si="156">AH20/V20</f>
        <v>86.544959999999989</v>
      </c>
      <c r="AJ20" s="32">
        <f t="shared" ref="AJ20" si="157">AI20*18%</f>
        <v>15.578092799999997</v>
      </c>
      <c r="AK20" s="33">
        <f t="shared" ref="AK20" si="158">AI20+AJ20</f>
        <v>102.12305279999998</v>
      </c>
      <c r="AL20"/>
      <c r="AM20" s="34"/>
      <c r="AN20" s="35">
        <f t="shared" ref="AN20" si="159">AK20*V20</f>
        <v>2553.0763199999997</v>
      </c>
      <c r="AO20" s="36">
        <f t="shared" ref="AO20" si="160">(AK20-(AK20/1.18))*V20</f>
        <v>389.45231999999982</v>
      </c>
      <c r="AP20" s="36">
        <f t="shared" ref="AP20" si="161">(AK20-(AK20/1.02))*V20</f>
        <v>50.060320000000047</v>
      </c>
      <c r="AQ20" s="36">
        <f t="shared" ref="AQ20" si="162">(AK20-(AK20/1.05))*V20</f>
        <v>121.57506285714277</v>
      </c>
      <c r="AR20" s="36">
        <f t="shared" ref="AR20" si="163">S20*V20</f>
        <v>490.00000000000006</v>
      </c>
      <c r="AS20" s="37">
        <f t="shared" ref="AS20" si="164">AR20-AQ20-AP20</f>
        <v>318.36461714285724</v>
      </c>
      <c r="AT20" s="38"/>
      <c r="AU20" s="39">
        <f>AR20*100/(AN20-AO20-AR20)</f>
        <v>29.277782823382083</v>
      </c>
      <c r="AV20" s="39">
        <f t="shared" ref="AV20" si="165">AS20*100/(AN20-AO20-AR20-AP20-AQ20)</f>
        <v>21.196207049056284</v>
      </c>
    </row>
    <row r="21" spans="2:255" s="1" customFormat="1" ht="202.5" customHeight="1">
      <c r="B21" s="113">
        <v>3</v>
      </c>
      <c r="C21" s="225" t="s">
        <v>45</v>
      </c>
      <c r="D21" s="226"/>
      <c r="E21" s="198" t="s">
        <v>46</v>
      </c>
      <c r="F21" s="200">
        <v>39</v>
      </c>
      <c r="G21" s="202">
        <v>99.9</v>
      </c>
      <c r="H21" s="204" t="s">
        <v>70</v>
      </c>
      <c r="I21" s="193" t="s">
        <v>76</v>
      </c>
      <c r="J21" s="114">
        <f t="shared" ref="J21" si="166">F21*G21</f>
        <v>3896.1000000000004</v>
      </c>
      <c r="K21"/>
      <c r="L21"/>
      <c r="M21" s="46" t="s">
        <v>50</v>
      </c>
      <c r="N21" s="47"/>
      <c r="O21" s="48" t="s">
        <v>77</v>
      </c>
      <c r="P21" s="50"/>
      <c r="Q21" s="18">
        <f>2613/39</f>
        <v>67</v>
      </c>
      <c r="R21" s="19">
        <v>35</v>
      </c>
      <c r="S21" s="20">
        <f t="shared" ref="S21" si="167">Q21*R21/100</f>
        <v>23.45</v>
      </c>
      <c r="T21" s="21">
        <f t="shared" ref="T21" si="168">S21*V21</f>
        <v>914.55</v>
      </c>
      <c r="U21" s="22">
        <f t="shared" ref="U21" si="169">Q21+S21</f>
        <v>90.45</v>
      </c>
      <c r="V21" s="19">
        <f t="shared" ref="V21" si="170">F21</f>
        <v>39</v>
      </c>
      <c r="W21" s="23">
        <f>U21*2+30</f>
        <v>210.9</v>
      </c>
      <c r="X21" s="24">
        <v>35</v>
      </c>
      <c r="Y21" s="25">
        <f t="shared" ref="Y21" si="171">V21*U21+W21+X21</f>
        <v>3773.4500000000003</v>
      </c>
      <c r="Z21" s="49" t="s">
        <v>52</v>
      </c>
      <c r="AA21" s="24">
        <v>0</v>
      </c>
      <c r="AB21" s="26">
        <v>1</v>
      </c>
      <c r="AC21" s="26">
        <v>1</v>
      </c>
      <c r="AD21" s="26">
        <v>1</v>
      </c>
      <c r="AE21" s="27">
        <f t="shared" ref="AE21" si="172">AA21*AB21*AC21*AD21</f>
        <v>0</v>
      </c>
      <c r="AF21" s="28">
        <v>15</v>
      </c>
      <c r="AG21" s="27">
        <f>2%*(Y21+AE21+AF21)</f>
        <v>75.769000000000005</v>
      </c>
      <c r="AH21" s="30">
        <f t="shared" ref="AH21" si="173">Y21+AE21+AG21+AF21</f>
        <v>3864.2190000000001</v>
      </c>
      <c r="AI21" s="31">
        <f t="shared" ref="AI21" si="174">AH21/V21</f>
        <v>99.082538461538462</v>
      </c>
      <c r="AJ21" s="32">
        <f t="shared" ref="AJ21" si="175">AI21*18%</f>
        <v>17.834856923076924</v>
      </c>
      <c r="AK21" s="33">
        <f t="shared" ref="AK21" si="176">AI21+AJ21</f>
        <v>116.91739538461539</v>
      </c>
      <c r="AL21"/>
      <c r="AM21" s="34"/>
      <c r="AN21" s="35">
        <f t="shared" ref="AN21" si="177">AK21*V21</f>
        <v>4559.7784200000006</v>
      </c>
      <c r="AO21" s="36">
        <f t="shared" ref="AO21" si="178">(AK21-(AK21/1.18))*V21</f>
        <v>695.55941999999959</v>
      </c>
      <c r="AP21" s="36">
        <f t="shared" ref="AP21" si="179">(AK21-(AK21/1.02))*V21</f>
        <v>89.407420000000101</v>
      </c>
      <c r="AQ21" s="36">
        <f t="shared" ref="AQ21" si="180">(AK21-(AK21/1.05))*V21</f>
        <v>217.13230571428613</v>
      </c>
      <c r="AR21" s="36">
        <f t="shared" ref="AR21" si="181">S21*V21</f>
        <v>914.55</v>
      </c>
      <c r="AS21" s="37">
        <f t="shared" ref="AS21" si="182">AR21-AQ21-AP21</f>
        <v>608.01027428571376</v>
      </c>
      <c r="AT21" s="38"/>
      <c r="AU21" s="39">
        <f>AR21*100/(AN21-AO21-AR21)</f>
        <v>31.005173800856969</v>
      </c>
      <c r="AV21" s="39">
        <f t="shared" ref="AV21" si="183">AS21*100/(AN21-AO21-AR21-AP21-AQ21)</f>
        <v>23.003425530520971</v>
      </c>
    </row>
    <row r="22" spans="2:255" s="1" customFormat="1" ht="152.25" customHeight="1">
      <c r="B22" s="207">
        <v>4</v>
      </c>
      <c r="C22" s="222" t="s">
        <v>78</v>
      </c>
      <c r="D22" s="222"/>
      <c r="E22" s="210" t="s">
        <v>46</v>
      </c>
      <c r="F22" s="213">
        <v>9</v>
      </c>
      <c r="G22" s="216">
        <v>439.9</v>
      </c>
      <c r="H22" s="219" t="s">
        <v>47</v>
      </c>
      <c r="I22" s="194" t="s">
        <v>79</v>
      </c>
      <c r="J22" s="227">
        <f>F22*G22</f>
        <v>3959.1</v>
      </c>
      <c r="K22"/>
      <c r="L22"/>
      <c r="M22" s="229" t="s">
        <v>50</v>
      </c>
      <c r="N22" s="47"/>
      <c r="O22" s="230" t="s">
        <v>80</v>
      </c>
      <c r="P22" s="50"/>
      <c r="Q22" s="18">
        <v>270</v>
      </c>
      <c r="R22" s="19">
        <v>37.5</v>
      </c>
      <c r="S22" s="20">
        <f t="shared" ref="S22" si="184">Q22*R22/100</f>
        <v>101.25</v>
      </c>
      <c r="T22" s="21">
        <f t="shared" ref="T22" si="185">S22*V22</f>
        <v>911.25</v>
      </c>
      <c r="U22" s="22">
        <f t="shared" ref="U22" si="186">Q22+S22</f>
        <v>371.25</v>
      </c>
      <c r="V22" s="19">
        <f t="shared" ref="V22" si="187">F22</f>
        <v>9</v>
      </c>
      <c r="W22" s="23">
        <f>U22*0</f>
        <v>0</v>
      </c>
      <c r="X22" s="24">
        <f>40*9</f>
        <v>360</v>
      </c>
      <c r="Y22" s="25">
        <f t="shared" ref="Y22" si="188">V22*U22+W22+X22</f>
        <v>3701.25</v>
      </c>
      <c r="Z22" s="49" t="s">
        <v>52</v>
      </c>
      <c r="AA22" s="24">
        <v>50</v>
      </c>
      <c r="AB22" s="26">
        <v>1</v>
      </c>
      <c r="AC22" s="26">
        <v>1</v>
      </c>
      <c r="AD22" s="26">
        <v>1</v>
      </c>
      <c r="AE22" s="27">
        <f t="shared" ref="AE22" si="189">AA22*AB22*AC22*AD22</f>
        <v>50</v>
      </c>
      <c r="AF22" s="28">
        <v>50</v>
      </c>
      <c r="AG22" s="27">
        <f>2%*(Y22+AE22+AF22)</f>
        <v>76.025000000000006</v>
      </c>
      <c r="AH22" s="30">
        <f t="shared" ref="AH22" si="190">Y22+AE22+AG22+AF22</f>
        <v>3877.2750000000001</v>
      </c>
      <c r="AI22" s="31">
        <f t="shared" ref="AI22" si="191">AH22/V22</f>
        <v>430.80833333333334</v>
      </c>
      <c r="AJ22" s="32">
        <f t="shared" ref="AJ22" si="192">AI22*18%</f>
        <v>77.545500000000004</v>
      </c>
      <c r="AK22" s="33">
        <f t="shared" ref="AK22" si="193">AI22+AJ22</f>
        <v>508.35383333333334</v>
      </c>
      <c r="AL22"/>
      <c r="AM22" s="34"/>
      <c r="AN22" s="35">
        <f t="shared" ref="AN22" si="194">AK22*V22</f>
        <v>4575.1845000000003</v>
      </c>
      <c r="AO22" s="36">
        <f t="shared" ref="AO22" si="195">(AK22-(AK22/1.18))*V22</f>
        <v>697.90949999999998</v>
      </c>
      <c r="AP22" s="36">
        <f t="shared" ref="AP22" si="196">(AK22-(AK22/1.02))*V22</f>
        <v>89.709499999999991</v>
      </c>
      <c r="AQ22" s="36">
        <f t="shared" ref="AQ22" si="197">(AK22-(AK22/1.05))*V22</f>
        <v>217.8659285714287</v>
      </c>
      <c r="AR22" s="36">
        <f t="shared" ref="AR22" si="198">S22*V22</f>
        <v>911.25</v>
      </c>
      <c r="AS22" s="37">
        <f t="shared" ref="AS22" si="199">AR22-AQ22-AP22</f>
        <v>603.67457142857143</v>
      </c>
      <c r="AT22" s="38"/>
      <c r="AU22" s="39">
        <f>AR22*100/(AN22-AO22-AR22)</f>
        <v>30.722937264520692</v>
      </c>
      <c r="AV22" s="39">
        <f t="shared" ref="AV22" si="200">AS22*100/(AN22-AO22-AR22-AP22-AQ22)</f>
        <v>22.707768389383993</v>
      </c>
    </row>
    <row r="23" spans="2:255" s="123" customFormat="1" ht="99.75" customHeight="1">
      <c r="B23" s="208"/>
      <c r="C23" s="223"/>
      <c r="D23" s="223"/>
      <c r="E23" s="211"/>
      <c r="F23" s="214"/>
      <c r="G23" s="217"/>
      <c r="H23" s="220"/>
      <c r="I23" s="244" t="s">
        <v>81</v>
      </c>
      <c r="J23" s="227"/>
      <c r="K23" s="124"/>
      <c r="L23"/>
      <c r="M23" s="242"/>
      <c r="N23" s="122"/>
      <c r="O23" s="241"/>
      <c r="P23" s="125"/>
      <c r="Q23" s="126">
        <v>0</v>
      </c>
      <c r="R23" s="127">
        <f t="shared" ref="R23:R24" si="201">P23*Q23/100</f>
        <v>0</v>
      </c>
      <c r="S23" s="128">
        <f t="shared" ref="S23:S24" si="202">R23*U23</f>
        <v>0</v>
      </c>
      <c r="T23" s="129">
        <f t="shared" ref="T23:T24" si="203">P23+R23</f>
        <v>0</v>
      </c>
      <c r="U23" s="126">
        <v>0</v>
      </c>
      <c r="V23" s="130">
        <f t="shared" ref="V23:V24" si="204">T23*0</f>
        <v>0</v>
      </c>
      <c r="W23" s="131">
        <v>0</v>
      </c>
      <c r="X23" s="132">
        <f t="shared" ref="X23:X24" si="205">U23*T23+V23+W23</f>
        <v>0</v>
      </c>
      <c r="Y23" s="133"/>
      <c r="Z23" s="134">
        <v>0</v>
      </c>
      <c r="AA23" s="135">
        <v>1</v>
      </c>
      <c r="AB23" s="135">
        <v>1</v>
      </c>
      <c r="AC23" s="135">
        <v>1</v>
      </c>
      <c r="AD23" s="136">
        <f t="shared" ref="AD23:AD24" si="206">Z23*AA23*AB23*AC23</f>
        <v>0</v>
      </c>
      <c r="AE23" s="137">
        <v>0</v>
      </c>
      <c r="AF23" s="138">
        <f>1%*(X23+AD23+AE23)</f>
        <v>0</v>
      </c>
      <c r="AG23" s="139">
        <f t="shared" ref="AG23:AG24" si="207">X23+AD23+AF23+AE23</f>
        <v>0</v>
      </c>
      <c r="AH23" s="140" t="e">
        <f t="shared" ref="AH23:AH24" si="208">AG23/U23</f>
        <v>#DIV/0!</v>
      </c>
      <c r="AI23" s="141" t="e">
        <f t="shared" ref="AI23:AI24" si="209">AH23*18%</f>
        <v>#DIV/0!</v>
      </c>
      <c r="AJ23" s="142" t="e">
        <f t="shared" ref="AJ23:AJ24" si="210">AH23+AI23</f>
        <v>#DIV/0!</v>
      </c>
      <c r="AK23" s="143">
        <f t="shared" ref="AK23:AK24" si="211">AG23*1%</f>
        <v>0</v>
      </c>
      <c r="AL23" s="144" t="e">
        <f t="shared" ref="AL23:AL24" si="212">AJ23*U23</f>
        <v>#DIV/0!</v>
      </c>
      <c r="AM23" s="145" t="e">
        <f t="shared" ref="AM23:AM24" si="213">(AJ23-(AJ23/1.18))*U23</f>
        <v>#DIV/0!</v>
      </c>
      <c r="AN23" s="145" t="e">
        <f t="shared" ref="AN23:AN24" si="214">(AJ23-(AJ23/1.02))*U23</f>
        <v>#DIV/0!</v>
      </c>
      <c r="AO23" s="145" t="e">
        <f t="shared" ref="AO23:AO24" si="215">(AJ23-(AJ23/1.05))*U23</f>
        <v>#DIV/0!</v>
      </c>
      <c r="AP23" s="145">
        <f t="shared" ref="AP23:AP24" si="216">R23*U23</f>
        <v>0</v>
      </c>
      <c r="AQ23" s="146" t="e">
        <f t="shared" ref="AQ23:AQ24" si="217">AP23-AO23-AN23</f>
        <v>#DIV/0!</v>
      </c>
      <c r="AS23" s="147" t="e">
        <f t="shared" ref="AS23:AS24" si="218">AP23*100/(AL23-AM23-AP23)</f>
        <v>#DIV/0!</v>
      </c>
      <c r="AT23" s="147" t="e">
        <f t="shared" ref="AT23:AT24" si="219">AQ23*100/(AL23-AM23-AP23-AN23-AO23)</f>
        <v>#DIV/0!</v>
      </c>
    </row>
    <row r="24" spans="2:255" s="123" customFormat="1" ht="71.25" customHeight="1">
      <c r="B24" s="209"/>
      <c r="C24" s="224"/>
      <c r="D24" s="224"/>
      <c r="E24" s="212"/>
      <c r="F24" s="215"/>
      <c r="G24" s="218"/>
      <c r="H24" s="221"/>
      <c r="I24" s="245" t="s">
        <v>82</v>
      </c>
      <c r="J24" s="228"/>
      <c r="K24" s="124"/>
      <c r="L24"/>
      <c r="M24" s="242"/>
      <c r="N24" s="122"/>
      <c r="O24" s="241"/>
      <c r="P24" s="125"/>
      <c r="Q24" s="126">
        <v>0</v>
      </c>
      <c r="R24" s="127">
        <f t="shared" si="201"/>
        <v>0</v>
      </c>
      <c r="S24" s="128">
        <f t="shared" si="202"/>
        <v>0</v>
      </c>
      <c r="T24" s="129">
        <f t="shared" si="203"/>
        <v>0</v>
      </c>
      <c r="U24" s="126">
        <v>0</v>
      </c>
      <c r="V24" s="130">
        <f t="shared" si="204"/>
        <v>0</v>
      </c>
      <c r="W24" s="131">
        <v>0</v>
      </c>
      <c r="X24" s="132">
        <f t="shared" si="205"/>
        <v>0</v>
      </c>
      <c r="Y24" s="133"/>
      <c r="Z24" s="134">
        <v>0</v>
      </c>
      <c r="AA24" s="135">
        <v>1</v>
      </c>
      <c r="AB24" s="135">
        <v>1</v>
      </c>
      <c r="AC24" s="135">
        <v>1</v>
      </c>
      <c r="AD24" s="136">
        <f t="shared" si="206"/>
        <v>0</v>
      </c>
      <c r="AE24" s="137">
        <v>0</v>
      </c>
      <c r="AF24" s="138">
        <f>1%*(X24+AD24+AE24)</f>
        <v>0</v>
      </c>
      <c r="AG24" s="139">
        <f t="shared" si="207"/>
        <v>0</v>
      </c>
      <c r="AH24" s="140" t="e">
        <f t="shared" si="208"/>
        <v>#DIV/0!</v>
      </c>
      <c r="AI24" s="141" t="e">
        <f t="shared" si="209"/>
        <v>#DIV/0!</v>
      </c>
      <c r="AJ24" s="142" t="e">
        <f t="shared" si="210"/>
        <v>#DIV/0!</v>
      </c>
      <c r="AK24" s="143">
        <f t="shared" si="211"/>
        <v>0</v>
      </c>
      <c r="AL24" s="144" t="e">
        <f t="shared" si="212"/>
        <v>#DIV/0!</v>
      </c>
      <c r="AM24" s="145" t="e">
        <f t="shared" si="213"/>
        <v>#DIV/0!</v>
      </c>
      <c r="AN24" s="145" t="e">
        <f t="shared" si="214"/>
        <v>#DIV/0!</v>
      </c>
      <c r="AO24" s="145" t="e">
        <f t="shared" si="215"/>
        <v>#DIV/0!</v>
      </c>
      <c r="AP24" s="145">
        <f t="shared" si="216"/>
        <v>0</v>
      </c>
      <c r="AQ24" s="146" t="e">
        <f t="shared" si="217"/>
        <v>#DIV/0!</v>
      </c>
      <c r="AS24" s="147" t="e">
        <f t="shared" si="218"/>
        <v>#DIV/0!</v>
      </c>
      <c r="AT24" s="147" t="e">
        <f t="shared" si="219"/>
        <v>#DIV/0!</v>
      </c>
    </row>
    <row r="25" spans="2:255" ht="27" customHeight="1">
      <c r="B25" s="150"/>
      <c r="C25" s="151"/>
      <c r="D25" s="151"/>
      <c r="E25" s="152"/>
      <c r="F25" s="153"/>
      <c r="G25" s="154"/>
      <c r="H25" s="155"/>
      <c r="I25" s="184" t="s">
        <v>65</v>
      </c>
      <c r="J25" s="185">
        <f>SUM(J19:J24)</f>
        <v>12129.66</v>
      </c>
      <c r="M25" s="156"/>
      <c r="N25" s="157"/>
      <c r="O25" s="157"/>
      <c r="P25" s="158"/>
      <c r="Q25" s="159"/>
      <c r="R25" s="160"/>
      <c r="S25" s="161"/>
      <c r="T25" s="162"/>
      <c r="U25" s="163"/>
      <c r="V25" s="160"/>
      <c r="W25" s="164"/>
      <c r="X25" s="165"/>
      <c r="Y25" s="166"/>
      <c r="Z25" s="167"/>
      <c r="AA25" s="168"/>
      <c r="AB25" s="169"/>
      <c r="AC25" s="169"/>
      <c r="AD25" s="169"/>
      <c r="AE25" s="170"/>
      <c r="AF25" s="171"/>
      <c r="AG25" s="172"/>
      <c r="AH25" s="173"/>
      <c r="AI25" s="174"/>
      <c r="AJ25" s="175"/>
      <c r="AK25" s="176"/>
      <c r="AL25" s="177"/>
      <c r="AM25" s="177"/>
      <c r="AN25" s="177"/>
      <c r="AO25" s="177"/>
      <c r="AP25" s="178"/>
      <c r="AQ25" s="179"/>
      <c r="AR25" s="180"/>
      <c r="AS25" s="180"/>
      <c r="AT25" s="181"/>
      <c r="AU25" s="181"/>
      <c r="AV25" s="181"/>
      <c r="AW25" s="181"/>
      <c r="AX25" s="181"/>
      <c r="AY25" s="181"/>
      <c r="AZ25" s="181"/>
      <c r="BA25" s="181"/>
      <c r="BB25" s="181"/>
      <c r="BC25" s="181"/>
      <c r="BD25" s="181"/>
      <c r="BE25" s="181"/>
      <c r="BF25" s="181"/>
      <c r="BG25" s="181"/>
      <c r="BH25" s="181"/>
      <c r="BI25" s="181"/>
      <c r="BJ25" s="181"/>
      <c r="BK25" s="181"/>
      <c r="BL25" s="181"/>
      <c r="BM25" s="181"/>
      <c r="BN25" s="181"/>
      <c r="BO25" s="181"/>
      <c r="BP25" s="181"/>
      <c r="BQ25" s="181"/>
      <c r="BR25" s="181"/>
      <c r="BS25" s="181"/>
      <c r="BT25" s="181"/>
      <c r="BU25" s="181"/>
      <c r="BV25" s="181"/>
      <c r="BW25" s="181"/>
      <c r="BX25" s="181"/>
      <c r="BY25" s="181"/>
      <c r="BZ25" s="181"/>
      <c r="CA25" s="181"/>
      <c r="CB25" s="181"/>
      <c r="CC25" s="181"/>
      <c r="CD25" s="181"/>
      <c r="CE25" s="181"/>
      <c r="CF25" s="181"/>
      <c r="CG25" s="181"/>
      <c r="CH25" s="181"/>
      <c r="CI25" s="181"/>
      <c r="CJ25" s="181"/>
      <c r="CK25" s="181"/>
      <c r="CL25" s="181"/>
      <c r="CM25" s="181"/>
      <c r="CN25" s="181"/>
      <c r="CO25" s="181"/>
      <c r="CP25" s="181"/>
      <c r="CQ25" s="181"/>
      <c r="CR25" s="181"/>
      <c r="CS25" s="181"/>
      <c r="CT25" s="181"/>
      <c r="CU25" s="181"/>
      <c r="CV25" s="181"/>
      <c r="CW25" s="181"/>
      <c r="CX25" s="181"/>
      <c r="CY25" s="181"/>
      <c r="CZ25" s="181"/>
      <c r="DA25" s="181"/>
      <c r="DB25" s="181"/>
      <c r="DC25" s="181"/>
      <c r="DD25" s="181"/>
      <c r="DE25" s="181"/>
      <c r="DF25" s="181"/>
      <c r="DG25" s="181"/>
      <c r="DH25" s="181"/>
      <c r="DI25" s="181"/>
      <c r="DJ25" s="181"/>
      <c r="DK25" s="181"/>
      <c r="DL25" s="181"/>
      <c r="DM25" s="181"/>
      <c r="DN25" s="181"/>
      <c r="DO25" s="181"/>
      <c r="DP25" s="181"/>
      <c r="DQ25" s="181"/>
      <c r="DR25" s="181"/>
      <c r="DS25" s="181"/>
      <c r="DT25" s="181"/>
      <c r="DU25" s="181"/>
      <c r="DV25" s="181"/>
      <c r="DW25" s="181"/>
      <c r="DX25" s="181"/>
      <c r="DY25" s="181"/>
      <c r="DZ25" s="181"/>
      <c r="EA25" s="181"/>
      <c r="EB25" s="181"/>
      <c r="EC25" s="181"/>
      <c r="ED25" s="181"/>
      <c r="EE25" s="181"/>
      <c r="EF25" s="181"/>
      <c r="EG25" s="181"/>
      <c r="EH25" s="181"/>
      <c r="EI25" s="181"/>
      <c r="EJ25" s="181"/>
      <c r="EK25" s="181"/>
      <c r="EL25" s="181"/>
      <c r="EM25" s="181"/>
      <c r="EN25" s="181"/>
      <c r="EO25" s="181"/>
      <c r="EP25" s="181"/>
      <c r="EQ25" s="181"/>
      <c r="ER25" s="181"/>
      <c r="ES25" s="181"/>
      <c r="ET25" s="181"/>
      <c r="EU25" s="181"/>
      <c r="EV25" s="181"/>
      <c r="EW25" s="181"/>
      <c r="EX25" s="181"/>
      <c r="EY25" s="181"/>
      <c r="EZ25" s="181"/>
      <c r="FA25" s="181"/>
      <c r="FB25" s="181"/>
      <c r="FC25" s="181"/>
      <c r="FD25" s="181"/>
      <c r="FE25" s="181"/>
      <c r="FF25" s="181"/>
      <c r="FG25" s="181"/>
      <c r="FH25" s="181"/>
      <c r="FI25" s="181"/>
      <c r="FJ25" s="181"/>
      <c r="FK25" s="181"/>
      <c r="FL25" s="181"/>
      <c r="FM25" s="181"/>
      <c r="FN25" s="181"/>
      <c r="FO25" s="181"/>
      <c r="FP25" s="181"/>
      <c r="FQ25" s="181"/>
      <c r="FR25" s="181"/>
      <c r="FS25" s="181"/>
      <c r="FT25" s="181"/>
      <c r="FU25" s="181"/>
      <c r="FV25" s="181"/>
      <c r="FW25" s="181"/>
      <c r="FX25" s="181"/>
      <c r="FY25" s="181"/>
      <c r="FZ25" s="181"/>
      <c r="GA25" s="181"/>
      <c r="GB25" s="181"/>
      <c r="GC25" s="181"/>
      <c r="GD25" s="181"/>
      <c r="GE25" s="181"/>
      <c r="GF25" s="181"/>
      <c r="GG25" s="181"/>
      <c r="GH25" s="181"/>
      <c r="GI25" s="181"/>
      <c r="GJ25" s="181"/>
      <c r="GK25" s="181"/>
      <c r="GL25" s="181"/>
      <c r="GM25" s="181"/>
      <c r="GN25" s="181"/>
      <c r="GO25" s="181"/>
      <c r="GP25" s="181"/>
      <c r="GQ25" s="181"/>
      <c r="GR25" s="181"/>
      <c r="GS25" s="181"/>
      <c r="GT25" s="181"/>
      <c r="GU25" s="181"/>
      <c r="GV25" s="181"/>
      <c r="GW25" s="181"/>
      <c r="GX25" s="181"/>
      <c r="GY25" s="181"/>
      <c r="GZ25" s="181"/>
      <c r="HA25" s="181"/>
      <c r="HB25" s="181"/>
      <c r="HC25" s="181"/>
      <c r="HD25" s="181"/>
      <c r="HE25" s="181"/>
      <c r="HF25" s="181"/>
      <c r="HG25" s="181"/>
      <c r="HH25" s="181"/>
      <c r="HI25" s="181"/>
      <c r="HJ25" s="181"/>
      <c r="HK25" s="181"/>
      <c r="HL25" s="181"/>
      <c r="HM25" s="181"/>
      <c r="HN25" s="181"/>
      <c r="HO25" s="181"/>
      <c r="HP25" s="181"/>
      <c r="HQ25" s="181"/>
      <c r="HR25" s="181"/>
      <c r="HS25" s="181"/>
      <c r="HT25" s="181"/>
      <c r="HU25" s="181"/>
      <c r="HV25" s="181"/>
      <c r="HW25" s="181"/>
      <c r="HX25" s="181"/>
      <c r="HY25" s="181"/>
      <c r="HZ25" s="181"/>
      <c r="IA25" s="181"/>
      <c r="IB25" s="181"/>
      <c r="IC25" s="181"/>
      <c r="ID25" s="181"/>
      <c r="IE25" s="181"/>
      <c r="IF25" s="181"/>
      <c r="IG25" s="181"/>
      <c r="IH25" s="181"/>
      <c r="II25" s="181"/>
      <c r="IJ25" s="181"/>
      <c r="IK25" s="181"/>
      <c r="IL25" s="181"/>
      <c r="IM25" s="181"/>
      <c r="IN25" s="181"/>
      <c r="IO25" s="181"/>
      <c r="IP25" s="181"/>
      <c r="IQ25" s="181"/>
      <c r="IR25" s="181"/>
      <c r="IS25" s="181"/>
      <c r="IT25" s="181"/>
      <c r="IU25" s="181"/>
    </row>
    <row r="26" spans="2:255" ht="27" customHeight="1" thickBot="1">
      <c r="B26" s="150"/>
      <c r="C26" s="151"/>
      <c r="D26" s="151"/>
      <c r="E26" s="152"/>
      <c r="F26" s="153"/>
      <c r="G26" s="154"/>
      <c r="H26" s="155"/>
      <c r="I26" s="186" t="s">
        <v>66</v>
      </c>
      <c r="J26" s="187">
        <f>J25*18%</f>
        <v>2183.3388</v>
      </c>
      <c r="M26" s="156"/>
      <c r="N26" s="157"/>
      <c r="O26" s="157"/>
      <c r="P26" s="158"/>
      <c r="Q26" s="159"/>
      <c r="R26" s="160"/>
      <c r="S26" s="161"/>
      <c r="T26" s="162"/>
      <c r="U26" s="163"/>
      <c r="V26" s="160"/>
      <c r="W26" s="164"/>
      <c r="X26" s="165"/>
      <c r="Y26" s="166"/>
      <c r="Z26" s="167"/>
      <c r="AA26" s="168"/>
      <c r="AB26" s="169"/>
      <c r="AC26" s="169"/>
      <c r="AD26" s="169"/>
      <c r="AE26" s="170"/>
      <c r="AF26" s="171"/>
      <c r="AG26" s="172"/>
      <c r="AH26" s="173"/>
      <c r="AI26" s="174"/>
      <c r="AJ26" s="175"/>
      <c r="AK26" s="176"/>
      <c r="AL26" s="177"/>
      <c r="AM26" s="177"/>
      <c r="AN26" s="177"/>
      <c r="AO26" s="177"/>
      <c r="AP26" s="178"/>
      <c r="AQ26" s="179"/>
      <c r="AR26" s="180"/>
      <c r="AS26" s="180"/>
      <c r="AT26" s="181"/>
      <c r="AU26" s="181"/>
      <c r="AV26" s="181"/>
      <c r="AW26" s="181"/>
      <c r="AX26" s="181"/>
      <c r="AY26" s="181"/>
      <c r="AZ26" s="181"/>
      <c r="BA26" s="181"/>
      <c r="BB26" s="181"/>
      <c r="BC26" s="181"/>
      <c r="BD26" s="181"/>
      <c r="BE26" s="181"/>
      <c r="BF26" s="181"/>
      <c r="BG26" s="181"/>
      <c r="BH26" s="181"/>
      <c r="BI26" s="181"/>
      <c r="BJ26" s="181"/>
      <c r="BK26" s="181"/>
      <c r="BL26" s="181"/>
      <c r="BM26" s="181"/>
      <c r="BN26" s="181"/>
      <c r="BO26" s="181"/>
      <c r="BP26" s="181"/>
      <c r="BQ26" s="181"/>
      <c r="BR26" s="181"/>
      <c r="BS26" s="181"/>
      <c r="BT26" s="181"/>
      <c r="BU26" s="181"/>
      <c r="BV26" s="181"/>
      <c r="BW26" s="181"/>
      <c r="BX26" s="181"/>
      <c r="BY26" s="181"/>
      <c r="BZ26" s="181"/>
      <c r="CA26" s="181"/>
      <c r="CB26" s="181"/>
      <c r="CC26" s="181"/>
      <c r="CD26" s="181"/>
      <c r="CE26" s="181"/>
      <c r="CF26" s="181"/>
      <c r="CG26" s="181"/>
      <c r="CH26" s="181"/>
      <c r="CI26" s="181"/>
      <c r="CJ26" s="181"/>
      <c r="CK26" s="181"/>
      <c r="CL26" s="181"/>
      <c r="CM26" s="181"/>
      <c r="CN26" s="181"/>
      <c r="CO26" s="181"/>
      <c r="CP26" s="181"/>
      <c r="CQ26" s="181"/>
      <c r="CR26" s="181"/>
      <c r="CS26" s="181"/>
      <c r="CT26" s="181"/>
      <c r="CU26" s="181"/>
      <c r="CV26" s="181"/>
      <c r="CW26" s="181"/>
      <c r="CX26" s="181"/>
      <c r="CY26" s="181"/>
      <c r="CZ26" s="181"/>
      <c r="DA26" s="181"/>
      <c r="DB26" s="181"/>
      <c r="DC26" s="181"/>
      <c r="DD26" s="181"/>
      <c r="DE26" s="181"/>
      <c r="DF26" s="181"/>
      <c r="DG26" s="181"/>
      <c r="DH26" s="181"/>
      <c r="DI26" s="181"/>
      <c r="DJ26" s="181"/>
      <c r="DK26" s="181"/>
      <c r="DL26" s="181"/>
      <c r="DM26" s="181"/>
      <c r="DN26" s="181"/>
      <c r="DO26" s="181"/>
      <c r="DP26" s="181"/>
      <c r="DQ26" s="181"/>
      <c r="DR26" s="181"/>
      <c r="DS26" s="181"/>
      <c r="DT26" s="181"/>
      <c r="DU26" s="181"/>
      <c r="DV26" s="181"/>
      <c r="DW26" s="181"/>
      <c r="DX26" s="181"/>
      <c r="DY26" s="181"/>
      <c r="DZ26" s="181"/>
      <c r="EA26" s="181"/>
      <c r="EB26" s="181"/>
      <c r="EC26" s="181"/>
      <c r="ED26" s="181"/>
      <c r="EE26" s="181"/>
      <c r="EF26" s="181"/>
      <c r="EG26" s="181"/>
      <c r="EH26" s="181"/>
      <c r="EI26" s="181"/>
      <c r="EJ26" s="181"/>
      <c r="EK26" s="181"/>
      <c r="EL26" s="181"/>
      <c r="EM26" s="181"/>
      <c r="EN26" s="181"/>
      <c r="EO26" s="181"/>
      <c r="EP26" s="181"/>
      <c r="EQ26" s="181"/>
      <c r="ER26" s="181"/>
      <c r="ES26" s="181"/>
      <c r="ET26" s="181"/>
      <c r="EU26" s="181"/>
      <c r="EV26" s="181"/>
      <c r="EW26" s="181"/>
      <c r="EX26" s="181"/>
      <c r="EY26" s="181"/>
      <c r="EZ26" s="181"/>
      <c r="FA26" s="181"/>
      <c r="FB26" s="181"/>
      <c r="FC26" s="181"/>
      <c r="FD26" s="181"/>
      <c r="FE26" s="181"/>
      <c r="FF26" s="181"/>
      <c r="FG26" s="181"/>
      <c r="FH26" s="181"/>
      <c r="FI26" s="181"/>
      <c r="FJ26" s="181"/>
      <c r="FK26" s="181"/>
      <c r="FL26" s="181"/>
      <c r="FM26" s="181"/>
      <c r="FN26" s="181"/>
      <c r="FO26" s="181"/>
      <c r="FP26" s="181"/>
      <c r="FQ26" s="181"/>
      <c r="FR26" s="181"/>
      <c r="FS26" s="181"/>
      <c r="FT26" s="181"/>
      <c r="FU26" s="181"/>
      <c r="FV26" s="181"/>
      <c r="FW26" s="181"/>
      <c r="FX26" s="181"/>
      <c r="FY26" s="181"/>
      <c r="FZ26" s="181"/>
      <c r="GA26" s="181"/>
      <c r="GB26" s="181"/>
      <c r="GC26" s="181"/>
      <c r="GD26" s="181"/>
      <c r="GE26" s="181"/>
      <c r="GF26" s="181"/>
      <c r="GG26" s="181"/>
      <c r="GH26" s="181"/>
      <c r="GI26" s="181"/>
      <c r="GJ26" s="181"/>
      <c r="GK26" s="181"/>
      <c r="GL26" s="181"/>
      <c r="GM26" s="181"/>
      <c r="GN26" s="181"/>
      <c r="GO26" s="181"/>
      <c r="GP26" s="181"/>
      <c r="GQ26" s="181"/>
      <c r="GR26" s="181"/>
      <c r="GS26" s="181"/>
      <c r="GT26" s="181"/>
      <c r="GU26" s="181"/>
      <c r="GV26" s="181"/>
      <c r="GW26" s="181"/>
      <c r="GX26" s="181"/>
      <c r="GY26" s="181"/>
      <c r="GZ26" s="181"/>
      <c r="HA26" s="181"/>
      <c r="HB26" s="181"/>
      <c r="HC26" s="181"/>
      <c r="HD26" s="181"/>
      <c r="HE26" s="181"/>
      <c r="HF26" s="181"/>
      <c r="HG26" s="181"/>
      <c r="HH26" s="181"/>
      <c r="HI26" s="181"/>
      <c r="HJ26" s="181"/>
      <c r="HK26" s="181"/>
      <c r="HL26" s="181"/>
      <c r="HM26" s="181"/>
      <c r="HN26" s="181"/>
      <c r="HO26" s="181"/>
      <c r="HP26" s="181"/>
      <c r="HQ26" s="181"/>
      <c r="HR26" s="181"/>
      <c r="HS26" s="181"/>
      <c r="HT26" s="181"/>
      <c r="HU26" s="181"/>
      <c r="HV26" s="181"/>
      <c r="HW26" s="181"/>
      <c r="HX26" s="181"/>
      <c r="HY26" s="181"/>
      <c r="HZ26" s="181"/>
      <c r="IA26" s="181"/>
      <c r="IB26" s="181"/>
      <c r="IC26" s="181"/>
      <c r="ID26" s="181"/>
      <c r="IE26" s="181"/>
      <c r="IF26" s="181"/>
      <c r="IG26" s="181"/>
      <c r="IH26" s="181"/>
      <c r="II26" s="181"/>
      <c r="IJ26" s="181"/>
      <c r="IK26" s="181"/>
      <c r="IL26" s="181"/>
      <c r="IM26" s="181"/>
      <c r="IN26" s="181"/>
      <c r="IO26" s="181"/>
      <c r="IP26" s="181"/>
      <c r="IQ26" s="181"/>
      <c r="IR26" s="181"/>
      <c r="IS26" s="181"/>
      <c r="IT26" s="181"/>
      <c r="IU26" s="181"/>
    </row>
    <row r="27" spans="2:255" ht="27" customHeight="1" thickBot="1">
      <c r="B27" s="150"/>
      <c r="C27" s="151"/>
      <c r="D27" s="151"/>
      <c r="E27" s="152"/>
      <c r="F27" s="153"/>
      <c r="G27" s="154"/>
      <c r="H27" s="155"/>
      <c r="I27" s="182" t="s">
        <v>36</v>
      </c>
      <c r="J27" s="183">
        <f>J25+J26</f>
        <v>14312.998799999999</v>
      </c>
      <c r="M27" s="156"/>
      <c r="N27" s="157"/>
      <c r="O27" s="157"/>
      <c r="P27" s="158"/>
      <c r="Q27" s="159"/>
      <c r="R27" s="160"/>
      <c r="S27" s="161"/>
      <c r="T27" s="162"/>
      <c r="U27" s="163"/>
      <c r="V27" s="160"/>
      <c r="W27" s="164"/>
      <c r="X27" s="165"/>
      <c r="Y27" s="166"/>
      <c r="Z27" s="167"/>
      <c r="AA27" s="168"/>
      <c r="AB27" s="169"/>
      <c r="AC27" s="169"/>
      <c r="AD27" s="169"/>
      <c r="AE27" s="170"/>
      <c r="AF27" s="171"/>
      <c r="AG27" s="172"/>
      <c r="AH27" s="173"/>
      <c r="AI27" s="174"/>
      <c r="AJ27" s="175"/>
      <c r="AK27" s="176"/>
      <c r="AL27" s="177"/>
      <c r="AM27" s="177"/>
      <c r="AN27" s="177"/>
      <c r="AO27" s="177"/>
      <c r="AP27" s="178"/>
      <c r="AQ27" s="179"/>
      <c r="AR27" s="180"/>
      <c r="AS27" s="180"/>
      <c r="AT27" s="181"/>
      <c r="AU27" s="181"/>
      <c r="AV27" s="181"/>
      <c r="AW27" s="181"/>
      <c r="AX27" s="181"/>
      <c r="AY27" s="181"/>
      <c r="AZ27" s="181"/>
      <c r="BA27" s="181"/>
      <c r="BB27" s="181"/>
      <c r="BC27" s="181"/>
      <c r="BD27" s="181"/>
      <c r="BE27" s="181"/>
      <c r="BF27" s="181"/>
      <c r="BG27" s="181"/>
      <c r="BH27" s="181"/>
      <c r="BI27" s="181"/>
      <c r="BJ27" s="181"/>
      <c r="BK27" s="181"/>
      <c r="BL27" s="181"/>
      <c r="BM27" s="181"/>
      <c r="BN27" s="181"/>
      <c r="BO27" s="181"/>
      <c r="BP27" s="181"/>
      <c r="BQ27" s="181"/>
      <c r="BR27" s="181"/>
      <c r="BS27" s="181"/>
      <c r="BT27" s="181"/>
      <c r="BU27" s="181"/>
      <c r="BV27" s="181"/>
      <c r="BW27" s="181"/>
      <c r="BX27" s="181"/>
      <c r="BY27" s="181"/>
      <c r="BZ27" s="181"/>
      <c r="CA27" s="181"/>
      <c r="CB27" s="181"/>
      <c r="CC27" s="181"/>
      <c r="CD27" s="181"/>
      <c r="CE27" s="181"/>
      <c r="CF27" s="181"/>
      <c r="CG27" s="181"/>
      <c r="CH27" s="181"/>
      <c r="CI27" s="181"/>
      <c r="CJ27" s="181"/>
      <c r="CK27" s="181"/>
      <c r="CL27" s="181"/>
      <c r="CM27" s="181"/>
      <c r="CN27" s="181"/>
      <c r="CO27" s="181"/>
      <c r="CP27" s="181"/>
      <c r="CQ27" s="181"/>
      <c r="CR27" s="181"/>
      <c r="CS27" s="181"/>
      <c r="CT27" s="181"/>
      <c r="CU27" s="181"/>
      <c r="CV27" s="181"/>
      <c r="CW27" s="181"/>
      <c r="CX27" s="181"/>
      <c r="CY27" s="181"/>
      <c r="CZ27" s="181"/>
      <c r="DA27" s="181"/>
      <c r="DB27" s="181"/>
      <c r="DC27" s="181"/>
      <c r="DD27" s="181"/>
      <c r="DE27" s="181"/>
      <c r="DF27" s="181"/>
      <c r="DG27" s="181"/>
      <c r="DH27" s="181"/>
      <c r="DI27" s="181"/>
      <c r="DJ27" s="181"/>
      <c r="DK27" s="181"/>
      <c r="DL27" s="181"/>
      <c r="DM27" s="181"/>
      <c r="DN27" s="181"/>
      <c r="DO27" s="181"/>
      <c r="DP27" s="181"/>
      <c r="DQ27" s="181"/>
      <c r="DR27" s="181"/>
      <c r="DS27" s="181"/>
      <c r="DT27" s="181"/>
      <c r="DU27" s="181"/>
      <c r="DV27" s="181"/>
      <c r="DW27" s="181"/>
      <c r="DX27" s="181"/>
      <c r="DY27" s="181"/>
      <c r="DZ27" s="181"/>
      <c r="EA27" s="181"/>
      <c r="EB27" s="181"/>
      <c r="EC27" s="181"/>
      <c r="ED27" s="181"/>
      <c r="EE27" s="181"/>
      <c r="EF27" s="181"/>
      <c r="EG27" s="181"/>
      <c r="EH27" s="181"/>
      <c r="EI27" s="181"/>
      <c r="EJ27" s="181"/>
      <c r="EK27" s="181"/>
      <c r="EL27" s="181"/>
      <c r="EM27" s="181"/>
      <c r="EN27" s="181"/>
      <c r="EO27" s="181"/>
      <c r="EP27" s="181"/>
      <c r="EQ27" s="181"/>
      <c r="ER27" s="181"/>
      <c r="ES27" s="181"/>
      <c r="ET27" s="181"/>
      <c r="EU27" s="181"/>
      <c r="EV27" s="181"/>
      <c r="EW27" s="181"/>
      <c r="EX27" s="181"/>
      <c r="EY27" s="181"/>
      <c r="EZ27" s="181"/>
      <c r="FA27" s="181"/>
      <c r="FB27" s="181"/>
      <c r="FC27" s="181"/>
      <c r="FD27" s="181"/>
      <c r="FE27" s="181"/>
      <c r="FF27" s="181"/>
      <c r="FG27" s="181"/>
      <c r="FH27" s="181"/>
      <c r="FI27" s="181"/>
      <c r="FJ27" s="181"/>
      <c r="FK27" s="181"/>
      <c r="FL27" s="181"/>
      <c r="FM27" s="181"/>
      <c r="FN27" s="181"/>
      <c r="FO27" s="181"/>
      <c r="FP27" s="181"/>
      <c r="FQ27" s="181"/>
      <c r="FR27" s="181"/>
      <c r="FS27" s="181"/>
      <c r="FT27" s="181"/>
      <c r="FU27" s="181"/>
      <c r="FV27" s="181"/>
      <c r="FW27" s="181"/>
      <c r="FX27" s="181"/>
      <c r="FY27" s="181"/>
      <c r="FZ27" s="181"/>
      <c r="GA27" s="181"/>
      <c r="GB27" s="181"/>
      <c r="GC27" s="181"/>
      <c r="GD27" s="181"/>
      <c r="GE27" s="181"/>
      <c r="GF27" s="181"/>
      <c r="GG27" s="181"/>
      <c r="GH27" s="181"/>
      <c r="GI27" s="181"/>
      <c r="GJ27" s="181"/>
      <c r="GK27" s="181"/>
      <c r="GL27" s="181"/>
      <c r="GM27" s="181"/>
      <c r="GN27" s="181"/>
      <c r="GO27" s="181"/>
      <c r="GP27" s="181"/>
      <c r="GQ27" s="181"/>
      <c r="GR27" s="181"/>
      <c r="GS27" s="181"/>
      <c r="GT27" s="181"/>
      <c r="GU27" s="181"/>
      <c r="GV27" s="181"/>
      <c r="GW27" s="181"/>
      <c r="GX27" s="181"/>
      <c r="GY27" s="181"/>
      <c r="GZ27" s="181"/>
      <c r="HA27" s="181"/>
      <c r="HB27" s="181"/>
      <c r="HC27" s="181"/>
      <c r="HD27" s="181"/>
      <c r="HE27" s="181"/>
      <c r="HF27" s="181"/>
      <c r="HG27" s="181"/>
      <c r="HH27" s="181"/>
      <c r="HI27" s="181"/>
      <c r="HJ27" s="181"/>
      <c r="HK27" s="181"/>
      <c r="HL27" s="181"/>
      <c r="HM27" s="181"/>
      <c r="HN27" s="181"/>
      <c r="HO27" s="181"/>
      <c r="HP27" s="181"/>
      <c r="HQ27" s="181"/>
      <c r="HR27" s="181"/>
      <c r="HS27" s="181"/>
      <c r="HT27" s="181"/>
      <c r="HU27" s="181"/>
      <c r="HV27" s="181"/>
      <c r="HW27" s="181"/>
      <c r="HX27" s="181"/>
      <c r="HY27" s="181"/>
      <c r="HZ27" s="181"/>
      <c r="IA27" s="181"/>
      <c r="IB27" s="181"/>
      <c r="IC27" s="181"/>
      <c r="ID27" s="181"/>
      <c r="IE27" s="181"/>
      <c r="IF27" s="181"/>
      <c r="IG27" s="181"/>
      <c r="IH27" s="181"/>
      <c r="II27" s="181"/>
      <c r="IJ27" s="181"/>
      <c r="IK27" s="181"/>
      <c r="IL27" s="181"/>
      <c r="IM27" s="181"/>
      <c r="IN27" s="181"/>
      <c r="IO27" s="181"/>
      <c r="IP27" s="181"/>
      <c r="IQ27" s="181"/>
      <c r="IR27" s="181"/>
      <c r="IS27" s="181"/>
      <c r="IT27" s="181"/>
      <c r="IU27" s="181"/>
    </row>
    <row r="29" spans="2:255" ht="16.5" thickBot="1"/>
    <row r="30" spans="2:255" ht="29.45" customHeight="1" thickBot="1">
      <c r="B30" s="232" t="s">
        <v>83</v>
      </c>
      <c r="C30" s="233"/>
      <c r="D30" s="233"/>
      <c r="E30" s="233"/>
      <c r="F30" s="233"/>
      <c r="G30" s="233"/>
      <c r="H30" s="233"/>
      <c r="I30" s="233"/>
      <c r="J30" s="234"/>
      <c r="K30" s="45"/>
      <c r="L30" s="1"/>
      <c r="M30" s="235" t="s">
        <v>2</v>
      </c>
      <c r="N30" s="235"/>
      <c r="O30" s="235"/>
      <c r="P30" s="235"/>
      <c r="Q30" s="235"/>
      <c r="R30" s="235"/>
      <c r="S30" s="235"/>
      <c r="T30" s="235"/>
      <c r="U30" s="235"/>
      <c r="V30" s="235"/>
      <c r="W30" s="235"/>
      <c r="X30" s="235"/>
      <c r="Y30" s="235"/>
      <c r="Z30" s="235"/>
      <c r="AA30" s="235"/>
      <c r="AB30" s="235"/>
      <c r="AC30" s="235"/>
      <c r="AD30" s="1"/>
      <c r="AE30" s="1"/>
      <c r="AF30" s="1"/>
      <c r="AG30" s="1"/>
      <c r="AH30" s="1"/>
      <c r="AI30" s="1"/>
      <c r="AJ30" s="1"/>
      <c r="AK30" s="1"/>
    </row>
    <row r="31" spans="2:255" ht="36" customHeight="1" thickBot="1">
      <c r="B31" s="55" t="s">
        <v>3</v>
      </c>
      <c r="C31" s="40" t="s">
        <v>4</v>
      </c>
      <c r="D31" s="40" t="s">
        <v>5</v>
      </c>
      <c r="E31" s="40" t="s">
        <v>6</v>
      </c>
      <c r="F31" s="40" t="s">
        <v>7</v>
      </c>
      <c r="G31" s="41" t="s">
        <v>8</v>
      </c>
      <c r="H31" s="41" t="s">
        <v>9</v>
      </c>
      <c r="I31" s="115" t="s">
        <v>10</v>
      </c>
      <c r="J31" s="116" t="s">
        <v>11</v>
      </c>
      <c r="K31" s="2"/>
      <c r="L31" s="2"/>
      <c r="M31" s="3" t="s">
        <v>13</v>
      </c>
      <c r="N31" s="4" t="s">
        <v>14</v>
      </c>
      <c r="O31" s="4" t="s">
        <v>15</v>
      </c>
      <c r="P31" s="5" t="s">
        <v>16</v>
      </c>
      <c r="Q31" s="6" t="s">
        <v>17</v>
      </c>
      <c r="R31" s="7" t="s">
        <v>18</v>
      </c>
      <c r="S31" s="7" t="s">
        <v>19</v>
      </c>
      <c r="T31" s="7" t="s">
        <v>20</v>
      </c>
      <c r="U31" s="7" t="s">
        <v>21</v>
      </c>
      <c r="V31" s="7" t="s">
        <v>22</v>
      </c>
      <c r="W31" s="8" t="s">
        <v>23</v>
      </c>
      <c r="X31" s="3" t="s">
        <v>24</v>
      </c>
      <c r="Y31" s="5" t="s">
        <v>25</v>
      </c>
      <c r="Z31" s="44" t="s">
        <v>26</v>
      </c>
      <c r="AA31" s="9" t="s">
        <v>27</v>
      </c>
      <c r="AB31" s="9" t="s">
        <v>28</v>
      </c>
      <c r="AC31" s="9" t="s">
        <v>29</v>
      </c>
      <c r="AD31" s="9" t="s">
        <v>30</v>
      </c>
      <c r="AE31" s="10" t="s">
        <v>31</v>
      </c>
      <c r="AF31" s="11" t="s">
        <v>32</v>
      </c>
      <c r="AG31" s="11" t="s">
        <v>33</v>
      </c>
      <c r="AH31" s="12" t="s">
        <v>21</v>
      </c>
      <c r="AI31" s="13" t="s">
        <v>34</v>
      </c>
      <c r="AJ31" s="13" t="s">
        <v>35</v>
      </c>
      <c r="AK31" s="14" t="s">
        <v>36</v>
      </c>
      <c r="AN31" s="15" t="s">
        <v>37</v>
      </c>
      <c r="AO31" s="15" t="s">
        <v>38</v>
      </c>
      <c r="AP31" s="15" t="s">
        <v>39</v>
      </c>
      <c r="AQ31" s="15" t="s">
        <v>40</v>
      </c>
      <c r="AR31" s="15" t="s">
        <v>41</v>
      </c>
      <c r="AS31" s="15" t="s">
        <v>42</v>
      </c>
      <c r="AT31" s="16"/>
      <c r="AU31" s="17" t="s">
        <v>43</v>
      </c>
      <c r="AV31" s="17" t="s">
        <v>44</v>
      </c>
    </row>
    <row r="32" spans="2:255" s="1" customFormat="1" ht="306" customHeight="1" thickBot="1">
      <c r="B32" s="101">
        <v>1</v>
      </c>
      <c r="C32" s="238" t="s">
        <v>84</v>
      </c>
      <c r="D32" s="239"/>
      <c r="E32" s="102" t="s">
        <v>46</v>
      </c>
      <c r="F32" s="103">
        <v>50</v>
      </c>
      <c r="G32" s="104">
        <f>AI32</f>
        <v>15.2323536</v>
      </c>
      <c r="H32" s="105" t="s">
        <v>85</v>
      </c>
      <c r="I32" s="121" t="s">
        <v>86</v>
      </c>
      <c r="J32" s="106">
        <f t="shared" ref="J32" si="220">F32*G32</f>
        <v>761.61767999999995</v>
      </c>
      <c r="K32"/>
      <c r="L32"/>
      <c r="M32" s="46" t="s">
        <v>87</v>
      </c>
      <c r="N32" s="47"/>
      <c r="O32" s="48" t="s">
        <v>88</v>
      </c>
      <c r="P32" s="50"/>
      <c r="Q32" s="18">
        <v>8.5</v>
      </c>
      <c r="R32" s="19">
        <v>40.200000000000003</v>
      </c>
      <c r="S32" s="20">
        <f t="shared" ref="S32" si="221">Q32*R32/100</f>
        <v>3.4170000000000003</v>
      </c>
      <c r="T32" s="21">
        <f t="shared" ref="T32" si="222">S32*V32</f>
        <v>170.85000000000002</v>
      </c>
      <c r="U32" s="22">
        <f t="shared" ref="U32" si="223">Q32+S32</f>
        <v>11.917</v>
      </c>
      <c r="V32" s="19">
        <f t="shared" ref="V32" si="224">F32</f>
        <v>50</v>
      </c>
      <c r="W32" s="23">
        <f>U32*2+30</f>
        <v>53.834000000000003</v>
      </c>
      <c r="X32" s="24">
        <v>90</v>
      </c>
      <c r="Y32" s="25">
        <f t="shared" ref="Y32" si="225">V32*U32+W32+X32</f>
        <v>739.68399999999997</v>
      </c>
      <c r="Z32" s="49" t="s">
        <v>52</v>
      </c>
      <c r="AA32" s="24">
        <v>0</v>
      </c>
      <c r="AB32" s="26">
        <v>1</v>
      </c>
      <c r="AC32" s="26">
        <v>1</v>
      </c>
      <c r="AD32" s="26">
        <v>1</v>
      </c>
      <c r="AE32" s="27">
        <f t="shared" ref="AE32" si="226">AA32*AB32*AC32*AD32</f>
        <v>0</v>
      </c>
      <c r="AF32" s="28">
        <f>3.5*2</f>
        <v>7</v>
      </c>
      <c r="AG32" s="27">
        <f>2%*(Y32+AE32+AF32)</f>
        <v>14.933679999999999</v>
      </c>
      <c r="AH32" s="30">
        <f t="shared" ref="AH32" si="227">Y32+AE32+AG32+AF32</f>
        <v>761.61767999999995</v>
      </c>
      <c r="AI32" s="31">
        <f t="shared" ref="AI32" si="228">AH32/V32</f>
        <v>15.2323536</v>
      </c>
      <c r="AJ32" s="32">
        <f t="shared" ref="AJ32" si="229">AI32*18%</f>
        <v>2.741823648</v>
      </c>
      <c r="AK32" s="33">
        <f t="shared" ref="AK32" si="230">AI32+AJ32</f>
        <v>17.974177248</v>
      </c>
      <c r="AL32"/>
      <c r="AM32" s="34"/>
      <c r="AN32" s="35">
        <f t="shared" ref="AN32" si="231">AK32*V32</f>
        <v>898.70886240000004</v>
      </c>
      <c r="AO32" s="36">
        <f t="shared" ref="AO32" si="232">(AK32-(AK32/1.18))*V32</f>
        <v>137.09118239999992</v>
      </c>
      <c r="AP32" s="36">
        <f t="shared" ref="AP32" si="233">(AK32-(AK32/1.02))*V32</f>
        <v>17.621742400000073</v>
      </c>
      <c r="AQ32" s="36">
        <f t="shared" ref="AQ32" si="234">(AK32-(AK32/1.05))*V32</f>
        <v>42.795660114285816</v>
      </c>
      <c r="AR32" s="36">
        <f t="shared" ref="AR32" si="235">S32*V32</f>
        <v>170.85000000000002</v>
      </c>
      <c r="AS32" s="37">
        <f t="shared" ref="AS32" si="236">AR32-AQ32-AP32</f>
        <v>110.43259748571413</v>
      </c>
      <c r="AT32" s="38"/>
      <c r="AU32" s="39">
        <f>AR32*100/(AN32-AO32-AR32)</f>
        <v>28.919997789994202</v>
      </c>
      <c r="AV32" s="39">
        <f t="shared" ref="AV32" si="237">AS32*100/(AN32-AO32-AR32-AP32-AQ32)</f>
        <v>20.822577487703644</v>
      </c>
    </row>
    <row r="33" spans="1:69" s="1" customFormat="1" ht="296.25" customHeight="1">
      <c r="B33" s="101">
        <v>2</v>
      </c>
      <c r="C33" s="238" t="s">
        <v>84</v>
      </c>
      <c r="D33" s="239"/>
      <c r="E33" s="102" t="s">
        <v>46</v>
      </c>
      <c r="F33" s="103">
        <v>50</v>
      </c>
      <c r="G33" s="104">
        <f>AI33</f>
        <v>16.453334400000003</v>
      </c>
      <c r="H33" s="105" t="s">
        <v>85</v>
      </c>
      <c r="I33" s="121" t="s">
        <v>89</v>
      </c>
      <c r="J33" s="106">
        <f t="shared" ref="J33" si="238">F33*G33</f>
        <v>822.66672000000017</v>
      </c>
      <c r="K33"/>
      <c r="L33"/>
      <c r="M33" s="46" t="s">
        <v>87</v>
      </c>
      <c r="N33" s="47"/>
      <c r="O33" s="48" t="s">
        <v>90</v>
      </c>
      <c r="P33" s="50"/>
      <c r="Q33" s="18">
        <v>9</v>
      </c>
      <c r="R33" s="19">
        <v>45.2</v>
      </c>
      <c r="S33" s="20">
        <f t="shared" ref="S33" si="239">Q33*R33/100</f>
        <v>4.0680000000000005</v>
      </c>
      <c r="T33" s="21">
        <f t="shared" ref="T33" si="240">S33*V33</f>
        <v>203.40000000000003</v>
      </c>
      <c r="U33" s="22">
        <f t="shared" ref="U33" si="241">Q33+S33</f>
        <v>13.068000000000001</v>
      </c>
      <c r="V33" s="19">
        <f t="shared" ref="V33" si="242">F33</f>
        <v>50</v>
      </c>
      <c r="W33" s="23">
        <f>U33*2+30</f>
        <v>56.136000000000003</v>
      </c>
      <c r="X33" s="24">
        <v>90</v>
      </c>
      <c r="Y33" s="25">
        <f t="shared" ref="Y33" si="243">V33*U33+W33+X33</f>
        <v>799.53600000000006</v>
      </c>
      <c r="Z33" s="49" t="s">
        <v>52</v>
      </c>
      <c r="AA33" s="24">
        <v>0</v>
      </c>
      <c r="AB33" s="26">
        <v>1</v>
      </c>
      <c r="AC33" s="26">
        <v>1</v>
      </c>
      <c r="AD33" s="26">
        <v>1</v>
      </c>
      <c r="AE33" s="27">
        <f t="shared" ref="AE33" si="244">AA33*AB33*AC33*AD33</f>
        <v>0</v>
      </c>
      <c r="AF33" s="28">
        <f>3.5*2</f>
        <v>7</v>
      </c>
      <c r="AG33" s="27">
        <f>2%*(Y33+AE33+AF33)</f>
        <v>16.13072</v>
      </c>
      <c r="AH33" s="30">
        <f t="shared" ref="AH33" si="245">Y33+AE33+AG33+AF33</f>
        <v>822.66672000000005</v>
      </c>
      <c r="AI33" s="31">
        <f t="shared" ref="AI33" si="246">AH33/V33</f>
        <v>16.453334400000003</v>
      </c>
      <c r="AJ33" s="32">
        <f t="shared" ref="AJ33" si="247">AI33*18%</f>
        <v>2.9616001920000006</v>
      </c>
      <c r="AK33" s="33">
        <f t="shared" ref="AK33" si="248">AI33+AJ33</f>
        <v>19.414934592000002</v>
      </c>
      <c r="AL33"/>
      <c r="AM33" s="34"/>
      <c r="AN33" s="35">
        <f t="shared" ref="AN33" si="249">AK33*V33</f>
        <v>970.74672960000009</v>
      </c>
      <c r="AO33" s="36">
        <f t="shared" ref="AO33" si="250">(AK33-(AK33/1.18))*V33</f>
        <v>148.08000959999993</v>
      </c>
      <c r="AP33" s="36">
        <f t="shared" ref="AP33" si="251">(AK33-(AK33/1.02))*V33</f>
        <v>19.034249599999953</v>
      </c>
      <c r="AQ33" s="36">
        <f t="shared" ref="AQ33" si="252">(AK33-(AK33/1.05))*V33</f>
        <v>46.226034742857181</v>
      </c>
      <c r="AR33" s="36">
        <f t="shared" ref="AR33" si="253">S33*V33</f>
        <v>203.40000000000003</v>
      </c>
      <c r="AS33" s="37">
        <f t="shared" ref="AS33" si="254">AR33-AQ33-AP33</f>
        <v>138.13971565714292</v>
      </c>
      <c r="AT33" s="38"/>
      <c r="AU33" s="39">
        <f>AR33*100/(AN33-AO33-AR33)</f>
        <v>32.84529806478217</v>
      </c>
      <c r="AV33" s="39">
        <f t="shared" ref="AV33" si="255">AS33*100/(AN33-AO33-AR33-AP33-AQ33)</f>
        <v>24.934677066212497</v>
      </c>
    </row>
    <row r="35" spans="1:69" ht="16.5" thickBot="1"/>
    <row r="36" spans="1:69" ht="29.45" customHeight="1" thickBot="1">
      <c r="B36" s="232" t="s">
        <v>91</v>
      </c>
      <c r="C36" s="233"/>
      <c r="D36" s="233"/>
      <c r="E36" s="233"/>
      <c r="F36" s="233"/>
      <c r="G36" s="233"/>
      <c r="H36" s="233"/>
      <c r="I36" s="233"/>
      <c r="J36" s="234"/>
      <c r="K36" s="45"/>
      <c r="L36" s="1"/>
      <c r="M36" s="235" t="s">
        <v>2</v>
      </c>
      <c r="N36" s="235"/>
      <c r="O36" s="235"/>
      <c r="P36" s="235"/>
      <c r="Q36" s="235"/>
      <c r="R36" s="235"/>
      <c r="S36" s="235"/>
      <c r="T36" s="235"/>
      <c r="U36" s="235"/>
      <c r="V36" s="235"/>
      <c r="W36" s="235"/>
      <c r="X36" s="235"/>
      <c r="Y36" s="235"/>
      <c r="Z36" s="235"/>
      <c r="AA36" s="235"/>
      <c r="AB36" s="235"/>
      <c r="AC36" s="235"/>
      <c r="AD36" s="1"/>
      <c r="AE36" s="1"/>
      <c r="AF36" s="1"/>
      <c r="AG36" s="1"/>
      <c r="AH36" s="1"/>
      <c r="AI36" s="1"/>
      <c r="AJ36" s="1"/>
      <c r="AK36" s="1"/>
    </row>
    <row r="37" spans="1:69" ht="36" customHeight="1" thickBot="1">
      <c r="B37" s="55" t="s">
        <v>3</v>
      </c>
      <c r="C37" s="40" t="s">
        <v>4</v>
      </c>
      <c r="D37" s="40" t="s">
        <v>5</v>
      </c>
      <c r="E37" s="40" t="s">
        <v>6</v>
      </c>
      <c r="F37" s="40" t="s">
        <v>7</v>
      </c>
      <c r="G37" s="41" t="s">
        <v>8</v>
      </c>
      <c r="H37" s="41" t="s">
        <v>9</v>
      </c>
      <c r="I37" s="115" t="s">
        <v>10</v>
      </c>
      <c r="J37" s="116" t="s">
        <v>11</v>
      </c>
      <c r="K37" s="2"/>
      <c r="L37" s="2"/>
      <c r="M37" s="3" t="s">
        <v>13</v>
      </c>
      <c r="N37" s="4" t="s">
        <v>14</v>
      </c>
      <c r="O37" s="4" t="s">
        <v>15</v>
      </c>
      <c r="P37" s="5" t="s">
        <v>16</v>
      </c>
      <c r="Q37" s="6" t="s">
        <v>17</v>
      </c>
      <c r="R37" s="7" t="s">
        <v>18</v>
      </c>
      <c r="S37" s="7" t="s">
        <v>19</v>
      </c>
      <c r="T37" s="7" t="s">
        <v>20</v>
      </c>
      <c r="U37" s="7" t="s">
        <v>21</v>
      </c>
      <c r="V37" s="7" t="s">
        <v>22</v>
      </c>
      <c r="W37" s="8" t="s">
        <v>23</v>
      </c>
      <c r="X37" s="3" t="s">
        <v>24</v>
      </c>
      <c r="Y37" s="5" t="s">
        <v>25</v>
      </c>
      <c r="Z37" s="44" t="s">
        <v>26</v>
      </c>
      <c r="AA37" s="9" t="s">
        <v>27</v>
      </c>
      <c r="AB37" s="9" t="s">
        <v>28</v>
      </c>
      <c r="AC37" s="9" t="s">
        <v>29</v>
      </c>
      <c r="AD37" s="9" t="s">
        <v>30</v>
      </c>
      <c r="AE37" s="10" t="s">
        <v>31</v>
      </c>
      <c r="AF37" s="11" t="s">
        <v>32</v>
      </c>
      <c r="AG37" s="11" t="s">
        <v>33</v>
      </c>
      <c r="AH37" s="12" t="s">
        <v>21</v>
      </c>
      <c r="AI37" s="13" t="s">
        <v>34</v>
      </c>
      <c r="AJ37" s="13" t="s">
        <v>35</v>
      </c>
      <c r="AK37" s="14" t="s">
        <v>36</v>
      </c>
      <c r="AN37" s="15" t="s">
        <v>37</v>
      </c>
      <c r="AO37" s="15" t="s">
        <v>38</v>
      </c>
      <c r="AP37" s="15" t="s">
        <v>39</v>
      </c>
      <c r="AQ37" s="15" t="s">
        <v>40</v>
      </c>
      <c r="AR37" s="15" t="s">
        <v>41</v>
      </c>
      <c r="AS37" s="15" t="s">
        <v>42</v>
      </c>
      <c r="AT37" s="16"/>
      <c r="AU37" s="17" t="s">
        <v>43</v>
      </c>
      <c r="AV37" s="17" t="s">
        <v>44</v>
      </c>
    </row>
    <row r="38" spans="1:69" s="1" customFormat="1" ht="180" customHeight="1" thickBot="1">
      <c r="B38" s="101">
        <v>1</v>
      </c>
      <c r="C38" s="118" t="s">
        <v>92</v>
      </c>
      <c r="D38" s="195" t="s">
        <v>93</v>
      </c>
      <c r="E38" s="102" t="s">
        <v>46</v>
      </c>
      <c r="F38" s="103">
        <v>50</v>
      </c>
      <c r="G38" s="104">
        <v>10.59</v>
      </c>
      <c r="H38" s="105" t="s">
        <v>70</v>
      </c>
      <c r="I38" s="121" t="s">
        <v>94</v>
      </c>
      <c r="J38" s="106">
        <f t="shared" ref="J38:J41" si="256">F38*G38</f>
        <v>529.5</v>
      </c>
      <c r="K38"/>
      <c r="L38"/>
      <c r="M38" s="46" t="s">
        <v>95</v>
      </c>
      <c r="N38" s="47" t="s">
        <v>96</v>
      </c>
      <c r="O38" s="48" t="s">
        <v>97</v>
      </c>
      <c r="P38" s="50"/>
      <c r="Q38" s="18">
        <f>3.15/1.1</f>
        <v>2.8636363636363633</v>
      </c>
      <c r="R38" s="19">
        <v>105</v>
      </c>
      <c r="S38" s="20">
        <f t="shared" ref="S38:S41" si="257">Q38*R38/100</f>
        <v>3.0068181818181814</v>
      </c>
      <c r="T38" s="21">
        <f t="shared" ref="T38:T41" si="258">S38*V38</f>
        <v>150.34090909090907</v>
      </c>
      <c r="U38" s="22">
        <f t="shared" ref="U38:U41" si="259">Q38+S38</f>
        <v>5.8704545454545443</v>
      </c>
      <c r="V38" s="19">
        <f t="shared" ref="V38:V41" si="260">F38</f>
        <v>50</v>
      </c>
      <c r="W38" s="23">
        <f>U38*2</f>
        <v>11.740909090909089</v>
      </c>
      <c r="X38" s="24">
        <v>90</v>
      </c>
      <c r="Y38" s="25">
        <f t="shared" ref="Y38:Y41" si="261">V38*U38+W38+X38</f>
        <v>395.26363636363629</v>
      </c>
      <c r="Z38" s="49" t="s">
        <v>98</v>
      </c>
      <c r="AA38" s="24">
        <v>120</v>
      </c>
      <c r="AB38" s="26">
        <v>1</v>
      </c>
      <c r="AC38" s="26">
        <v>1</v>
      </c>
      <c r="AD38" s="26">
        <v>1</v>
      </c>
      <c r="AE38" s="27">
        <f t="shared" ref="AE38:AE41" si="262">AA38*AB38*AC38*AD38</f>
        <v>120</v>
      </c>
      <c r="AF38" s="28">
        <v>3.5</v>
      </c>
      <c r="AG38" s="27">
        <f>2%*(Y38+AE38+AF38)</f>
        <v>10.375272727272728</v>
      </c>
      <c r="AH38" s="30">
        <f t="shared" ref="AH38:AH41" si="263">Y38+AE38+AG38+AF38</f>
        <v>529.13890909090912</v>
      </c>
      <c r="AI38" s="31">
        <f t="shared" ref="AI38:AI40" si="264">AH38/V38</f>
        <v>10.582778181818183</v>
      </c>
      <c r="AJ38" s="32">
        <f t="shared" ref="AJ38:AJ41" si="265">AI38*18%</f>
        <v>1.9049000727272729</v>
      </c>
      <c r="AK38" s="33">
        <f t="shared" ref="AK38:AK41" si="266">AI38+AJ38</f>
        <v>12.487678254545456</v>
      </c>
      <c r="AL38"/>
      <c r="AM38" s="34"/>
      <c r="AN38" s="35">
        <f t="shared" ref="AN38:AN40" si="267">AK38*V38</f>
        <v>624.38391272727279</v>
      </c>
      <c r="AO38" s="36">
        <f t="shared" ref="AO38:AO40" si="268">(AK38-(AK38/1.18))*V38</f>
        <v>95.245003636363634</v>
      </c>
      <c r="AP38" s="36">
        <f t="shared" ref="AP38:AP40" si="269">(AK38-(AK38/1.02))*V38</f>
        <v>12.242821818181859</v>
      </c>
      <c r="AQ38" s="36">
        <f t="shared" ref="AQ38:AQ40" si="270">(AK38-(AK38/1.05))*V38</f>
        <v>29.732567272727284</v>
      </c>
      <c r="AR38" s="36">
        <f t="shared" ref="AR38:AR40" si="271">S38*V38</f>
        <v>150.34090909090907</v>
      </c>
      <c r="AS38" s="37">
        <f t="shared" ref="AS38:AS40" si="272">AR38-AQ38-AP38</f>
        <v>108.36551999999992</v>
      </c>
      <c r="AT38" s="38"/>
      <c r="AU38" s="39">
        <f>AR38*100/(AN38-AO38-AR38)</f>
        <v>39.68893951153624</v>
      </c>
      <c r="AV38" s="39">
        <f t="shared" ref="AV38:AV40" si="273">AS38*100/(AN38-AO38-AR38-AP38-AQ38)</f>
        <v>32.172875718622109</v>
      </c>
    </row>
    <row r="39" spans="1:69" s="1" customFormat="1" ht="200.1" customHeight="1" thickBot="1">
      <c r="B39" s="113">
        <v>2</v>
      </c>
      <c r="C39" s="206" t="s">
        <v>99</v>
      </c>
      <c r="D39" s="196" t="s">
        <v>100</v>
      </c>
      <c r="E39" s="198" t="s">
        <v>46</v>
      </c>
      <c r="F39" s="200">
        <v>50</v>
      </c>
      <c r="G39" s="202">
        <v>4.8899999999999997</v>
      </c>
      <c r="H39" s="204" t="s">
        <v>70</v>
      </c>
      <c r="I39" s="193" t="s">
        <v>101</v>
      </c>
      <c r="J39" s="114">
        <f t="shared" si="256"/>
        <v>244.49999999999997</v>
      </c>
      <c r="K39"/>
      <c r="L39"/>
      <c r="M39" s="46" t="s">
        <v>102</v>
      </c>
      <c r="N39" s="47" t="s">
        <v>103</v>
      </c>
      <c r="O39" s="48" t="s">
        <v>104</v>
      </c>
      <c r="P39" s="50"/>
      <c r="Q39" s="18">
        <f>42/100</f>
        <v>0.42</v>
      </c>
      <c r="R39" s="19">
        <v>485</v>
      </c>
      <c r="S39" s="20">
        <f t="shared" si="257"/>
        <v>2.0369999999999999</v>
      </c>
      <c r="T39" s="21">
        <f t="shared" si="258"/>
        <v>101.85</v>
      </c>
      <c r="U39" s="22">
        <f t="shared" si="259"/>
        <v>2.4569999999999999</v>
      </c>
      <c r="V39" s="19">
        <f t="shared" si="260"/>
        <v>50</v>
      </c>
      <c r="W39" s="23">
        <f>U39*5</f>
        <v>12.285</v>
      </c>
      <c r="X39" s="24">
        <v>60</v>
      </c>
      <c r="Y39" s="25">
        <f t="shared" si="261"/>
        <v>195.13499999999999</v>
      </c>
      <c r="Z39" s="49" t="s">
        <v>105</v>
      </c>
      <c r="AA39" s="24">
        <v>40</v>
      </c>
      <c r="AB39" s="26">
        <v>1</v>
      </c>
      <c r="AC39" s="26">
        <v>1</v>
      </c>
      <c r="AD39" s="26">
        <v>1</v>
      </c>
      <c r="AE39" s="27">
        <f t="shared" si="262"/>
        <v>40</v>
      </c>
      <c r="AF39" s="28">
        <v>3.5</v>
      </c>
      <c r="AG39" s="27">
        <f t="shared" ref="AG39:AG41" si="274">2%*(Y39+AE39+AF39)</f>
        <v>4.7726999999999995</v>
      </c>
      <c r="AH39" s="30">
        <f t="shared" si="263"/>
        <v>243.40769999999998</v>
      </c>
      <c r="AI39" s="31">
        <f t="shared" si="264"/>
        <v>4.8681539999999996</v>
      </c>
      <c r="AJ39" s="32">
        <f t="shared" si="265"/>
        <v>0.87626771999999986</v>
      </c>
      <c r="AK39" s="33">
        <f t="shared" si="266"/>
        <v>5.7444217199999992</v>
      </c>
      <c r="AL39"/>
      <c r="AM39" s="34"/>
      <c r="AN39" s="35">
        <f t="shared" si="267"/>
        <v>287.22108599999996</v>
      </c>
      <c r="AO39" s="36">
        <f t="shared" si="268"/>
        <v>43.81338599999998</v>
      </c>
      <c r="AP39" s="36">
        <f t="shared" si="269"/>
        <v>5.6317860000000053</v>
      </c>
      <c r="AQ39" s="36">
        <f t="shared" si="270"/>
        <v>13.677194571428597</v>
      </c>
      <c r="AR39" s="36">
        <f t="shared" si="271"/>
        <v>101.85</v>
      </c>
      <c r="AS39" s="37">
        <f t="shared" si="272"/>
        <v>82.541019428571389</v>
      </c>
      <c r="AT39" s="38"/>
      <c r="AU39" s="39">
        <f>AR39*100/(AN39-AO39-AR39)</f>
        <v>71.949459478361135</v>
      </c>
      <c r="AV39" s="39">
        <f t="shared" si="273"/>
        <v>67.518923563693619</v>
      </c>
    </row>
    <row r="40" spans="1:69" s="1" customFormat="1" ht="200.1" customHeight="1" thickBot="1">
      <c r="B40" s="111">
        <v>3</v>
      </c>
      <c r="C40" s="205" t="s">
        <v>106</v>
      </c>
      <c r="D40" s="119" t="s">
        <v>107</v>
      </c>
      <c r="E40" s="197" t="s">
        <v>46</v>
      </c>
      <c r="F40" s="199">
        <v>50</v>
      </c>
      <c r="G40" s="201">
        <v>7.99</v>
      </c>
      <c r="H40" s="203" t="s">
        <v>70</v>
      </c>
      <c r="I40" s="255" t="s">
        <v>108</v>
      </c>
      <c r="J40" s="112">
        <f t="shared" si="256"/>
        <v>399.5</v>
      </c>
      <c r="K40"/>
      <c r="L40"/>
      <c r="M40" s="68" t="s">
        <v>102</v>
      </c>
      <c r="N40" s="69" t="s">
        <v>109</v>
      </c>
      <c r="O40" s="70" t="s">
        <v>110</v>
      </c>
      <c r="P40" s="71"/>
      <c r="Q40" s="72">
        <f>250/100</f>
        <v>2.5</v>
      </c>
      <c r="R40" s="73">
        <v>85</v>
      </c>
      <c r="S40" s="74">
        <f t="shared" si="257"/>
        <v>2.125</v>
      </c>
      <c r="T40" s="75">
        <f t="shared" si="258"/>
        <v>106.25</v>
      </c>
      <c r="U40" s="76">
        <f t="shared" si="259"/>
        <v>4.625</v>
      </c>
      <c r="V40" s="73">
        <f t="shared" si="260"/>
        <v>50</v>
      </c>
      <c r="W40" s="77">
        <f>U40*5</f>
        <v>23.125</v>
      </c>
      <c r="X40" s="78">
        <v>60</v>
      </c>
      <c r="Y40" s="79">
        <f t="shared" si="261"/>
        <v>314.375</v>
      </c>
      <c r="Z40" s="80" t="s">
        <v>111</v>
      </c>
      <c r="AA40" s="78">
        <v>70</v>
      </c>
      <c r="AB40" s="81">
        <v>1</v>
      </c>
      <c r="AC40" s="81">
        <v>1</v>
      </c>
      <c r="AD40" s="81">
        <v>1</v>
      </c>
      <c r="AE40" s="82">
        <f t="shared" si="262"/>
        <v>70</v>
      </c>
      <c r="AF40" s="83">
        <v>3.5</v>
      </c>
      <c r="AG40" s="27">
        <f t="shared" si="274"/>
        <v>7.7575000000000003</v>
      </c>
      <c r="AH40" s="84">
        <f t="shared" si="263"/>
        <v>395.63249999999999</v>
      </c>
      <c r="AI40" s="85">
        <f t="shared" si="264"/>
        <v>7.9126500000000002</v>
      </c>
      <c r="AJ40" s="86">
        <f t="shared" si="265"/>
        <v>1.424277</v>
      </c>
      <c r="AK40" s="87">
        <f t="shared" si="266"/>
        <v>9.3369269999999993</v>
      </c>
      <c r="AL40"/>
      <c r="AM40" s="34"/>
      <c r="AN40" s="35">
        <f t="shared" si="267"/>
        <v>466.84634999999997</v>
      </c>
      <c r="AO40" s="36">
        <f t="shared" si="268"/>
        <v>71.213849999999951</v>
      </c>
      <c r="AP40" s="36">
        <f t="shared" si="269"/>
        <v>9.1538500000000411</v>
      </c>
      <c r="AQ40" s="36">
        <f t="shared" si="270"/>
        <v>22.230778571428544</v>
      </c>
      <c r="AR40" s="36">
        <f t="shared" si="271"/>
        <v>106.25</v>
      </c>
      <c r="AS40" s="37">
        <f t="shared" si="272"/>
        <v>74.865371428571422</v>
      </c>
      <c r="AT40" s="38"/>
      <c r="AU40" s="39">
        <f>AR40*100/(AN40-AO40-AR40)</f>
        <v>36.716111029519745</v>
      </c>
      <c r="AV40" s="39">
        <f t="shared" si="273"/>
        <v>29.017825230119559</v>
      </c>
    </row>
    <row r="41" spans="1:69" ht="186" customHeight="1" thickBot="1">
      <c r="A41" s="256"/>
      <c r="B41" s="107">
        <v>4</v>
      </c>
      <c r="C41" s="120" t="s">
        <v>112</v>
      </c>
      <c r="D41" s="120" t="s">
        <v>113</v>
      </c>
      <c r="E41" s="108" t="s">
        <v>46</v>
      </c>
      <c r="F41" s="109">
        <v>50</v>
      </c>
      <c r="G41" s="110">
        <v>9.99</v>
      </c>
      <c r="H41" s="257" t="s">
        <v>70</v>
      </c>
      <c r="I41" s="258" t="s">
        <v>114</v>
      </c>
      <c r="J41" s="117">
        <f t="shared" si="256"/>
        <v>499.5</v>
      </c>
      <c r="K41" s="64"/>
      <c r="L41" s="65"/>
      <c r="M41" s="88" t="s">
        <v>115</v>
      </c>
      <c r="N41" s="89" t="s">
        <v>116</v>
      </c>
      <c r="O41" s="90" t="s">
        <v>117</v>
      </c>
      <c r="P41" s="91"/>
      <c r="Q41" s="259">
        <v>4.0999999999999996</v>
      </c>
      <c r="R41" s="98">
        <v>74</v>
      </c>
      <c r="S41" s="260">
        <f t="shared" si="257"/>
        <v>3.0339999999999998</v>
      </c>
      <c r="T41" s="92">
        <f t="shared" si="258"/>
        <v>151.69999999999999</v>
      </c>
      <c r="U41" s="93">
        <f t="shared" si="259"/>
        <v>7.1339999999999995</v>
      </c>
      <c r="V41" s="98">
        <f t="shared" si="260"/>
        <v>50</v>
      </c>
      <c r="W41" s="261">
        <f>U41*2</f>
        <v>14.267999999999999</v>
      </c>
      <c r="X41" s="99">
        <v>60</v>
      </c>
      <c r="Y41" s="262">
        <f t="shared" si="261"/>
        <v>430.96799999999996</v>
      </c>
      <c r="Z41" s="97" t="s">
        <v>118</v>
      </c>
      <c r="AA41" s="96">
        <v>50</v>
      </c>
      <c r="AB41" s="263">
        <v>1</v>
      </c>
      <c r="AC41" s="263">
        <v>1</v>
      </c>
      <c r="AD41" s="263">
        <v>1</v>
      </c>
      <c r="AE41" s="264">
        <f t="shared" si="262"/>
        <v>50</v>
      </c>
      <c r="AF41" s="94">
        <v>7</v>
      </c>
      <c r="AG41" s="27">
        <f t="shared" si="274"/>
        <v>9.7593599999999991</v>
      </c>
      <c r="AH41" s="265">
        <f t="shared" si="263"/>
        <v>497.72735999999998</v>
      </c>
      <c r="AI41" s="95">
        <f>AH41/V41</f>
        <v>9.9545472000000004</v>
      </c>
      <c r="AJ41" s="266">
        <f t="shared" si="265"/>
        <v>1.7918184960000001</v>
      </c>
      <c r="AK41" s="267">
        <f t="shared" si="266"/>
        <v>11.746365696</v>
      </c>
      <c r="AL41" s="66"/>
      <c r="AM41" s="67"/>
      <c r="AN41" s="67"/>
      <c r="AO41" s="67"/>
      <c r="AP41" s="67"/>
      <c r="AQ41" s="67"/>
      <c r="AR41" s="67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67"/>
      <c r="BP41" s="67"/>
      <c r="BQ41" s="67"/>
    </row>
    <row r="42" spans="1:69" ht="24.75" customHeight="1" thickBot="1">
      <c r="B42" s="100"/>
    </row>
    <row r="43" spans="1:69" ht="29.45" customHeight="1">
      <c r="B43" s="232" t="s">
        <v>119</v>
      </c>
      <c r="C43" s="233"/>
      <c r="D43" s="233"/>
      <c r="E43" s="233"/>
      <c r="F43" s="233"/>
      <c r="G43" s="233"/>
      <c r="H43" s="233"/>
      <c r="I43" s="233"/>
      <c r="J43" s="234"/>
      <c r="K43" s="45" t="s">
        <v>120</v>
      </c>
      <c r="L43" s="1"/>
      <c r="M43" s="235" t="s">
        <v>2</v>
      </c>
      <c r="N43" s="235"/>
      <c r="O43" s="235"/>
      <c r="P43" s="235"/>
      <c r="Q43" s="235"/>
      <c r="R43" s="235"/>
      <c r="S43" s="235"/>
      <c r="T43" s="235"/>
      <c r="U43" s="235"/>
      <c r="V43" s="235"/>
      <c r="W43" s="235"/>
      <c r="X43" s="235"/>
      <c r="Y43" s="235"/>
      <c r="Z43" s="235"/>
      <c r="AA43" s="235"/>
      <c r="AB43" s="235"/>
      <c r="AC43" s="235"/>
      <c r="AD43" s="1"/>
      <c r="AE43" s="1"/>
      <c r="AF43" s="1"/>
      <c r="AG43" s="1"/>
      <c r="AH43" s="1"/>
      <c r="AI43" s="1"/>
      <c r="AJ43" s="1"/>
      <c r="AK43" s="1"/>
    </row>
    <row r="44" spans="1:69" ht="36" customHeight="1">
      <c r="B44" s="55" t="s">
        <v>3</v>
      </c>
      <c r="C44" s="40" t="s">
        <v>4</v>
      </c>
      <c r="D44" s="40" t="s">
        <v>5</v>
      </c>
      <c r="E44" s="40" t="s">
        <v>6</v>
      </c>
      <c r="F44" s="40" t="s">
        <v>7</v>
      </c>
      <c r="G44" s="41" t="s">
        <v>121</v>
      </c>
      <c r="H44" s="41" t="s">
        <v>9</v>
      </c>
      <c r="I44" s="42" t="s">
        <v>10</v>
      </c>
      <c r="J44" s="56"/>
      <c r="K44" s="2"/>
      <c r="L44" s="2"/>
      <c r="M44" s="3" t="s">
        <v>13</v>
      </c>
      <c r="N44" s="4" t="s">
        <v>14</v>
      </c>
      <c r="O44" s="4" t="s">
        <v>15</v>
      </c>
      <c r="P44" s="5" t="s">
        <v>16</v>
      </c>
      <c r="Q44" s="6" t="s">
        <v>17</v>
      </c>
      <c r="R44" s="7" t="s">
        <v>18</v>
      </c>
      <c r="S44" s="7" t="s">
        <v>19</v>
      </c>
      <c r="T44" s="7" t="s">
        <v>20</v>
      </c>
      <c r="U44" s="7" t="s">
        <v>21</v>
      </c>
      <c r="V44" s="7" t="s">
        <v>22</v>
      </c>
      <c r="W44" s="8" t="s">
        <v>23</v>
      </c>
      <c r="X44" s="3" t="s">
        <v>24</v>
      </c>
      <c r="Y44" s="5" t="s">
        <v>25</v>
      </c>
      <c r="Z44" s="44" t="s">
        <v>26</v>
      </c>
      <c r="AA44" s="9" t="s">
        <v>27</v>
      </c>
      <c r="AB44" s="9" t="s">
        <v>28</v>
      </c>
      <c r="AC44" s="9" t="s">
        <v>29</v>
      </c>
      <c r="AD44" s="9" t="s">
        <v>30</v>
      </c>
      <c r="AE44" s="10" t="s">
        <v>31</v>
      </c>
      <c r="AF44" s="11" t="s">
        <v>32</v>
      </c>
      <c r="AG44" s="11" t="s">
        <v>33</v>
      </c>
      <c r="AH44" s="12" t="s">
        <v>21</v>
      </c>
      <c r="AI44" s="13" t="s">
        <v>34</v>
      </c>
      <c r="AJ44" s="13" t="s">
        <v>35</v>
      </c>
      <c r="AK44" s="14" t="s">
        <v>36</v>
      </c>
      <c r="AN44" s="15" t="s">
        <v>37</v>
      </c>
      <c r="AO44" s="15" t="s">
        <v>38</v>
      </c>
      <c r="AP44" s="15" t="s">
        <v>39</v>
      </c>
      <c r="AQ44" s="15" t="s">
        <v>40</v>
      </c>
      <c r="AR44" s="15" t="s">
        <v>41</v>
      </c>
      <c r="AS44" s="15" t="s">
        <v>42</v>
      </c>
      <c r="AT44" s="16"/>
      <c r="AU44" s="17" t="s">
        <v>43</v>
      </c>
      <c r="AV44" s="17" t="s">
        <v>44</v>
      </c>
    </row>
    <row r="45" spans="1:69" s="1" customFormat="1" ht="276" customHeight="1">
      <c r="B45" s="57">
        <v>1</v>
      </c>
      <c r="C45" s="236" t="s">
        <v>122</v>
      </c>
      <c r="D45" s="237"/>
      <c r="E45" s="58" t="s">
        <v>46</v>
      </c>
      <c r="F45" s="59">
        <v>5</v>
      </c>
      <c r="G45" s="60">
        <v>199</v>
      </c>
      <c r="H45" s="61" t="s">
        <v>123</v>
      </c>
      <c r="I45" s="63" t="s">
        <v>124</v>
      </c>
      <c r="J45" s="62">
        <f t="shared" ref="J45" si="275">F45*G45</f>
        <v>995</v>
      </c>
      <c r="K45"/>
      <c r="L45"/>
      <c r="M45" s="46" t="s">
        <v>125</v>
      </c>
      <c r="N45" s="47"/>
      <c r="O45" s="48" t="s">
        <v>126</v>
      </c>
      <c r="P45" s="50"/>
      <c r="Q45" s="18">
        <v>110</v>
      </c>
      <c r="R45" s="19">
        <v>43</v>
      </c>
      <c r="S45" s="20">
        <f t="shared" ref="S45" si="276">Q45*R45/100</f>
        <v>47.3</v>
      </c>
      <c r="T45" s="21">
        <f t="shared" ref="T45" si="277">S45*V45</f>
        <v>236.5</v>
      </c>
      <c r="U45" s="22">
        <f t="shared" ref="U45" si="278">Q45+S45</f>
        <v>157.30000000000001</v>
      </c>
      <c r="V45" s="19">
        <f t="shared" ref="V45" si="279">F45</f>
        <v>5</v>
      </c>
      <c r="W45" s="23">
        <f>U45*0</f>
        <v>0</v>
      </c>
      <c r="X45" s="24">
        <v>150</v>
      </c>
      <c r="Y45" s="25">
        <f t="shared" ref="Y45" si="280">V45*U45+W45+X45</f>
        <v>936.5</v>
      </c>
      <c r="Z45" s="49" t="s">
        <v>127</v>
      </c>
      <c r="AA45" s="24">
        <v>0</v>
      </c>
      <c r="AB45" s="26">
        <v>1</v>
      </c>
      <c r="AC45" s="26">
        <v>1</v>
      </c>
      <c r="AD45" s="26">
        <v>1</v>
      </c>
      <c r="AE45" s="27">
        <f t="shared" ref="AE45" si="281">AA45*AB45*AC45*AD45</f>
        <v>0</v>
      </c>
      <c r="AF45" s="28">
        <f>3.5*3</f>
        <v>10.5</v>
      </c>
      <c r="AG45" s="29">
        <f>1.8%*(Y45+AE45+AF45)</f>
        <v>17.046000000000003</v>
      </c>
      <c r="AH45" s="30">
        <f t="shared" ref="AH45" si="282">Y45+AE45+AG45+AF45</f>
        <v>964.04600000000005</v>
      </c>
      <c r="AI45" s="31">
        <f t="shared" ref="AI45" si="283">AH45/V45</f>
        <v>192.8092</v>
      </c>
      <c r="AJ45" s="32">
        <f t="shared" ref="AJ45" si="284">AI45*18%</f>
        <v>34.705655999999998</v>
      </c>
      <c r="AK45" s="33">
        <f t="shared" ref="AK45" si="285">AI45+AJ45</f>
        <v>227.51485600000001</v>
      </c>
      <c r="AL45"/>
      <c r="AM45" s="34"/>
      <c r="AN45" s="35">
        <f t="shared" ref="AN45" si="286">AK45*V45</f>
        <v>1137.57428</v>
      </c>
      <c r="AO45" s="36">
        <f t="shared" ref="AO45" si="287">(AK45-(AK45/1.18))*V45</f>
        <v>173.52828000000002</v>
      </c>
      <c r="AP45" s="36">
        <f t="shared" ref="AP45" si="288">(AK45-(AK45/1.02))*V45</f>
        <v>22.30537803921564</v>
      </c>
      <c r="AQ45" s="36">
        <f t="shared" ref="AQ45" si="289">(AK45-(AK45/1.05))*V45</f>
        <v>54.170203809523798</v>
      </c>
      <c r="AR45" s="36">
        <f t="shared" ref="AR45" si="290">S45*V45</f>
        <v>236.5</v>
      </c>
      <c r="AS45" s="37">
        <f t="shared" ref="AS45" si="291">AR45-AQ45-AP45</f>
        <v>160.02441815126056</v>
      </c>
      <c r="AT45" s="38"/>
      <c r="AU45" s="39">
        <f>AR45*100/(AN45-AO45-AR45)</f>
        <v>32.506535669222288</v>
      </c>
      <c r="AV45" s="39">
        <f t="shared" ref="AV45" si="292">AS45*100/(AN45-AO45-AR45-AP45-AQ45)</f>
        <v>24.578665178131736</v>
      </c>
    </row>
    <row r="46" spans="1:69" s="53" customFormat="1" ht="22.5" customHeight="1">
      <c r="B46" s="231" t="s">
        <v>128</v>
      </c>
      <c r="C46" s="231"/>
      <c r="D46" s="231"/>
      <c r="E46" s="231"/>
      <c r="F46" s="231"/>
      <c r="G46" s="231"/>
      <c r="Z46" s="54"/>
    </row>
    <row r="47" spans="1:69" s="51" customFormat="1">
      <c r="Z47" s="52"/>
    </row>
    <row r="48" spans="1:69" s="51" customFormat="1">
      <c r="Z48" s="52"/>
    </row>
  </sheetData>
  <mergeCells count="33">
    <mergeCell ref="B2:J2"/>
    <mergeCell ref="M2:AC2"/>
    <mergeCell ref="B17:J17"/>
    <mergeCell ref="M17:AC17"/>
    <mergeCell ref="C19:D19"/>
    <mergeCell ref="C4:D4"/>
    <mergeCell ref="C5:D5"/>
    <mergeCell ref="C6:D6"/>
    <mergeCell ref="C7:D7"/>
    <mergeCell ref="C8:D8"/>
    <mergeCell ref="C9:D9"/>
    <mergeCell ref="C10:D10"/>
    <mergeCell ref="B46:G46"/>
    <mergeCell ref="B36:J36"/>
    <mergeCell ref="M36:AC36"/>
    <mergeCell ref="B30:J30"/>
    <mergeCell ref="M30:AC30"/>
    <mergeCell ref="B43:J43"/>
    <mergeCell ref="M43:AC43"/>
    <mergeCell ref="C45:D45"/>
    <mergeCell ref="C32:D32"/>
    <mergeCell ref="C33:D33"/>
    <mergeCell ref="C20:D20"/>
    <mergeCell ref="C21:D21"/>
    <mergeCell ref="J22:J24"/>
    <mergeCell ref="M22:M24"/>
    <mergeCell ref="O22:O24"/>
    <mergeCell ref="B22:B24"/>
    <mergeCell ref="E22:E24"/>
    <mergeCell ref="F22:F24"/>
    <mergeCell ref="G22:G24"/>
    <mergeCell ref="H22:H24"/>
    <mergeCell ref="C22:D24"/>
  </mergeCell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Javier Juarez</dc:creator>
  <cp:keywords/>
  <dc:description/>
  <cp:lastModifiedBy>Karina García Maguiña</cp:lastModifiedBy>
  <cp:revision/>
  <dcterms:created xsi:type="dcterms:W3CDTF">2026-05-11T18:05:50Z</dcterms:created>
  <dcterms:modified xsi:type="dcterms:W3CDTF">2026-06-04T22:18:12Z</dcterms:modified>
  <cp:category/>
  <cp:contentStatus/>
</cp:coreProperties>
</file>