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SUNARP/BD Cotizaciones/2026/"/>
    </mc:Choice>
  </mc:AlternateContent>
  <xr:revisionPtr revIDLastSave="81" documentId="13_ncr:1_{97B7CD0A-8E6A-4CEB-BB22-8232BC3D35D4}" xr6:coauthVersionLast="47" xr6:coauthVersionMax="47" xr10:uidLastSave="{CE4A87E9-BDFB-4E23-9996-BFB96822A290}"/>
  <bookViews>
    <workbookView xWindow="-120" yWindow="-120" windowWidth="29040" windowHeight="15840" activeTab="2" xr2:uid="{00000000-000D-0000-FFFF-FFFF00000000}"/>
  </bookViews>
  <sheets>
    <sheet name="FEBRERO" sheetId="11" r:id="rId1"/>
    <sheet name="NOVIEMBRE" sheetId="3" state="hidden" r:id="rId2"/>
    <sheet name="MAYO" sheetId="1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12" l="1"/>
  <c r="AE6" i="12"/>
  <c r="AE7" i="12"/>
  <c r="AE4" i="12"/>
  <c r="W7" i="12"/>
  <c r="Q7" i="12"/>
  <c r="Q6" i="12"/>
  <c r="W6" i="12"/>
  <c r="V6" i="12"/>
  <c r="S6" i="12"/>
  <c r="W5" i="12"/>
  <c r="V5" i="12"/>
  <c r="S5" i="12"/>
  <c r="W4" i="12"/>
  <c r="V4" i="12"/>
  <c r="S4" i="12"/>
  <c r="AE25" i="12"/>
  <c r="X25" i="12"/>
  <c r="V25" i="12"/>
  <c r="Q25" i="12"/>
  <c r="J25" i="12"/>
  <c r="AE24" i="12"/>
  <c r="X24" i="12"/>
  <c r="V24" i="12"/>
  <c r="Q24" i="12"/>
  <c r="J24" i="12"/>
  <c r="AF20" i="12"/>
  <c r="AE20" i="12"/>
  <c r="V20" i="12"/>
  <c r="Q20" i="12"/>
  <c r="J20" i="12"/>
  <c r="AF19" i="12"/>
  <c r="AE19" i="12"/>
  <c r="V19" i="12"/>
  <c r="Q19" i="12"/>
  <c r="J19" i="12"/>
  <c r="AE15" i="12"/>
  <c r="X15" i="12"/>
  <c r="V15" i="12"/>
  <c r="Q15" i="12"/>
  <c r="J15" i="12"/>
  <c r="AE11" i="12"/>
  <c r="X11" i="12"/>
  <c r="V11" i="12"/>
  <c r="Q11" i="12"/>
  <c r="J11" i="12"/>
  <c r="V7" i="12"/>
  <c r="X4" i="11"/>
  <c r="AE4" i="11"/>
  <c r="W4" i="11"/>
  <c r="V4" i="11"/>
  <c r="Q4" i="11"/>
  <c r="Q8" i="11"/>
  <c r="X8" i="11"/>
  <c r="U6" i="12" l="1"/>
  <c r="T6" i="12"/>
  <c r="Y6" i="12"/>
  <c r="U5" i="12"/>
  <c r="T5" i="12"/>
  <c r="Y5" i="12"/>
  <c r="U4" i="12"/>
  <c r="T4" i="12"/>
  <c r="Y4" i="12"/>
  <c r="S7" i="12"/>
  <c r="W11" i="12"/>
  <c r="S11" i="12"/>
  <c r="AF11" i="12"/>
  <c r="W15" i="12"/>
  <c r="S15" i="12"/>
  <c r="W19" i="12"/>
  <c r="S19" i="12"/>
  <c r="W20" i="12"/>
  <c r="S20" i="12"/>
  <c r="W24" i="12"/>
  <c r="S24" i="12"/>
  <c r="W25" i="12"/>
  <c r="S25" i="12"/>
  <c r="S4" i="11"/>
  <c r="T4" i="11" s="1"/>
  <c r="W8" i="11"/>
  <c r="AE8" i="11"/>
  <c r="V8" i="11"/>
  <c r="AF8" i="11" s="1"/>
  <c r="AG6" i="12" l="1"/>
  <c r="AH6" i="12" s="1"/>
  <c r="AI6" i="12" s="1"/>
  <c r="AG5" i="12"/>
  <c r="AH5" i="12" s="1"/>
  <c r="AI5" i="12" s="1"/>
  <c r="AG4" i="12"/>
  <c r="AH4" i="12" s="1"/>
  <c r="AI4" i="12" s="1"/>
  <c r="T25" i="12"/>
  <c r="U25" i="12"/>
  <c r="Y25" i="12" s="1"/>
  <c r="T24" i="12"/>
  <c r="U24" i="12"/>
  <c r="Y24" i="12" s="1"/>
  <c r="T20" i="12"/>
  <c r="U20" i="12"/>
  <c r="Y20" i="12" s="1"/>
  <c r="T19" i="12"/>
  <c r="U19" i="12"/>
  <c r="Y19" i="12" s="1"/>
  <c r="T15" i="12"/>
  <c r="U15" i="12"/>
  <c r="Y15" i="12" s="1"/>
  <c r="T11" i="12"/>
  <c r="U11" i="12"/>
  <c r="Y11" i="12" s="1"/>
  <c r="T7" i="12"/>
  <c r="U7" i="12"/>
  <c r="Y7" i="12" s="1"/>
  <c r="AG7" i="12" s="1"/>
  <c r="U4" i="11"/>
  <c r="Y4" i="11" s="1"/>
  <c r="S8" i="11"/>
  <c r="T8" i="11" s="1"/>
  <c r="AF17" i="11"/>
  <c r="AF16" i="11"/>
  <c r="AE12" i="11"/>
  <c r="X12" i="11"/>
  <c r="V12" i="11"/>
  <c r="Q12" i="11"/>
  <c r="W12" i="11" s="1"/>
  <c r="J12" i="11"/>
  <c r="AJ6" i="12" l="1"/>
  <c r="AK6" i="12" s="1"/>
  <c r="G6" i="12" s="1"/>
  <c r="J6" i="12" s="1"/>
  <c r="AJ5" i="12"/>
  <c r="AK5" i="12" s="1"/>
  <c r="G5" i="12" s="1"/>
  <c r="J5" i="12" s="1"/>
  <c r="AJ4" i="12"/>
  <c r="AK4" i="12" s="1"/>
  <c r="G4" i="12" s="1"/>
  <c r="J4" i="12" s="1"/>
  <c r="AH7" i="12"/>
  <c r="AI7" i="12" s="1"/>
  <c r="AG11" i="12"/>
  <c r="AH11" i="12" s="1"/>
  <c r="AI11" i="12" s="1"/>
  <c r="AG15" i="12"/>
  <c r="AH15" i="12" s="1"/>
  <c r="AI15" i="12" s="1"/>
  <c r="AG19" i="12"/>
  <c r="AH19" i="12" s="1"/>
  <c r="AI19" i="12" s="1"/>
  <c r="AG20" i="12"/>
  <c r="AH20" i="12" s="1"/>
  <c r="AI20" i="12" s="1"/>
  <c r="AG24" i="12"/>
  <c r="AH24" i="12" s="1"/>
  <c r="AI24" i="12" s="1"/>
  <c r="AG25" i="12"/>
  <c r="AH25" i="12" s="1"/>
  <c r="AI25" i="12" s="1"/>
  <c r="AG4" i="11"/>
  <c r="AH4" i="11" s="1"/>
  <c r="AI4" i="11" s="1"/>
  <c r="G4" i="11" s="1"/>
  <c r="J4" i="11" s="1"/>
  <c r="U8" i="11"/>
  <c r="Y8" i="11" s="1"/>
  <c r="AG8" i="11" s="1"/>
  <c r="S12" i="11"/>
  <c r="T12" i="11" s="1"/>
  <c r="AJ25" i="12" l="1"/>
  <c r="AK25" i="12" s="1"/>
  <c r="AJ24" i="12"/>
  <c r="AK24" i="12" s="1"/>
  <c r="AJ20" i="12"/>
  <c r="AK20" i="12" s="1"/>
  <c r="AJ19" i="12"/>
  <c r="AK19" i="12" s="1"/>
  <c r="AJ15" i="12"/>
  <c r="AK15" i="12" s="1"/>
  <c r="AJ11" i="12"/>
  <c r="AK11" i="12" s="1"/>
  <c r="AJ7" i="12"/>
  <c r="AK7" i="12" s="1"/>
  <c r="G7" i="12" s="1"/>
  <c r="J7" i="12"/>
  <c r="AJ4" i="11"/>
  <c r="AK4" i="11" s="1"/>
  <c r="AH8" i="11"/>
  <c r="AI8" i="11" s="1"/>
  <c r="U12" i="11"/>
  <c r="Y12" i="11" s="1"/>
  <c r="AG12" i="11" s="1"/>
  <c r="AJ8" i="11" l="1"/>
  <c r="AK8" i="11" s="1"/>
  <c r="J8" i="11" s="1"/>
  <c r="AH12" i="11"/>
  <c r="AI12" i="11" s="1"/>
  <c r="AJ12" i="11" l="1"/>
  <c r="AK12" i="11" s="1"/>
  <c r="Q17" i="11" l="1"/>
  <c r="W17" i="11" s="1"/>
  <c r="Q16" i="11"/>
  <c r="W16" i="11" s="1"/>
  <c r="AE17" i="11"/>
  <c r="V17" i="11"/>
  <c r="AE16" i="11"/>
  <c r="V16" i="11"/>
  <c r="Q21" i="11"/>
  <c r="W21" i="11" s="1"/>
  <c r="X22" i="11"/>
  <c r="X21" i="11"/>
  <c r="Q22" i="11"/>
  <c r="W22" i="11" s="1"/>
  <c r="S17" i="11" l="1"/>
  <c r="T17" i="11" s="1"/>
  <c r="S16" i="11"/>
  <c r="T16" i="11" s="1"/>
  <c r="AE22" i="11"/>
  <c r="V22" i="11"/>
  <c r="AE21" i="11"/>
  <c r="V21" i="11"/>
  <c r="U17" i="11" l="1"/>
  <c r="Y17" i="11" s="1"/>
  <c r="AG17" i="11" s="1"/>
  <c r="AH17" i="11" s="1"/>
  <c r="AI17" i="11" s="1"/>
  <c r="U16" i="11"/>
  <c r="Y16" i="11" s="1"/>
  <c r="S22" i="11"/>
  <c r="T22" i="11" s="1"/>
  <c r="S21" i="11"/>
  <c r="T21" i="11" s="1"/>
  <c r="AJ17" i="11" l="1"/>
  <c r="AK17" i="11" s="1"/>
  <c r="J17" i="11" s="1"/>
  <c r="AG16" i="11"/>
  <c r="AH16" i="11" s="1"/>
  <c r="AI16" i="11" s="1"/>
  <c r="U21" i="11"/>
  <c r="Y21" i="11" s="1"/>
  <c r="AG21" i="11" s="1"/>
  <c r="AH21" i="11" s="1"/>
  <c r="AI21" i="11" s="1"/>
  <c r="U22" i="11"/>
  <c r="Y22" i="11" s="1"/>
  <c r="AJ16" i="11" l="1"/>
  <c r="AK16" i="11" s="1"/>
  <c r="J16" i="11" s="1"/>
  <c r="AG22" i="11"/>
  <c r="AH22" i="11" s="1"/>
  <c r="AI22" i="11" s="1"/>
  <c r="AJ21" i="11"/>
  <c r="AK21" i="11" s="1"/>
  <c r="J21" i="11" s="1"/>
  <c r="AJ22" i="11" l="1"/>
  <c r="AK22" i="11" s="1"/>
  <c r="J2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3" authorId="0" shapeId="0" xr:uid="{E203A8DE-DD23-4F56-A03E-9F23E98C2F22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3" authorId="0" shapeId="0" xr:uid="{A047A89E-2F28-4D97-85B7-37C83301CE8A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7" authorId="0" shapeId="0" xr:uid="{F5200A41-7326-48FB-A537-8C14B38D7CA8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7" authorId="0" shapeId="0" xr:uid="{774CCD15-4144-4394-A601-2F46EE34750D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11" authorId="0" shapeId="0" xr:uid="{C2D95C9C-680F-4FF6-87A8-AFCC760E3083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11" authorId="0" shapeId="0" xr:uid="{BBE48CDE-8B81-49C6-A483-AD0BD5C99A67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15" authorId="0" shapeId="0" xr:uid="{525897FA-D521-4DEF-8A00-DC86B5D0460C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15" authorId="0" shapeId="0" xr:uid="{6CA8FDB5-D653-4EE9-8360-1241275AA6F6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20" authorId="0" shapeId="0" xr:uid="{BDB99DD8-F1AC-4DD7-8E73-8CAEB79B8F5E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20" authorId="0" shapeId="0" xr:uid="{9033E602-247A-4C51-80C1-A1CAC4039EB4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3" authorId="0" shapeId="0" xr:uid="{B0418049-B596-4E7E-973F-2626AC3E5293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3" authorId="0" shapeId="0" xr:uid="{21ECBB37-FA79-4D0F-8C9C-A26C7C6114BD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10" authorId="0" shapeId="0" xr:uid="{EFD4A70D-C9CD-45E5-BF60-02A59573B811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10" authorId="0" shapeId="0" xr:uid="{380CE8AD-740A-4253-9C42-ECD385877AEC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14" authorId="0" shapeId="0" xr:uid="{6DF699B3-4EA6-430D-9BD1-5313701D5CB5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14" authorId="0" shapeId="0" xr:uid="{3AA209A9-FE0E-4B3D-9D39-5BF32EC15D86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18" authorId="0" shapeId="0" xr:uid="{F9A93B23-76A5-40F4-83D0-7FAC9D1A377D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18" authorId="0" shapeId="0" xr:uid="{43C3772F-2406-4C89-802D-A67268F27BA1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23" authorId="0" shapeId="0" xr:uid="{CAB8E257-8957-4005-970E-5E7060744389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23" authorId="0" shapeId="0" xr:uid="{708BB3FC-E17B-4B94-BFB6-550EC364AD71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<sst xmlns="http://schemas.openxmlformats.org/spreadsheetml/2006/main" count="470" uniqueCount="72">
  <si>
    <t>COTIZACIÓN PROPUESTA_SUNARP_FOTOCHECKS INSTITUCIONALES_23.02.26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</si>
  <si>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</si>
  <si>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</si>
  <si>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</si>
  <si>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</si>
  <si>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</si>
  <si>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</si>
  <si>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>Costo Uni.
 INC. IGV(S/.)</t>
  </si>
  <si>
    <t>Tiempo Entrega</t>
  </si>
  <si>
    <t>Detalles</t>
  </si>
  <si>
    <t>proveedor</t>
  </si>
  <si>
    <t>Cod. Prod. Prov.</t>
  </si>
  <si>
    <t>Observaciones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</si>
  <si>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</si>
  <si>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</si>
  <si>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</si>
  <si>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</si>
  <si>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</si>
  <si>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</si>
  <si>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</si>
  <si>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</si>
  <si>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</si>
  <si>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</si>
  <si>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</si>
  <si>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</si>
  <si>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</si>
  <si>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</si>
  <si>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</si>
  <si>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</si>
  <si>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</si>
  <si>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</si>
  <si>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</si>
  <si>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</si>
  <si>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FOTOCHECKS INSTITUCIONALES</t>
  </si>
  <si>
    <t>Imagen referencial</t>
  </si>
  <si>
    <t>10 días calendarios</t>
  </si>
  <si>
    <r>
      <rPr>
        <b/>
        <u/>
        <sz val="16"/>
        <color rgb="FF000000"/>
        <rFont val="Arial"/>
        <family val="2"/>
      </rPr>
      <t xml:space="preserve">FOTOCHECKS INSTITUCIONALES
</t>
    </r>
    <r>
      <rPr>
        <sz val="16"/>
        <color rgb="FF000000"/>
        <rFont val="Arial"/>
        <family val="2"/>
      </rPr>
      <t xml:space="preserve">MATERIAL: PLÁSTICO PVC
PORTAFOTOCHECK ACRILICO TRANSPARENTE.
COLLAR PLANO 1.5 CM. COLOR NEGRO O GRIS SUNARP, CON IMPRESIÓN A UN COLOR, UN LADO, CON GANCHO METÁLICO.
Presentación: Grupal, bolsa no individual
</t>
    </r>
    <r>
      <rPr>
        <sz val="16"/>
        <color rgb="FFFF0000"/>
        <rFont val="Arial"/>
        <family val="2"/>
      </rPr>
      <t>*Diseño y arte debe ser facilitado por el cliente.</t>
    </r>
  </si>
  <si>
    <t>HOSH</t>
  </si>
  <si>
    <t>Incluye</t>
  </si>
  <si>
    <t>COTIZACIÓN PROPUESTA_SUNARP_NECESER_27.02.26</t>
  </si>
  <si>
    <t>NECESER</t>
  </si>
  <si>
    <r>
      <rPr>
        <b/>
        <u/>
        <sz val="16"/>
        <color rgb="FF000000"/>
        <rFont val="Arial"/>
        <family val="2"/>
      </rPr>
      <t xml:space="preserve">NECESER
</t>
    </r>
    <r>
      <rPr>
        <sz val="16"/>
        <color rgb="FF000000"/>
        <rFont val="Arial"/>
        <family val="2"/>
      </rPr>
      <t xml:space="preserve">• Material: Cationi
• Dimensiones:
✓ Altura: 14.00 cm. aproximadamente.
✓ Ancho: 24.50 cm. aproximadamente
✓ Profundidad: 7.00 cm. aproximadamente
• Con agarradera del mismo material.
• Color: Azul marino.
• Cierre: de velcro color azul marino.
• Medidas del logotipo estampado: Sunarp: 10.00 cm x 6 cm. 1 lado
aproximadamente.
Presentación: Grupal
</t>
    </r>
    <r>
      <rPr>
        <sz val="16"/>
        <color rgb="FFFF0000"/>
        <rFont val="Arial"/>
        <family val="2"/>
      </rPr>
      <t>*Diseño y arte debe ser facilitado por el cliente.</t>
    </r>
  </si>
  <si>
    <t>EDILBERTO</t>
  </si>
  <si>
    <t>8 INCL IGV</t>
  </si>
  <si>
    <t>10 dfias</t>
  </si>
  <si>
    <t>COTIZACIÓN PROPUESTA_SUNARP_VOLANTES Y AFICHES_23.02.26</t>
  </si>
  <si>
    <t>LIMA-JESUS MARIA-CREDITO</t>
  </si>
  <si>
    <t>VOLANTES</t>
  </si>
  <si>
    <t>5 a 7
días calendario</t>
  </si>
  <si>
    <r>
      <rPr>
        <b/>
        <u/>
        <sz val="16"/>
        <color rgb="FF000000"/>
        <rFont val="Arial"/>
        <family val="2"/>
      </rPr>
      <t>VOLANTES</t>
    </r>
    <r>
      <rPr>
        <sz val="16"/>
        <color rgb="FF000000"/>
        <rFont val="Arial"/>
        <family val="2"/>
      </rPr>
      <t xml:space="preserve">
Material: Papel bond de 80 gr.
Medida: 21 cm. de alto x 14 cm. de ancho
Impresión: Full color en tira y retira 
Incluye 1 solo diseño
Acabado: Cortado, empaquetado y etiquetado cada 500 volantes  
Presentación: Empaque en caja cartón grueso de doble pared de refuerzo
</t>
    </r>
    <r>
      <rPr>
        <sz val="16"/>
        <color rgb="FFFF0000"/>
        <rFont val="Arial"/>
        <family val="2"/>
      </rPr>
      <t>*Arte y diseño facilitado por el cliente.</t>
    </r>
  </si>
  <si>
    <r>
      <rPr>
        <b/>
        <sz val="12"/>
        <rFont val="Arial"/>
        <family val="2"/>
      </rPr>
      <t xml:space="preserve">IMPRESIONES GRAFICAS GENERALES
Fredy
Cel. 925 609 686
</t>
    </r>
    <r>
      <rPr>
        <sz val="12"/>
        <rFont val="Arial"/>
        <family val="2"/>
      </rPr>
      <t>/
IMPRENTA OCAMPO
Fernando
Cel. 972 979 860</t>
    </r>
  </si>
  <si>
    <t xml:space="preserve">FREDY
18500 und: S/. 1350 
Incluido IGV
Un solo diseño 
Tiempo 3 días calendario
Prueba de color S/. 10 
Si el diseño varia por millar seria +S/.60 
/
OCAMPO
18500 und: S/. 1100
+IGV
Tiempo 3 días 
Prueba de color S/. 10 
La prueba seria en laser y en laser el papel bond sale mas brilloso 
El precio se mantiene si el diseño varia cada 2 millares </t>
  </si>
  <si>
    <t>INCLUYE</t>
  </si>
  <si>
    <t xml:space="preserve">AFICHES </t>
  </si>
  <si>
    <r>
      <rPr>
        <b/>
        <u/>
        <sz val="16"/>
        <color rgb="FF000000"/>
        <rFont val="Arial"/>
        <family val="2"/>
      </rPr>
      <t>AFICHES</t>
    </r>
    <r>
      <rPr>
        <sz val="16"/>
        <color rgb="FF000000"/>
        <rFont val="Arial"/>
        <family val="2"/>
      </rPr>
      <t xml:space="preserve">
Material: Papel couché mate de 150 gr
Medida: 60 cm. de alto x 40 cm. de ancho
Impresión full color en tira
Acadado: Cortado y empaquetado 
Presentación: Empaque en caja cartón grueso de doble pared de refuerzo
</t>
    </r>
    <r>
      <rPr>
        <sz val="16"/>
        <color rgb="FFFF0000"/>
        <rFont val="Arial"/>
        <family val="2"/>
      </rPr>
      <t>*Arte y diseño facilitado por el cliente.</t>
    </r>
  </si>
  <si>
    <r>
      <rPr>
        <b/>
        <sz val="12"/>
        <rFont val="Arial"/>
        <family val="2"/>
      </rPr>
      <t xml:space="preserve">ACGRAF
Marco
Cel. 922 128 532
</t>
    </r>
    <r>
      <rPr>
        <sz val="12"/>
        <rFont val="Arial"/>
        <family val="2"/>
      </rPr>
      <t>/
IMPRESIONES GRAFICAS GENERALES
Fredy
Cel. 925 609 686
/
IMPRENTA OCAMPO
Fernando
Cel. 972 979 860</t>
    </r>
  </si>
  <si>
    <t>MARCO
135 und: S/. 300
+IGV
Tiempo 2 días
Prueba Oris A4 S/.50
/
FREDY
135 und: S/. 330
Incluye IGV
Tiempo 3 días 
Prueba de color S/. 10 en laser tamaño A3
/
OCAMPO
135 und: S/. 270
+IGV
Tiempo 3 días 
Prueba de color S/. 10 en laser tamaño A3</t>
  </si>
  <si>
    <t>COTIZACIÓN PROPUESTA_SUNARP_BLOCK, LAPICERO_19.02.26</t>
  </si>
  <si>
    <t>HUARAZ-CREDITO</t>
  </si>
  <si>
    <t>BLOCK</t>
  </si>
  <si>
    <r>
      <rPr>
        <b/>
        <u/>
        <sz val="16"/>
        <color rgb="FF000000"/>
        <rFont val="Arial"/>
        <family val="2"/>
      </rPr>
      <t xml:space="preserve">BLOCK
</t>
    </r>
    <r>
      <rPr>
        <sz val="16"/>
        <color rgb="FF000000"/>
        <rFont val="Arial"/>
        <family val="2"/>
      </rPr>
      <t xml:space="preserve">Tamaño cerrado: 21cm * 15cm
Tapa duplex contraplacado.
Full color CMYK en tapa y contratapa.
80 Páginas interiores papel bong de 75 g.
Impresión full color CMYK en tira.
Anillado doble ring.
Presentación: Grupal, bolsa no individual
</t>
    </r>
    <r>
      <rPr>
        <sz val="16"/>
        <color rgb="FFFF0000"/>
        <rFont val="Arial"/>
        <family val="2"/>
      </rPr>
      <t>*Diseño y arte debe ser facilitado por el cliente.</t>
    </r>
  </si>
  <si>
    <t>FREDDY</t>
  </si>
  <si>
    <t>6.3 incl  IGV</t>
  </si>
  <si>
    <t>7 dias</t>
  </si>
  <si>
    <t>LAPICERO</t>
  </si>
  <si>
    <r>
      <rPr>
        <b/>
        <u/>
        <sz val="16"/>
        <color rgb="FF000000"/>
        <rFont val="Arial"/>
        <family val="2"/>
      </rPr>
      <t xml:space="preserve">LAPICERO
</t>
    </r>
    <r>
      <rPr>
        <sz val="16"/>
        <color rgb="FF000000"/>
        <rFont val="Arial"/>
        <family val="2"/>
      </rPr>
      <t xml:space="preserve">Material: Plástico
Color: Cuerpo Blanco, Grip Color Verde Sunarp
Modelo: Con clip de metal, sistema retráctil, con acabados metálicos, con grip goma.
Impresión: Logo de Sunarp full color.
Tamaño logo: Aproximadamente lo que encaje en el ancho del lapicero
Ubicación impresión: parte superior del lapicero
Presentación: Grupal, bolsa no individual
</t>
    </r>
    <r>
      <rPr>
        <sz val="16"/>
        <color rgb="FFFF0000"/>
        <rFont val="Arial"/>
        <family val="2"/>
      </rPr>
      <t>*Diseño y arte debe ser facilitado por el cliente.</t>
    </r>
  </si>
  <si>
    <t>CHIPPER</t>
  </si>
  <si>
    <t>44 INCL IGV</t>
  </si>
  <si>
    <t>UV</t>
  </si>
  <si>
    <t>PORTA-DIPLOMAS</t>
  </si>
  <si>
    <t>BOLSA DE PLASTICO</t>
  </si>
  <si>
    <t>MANTEL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</si>
</sst>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S/.&quot;\ #,##0.00"/>
    <numFmt numFmtId="165" formatCode="[$S/.-280A]\ #,##0.00"/>
    <numFmt numFmtId="166" formatCode="_-[$$-409]* #,##0.00_ ;_-[$$-409]* \-#,##0.00\ ;_-[$$-409]* \-??_ ;_-@_ "/>
    <numFmt numFmtId="167" formatCode="_-[$$-409]* #,##0.00_ ;_-[$$-409]* \-#,##0.00\ ;_-[$$-409]* &quot;-&quot;??_ ;_-@_ "/>
    <numFmt numFmtId="168" formatCode="_(* #,##0_);_(* \(#,##0\);_(* &quot;-&quot;??_);_(@_)"/>
    <numFmt numFmtId="169" formatCode="&quot;€&quot;\ #,##0.00"/>
  </numFmts>
  <fonts count="2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color rgb="FFFF0000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b/>
      <u/>
      <sz val="16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sz val="16"/>
      <color indexed="8"/>
      <name val="Arial"/>
      <family val="2"/>
    </font>
    <font>
      <sz val="16"/>
      <color indexed="10"/>
      <name val="Arial"/>
      <family val="2"/>
    </font>
    <font>
      <sz val="11"/>
      <color indexed="8"/>
      <name val="Calibri"/>
      <family val="2"/>
    </font>
    <font>
      <b/>
      <sz val="16"/>
      <color indexed="10"/>
      <name val="Arial"/>
      <family val="2"/>
    </font>
    <font>
      <b/>
      <sz val="16"/>
      <color theme="1"/>
      <name val="Arial"/>
      <family val="2"/>
    </font>
    <font>
      <b/>
      <sz val="16"/>
      <color indexed="8"/>
      <name val="Arial"/>
      <family val="2"/>
    </font>
    <font>
      <b/>
      <sz val="9"/>
      <color indexed="81"/>
      <name val="Tahoma"/>
      <family val="2"/>
    </font>
    <font>
      <b/>
      <sz val="16"/>
      <color rgb="FF000000"/>
      <name val="Arial"/>
      <family val="2"/>
    </font>
    <font>
      <b/>
      <sz val="16"/>
      <color indexed="9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CC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" fillId="0" borderId="0"/>
    <xf numFmtId="0" fontId="2" fillId="0" borderId="0"/>
    <xf numFmtId="0" fontId="8" fillId="0" borderId="0"/>
    <xf numFmtId="0" fontId="8" fillId="0" borderId="0"/>
    <xf numFmtId="0" fontId="8" fillId="0" borderId="0"/>
    <xf numFmtId="166" fontId="15" fillId="0" borderId="0" applyFill="0" applyBorder="0" applyAlignment="0" applyProtection="0"/>
    <xf numFmtId="0" fontId="8" fillId="0" borderId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2" fillId="0" borderId="0"/>
  </cellStyleXfs>
  <cellXfs count="72">
    <xf numFmtId="0" fontId="0" fillId="0" borderId="0" xfId="0"/>
    <xf numFmtId="0" fontId="1" fillId="0" borderId="0" xfId="1"/>
    <xf numFmtId="0" fontId="9" fillId="0" borderId="0" xfId="1" applyFont="1" applyAlignment="1">
      <alignment horizontal="center" vertical="center"/>
    </xf>
    <xf numFmtId="0" fontId="5" fillId="0" borderId="0" xfId="2" applyFont="1"/>
    <xf numFmtId="0" fontId="10" fillId="0" borderId="0" xfId="0" applyFont="1"/>
    <xf numFmtId="0" fontId="10" fillId="2" borderId="0" xfId="0" applyFont="1" applyFill="1"/>
    <xf numFmtId="0" fontId="18" fillId="11" borderId="8" xfId="2" applyFont="1" applyFill="1" applyBorder="1" applyAlignment="1">
      <alignment horizontal="center" vertical="center" wrapText="1"/>
    </xf>
    <xf numFmtId="0" fontId="18" fillId="11" borderId="7" xfId="2" applyFont="1" applyFill="1" applyBorder="1" applyAlignment="1">
      <alignment horizontal="center" vertical="center" wrapText="1"/>
    </xf>
    <xf numFmtId="0" fontId="20" fillId="12" borderId="7" xfId="1" applyFont="1" applyFill="1" applyBorder="1" applyAlignment="1">
      <alignment horizontal="center" vertical="center" wrapText="1"/>
    </xf>
    <xf numFmtId="0" fontId="18" fillId="11" borderId="7" xfId="7" applyFont="1" applyFill="1" applyBorder="1" applyAlignment="1">
      <alignment horizontal="center" vertical="center" wrapText="1"/>
    </xf>
    <xf numFmtId="0" fontId="18" fillId="11" borderId="14" xfId="7" applyFont="1" applyFill="1" applyBorder="1" applyAlignment="1">
      <alignment horizontal="center" vertical="center" wrapText="1"/>
    </xf>
    <xf numFmtId="0" fontId="21" fillId="5" borderId="10" xfId="2" applyFont="1" applyFill="1" applyBorder="1" applyAlignment="1">
      <alignment horizontal="center" vertical="center" wrapText="1"/>
    </xf>
    <xf numFmtId="0" fontId="21" fillId="5" borderId="11" xfId="2" applyFont="1" applyFill="1" applyBorder="1" applyAlignment="1">
      <alignment horizontal="center" vertical="center" wrapText="1"/>
    </xf>
    <xf numFmtId="0" fontId="3" fillId="6" borderId="10" xfId="2" applyFont="1" applyFill="1" applyBorder="1" applyAlignment="1">
      <alignment horizontal="center" vertical="center" wrapText="1"/>
    </xf>
    <xf numFmtId="0" fontId="3" fillId="6" borderId="11" xfId="2" applyFont="1" applyFill="1" applyBorder="1" applyAlignment="1">
      <alignment horizontal="center" vertical="center" wrapText="1"/>
    </xf>
    <xf numFmtId="0" fontId="3" fillId="6" borderId="12" xfId="2" applyFont="1" applyFill="1" applyBorder="1" applyAlignment="1">
      <alignment horizontal="center" vertical="center" wrapText="1"/>
    </xf>
    <xf numFmtId="0" fontId="21" fillId="5" borderId="12" xfId="2" applyFont="1" applyFill="1" applyBorder="1" applyAlignment="1">
      <alignment horizontal="center" vertical="center" wrapText="1"/>
    </xf>
    <xf numFmtId="0" fontId="3" fillId="7" borderId="10" xfId="2" applyFont="1" applyFill="1" applyBorder="1" applyAlignment="1">
      <alignment horizontal="center" vertical="center" wrapText="1"/>
    </xf>
    <xf numFmtId="0" fontId="3" fillId="7" borderId="11" xfId="2" applyFont="1" applyFill="1" applyBorder="1" applyAlignment="1">
      <alignment horizontal="center" vertical="center" wrapText="1"/>
    </xf>
    <xf numFmtId="0" fontId="3" fillId="7" borderId="12" xfId="2" applyFont="1" applyFill="1" applyBorder="1" applyAlignment="1">
      <alignment horizontal="center" vertical="center" wrapText="1"/>
    </xf>
    <xf numFmtId="0" fontId="21" fillId="8" borderId="10" xfId="2" applyFont="1" applyFill="1" applyBorder="1" applyAlignment="1">
      <alignment horizontal="center" vertical="center" wrapText="1"/>
    </xf>
    <xf numFmtId="0" fontId="21" fillId="8" borderId="11" xfId="2" applyFont="1" applyFill="1" applyBorder="1" applyAlignment="1">
      <alignment horizontal="center" vertical="center" wrapText="1"/>
    </xf>
    <xf numFmtId="9" fontId="21" fillId="8" borderId="12" xfId="2" applyNumberFormat="1" applyFont="1" applyFill="1" applyBorder="1" applyAlignment="1">
      <alignment horizontal="center" vertical="center"/>
    </xf>
    <xf numFmtId="0" fontId="5" fillId="2" borderId="0" xfId="11" applyFont="1" applyFill="1"/>
    <xf numFmtId="164" fontId="17" fillId="2" borderId="0" xfId="2" applyNumberFormat="1" applyFont="1" applyFill="1" applyAlignment="1">
      <alignment horizontal="center" vertical="center" wrapText="1"/>
    </xf>
    <xf numFmtId="169" fontId="5" fillId="0" borderId="0" xfId="11" applyNumberFormat="1" applyFont="1" applyAlignment="1">
      <alignment horizontal="center" vertical="center"/>
    </xf>
    <xf numFmtId="49" fontId="5" fillId="4" borderId="1" xfId="2" applyNumberFormat="1" applyFont="1" applyFill="1" applyBorder="1" applyAlignment="1">
      <alignment horizontal="center" vertical="center" wrapText="1"/>
    </xf>
    <xf numFmtId="49" fontId="5" fillId="4" borderId="5" xfId="2" applyNumberFormat="1" applyFont="1" applyFill="1" applyBorder="1" applyAlignment="1">
      <alignment horizontal="center" vertical="center" wrapText="1"/>
    </xf>
    <xf numFmtId="49" fontId="5" fillId="4" borderId="6" xfId="2" applyNumberFormat="1" applyFont="1" applyFill="1" applyBorder="1" applyAlignment="1">
      <alignment vertical="center" wrapText="1"/>
    </xf>
    <xf numFmtId="165" fontId="13" fillId="0" borderId="1" xfId="2" applyNumberFormat="1" applyFont="1" applyBorder="1" applyAlignment="1">
      <alignment horizontal="center" vertical="center"/>
    </xf>
    <xf numFmtId="0" fontId="3" fillId="9" borderId="1" xfId="2" applyFont="1" applyFill="1" applyBorder="1" applyAlignment="1">
      <alignment horizontal="center" vertical="center"/>
    </xf>
    <xf numFmtId="165" fontId="13" fillId="6" borderId="1" xfId="2" applyNumberFormat="1" applyFont="1" applyFill="1" applyBorder="1" applyAlignment="1">
      <alignment horizontal="center" vertical="center"/>
    </xf>
    <xf numFmtId="164" fontId="11" fillId="6" borderId="1" xfId="2" applyNumberFormat="1" applyFont="1" applyFill="1" applyBorder="1" applyAlignment="1">
      <alignment horizontal="center" vertical="center"/>
    </xf>
    <xf numFmtId="164" fontId="12" fillId="6" borderId="1" xfId="2" applyNumberFormat="1" applyFont="1" applyFill="1" applyBorder="1" applyAlignment="1">
      <alignment horizontal="center" vertical="center"/>
    </xf>
    <xf numFmtId="164" fontId="13" fillId="6" borderId="1" xfId="2" applyNumberFormat="1" applyFont="1" applyFill="1" applyBorder="1" applyAlignment="1">
      <alignment horizontal="center" vertical="center"/>
    </xf>
    <xf numFmtId="164" fontId="13" fillId="0" borderId="1" xfId="2" applyNumberFormat="1" applyFont="1" applyBorder="1" applyAlignment="1">
      <alignment horizontal="center" vertical="center"/>
    </xf>
    <xf numFmtId="164" fontId="16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 wrapText="1"/>
    </xf>
    <xf numFmtId="164" fontId="13" fillId="10" borderId="1" xfId="2" applyNumberFormat="1" applyFont="1" applyFill="1" applyBorder="1" applyAlignment="1">
      <alignment horizontal="center" vertical="center"/>
    </xf>
    <xf numFmtId="0" fontId="13" fillId="9" borderId="1" xfId="2" applyFont="1" applyFill="1" applyBorder="1" applyAlignment="1">
      <alignment horizontal="center" vertical="center"/>
    </xf>
    <xf numFmtId="164" fontId="14" fillId="4" borderId="1" xfId="2" applyNumberFormat="1" applyFont="1" applyFill="1" applyBorder="1" applyAlignment="1">
      <alignment horizontal="center" vertical="center"/>
    </xf>
    <xf numFmtId="164" fontId="13" fillId="9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21" fillId="8" borderId="1" xfId="2" applyNumberFormat="1" applyFont="1" applyFill="1" applyBorder="1" applyAlignment="1">
      <alignment horizontal="center" vertical="center"/>
    </xf>
    <xf numFmtId="165" fontId="13" fillId="4" borderId="1" xfId="3" applyNumberFormat="1" applyFont="1" applyFill="1" applyBorder="1" applyAlignment="1">
      <alignment horizontal="center" vertical="center"/>
    </xf>
    <xf numFmtId="165" fontId="16" fillId="4" borderId="13" xfId="2" applyNumberFormat="1" applyFont="1" applyFill="1" applyBorder="1" applyAlignment="1">
      <alignment horizontal="center" vertical="center"/>
    </xf>
    <xf numFmtId="0" fontId="5" fillId="0" borderId="0" xfId="11" applyFont="1"/>
    <xf numFmtId="0" fontId="3" fillId="0" borderId="16" xfId="2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3" fillId="0" borderId="17" xfId="2" applyFont="1" applyBorder="1" applyAlignment="1">
      <alignment horizontal="center" vertical="center" wrapText="1"/>
    </xf>
    <xf numFmtId="164" fontId="3" fillId="2" borderId="17" xfId="2" applyNumberFormat="1" applyFont="1" applyFill="1" applyBorder="1" applyAlignment="1">
      <alignment horizontal="center" vertical="center" wrapText="1"/>
    </xf>
    <xf numFmtId="0" fontId="13" fillId="4" borderId="17" xfId="2" applyFont="1" applyFill="1" applyBorder="1" applyAlignment="1">
      <alignment horizontal="center" vertical="center" wrapText="1"/>
    </xf>
    <xf numFmtId="0" fontId="6" fillId="0" borderId="17" xfId="3" applyFont="1" applyBorder="1" applyAlignment="1">
      <alignment horizontal="left" vertical="center" wrapText="1"/>
    </xf>
    <xf numFmtId="164" fontId="17" fillId="2" borderId="18" xfId="2" applyNumberFormat="1" applyFont="1" applyFill="1" applyBorder="1" applyAlignment="1">
      <alignment horizontal="center" vertical="center" wrapText="1"/>
    </xf>
    <xf numFmtId="0" fontId="3" fillId="0" borderId="19" xfId="2" applyFont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3" fillId="0" borderId="20" xfId="2" applyFont="1" applyBorder="1" applyAlignment="1">
      <alignment horizontal="center" vertical="center" wrapText="1"/>
    </xf>
    <xf numFmtId="164" fontId="3" fillId="2" borderId="20" xfId="2" applyNumberFormat="1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6" fillId="0" borderId="20" xfId="3" applyFont="1" applyBorder="1" applyAlignment="1">
      <alignment horizontal="left" vertical="center" wrapText="1"/>
    </xf>
    <xf numFmtId="164" fontId="17" fillId="2" borderId="21" xfId="2" applyNumberFormat="1" applyFont="1" applyFill="1" applyBorder="1" applyAlignment="1">
      <alignment horizontal="center" vertical="center" wrapText="1"/>
    </xf>
    <xf numFmtId="49" fontId="23" fillId="4" borderId="1" xfId="2" applyNumberFormat="1" applyFont="1" applyFill="1" applyBorder="1" applyAlignment="1">
      <alignment horizontal="center" vertical="center" wrapText="1"/>
    </xf>
    <xf numFmtId="0" fontId="18" fillId="3" borderId="2" xfId="2" applyFont="1" applyFill="1" applyBorder="1" applyAlignment="1">
      <alignment horizontal="center" vertical="center" wrapText="1"/>
    </xf>
    <xf numFmtId="0" fontId="18" fillId="3" borderId="3" xfId="2" applyFont="1" applyFill="1" applyBorder="1" applyAlignment="1">
      <alignment horizontal="center" vertical="center" wrapText="1"/>
    </xf>
    <xf numFmtId="0" fontId="18" fillId="3" borderId="4" xfId="2" applyFont="1" applyFill="1" applyBorder="1" applyAlignment="1">
      <alignment horizontal="center" vertical="center" wrapText="1"/>
    </xf>
    <xf numFmtId="0" fontId="3" fillId="0" borderId="9" xfId="2" applyFont="1" applyBorder="1" applyAlignment="1">
      <alignment horizontal="left" vertical="center" wrapText="1"/>
    </xf>
    <xf numFmtId="0" fontId="18" fillId="0" borderId="14" xfId="7" applyFont="1" applyBorder="1" applyAlignment="1">
      <alignment horizontal="center" vertical="center" wrapText="1"/>
    </xf>
    <xf numFmtId="0" fontId="18" fillId="0" borderId="15" xfId="7" applyFont="1" applyBorder="1" applyAlignment="1">
      <alignment horizontal="center" vertical="center" wrapText="1"/>
    </xf>
    <xf numFmtId="168" fontId="3" fillId="2" borderId="17" xfId="9" applyNumberFormat="1" applyFont="1" applyFill="1" applyBorder="1" applyAlignment="1">
      <alignment horizontal="center" vertical="center" wrapText="1"/>
    </xf>
    <xf numFmtId="168" fontId="3" fillId="2" borderId="20" xfId="9" applyNumberFormat="1" applyFont="1" applyFill="1" applyBorder="1" applyAlignment="1">
      <alignment horizontal="center" vertical="center" wrapText="1"/>
    </xf>
    <xf numFmtId="49" fontId="23" fillId="4" borderId="5" xfId="2" applyNumberFormat="1" applyFont="1" applyFill="1" applyBorder="1" applyAlignment="1">
      <alignment horizontal="center" vertical="center" wrapText="1"/>
    </xf>
    <xf numFmtId="49" fontId="23" fillId="4" borderId="6" xfId="2" applyNumberFormat="1" applyFont="1" applyFill="1" applyBorder="1" applyAlignment="1">
      <alignment horizontal="center" vertical="center" wrapText="1"/>
    </xf>
  </cellXfs>
  <cellStyles count="12">
    <cellStyle name="Millares 2 2 3 2 2" xfId="8" xr:uid="{00000000-0005-0000-0000-000000000000}"/>
    <cellStyle name="Millares 2 2 3 2 2 2 2 2 2 2" xfId="6" xr:uid="{00000000-0005-0000-0000-000001000000}"/>
    <cellStyle name="Millares 2 2 3 2 2 2 2 2 2 2 2" xfId="9" xr:uid="{00000000-0005-0000-0000-000002000000}"/>
    <cellStyle name="Millares 2 2 3 4 2 2 2 2 2" xfId="10" xr:uid="{91C73E50-86F1-4201-8CFF-6C13E9B7F2BD}"/>
    <cellStyle name="Normal" xfId="0" builtinId="0"/>
    <cellStyle name="Normal 10 2" xfId="11" xr:uid="{549F3008-2591-40FD-80F4-2B8F7ECAEBC2}"/>
    <cellStyle name="Normal 2" xfId="1" xr:uid="{00000000-0005-0000-0000-000004000000}"/>
    <cellStyle name="Normal 2 2" xfId="2" xr:uid="{00000000-0005-0000-0000-000005000000}"/>
    <cellStyle name="Normal 2 3 2 2" xfId="4" xr:uid="{00000000-0005-0000-0000-000006000000}"/>
    <cellStyle name="Normal 3" xfId="3" xr:uid="{00000000-0005-0000-0000-000007000000}"/>
    <cellStyle name="Normal 3 3 2" xfId="5" xr:uid="{00000000-0005-0000-0000-000008000000}"/>
    <cellStyle name="Normal 3 4 2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21</xdr:row>
      <xdr:rowOff>247651</xdr:rowOff>
    </xdr:from>
    <xdr:to>
      <xdr:col>4</xdr:col>
      <xdr:colOff>2241365</xdr:colOff>
      <xdr:row>21</xdr:row>
      <xdr:rowOff>2781301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D85BE8-7DFE-4C0F-8603-C659276D0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4095751"/>
          <a:ext cx="2146115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114299</xdr:colOff>
      <xdr:row>20</xdr:row>
      <xdr:rowOff>438151</xdr:rowOff>
    </xdr:from>
    <xdr:to>
      <xdr:col>4</xdr:col>
      <xdr:colOff>2286000</xdr:colOff>
      <xdr:row>20</xdr:row>
      <xdr:rowOff>1575074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FEA5DB-7AEA-457F-A783-BC04B3F99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099" y="1866901"/>
          <a:ext cx="2171701" cy="1136923"/>
        </a:xfrm>
        <a:prstGeom prst="rect">
          <a:avLst/>
        </a:prstGeom>
      </xdr:spPr>
    </xdr:pic>
    <xdr:clientData/>
  </xdr:twoCellAnchor>
  <xdr:twoCellAnchor editAs="oneCell">
    <xdr:from>
      <xdr:col>4</xdr:col>
      <xdr:colOff>265338</xdr:colOff>
      <xdr:row>15</xdr:row>
      <xdr:rowOff>569854</xdr:rowOff>
    </xdr:from>
    <xdr:to>
      <xdr:col>4</xdr:col>
      <xdr:colOff>2551339</xdr:colOff>
      <xdr:row>15</xdr:row>
      <xdr:rowOff>2211163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CBAB398-02D7-F892-3BCB-134D298B85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5" t="14825" r="6645" b="9538"/>
        <a:stretch>
          <a:fillRect/>
        </a:stretch>
      </xdr:blipFill>
      <xdr:spPr bwMode="auto">
        <a:xfrm>
          <a:off x="2837088" y="2030354"/>
          <a:ext cx="2286001" cy="164130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714376</xdr:colOff>
      <xdr:row>16</xdr:row>
      <xdr:rowOff>206375</xdr:rowOff>
    </xdr:from>
    <xdr:to>
      <xdr:col>4</xdr:col>
      <xdr:colOff>2268500</xdr:colOff>
      <xdr:row>16</xdr:row>
      <xdr:rowOff>2356475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932B62F-355A-BAD8-FE93-1EA046ECD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6126" y="4365625"/>
          <a:ext cx="1554124" cy="2150100"/>
        </a:xfrm>
        <a:prstGeom prst="rect">
          <a:avLst/>
        </a:prstGeom>
      </xdr:spPr>
    </xdr:pic>
    <xdr:clientData/>
  </xdr:twoCellAnchor>
  <xdr:twoCellAnchor editAs="oneCell">
    <xdr:from>
      <xdr:col>4</xdr:col>
      <xdr:colOff>1162051</xdr:colOff>
      <xdr:row>11</xdr:row>
      <xdr:rowOff>712886</xdr:rowOff>
    </xdr:from>
    <xdr:to>
      <xdr:col>4</xdr:col>
      <xdr:colOff>2247901</xdr:colOff>
      <xdr:row>11</xdr:row>
      <xdr:rowOff>2143126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7DEA815-9B35-42ED-BEF1-9AD25C84EF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9623" b="39908"/>
        <a:stretch/>
      </xdr:blipFill>
      <xdr:spPr>
        <a:xfrm>
          <a:off x="3733801" y="1903511"/>
          <a:ext cx="1085850" cy="143024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95251</xdr:colOff>
      <xdr:row>11</xdr:row>
      <xdr:rowOff>76201</xdr:rowOff>
    </xdr:from>
    <xdr:to>
      <xdr:col>4</xdr:col>
      <xdr:colOff>1117842</xdr:colOff>
      <xdr:row>11</xdr:row>
      <xdr:rowOff>2000251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521BE15-7584-4486-B9AC-88666C80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7001" y="1266826"/>
          <a:ext cx="1022591" cy="19240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7</xdr:row>
      <xdr:rowOff>1301751</xdr:rowOff>
    </xdr:from>
    <xdr:to>
      <xdr:col>4</xdr:col>
      <xdr:colOff>2746375</xdr:colOff>
      <xdr:row>7</xdr:row>
      <xdr:rowOff>3227657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390F7E1-264F-4CC7-989C-C36C05AB9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2250" y="2762251"/>
          <a:ext cx="2555875" cy="1925906"/>
        </a:xfrm>
        <a:prstGeom prst="rect">
          <a:avLst/>
        </a:prstGeom>
      </xdr:spPr>
    </xdr:pic>
    <xdr:clientData/>
  </xdr:twoCellAnchor>
  <xdr:oneCellAnchor>
    <xdr:from>
      <xdr:col>4</xdr:col>
      <xdr:colOff>1162051</xdr:colOff>
      <xdr:row>3</xdr:row>
      <xdr:rowOff>712886</xdr:rowOff>
    </xdr:from>
    <xdr:ext cx="1085850" cy="1430240"/>
    <xdr:pic>
      <xdr:nvPicPr>
        <xdr:cNvPr id="9" name="Imagen 8">
          <a:extLst>
            <a:ext uri="{FF2B5EF4-FFF2-40B4-BE49-F238E27FC236}">
              <a16:creationId xmlns:a16="http://schemas.microsoft.com/office/drawing/2014/main" id="{974808BD-3016-4ADE-B22A-2BAD86D3FA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9623" b="39908"/>
        <a:stretch/>
      </xdr:blipFill>
      <xdr:spPr>
        <a:xfrm>
          <a:off x="3733801" y="8999636"/>
          <a:ext cx="1085850" cy="1430240"/>
        </a:xfrm>
        <a:prstGeom prst="rect">
          <a:avLst/>
        </a:prstGeom>
      </xdr:spPr>
    </xdr:pic>
    <xdr:clientData/>
  </xdr:oneCellAnchor>
  <xdr:oneCellAnchor>
    <xdr:from>
      <xdr:col>4</xdr:col>
      <xdr:colOff>95251</xdr:colOff>
      <xdr:row>3</xdr:row>
      <xdr:rowOff>76201</xdr:rowOff>
    </xdr:from>
    <xdr:ext cx="1022591" cy="1924050"/>
    <xdr:pic>
      <xdr:nvPicPr>
        <xdr:cNvPr id="10" name="Imagen 9">
          <a:extLst>
            <a:ext uri="{FF2B5EF4-FFF2-40B4-BE49-F238E27FC236}">
              <a16:creationId xmlns:a16="http://schemas.microsoft.com/office/drawing/2014/main" id="{A8B65CD3-FDB4-4E63-808C-9A373DD0F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7001" y="8362951"/>
          <a:ext cx="1022591" cy="1924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24</xdr:row>
      <xdr:rowOff>247651</xdr:rowOff>
    </xdr:from>
    <xdr:to>
      <xdr:col>4</xdr:col>
      <xdr:colOff>2241365</xdr:colOff>
      <xdr:row>24</xdr:row>
      <xdr:rowOff>2781301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8646A6-E529-4373-84E7-779C521A1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25403176"/>
          <a:ext cx="2146115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114299</xdr:colOff>
      <xdr:row>23</xdr:row>
      <xdr:rowOff>438151</xdr:rowOff>
    </xdr:from>
    <xdr:to>
      <xdr:col>4</xdr:col>
      <xdr:colOff>2286000</xdr:colOff>
      <xdr:row>23</xdr:row>
      <xdr:rowOff>1575074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10C984-0076-4F92-9969-490D3E2D1136}"/>
            </a:ext>
            <a:ext uri="{147F2762-F138-4A5C-976F-8EAC2B608ADB}">
              <a16:predDERef xmlns:a16="http://schemas.microsoft.com/office/drawing/2014/main" pred="{8D8646A6-E529-4373-84E7-779C521A1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49" y="22898101"/>
          <a:ext cx="2171701" cy="1136923"/>
        </a:xfrm>
        <a:prstGeom prst="rect">
          <a:avLst/>
        </a:prstGeom>
      </xdr:spPr>
    </xdr:pic>
    <xdr:clientData/>
  </xdr:twoCellAnchor>
  <xdr:twoCellAnchor editAs="oneCell">
    <xdr:from>
      <xdr:col>4</xdr:col>
      <xdr:colOff>265338</xdr:colOff>
      <xdr:row>18</xdr:row>
      <xdr:rowOff>569854</xdr:rowOff>
    </xdr:from>
    <xdr:to>
      <xdr:col>4</xdr:col>
      <xdr:colOff>2551339</xdr:colOff>
      <xdr:row>18</xdr:row>
      <xdr:rowOff>2211163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69A813F3-DCC6-4223-94EF-9CB8B88D0C02}"/>
            </a:ext>
            <a:ext uri="{147F2762-F138-4A5C-976F-8EAC2B608ADB}">
              <a16:predDERef xmlns:a16="http://schemas.microsoft.com/office/drawing/2014/main" pred="{AD10C984-0076-4F92-9969-490D3E2D1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5" t="14825" r="6645" b="9538"/>
        <a:stretch>
          <a:fillRect/>
        </a:stretch>
      </xdr:blipFill>
      <xdr:spPr bwMode="auto">
        <a:xfrm>
          <a:off x="2837088" y="16171804"/>
          <a:ext cx="2286001" cy="164130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714376</xdr:colOff>
      <xdr:row>19</xdr:row>
      <xdr:rowOff>206375</xdr:rowOff>
    </xdr:from>
    <xdr:to>
      <xdr:col>4</xdr:col>
      <xdr:colOff>2268500</xdr:colOff>
      <xdr:row>19</xdr:row>
      <xdr:rowOff>2356475</xdr:rowOff>
    </xdr:to>
    <xdr:pic>
      <xdr:nvPicPr>
        <xdr:cNvPr id="5" name="Imagen 7">
          <a:extLst>
            <a:ext uri="{FF2B5EF4-FFF2-40B4-BE49-F238E27FC236}">
              <a16:creationId xmlns:a16="http://schemas.microsoft.com/office/drawing/2014/main" id="{C2622324-0A1B-4AE7-96B4-DBA9D512F79B}"/>
            </a:ext>
            <a:ext uri="{147F2762-F138-4A5C-976F-8EAC2B608ADB}">
              <a16:predDERef xmlns:a16="http://schemas.microsoft.com/office/drawing/2014/main" pred="{69A813F3-DCC6-4223-94EF-9CB8B88D0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6126" y="18503900"/>
          <a:ext cx="1554124" cy="2150100"/>
        </a:xfrm>
        <a:prstGeom prst="rect">
          <a:avLst/>
        </a:prstGeom>
      </xdr:spPr>
    </xdr:pic>
    <xdr:clientData/>
  </xdr:twoCellAnchor>
  <xdr:twoCellAnchor editAs="oneCell">
    <xdr:from>
      <xdr:col>4</xdr:col>
      <xdr:colOff>1162051</xdr:colOff>
      <xdr:row>14</xdr:row>
      <xdr:rowOff>712886</xdr:rowOff>
    </xdr:from>
    <xdr:to>
      <xdr:col>4</xdr:col>
      <xdr:colOff>2247901</xdr:colOff>
      <xdr:row>14</xdr:row>
      <xdr:rowOff>2143126</xdr:rowOff>
    </xdr:to>
    <xdr:pic>
      <xdr:nvPicPr>
        <xdr:cNvPr id="6" name="Imagen 10">
          <a:extLst>
            <a:ext uri="{FF2B5EF4-FFF2-40B4-BE49-F238E27FC236}">
              <a16:creationId xmlns:a16="http://schemas.microsoft.com/office/drawing/2014/main" id="{F486B610-8D89-434A-882C-CB812D3BDD76}"/>
            </a:ext>
            <a:ext uri="{147F2762-F138-4A5C-976F-8EAC2B608ADB}">
              <a16:predDERef xmlns:a16="http://schemas.microsoft.com/office/drawing/2014/main" pred="{C2622324-0A1B-4AE7-96B4-DBA9D512F7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9623" b="39908"/>
        <a:stretch/>
      </xdr:blipFill>
      <xdr:spPr>
        <a:xfrm>
          <a:off x="3733801" y="12152411"/>
          <a:ext cx="1085850" cy="143024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95251</xdr:colOff>
      <xdr:row>14</xdr:row>
      <xdr:rowOff>76201</xdr:rowOff>
    </xdr:from>
    <xdr:to>
      <xdr:col>4</xdr:col>
      <xdr:colOff>1117842</xdr:colOff>
      <xdr:row>14</xdr:row>
      <xdr:rowOff>2000251</xdr:rowOff>
    </xdr:to>
    <xdr:pic>
      <xdr:nvPicPr>
        <xdr:cNvPr id="7" name="Imagen 11">
          <a:extLst>
            <a:ext uri="{FF2B5EF4-FFF2-40B4-BE49-F238E27FC236}">
              <a16:creationId xmlns:a16="http://schemas.microsoft.com/office/drawing/2014/main" id="{FB6AE835-6B68-497C-97BC-02C5269A1FDE}"/>
            </a:ext>
            <a:ext uri="{147F2762-F138-4A5C-976F-8EAC2B608ADB}">
              <a16:predDERef xmlns:a16="http://schemas.microsoft.com/office/drawing/2014/main" pred="{F486B610-8D89-434A-882C-CB812D3BD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7001" y="11515726"/>
          <a:ext cx="1022591" cy="19240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10</xdr:row>
      <xdr:rowOff>1301751</xdr:rowOff>
    </xdr:from>
    <xdr:to>
      <xdr:col>4</xdr:col>
      <xdr:colOff>2746375</xdr:colOff>
      <xdr:row>10</xdr:row>
      <xdr:rowOff>3227657</xdr:rowOff>
    </xdr:to>
    <xdr:pic>
      <xdr:nvPicPr>
        <xdr:cNvPr id="8" name="Imagen 3">
          <a:extLst>
            <a:ext uri="{FF2B5EF4-FFF2-40B4-BE49-F238E27FC236}">
              <a16:creationId xmlns:a16="http://schemas.microsoft.com/office/drawing/2014/main" id="{C471FF30-E39D-40B3-AAC6-16B9F490B14D}"/>
            </a:ext>
            <a:ext uri="{147F2762-F138-4A5C-976F-8EAC2B608ADB}">
              <a16:predDERef xmlns:a16="http://schemas.microsoft.com/office/drawing/2014/main" pred="{FB6AE835-6B68-497C-97BC-02C5269A1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2250" y="6931026"/>
          <a:ext cx="2555875" cy="1925906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3</xdr:row>
      <xdr:rowOff>723900</xdr:rowOff>
    </xdr:from>
    <xdr:to>
      <xdr:col>4</xdr:col>
      <xdr:colOff>2381250</xdr:colOff>
      <xdr:row>3</xdr:row>
      <xdr:rowOff>1685925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5306D37-E45C-FB0C-FDF0-CB9052D5ED19}"/>
            </a:ext>
            <a:ext uri="{147F2762-F138-4A5C-976F-8EAC2B608ADB}">
              <a16:predDERef xmlns:a16="http://schemas.microsoft.com/office/drawing/2014/main" pred="{C471FF30-E39D-40B3-AAC6-16B9F490B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47975" y="2181225"/>
          <a:ext cx="2105025" cy="962025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4</xdr:row>
      <xdr:rowOff>361950</xdr:rowOff>
    </xdr:from>
    <xdr:to>
      <xdr:col>4</xdr:col>
      <xdr:colOff>2695575</xdr:colOff>
      <xdr:row>4</xdr:row>
      <xdr:rowOff>2276475</xdr:rowOff>
    </xdr:to>
    <xdr:pic>
      <xdr:nvPicPr>
        <xdr:cNvPr id="13" name="Imagen 11">
          <a:extLst>
            <a:ext uri="{FF2B5EF4-FFF2-40B4-BE49-F238E27FC236}">
              <a16:creationId xmlns:a16="http://schemas.microsoft.com/office/drawing/2014/main" id="{8206BB92-1E61-4B6B-B246-18090389828B}"/>
            </a:ext>
            <a:ext uri="{147F2762-F138-4A5C-976F-8EAC2B608ADB}">
              <a16:predDERef xmlns:a16="http://schemas.microsoft.com/office/drawing/2014/main" pred="{911FD7E6-F179-0F38-C063-454087D94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71775" y="7210425"/>
          <a:ext cx="2495550" cy="1914525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5</xdr:row>
      <xdr:rowOff>447675</xdr:rowOff>
    </xdr:from>
    <xdr:to>
      <xdr:col>4</xdr:col>
      <xdr:colOff>2695575</xdr:colOff>
      <xdr:row>5</xdr:row>
      <xdr:rowOff>2038350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9B4A8D4-6C10-EE65-A002-6881DC44B4C8}"/>
            </a:ext>
            <a:ext uri="{147F2762-F138-4A5C-976F-8EAC2B608ADB}">
              <a16:predDERef xmlns:a16="http://schemas.microsoft.com/office/drawing/2014/main" pred="{8206BB92-1E61-4B6B-B246-180903898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52725" y="7296150"/>
          <a:ext cx="2514600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2FB-5AA9-4FBB-BCB4-B86E9559B718}">
  <dimension ref="A1:IL22"/>
  <sheetViews>
    <sheetView zoomScale="60" zoomScaleNormal="60" workbookViewId="0">
      <selection activeCell="H4" sqref="H4"/>
    </sheetView>
  </sheetViews>
  <sheetFormatPr defaultColWidth="11.42578125" defaultRowHeight="20.25"/>
  <cols>
    <col min="1" max="1" width="2.85546875" style="4" customWidth="1"/>
    <col min="2" max="2" width="3.140625" style="4" customWidth="1"/>
    <col min="3" max="3" width="13.85546875" style="4" customWidth="1"/>
    <col min="4" max="4" width="18.7109375" style="4" customWidth="1"/>
    <col min="5" max="5" width="43.7109375" style="4" customWidth="1"/>
    <col min="6" max="6" width="11.5703125" style="4" bestFit="1" customWidth="1"/>
    <col min="7" max="7" width="19" style="4" customWidth="1"/>
    <col min="8" max="8" width="23.28515625" style="4" customWidth="1"/>
    <col min="9" max="9" width="73.7109375" style="4" customWidth="1"/>
    <col min="10" max="10" width="26" style="4" customWidth="1"/>
    <col min="11" max="11" width="22.28515625" style="4" customWidth="1"/>
    <col min="12" max="12" width="0.42578125" style="4" customWidth="1"/>
    <col min="13" max="13" width="36.28515625" style="4" customWidth="1"/>
    <col min="14" max="14" width="13.7109375" style="4" customWidth="1"/>
    <col min="15" max="15" width="55.7109375" style="4" customWidth="1"/>
    <col min="16" max="16" width="14.85546875" style="4" customWidth="1"/>
    <col min="17" max="17" width="14.140625" style="4" bestFit="1" customWidth="1"/>
    <col min="18" max="18" width="16.42578125" style="4" customWidth="1"/>
    <col min="19" max="19" width="15.85546875" style="4" customWidth="1"/>
    <col min="20" max="20" width="23" style="4" customWidth="1"/>
    <col min="21" max="22" width="17.140625" style="4" customWidth="1"/>
    <col min="23" max="23" width="23" style="4" customWidth="1"/>
    <col min="24" max="24" width="26.7109375" style="4" customWidth="1"/>
    <col min="25" max="25" width="22.140625" style="4" customWidth="1"/>
    <col min="26" max="26" width="31.42578125" style="4" customWidth="1"/>
    <col min="27" max="27" width="16.42578125" style="4" customWidth="1"/>
    <col min="28" max="30" width="11.5703125" style="4" bestFit="1" customWidth="1"/>
    <col min="31" max="31" width="18.28515625" style="4" customWidth="1"/>
    <col min="32" max="32" width="18" style="4" customWidth="1"/>
    <col min="33" max="33" width="17.7109375" style="4" customWidth="1"/>
    <col min="34" max="34" width="21" style="4" customWidth="1"/>
    <col min="35" max="35" width="19.7109375" style="4" customWidth="1"/>
    <col min="36" max="36" width="12.42578125" style="4" bestFit="1" customWidth="1"/>
    <col min="37" max="37" width="19.85546875" style="4" customWidth="1"/>
    <col min="38" max="16384" width="11.42578125" style="4"/>
  </cols>
  <sheetData>
    <row r="1" spans="1:246" ht="21" thickBot="1"/>
    <row r="2" spans="1:246" ht="20.25" customHeight="1" thickBot="1">
      <c r="A2" s="5"/>
      <c r="B2" s="62" t="s">
        <v>0</v>
      </c>
      <c r="C2" s="63"/>
      <c r="D2" s="63"/>
      <c r="E2" s="63"/>
      <c r="F2" s="63"/>
      <c r="G2" s="63"/>
      <c r="H2" s="63"/>
      <c r="I2" s="63"/>
      <c r="J2" s="64"/>
      <c r="K2" s="3"/>
      <c r="L2" s="65" t="s">
        <v>1</v>
      </c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3"/>
      <c r="AC2" s="3"/>
      <c r="AD2" s="3"/>
      <c r="AE2" s="3"/>
      <c r="AF2" s="3"/>
      <c r="AG2" s="3"/>
      <c r="AH2" s="3"/>
      <c r="AI2" s="3"/>
    </row>
    <row r="3" spans="1:246" ht="74.25" customHeight="1" thickBot="1">
      <c r="A3" s="5"/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9" t="s">
        <v>8</v>
      </c>
      <c r="I3" s="10" t="s">
        <v>9</v>
      </c>
      <c r="J3" s="8" t="s">
        <v>7</v>
      </c>
      <c r="K3" s="66"/>
      <c r="L3" s="67"/>
      <c r="M3" s="11" t="s">
        <v>10</v>
      </c>
      <c r="N3" s="12" t="s">
        <v>11</v>
      </c>
      <c r="O3" s="12" t="s">
        <v>12</v>
      </c>
      <c r="P3" s="12"/>
      <c r="Q3" s="13" t="s">
        <v>13</v>
      </c>
      <c r="R3" s="14" t="s">
        <v>14</v>
      </c>
      <c r="S3" s="14" t="s">
        <v>15</v>
      </c>
      <c r="T3" s="14" t="s">
        <v>16</v>
      </c>
      <c r="U3" s="14" t="s">
        <v>17</v>
      </c>
      <c r="V3" s="14" t="s">
        <v>18</v>
      </c>
      <c r="W3" s="15" t="s">
        <v>19</v>
      </c>
      <c r="X3" s="11" t="s">
        <v>20</v>
      </c>
      <c r="Y3" s="16" t="s">
        <v>21</v>
      </c>
      <c r="Z3" s="17" t="s">
        <v>22</v>
      </c>
      <c r="AA3" s="18" t="s">
        <v>23</v>
      </c>
      <c r="AB3" s="18" t="s">
        <v>24</v>
      </c>
      <c r="AC3" s="18" t="s">
        <v>25</v>
      </c>
      <c r="AD3" s="18" t="s">
        <v>26</v>
      </c>
      <c r="AE3" s="19" t="s">
        <v>27</v>
      </c>
      <c r="AF3" s="11" t="s">
        <v>28</v>
      </c>
      <c r="AG3" s="11" t="s">
        <v>29</v>
      </c>
      <c r="AH3" s="20" t="s">
        <v>17</v>
      </c>
      <c r="AI3" s="21" t="s">
        <v>30</v>
      </c>
      <c r="AJ3" s="21" t="s">
        <v>31</v>
      </c>
      <c r="AK3" s="22" t="s">
        <v>32</v>
      </c>
    </row>
    <row r="4" spans="1:246" ht="212.25" customHeight="1">
      <c r="A4" s="23"/>
      <c r="B4" s="47">
        <v>1</v>
      </c>
      <c r="C4" s="68" t="s">
        <v>33</v>
      </c>
      <c r="D4" s="68"/>
      <c r="E4" s="48" t="s">
        <v>34</v>
      </c>
      <c r="F4" s="49">
        <v>12</v>
      </c>
      <c r="G4" s="50">
        <f>AI4</f>
        <v>36.050000000000004</v>
      </c>
      <c r="H4" s="51" t="s">
        <v>35</v>
      </c>
      <c r="I4" s="52" t="s">
        <v>36</v>
      </c>
      <c r="J4" s="53">
        <f>F4*G4</f>
        <v>432.6</v>
      </c>
      <c r="K4" s="24"/>
      <c r="L4" s="25"/>
      <c r="M4" s="26" t="s">
        <v>37</v>
      </c>
      <c r="N4" s="27"/>
      <c r="O4" s="26"/>
      <c r="P4" s="28"/>
      <c r="Q4" s="29">
        <f>3+1.5+2.5</f>
        <v>7</v>
      </c>
      <c r="R4" s="30">
        <v>150</v>
      </c>
      <c r="S4" s="31">
        <f t="shared" ref="S4" si="0">Q4*R4/100</f>
        <v>10.5</v>
      </c>
      <c r="T4" s="32">
        <f t="shared" ref="T4" si="1">S4*V4</f>
        <v>126</v>
      </c>
      <c r="U4" s="33">
        <f t="shared" ref="U4" si="2">Q4+S4</f>
        <v>17.5</v>
      </c>
      <c r="V4" s="30">
        <f>F4</f>
        <v>12</v>
      </c>
      <c r="W4" s="34">
        <f>Q4*1</f>
        <v>7</v>
      </c>
      <c r="X4" s="35">
        <f>40+90</f>
        <v>130</v>
      </c>
      <c r="Y4" s="36">
        <f t="shared" ref="Y4" si="3">V4*U4+W4+X4</f>
        <v>347</v>
      </c>
      <c r="Z4" s="37" t="s">
        <v>38</v>
      </c>
      <c r="AA4" s="38">
        <v>50</v>
      </c>
      <c r="AB4" s="39">
        <v>1</v>
      </c>
      <c r="AC4" s="39">
        <v>1</v>
      </c>
      <c r="AD4" s="39">
        <v>1</v>
      </c>
      <c r="AE4" s="40">
        <f t="shared" ref="AE4" si="4">AA4</f>
        <v>50</v>
      </c>
      <c r="AF4" s="41">
        <v>15</v>
      </c>
      <c r="AG4" s="42">
        <f>5%*(Y4+AE4+AF4)</f>
        <v>20.6</v>
      </c>
      <c r="AH4" s="35">
        <f t="shared" ref="AH4" si="5">Y4+AE4+AF4+AG4</f>
        <v>432.6</v>
      </c>
      <c r="AI4" s="43">
        <f t="shared" ref="AI4" si="6">AH4/V4</f>
        <v>36.050000000000004</v>
      </c>
      <c r="AJ4" s="44">
        <f t="shared" ref="AJ4" si="7">AI4*18%</f>
        <v>6.4890000000000008</v>
      </c>
      <c r="AK4" s="45">
        <f t="shared" ref="AK4" si="8">AI4+AJ4</f>
        <v>42.539000000000001</v>
      </c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</row>
    <row r="5" spans="1:246" ht="21" thickBot="1"/>
    <row r="6" spans="1:246" ht="20.25" customHeight="1" thickBot="1">
      <c r="A6" s="5"/>
      <c r="B6" s="62" t="s">
        <v>39</v>
      </c>
      <c r="C6" s="63"/>
      <c r="D6" s="63"/>
      <c r="E6" s="63"/>
      <c r="F6" s="63"/>
      <c r="G6" s="63"/>
      <c r="H6" s="63"/>
      <c r="I6" s="63"/>
      <c r="J6" s="64"/>
      <c r="K6" s="3"/>
      <c r="L6" s="65" t="s">
        <v>1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3"/>
      <c r="AC6" s="3"/>
      <c r="AD6" s="3"/>
      <c r="AE6" s="3"/>
      <c r="AF6" s="3"/>
      <c r="AG6" s="3"/>
      <c r="AH6" s="3"/>
      <c r="AI6" s="3"/>
    </row>
    <row r="7" spans="1:246" ht="74.25" customHeight="1" thickBot="1">
      <c r="A7" s="5"/>
      <c r="B7" s="6" t="s">
        <v>2</v>
      </c>
      <c r="C7" s="7" t="s">
        <v>3</v>
      </c>
      <c r="D7" s="7" t="s">
        <v>4</v>
      </c>
      <c r="E7" s="7" t="s">
        <v>5</v>
      </c>
      <c r="F7" s="7" t="s">
        <v>6</v>
      </c>
      <c r="G7" s="8" t="s">
        <v>7</v>
      </c>
      <c r="H7" s="9" t="s">
        <v>8</v>
      </c>
      <c r="I7" s="10" t="s">
        <v>9</v>
      </c>
      <c r="J7" s="8" t="s">
        <v>7</v>
      </c>
      <c r="K7" s="66"/>
      <c r="L7" s="67"/>
      <c r="M7" s="11" t="s">
        <v>10</v>
      </c>
      <c r="N7" s="12" t="s">
        <v>11</v>
      </c>
      <c r="O7" s="12" t="s">
        <v>12</v>
      </c>
      <c r="P7" s="12"/>
      <c r="Q7" s="13" t="s">
        <v>13</v>
      </c>
      <c r="R7" s="14" t="s">
        <v>14</v>
      </c>
      <c r="S7" s="14" t="s">
        <v>15</v>
      </c>
      <c r="T7" s="14" t="s">
        <v>16</v>
      </c>
      <c r="U7" s="14" t="s">
        <v>17</v>
      </c>
      <c r="V7" s="14" t="s">
        <v>18</v>
      </c>
      <c r="W7" s="15" t="s">
        <v>19</v>
      </c>
      <c r="X7" s="11" t="s">
        <v>20</v>
      </c>
      <c r="Y7" s="16" t="s">
        <v>21</v>
      </c>
      <c r="Z7" s="17" t="s">
        <v>22</v>
      </c>
      <c r="AA7" s="18" t="s">
        <v>23</v>
      </c>
      <c r="AB7" s="18" t="s">
        <v>24</v>
      </c>
      <c r="AC7" s="18" t="s">
        <v>25</v>
      </c>
      <c r="AD7" s="18" t="s">
        <v>26</v>
      </c>
      <c r="AE7" s="19" t="s">
        <v>27</v>
      </c>
      <c r="AF7" s="11" t="s">
        <v>28</v>
      </c>
      <c r="AG7" s="11" t="s">
        <v>29</v>
      </c>
      <c r="AH7" s="20" t="s">
        <v>17</v>
      </c>
      <c r="AI7" s="21" t="s">
        <v>30</v>
      </c>
      <c r="AJ7" s="21" t="s">
        <v>31</v>
      </c>
      <c r="AK7" s="22" t="s">
        <v>32</v>
      </c>
    </row>
    <row r="8" spans="1:246" ht="342" customHeight="1">
      <c r="A8" s="23"/>
      <c r="B8" s="47">
        <v>1</v>
      </c>
      <c r="C8" s="68" t="s">
        <v>40</v>
      </c>
      <c r="D8" s="68"/>
      <c r="E8" s="48" t="s">
        <v>34</v>
      </c>
      <c r="F8" s="49">
        <v>400</v>
      </c>
      <c r="G8" s="50">
        <v>14.1</v>
      </c>
      <c r="H8" s="51" t="s">
        <v>35</v>
      </c>
      <c r="I8" s="52" t="s">
        <v>41</v>
      </c>
      <c r="J8" s="53">
        <f>F8*G8</f>
        <v>5640</v>
      </c>
      <c r="K8" s="24"/>
      <c r="L8" s="25"/>
      <c r="M8" s="26" t="s">
        <v>42</v>
      </c>
      <c r="N8" s="27"/>
      <c r="O8" s="26" t="s">
        <v>43</v>
      </c>
      <c r="P8" s="28" t="s">
        <v>44</v>
      </c>
      <c r="Q8" s="29">
        <f>8.5/1.15</f>
        <v>7.3913043478260878</v>
      </c>
      <c r="R8" s="30">
        <v>43</v>
      </c>
      <c r="S8" s="31">
        <f t="shared" ref="S8" si="9">Q8*R8/100</f>
        <v>3.1782608695652175</v>
      </c>
      <c r="T8" s="32">
        <f t="shared" ref="T8" si="10">S8*V8</f>
        <v>1271.304347826087</v>
      </c>
      <c r="U8" s="33">
        <f t="shared" ref="U8" si="11">Q8+S8</f>
        <v>10.569565217391306</v>
      </c>
      <c r="V8" s="30">
        <f>F8</f>
        <v>400</v>
      </c>
      <c r="W8" s="34">
        <f>Q8*5</f>
        <v>36.956521739130437</v>
      </c>
      <c r="X8" s="35">
        <f>250+70</f>
        <v>320</v>
      </c>
      <c r="Y8" s="36">
        <f t="shared" ref="Y8" si="12">V8*U8+W8+X8</f>
        <v>4584.782608695652</v>
      </c>
      <c r="Z8" s="37" t="s">
        <v>38</v>
      </c>
      <c r="AA8" s="38">
        <v>50</v>
      </c>
      <c r="AB8" s="39">
        <v>1</v>
      </c>
      <c r="AC8" s="39">
        <v>1</v>
      </c>
      <c r="AD8" s="39">
        <v>1</v>
      </c>
      <c r="AE8" s="40">
        <f t="shared" ref="AE8" si="13">AA8</f>
        <v>50</v>
      </c>
      <c r="AF8" s="41">
        <f>(V8/50)*3.5</f>
        <v>28</v>
      </c>
      <c r="AG8" s="42">
        <f>2%*(Y8+AE8+AF8)</f>
        <v>93.255652173913049</v>
      </c>
      <c r="AH8" s="35">
        <f t="shared" ref="AH8" si="14">Y8+AE8+AF8+AG8</f>
        <v>4756.0382608695654</v>
      </c>
      <c r="AI8" s="43">
        <f t="shared" ref="AI8" si="15">AH8/V8</f>
        <v>11.890095652173914</v>
      </c>
      <c r="AJ8" s="44">
        <f t="shared" ref="AJ8" si="16">AI8*18%</f>
        <v>2.1402172173913043</v>
      </c>
      <c r="AK8" s="45">
        <f t="shared" ref="AK8" si="17">AI8+AJ8</f>
        <v>14.030312869565218</v>
      </c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</row>
    <row r="9" spans="1:246" ht="21" thickBot="1"/>
    <row r="10" spans="1:246" ht="20.25" customHeight="1" thickBot="1">
      <c r="A10" s="5"/>
      <c r="B10" s="62" t="s">
        <v>0</v>
      </c>
      <c r="C10" s="63"/>
      <c r="D10" s="63"/>
      <c r="E10" s="63"/>
      <c r="F10" s="63"/>
      <c r="G10" s="63"/>
      <c r="H10" s="63"/>
      <c r="I10" s="63"/>
      <c r="J10" s="64"/>
      <c r="K10" s="3"/>
      <c r="L10" s="65" t="s">
        <v>1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3"/>
      <c r="AC10" s="3"/>
      <c r="AD10" s="3"/>
      <c r="AE10" s="3"/>
      <c r="AF10" s="3"/>
      <c r="AG10" s="3"/>
      <c r="AH10" s="3"/>
      <c r="AI10" s="3"/>
    </row>
    <row r="11" spans="1:246" ht="74.25" customHeight="1" thickBot="1">
      <c r="A11" s="5"/>
      <c r="B11" s="6" t="s">
        <v>2</v>
      </c>
      <c r="C11" s="7" t="s">
        <v>3</v>
      </c>
      <c r="D11" s="7" t="s">
        <v>4</v>
      </c>
      <c r="E11" s="7" t="s">
        <v>5</v>
      </c>
      <c r="F11" s="7" t="s">
        <v>6</v>
      </c>
      <c r="G11" s="8" t="s">
        <v>7</v>
      </c>
      <c r="H11" s="9" t="s">
        <v>8</v>
      </c>
      <c r="I11" s="10" t="s">
        <v>9</v>
      </c>
      <c r="J11" s="8" t="s">
        <v>7</v>
      </c>
      <c r="K11" s="66"/>
      <c r="L11" s="67"/>
      <c r="M11" s="11" t="s">
        <v>10</v>
      </c>
      <c r="N11" s="12" t="s">
        <v>11</v>
      </c>
      <c r="O11" s="12" t="s">
        <v>12</v>
      </c>
      <c r="P11" s="12"/>
      <c r="Q11" s="13" t="s">
        <v>13</v>
      </c>
      <c r="R11" s="14" t="s">
        <v>14</v>
      </c>
      <c r="S11" s="14" t="s">
        <v>15</v>
      </c>
      <c r="T11" s="14" t="s">
        <v>16</v>
      </c>
      <c r="U11" s="14" t="s">
        <v>17</v>
      </c>
      <c r="V11" s="14" t="s">
        <v>18</v>
      </c>
      <c r="W11" s="15" t="s">
        <v>19</v>
      </c>
      <c r="X11" s="11" t="s">
        <v>20</v>
      </c>
      <c r="Y11" s="16" t="s">
        <v>21</v>
      </c>
      <c r="Z11" s="17" t="s">
        <v>22</v>
      </c>
      <c r="AA11" s="18" t="s">
        <v>23</v>
      </c>
      <c r="AB11" s="18" t="s">
        <v>24</v>
      </c>
      <c r="AC11" s="18" t="s">
        <v>25</v>
      </c>
      <c r="AD11" s="18" t="s">
        <v>26</v>
      </c>
      <c r="AE11" s="19" t="s">
        <v>27</v>
      </c>
      <c r="AF11" s="11" t="s">
        <v>28</v>
      </c>
      <c r="AG11" s="11" t="s">
        <v>29</v>
      </c>
      <c r="AH11" s="20" t="s">
        <v>17</v>
      </c>
      <c r="AI11" s="21" t="s">
        <v>30</v>
      </c>
      <c r="AJ11" s="21" t="s">
        <v>31</v>
      </c>
      <c r="AK11" s="22" t="s">
        <v>32</v>
      </c>
    </row>
    <row r="12" spans="1:246" ht="212.25" customHeight="1">
      <c r="A12" s="23"/>
      <c r="B12" s="47">
        <v>1</v>
      </c>
      <c r="C12" s="68" t="s">
        <v>33</v>
      </c>
      <c r="D12" s="68"/>
      <c r="E12" s="48" t="s">
        <v>34</v>
      </c>
      <c r="F12" s="49">
        <v>24</v>
      </c>
      <c r="G12" s="50">
        <v>24.5</v>
      </c>
      <c r="H12" s="51" t="s">
        <v>35</v>
      </c>
      <c r="I12" s="52" t="s">
        <v>36</v>
      </c>
      <c r="J12" s="53">
        <f>F12*G12</f>
        <v>588</v>
      </c>
      <c r="K12" s="24"/>
      <c r="L12" s="25"/>
      <c r="M12" s="26" t="s">
        <v>37</v>
      </c>
      <c r="N12" s="27"/>
      <c r="O12" s="26"/>
      <c r="P12" s="28"/>
      <c r="Q12" s="29">
        <f>3+1.5+2.5</f>
        <v>7</v>
      </c>
      <c r="R12" s="30">
        <v>60</v>
      </c>
      <c r="S12" s="31">
        <f t="shared" ref="S12" si="18">Q12*R12/100</f>
        <v>4.2</v>
      </c>
      <c r="T12" s="32">
        <f t="shared" ref="T12" si="19">S12*V12</f>
        <v>100.80000000000001</v>
      </c>
      <c r="U12" s="33">
        <f t="shared" ref="U12" si="20">Q12+S12</f>
        <v>11.2</v>
      </c>
      <c r="V12" s="30">
        <f>F12</f>
        <v>24</v>
      </c>
      <c r="W12" s="34">
        <f>Q12*1</f>
        <v>7</v>
      </c>
      <c r="X12" s="35">
        <f>40+90</f>
        <v>130</v>
      </c>
      <c r="Y12" s="36">
        <f t="shared" ref="Y12" si="21">V12*U12+W12+X12</f>
        <v>405.79999999999995</v>
      </c>
      <c r="Z12" s="37" t="s">
        <v>38</v>
      </c>
      <c r="AA12" s="38">
        <v>50</v>
      </c>
      <c r="AB12" s="39">
        <v>1</v>
      </c>
      <c r="AC12" s="39">
        <v>1</v>
      </c>
      <c r="AD12" s="39">
        <v>1</v>
      </c>
      <c r="AE12" s="40">
        <f t="shared" ref="AE12" si="22">AA12</f>
        <v>50</v>
      </c>
      <c r="AF12" s="41">
        <v>15</v>
      </c>
      <c r="AG12" s="42">
        <f>5%*(Y12+AE12+AF12)</f>
        <v>23.54</v>
      </c>
      <c r="AH12" s="35">
        <f t="shared" ref="AH12" si="23">Y12+AE12+AF12+AG12</f>
        <v>494.34</v>
      </c>
      <c r="AI12" s="43">
        <f t="shared" ref="AI12" si="24">AH12/V12</f>
        <v>20.5975</v>
      </c>
      <c r="AJ12" s="44">
        <f t="shared" ref="AJ12" si="25">AI12*18%</f>
        <v>3.7075499999999999</v>
      </c>
      <c r="AK12" s="45">
        <f t="shared" ref="AK12" si="26">AI12+AJ12</f>
        <v>24.305050000000001</v>
      </c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</row>
    <row r="13" spans="1:246" ht="21" thickBot="1"/>
    <row r="14" spans="1:246" ht="20.25" customHeight="1" thickBot="1">
      <c r="A14" s="5"/>
      <c r="B14" s="62" t="s">
        <v>45</v>
      </c>
      <c r="C14" s="63"/>
      <c r="D14" s="63"/>
      <c r="E14" s="63"/>
      <c r="F14" s="63"/>
      <c r="G14" s="63"/>
      <c r="H14" s="63"/>
      <c r="I14" s="63"/>
      <c r="J14" s="64"/>
      <c r="K14" s="3"/>
      <c r="L14" s="65" t="s">
        <v>1</v>
      </c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3"/>
      <c r="AC14" s="3"/>
      <c r="AD14" s="3"/>
      <c r="AE14" s="3"/>
      <c r="AF14" s="3"/>
      <c r="AG14" s="3"/>
      <c r="AH14" s="3"/>
      <c r="AI14" s="3"/>
    </row>
    <row r="15" spans="1:246" ht="74.25" customHeight="1" thickBot="1">
      <c r="A15" s="5"/>
      <c r="B15" s="6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8" t="s">
        <v>7</v>
      </c>
      <c r="H15" s="9" t="s">
        <v>8</v>
      </c>
      <c r="I15" s="10" t="s">
        <v>9</v>
      </c>
      <c r="J15" s="8" t="s">
        <v>7</v>
      </c>
      <c r="K15" s="66" t="s">
        <v>46</v>
      </c>
      <c r="L15" s="67"/>
      <c r="M15" s="11" t="s">
        <v>10</v>
      </c>
      <c r="N15" s="12" t="s">
        <v>11</v>
      </c>
      <c r="O15" s="12" t="s">
        <v>12</v>
      </c>
      <c r="P15" s="12"/>
      <c r="Q15" s="13" t="s">
        <v>13</v>
      </c>
      <c r="R15" s="14" t="s">
        <v>14</v>
      </c>
      <c r="S15" s="14" t="s">
        <v>15</v>
      </c>
      <c r="T15" s="14" t="s">
        <v>16</v>
      </c>
      <c r="U15" s="14" t="s">
        <v>17</v>
      </c>
      <c r="V15" s="14" t="s">
        <v>18</v>
      </c>
      <c r="W15" s="15" t="s">
        <v>19</v>
      </c>
      <c r="X15" s="11" t="s">
        <v>20</v>
      </c>
      <c r="Y15" s="16" t="s">
        <v>21</v>
      </c>
      <c r="Z15" s="17" t="s">
        <v>22</v>
      </c>
      <c r="AA15" s="18" t="s">
        <v>23</v>
      </c>
      <c r="AB15" s="18" t="s">
        <v>24</v>
      </c>
      <c r="AC15" s="18" t="s">
        <v>25</v>
      </c>
      <c r="AD15" s="18" t="s">
        <v>26</v>
      </c>
      <c r="AE15" s="19" t="s">
        <v>27</v>
      </c>
      <c r="AF15" s="11" t="s">
        <v>28</v>
      </c>
      <c r="AG15" s="11" t="s">
        <v>29</v>
      </c>
      <c r="AH15" s="20" t="s">
        <v>17</v>
      </c>
      <c r="AI15" s="21" t="s">
        <v>30</v>
      </c>
      <c r="AJ15" s="21" t="s">
        <v>31</v>
      </c>
      <c r="AK15" s="22" t="s">
        <v>32</v>
      </c>
    </row>
    <row r="16" spans="1:246" ht="212.25" customHeight="1" thickBot="1">
      <c r="A16" s="23"/>
      <c r="B16" s="47">
        <v>1</v>
      </c>
      <c r="C16" s="68" t="s">
        <v>47</v>
      </c>
      <c r="D16" s="68"/>
      <c r="E16" s="48" t="s">
        <v>34</v>
      </c>
      <c r="F16" s="49">
        <v>18500</v>
      </c>
      <c r="G16" s="50">
        <v>0.15</v>
      </c>
      <c r="H16" s="51" t="s">
        <v>48</v>
      </c>
      <c r="I16" s="52" t="s">
        <v>49</v>
      </c>
      <c r="J16" s="53">
        <f>F16*G16</f>
        <v>2775</v>
      </c>
      <c r="K16" s="24"/>
      <c r="L16" s="25"/>
      <c r="M16" s="61" t="s">
        <v>50</v>
      </c>
      <c r="N16" s="70" t="s">
        <v>51</v>
      </c>
      <c r="O16" s="71"/>
      <c r="P16" s="28"/>
      <c r="Q16" s="29">
        <f>1350/18500/1.15</f>
        <v>6.3454759106933031E-2</v>
      </c>
      <c r="R16" s="30">
        <v>50</v>
      </c>
      <c r="S16" s="31">
        <f t="shared" ref="S16" si="27">Q16*R16/100</f>
        <v>3.1727379553466516E-2</v>
      </c>
      <c r="T16" s="32">
        <f t="shared" ref="T16" si="28">S16*V16</f>
        <v>586.95652173913049</v>
      </c>
      <c r="U16" s="33">
        <f t="shared" ref="U16" si="29">Q16+S16</f>
        <v>9.518213866039954E-2</v>
      </c>
      <c r="V16" s="30">
        <f>F16</f>
        <v>18500</v>
      </c>
      <c r="W16" s="34">
        <f>Q16*100+15</f>
        <v>21.345475910693303</v>
      </c>
      <c r="X16" s="35">
        <v>250</v>
      </c>
      <c r="Y16" s="36">
        <f t="shared" ref="Y16" si="30">V16*U16+W16+X16</f>
        <v>2032.2150411280847</v>
      </c>
      <c r="Z16" s="37" t="s">
        <v>52</v>
      </c>
      <c r="AA16" s="38">
        <v>0</v>
      </c>
      <c r="AB16" s="39">
        <v>1</v>
      </c>
      <c r="AC16" s="39">
        <v>1</v>
      </c>
      <c r="AD16" s="39">
        <v>1</v>
      </c>
      <c r="AE16" s="40">
        <f t="shared" ref="AE16" si="31">AA16</f>
        <v>0</v>
      </c>
      <c r="AF16" s="41">
        <f>3.5*20</f>
        <v>70</v>
      </c>
      <c r="AG16" s="42">
        <f t="shared" ref="AG16" si="32">1.5%*(Y16+AE16+AF16)</f>
        <v>31.533225616921268</v>
      </c>
      <c r="AH16" s="35">
        <f t="shared" ref="AH16" si="33">Y16+AE16+AF16+AG16</f>
        <v>2133.7482667450058</v>
      </c>
      <c r="AI16" s="43">
        <f t="shared" ref="AI16" si="34">AH16/V16</f>
        <v>0.11533774414837869</v>
      </c>
      <c r="AJ16" s="44">
        <f t="shared" ref="AJ16" si="35">AI16*18%</f>
        <v>2.0760793946708163E-2</v>
      </c>
      <c r="AK16" s="45">
        <f t="shared" ref="AK16" si="36">AI16+AJ16</f>
        <v>0.13609853809508685</v>
      </c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</row>
    <row r="17" spans="1:246" ht="212.25" customHeight="1">
      <c r="A17" s="23"/>
      <c r="B17" s="47">
        <v>2</v>
      </c>
      <c r="C17" s="68" t="s">
        <v>53</v>
      </c>
      <c r="D17" s="68"/>
      <c r="E17" s="48" t="s">
        <v>34</v>
      </c>
      <c r="F17" s="49">
        <v>135</v>
      </c>
      <c r="G17" s="50">
        <v>5.5</v>
      </c>
      <c r="H17" s="51" t="s">
        <v>48</v>
      </c>
      <c r="I17" s="52" t="s">
        <v>54</v>
      </c>
      <c r="J17" s="53">
        <f>F17*G17</f>
        <v>742.5</v>
      </c>
      <c r="K17" s="24"/>
      <c r="L17" s="25"/>
      <c r="M17" s="61" t="s">
        <v>55</v>
      </c>
      <c r="N17" s="70" t="s">
        <v>56</v>
      </c>
      <c r="O17" s="71"/>
      <c r="P17" s="28"/>
      <c r="Q17" s="29">
        <f>300/135</f>
        <v>2.2222222222222223</v>
      </c>
      <c r="R17" s="30">
        <v>60</v>
      </c>
      <c r="S17" s="31">
        <f t="shared" ref="S17" si="37">Q17*R17/100</f>
        <v>1.3333333333333335</v>
      </c>
      <c r="T17" s="32">
        <f t="shared" ref="T17" si="38">S17*V17</f>
        <v>180.00000000000003</v>
      </c>
      <c r="U17" s="33">
        <f t="shared" ref="U17" si="39">Q17+S17</f>
        <v>3.5555555555555558</v>
      </c>
      <c r="V17" s="30">
        <f>F17</f>
        <v>135</v>
      </c>
      <c r="W17" s="34">
        <f>Q17*15+35</f>
        <v>68.333333333333343</v>
      </c>
      <c r="X17" s="35">
        <v>60</v>
      </c>
      <c r="Y17" s="36">
        <f t="shared" ref="Y17" si="40">V17*U17+W17+X17</f>
        <v>608.33333333333337</v>
      </c>
      <c r="Z17" s="37" t="s">
        <v>52</v>
      </c>
      <c r="AA17" s="38">
        <v>0</v>
      </c>
      <c r="AB17" s="39">
        <v>1</v>
      </c>
      <c r="AC17" s="39">
        <v>1</v>
      </c>
      <c r="AD17" s="39">
        <v>1</v>
      </c>
      <c r="AE17" s="40">
        <f t="shared" ref="AE17" si="41">AA17</f>
        <v>0</v>
      </c>
      <c r="AF17" s="41">
        <f>3.5*2</f>
        <v>7</v>
      </c>
      <c r="AG17" s="42">
        <f t="shared" ref="AG17" si="42">1.5%*(Y17+AE17+AF17)</f>
        <v>9.23</v>
      </c>
      <c r="AH17" s="35">
        <f t="shared" ref="AH17" si="43">Y17+AE17+AF17+AG17</f>
        <v>624.56333333333339</v>
      </c>
      <c r="AI17" s="43">
        <f t="shared" ref="AI17" si="44">AH17/V17</f>
        <v>4.6263950617283953</v>
      </c>
      <c r="AJ17" s="44">
        <f t="shared" ref="AJ17" si="45">AI17*18%</f>
        <v>0.83275111111111111</v>
      </c>
      <c r="AK17" s="45">
        <f t="shared" ref="AK17" si="46">AI17+AJ17</f>
        <v>5.4591461728395068</v>
      </c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</row>
    <row r="18" spans="1:246" ht="21" thickBot="1"/>
    <row r="19" spans="1:246" ht="20.25" customHeight="1" thickBot="1">
      <c r="A19" s="5"/>
      <c r="B19" s="62" t="s">
        <v>57</v>
      </c>
      <c r="C19" s="63"/>
      <c r="D19" s="63"/>
      <c r="E19" s="63"/>
      <c r="F19" s="63"/>
      <c r="G19" s="63"/>
      <c r="H19" s="63"/>
      <c r="I19" s="63"/>
      <c r="J19" s="64"/>
      <c r="K19" s="3"/>
      <c r="L19" s="65" t="s">
        <v>1</v>
      </c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3"/>
      <c r="AC19" s="3"/>
      <c r="AD19" s="3"/>
      <c r="AE19" s="3"/>
      <c r="AF19" s="3"/>
      <c r="AG19" s="3"/>
      <c r="AH19" s="3"/>
      <c r="AI19" s="3"/>
    </row>
    <row r="20" spans="1:246" ht="74.25" customHeight="1" thickBot="1">
      <c r="A20" s="5"/>
      <c r="B20" s="6" t="s">
        <v>2</v>
      </c>
      <c r="C20" s="7" t="s">
        <v>3</v>
      </c>
      <c r="D20" s="7" t="s">
        <v>4</v>
      </c>
      <c r="E20" s="7" t="s">
        <v>5</v>
      </c>
      <c r="F20" s="7" t="s">
        <v>6</v>
      </c>
      <c r="G20" s="8" t="s">
        <v>7</v>
      </c>
      <c r="H20" s="9" t="s">
        <v>8</v>
      </c>
      <c r="I20" s="10" t="s">
        <v>9</v>
      </c>
      <c r="J20" s="8" t="s">
        <v>7</v>
      </c>
      <c r="K20" s="66" t="s">
        <v>58</v>
      </c>
      <c r="L20" s="67"/>
      <c r="M20" s="11" t="s">
        <v>10</v>
      </c>
      <c r="N20" s="12" t="s">
        <v>11</v>
      </c>
      <c r="O20" s="12" t="s">
        <v>12</v>
      </c>
      <c r="P20" s="12"/>
      <c r="Q20" s="13" t="s">
        <v>13</v>
      </c>
      <c r="R20" s="14" t="s">
        <v>14</v>
      </c>
      <c r="S20" s="14" t="s">
        <v>15</v>
      </c>
      <c r="T20" s="14" t="s">
        <v>16</v>
      </c>
      <c r="U20" s="14" t="s">
        <v>17</v>
      </c>
      <c r="V20" s="14" t="s">
        <v>18</v>
      </c>
      <c r="W20" s="15" t="s">
        <v>19</v>
      </c>
      <c r="X20" s="11" t="s">
        <v>20</v>
      </c>
      <c r="Y20" s="16" t="s">
        <v>21</v>
      </c>
      <c r="Z20" s="17" t="s">
        <v>22</v>
      </c>
      <c r="AA20" s="18" t="s">
        <v>23</v>
      </c>
      <c r="AB20" s="18" t="s">
        <v>24</v>
      </c>
      <c r="AC20" s="18" t="s">
        <v>25</v>
      </c>
      <c r="AD20" s="18" t="s">
        <v>26</v>
      </c>
      <c r="AE20" s="19" t="s">
        <v>27</v>
      </c>
      <c r="AF20" s="11" t="s">
        <v>28</v>
      </c>
      <c r="AG20" s="11" t="s">
        <v>29</v>
      </c>
      <c r="AH20" s="20" t="s">
        <v>17</v>
      </c>
      <c r="AI20" s="21" t="s">
        <v>30</v>
      </c>
      <c r="AJ20" s="21" t="s">
        <v>31</v>
      </c>
      <c r="AK20" s="22" t="s">
        <v>32</v>
      </c>
    </row>
    <row r="21" spans="1:246" ht="212.25" customHeight="1">
      <c r="A21" s="23"/>
      <c r="B21" s="47">
        <v>1</v>
      </c>
      <c r="C21" s="68" t="s">
        <v>59</v>
      </c>
      <c r="D21" s="68"/>
      <c r="E21" s="48" t="s">
        <v>34</v>
      </c>
      <c r="F21" s="49">
        <v>500</v>
      </c>
      <c r="G21" s="50">
        <v>10.25</v>
      </c>
      <c r="H21" s="51" t="s">
        <v>35</v>
      </c>
      <c r="I21" s="52" t="s">
        <v>60</v>
      </c>
      <c r="J21" s="53">
        <f>F21*G21</f>
        <v>5125</v>
      </c>
      <c r="K21" s="24"/>
      <c r="L21" s="25"/>
      <c r="M21" s="26" t="s">
        <v>61</v>
      </c>
      <c r="N21" s="27"/>
      <c r="O21" s="26" t="s">
        <v>62</v>
      </c>
      <c r="P21" s="28" t="s">
        <v>63</v>
      </c>
      <c r="Q21" s="29">
        <f>6.3/1.15</f>
        <v>5.4782608695652177</v>
      </c>
      <c r="R21" s="30">
        <v>40</v>
      </c>
      <c r="S21" s="31">
        <f t="shared" ref="S21:S22" si="47">Q21*R21/100</f>
        <v>2.1913043478260872</v>
      </c>
      <c r="T21" s="32">
        <f t="shared" ref="T21:T22" si="48">S21*V21</f>
        <v>1095.6521739130435</v>
      </c>
      <c r="U21" s="33">
        <f t="shared" ref="U21:U22" si="49">Q21+S21</f>
        <v>7.6695652173913054</v>
      </c>
      <c r="V21" s="30">
        <f>F21</f>
        <v>500</v>
      </c>
      <c r="W21" s="34">
        <f>Q21*5</f>
        <v>27.39130434782609</v>
      </c>
      <c r="X21" s="35">
        <f>200+120</f>
        <v>320</v>
      </c>
      <c r="Y21" s="36">
        <f t="shared" ref="Y21:Y22" si="50">V21*U21+W21+X21</f>
        <v>4182.173913043478</v>
      </c>
      <c r="Z21" s="37" t="s">
        <v>38</v>
      </c>
      <c r="AA21" s="38">
        <v>50</v>
      </c>
      <c r="AB21" s="39">
        <v>1</v>
      </c>
      <c r="AC21" s="39">
        <v>1</v>
      </c>
      <c r="AD21" s="39">
        <v>1</v>
      </c>
      <c r="AE21" s="40">
        <f t="shared" ref="AE21:AE22" si="51">AA21</f>
        <v>50</v>
      </c>
      <c r="AF21" s="41">
        <v>25</v>
      </c>
      <c r="AG21" s="42">
        <f t="shared" ref="AG21:AG22" si="52">1.5%*(Y21+AE21+AF21)</f>
        <v>63.857608695652168</v>
      </c>
      <c r="AH21" s="35">
        <f t="shared" ref="AH21:AH22" si="53">Y21+AE21+AF21+AG21</f>
        <v>4321.0315217391299</v>
      </c>
      <c r="AI21" s="43">
        <f t="shared" ref="AI21:AI22" si="54">AH21/V21</f>
        <v>8.6420630434782595</v>
      </c>
      <c r="AJ21" s="44">
        <f t="shared" ref="AJ21:AJ22" si="55">AI21*18%</f>
        <v>1.5555713478260866</v>
      </c>
      <c r="AK21" s="45">
        <f t="shared" ref="AK21:AK22" si="56">AI21+AJ21</f>
        <v>10.197634391304346</v>
      </c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</row>
    <row r="22" spans="1:246" ht="270.75" customHeight="1" thickBot="1">
      <c r="A22" s="23"/>
      <c r="B22" s="54">
        <v>2</v>
      </c>
      <c r="C22" s="69" t="s">
        <v>64</v>
      </c>
      <c r="D22" s="69"/>
      <c r="E22" s="55" t="s">
        <v>34</v>
      </c>
      <c r="F22" s="56">
        <v>500</v>
      </c>
      <c r="G22" s="57">
        <v>2.29</v>
      </c>
      <c r="H22" s="58" t="s">
        <v>35</v>
      </c>
      <c r="I22" s="59" t="s">
        <v>65</v>
      </c>
      <c r="J22" s="60">
        <f>F22*G22</f>
        <v>1145</v>
      </c>
      <c r="K22" s="24"/>
      <c r="L22" s="25"/>
      <c r="M22" s="26" t="s">
        <v>66</v>
      </c>
      <c r="N22" s="27"/>
      <c r="O22" s="26" t="s">
        <v>67</v>
      </c>
      <c r="P22" s="28"/>
      <c r="Q22" s="29">
        <f>0.44/1.15</f>
        <v>0.38260869565217392</v>
      </c>
      <c r="R22" s="30">
        <v>80</v>
      </c>
      <c r="S22" s="31">
        <f t="shared" si="47"/>
        <v>0.30608695652173912</v>
      </c>
      <c r="T22" s="32">
        <f t="shared" si="48"/>
        <v>153.04347826086956</v>
      </c>
      <c r="U22" s="33">
        <f t="shared" si="49"/>
        <v>0.68869565217391304</v>
      </c>
      <c r="V22" s="30">
        <f>F22</f>
        <v>500</v>
      </c>
      <c r="W22" s="34">
        <f>Q22*30</f>
        <v>11.478260869565219</v>
      </c>
      <c r="X22" s="35">
        <f>150+100</f>
        <v>250</v>
      </c>
      <c r="Y22" s="36">
        <f t="shared" si="50"/>
        <v>605.82608695652175</v>
      </c>
      <c r="Z22" s="37" t="s">
        <v>38</v>
      </c>
      <c r="AA22" s="38">
        <v>300</v>
      </c>
      <c r="AB22" s="39">
        <v>1</v>
      </c>
      <c r="AC22" s="39">
        <v>1</v>
      </c>
      <c r="AD22" s="39">
        <v>1</v>
      </c>
      <c r="AE22" s="40">
        <f t="shared" si="51"/>
        <v>300</v>
      </c>
      <c r="AF22" s="41">
        <v>20</v>
      </c>
      <c r="AG22" s="42">
        <f t="shared" si="52"/>
        <v>13.887391304347826</v>
      </c>
      <c r="AH22" s="35">
        <f t="shared" si="53"/>
        <v>939.71347826086958</v>
      </c>
      <c r="AI22" s="43">
        <f t="shared" si="54"/>
        <v>1.8794269565217392</v>
      </c>
      <c r="AJ22" s="44">
        <f t="shared" si="55"/>
        <v>0.33829685217391303</v>
      </c>
      <c r="AK22" s="45">
        <f t="shared" si="56"/>
        <v>2.2177238086956521</v>
      </c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</row>
  </sheetData>
  <mergeCells count="24">
    <mergeCell ref="K20:L20"/>
    <mergeCell ref="C21:D21"/>
    <mergeCell ref="C22:D22"/>
    <mergeCell ref="B6:J6"/>
    <mergeCell ref="L6:AA6"/>
    <mergeCell ref="K7:L7"/>
    <mergeCell ref="C8:D8"/>
    <mergeCell ref="C17:D17"/>
    <mergeCell ref="N17:O17"/>
    <mergeCell ref="B10:J10"/>
    <mergeCell ref="L10:AA10"/>
    <mergeCell ref="K11:L11"/>
    <mergeCell ref="C12:D12"/>
    <mergeCell ref="B14:J14"/>
    <mergeCell ref="L14:AA14"/>
    <mergeCell ref="K15:L15"/>
    <mergeCell ref="B2:J2"/>
    <mergeCell ref="L2:AA2"/>
    <mergeCell ref="K3:L3"/>
    <mergeCell ref="C4:D4"/>
    <mergeCell ref="B19:J19"/>
    <mergeCell ref="L19:AA19"/>
    <mergeCell ref="C16:D16"/>
    <mergeCell ref="N16:O16"/>
  </mergeCells>
  <phoneticPr fontId="22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"/>
  <sheetViews>
    <sheetView topLeftCell="A16" zoomScale="64" zoomScaleNormal="64" workbookViewId="0">
      <selection activeCell="F36" sqref="F36"/>
    </sheetView>
  </sheetViews>
  <sheetFormatPr defaultColWidth="14.42578125" defaultRowHeight="15" customHeight="1"/>
  <cols>
    <col min="1" max="1" width="14.42578125" style="1"/>
    <col min="2" max="2" width="14.42578125" style="2"/>
    <col min="3" max="16384" width="14.42578125" style="1"/>
  </cols>
  <sheetData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684E-06DA-439E-AAA4-57A4F4F8BA40}">
  <dimension ref="A2:IL25"/>
  <sheetViews>
    <sheetView topLeftCell="A5" zoomScale="60" zoomScaleNormal="60" workbookViewId="0">
      <selection activeCell="G6" sqref="G6"/>
    </sheetView>
  </sheetViews>
  <sheetFormatPr defaultColWidth="11.42578125" defaultRowHeight="20.25"/>
  <cols>
    <col min="1" max="1" width="2.85546875" style="4" customWidth="1"/>
    <col min="2" max="2" width="3.140625" style="4" customWidth="1"/>
    <col min="3" max="3" width="13.85546875" style="4" customWidth="1"/>
    <col min="4" max="4" width="18.7109375" style="4" customWidth="1"/>
    <col min="5" max="5" width="43.7109375" style="4" customWidth="1"/>
    <col min="6" max="6" width="11.5703125" style="4" bestFit="1" customWidth="1"/>
    <col min="7" max="7" width="19" style="4" customWidth="1"/>
    <col min="8" max="8" width="23.28515625" style="4" customWidth="1"/>
    <col min="9" max="9" width="73.7109375" style="4" customWidth="1"/>
    <col min="10" max="10" width="26" style="4" customWidth="1"/>
    <col min="11" max="11" width="22.28515625" style="4" customWidth="1"/>
    <col min="12" max="12" width="0.42578125" style="4" customWidth="1"/>
    <col min="13" max="13" width="36.28515625" style="4" customWidth="1"/>
    <col min="14" max="14" width="13.7109375" style="4" customWidth="1"/>
    <col min="15" max="15" width="55.7109375" style="4" customWidth="1"/>
    <col min="16" max="16" width="14.85546875" style="4" customWidth="1"/>
    <col min="17" max="17" width="14.140625" style="4" bestFit="1" customWidth="1"/>
    <col min="18" max="18" width="16.42578125" style="4" customWidth="1"/>
    <col min="19" max="19" width="15.85546875" style="4" customWidth="1"/>
    <col min="20" max="20" width="23" style="4" customWidth="1"/>
    <col min="21" max="22" width="17.140625" style="4" customWidth="1"/>
    <col min="23" max="23" width="23" style="4" customWidth="1"/>
    <col min="24" max="24" width="26.7109375" style="4" customWidth="1"/>
    <col min="25" max="25" width="22.140625" style="4" customWidth="1"/>
    <col min="26" max="26" width="31.42578125" style="4" customWidth="1"/>
    <col min="27" max="27" width="16.42578125" style="4" customWidth="1"/>
    <col min="28" max="30" width="11.5703125" style="4" bestFit="1" customWidth="1"/>
    <col min="31" max="31" width="18.28515625" style="4" customWidth="1"/>
    <col min="32" max="32" width="18" style="4" customWidth="1"/>
    <col min="33" max="33" width="17.7109375" style="4" customWidth="1"/>
    <col min="34" max="34" width="21" style="4" customWidth="1"/>
    <col min="35" max="35" width="19.7109375" style="4" customWidth="1"/>
    <col min="36" max="36" width="12.42578125" style="4" bestFit="1" customWidth="1"/>
    <col min="37" max="37" width="19.85546875" style="4" customWidth="1"/>
    <col min="38" max="16384" width="11.42578125" style="4"/>
  </cols>
  <sheetData>
    <row r="2" spans="1:246" ht="20.25" customHeight="1">
      <c r="A2" s="5"/>
      <c r="B2" s="62" t="s">
        <v>0</v>
      </c>
      <c r="C2" s="63"/>
      <c r="D2" s="63"/>
      <c r="E2" s="63"/>
      <c r="F2" s="63"/>
      <c r="G2" s="63"/>
      <c r="H2" s="63"/>
      <c r="I2" s="63"/>
      <c r="J2" s="64"/>
      <c r="K2" s="3"/>
      <c r="L2" s="65" t="s">
        <v>1</v>
      </c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3"/>
      <c r="AC2" s="3"/>
      <c r="AD2" s="3"/>
      <c r="AE2" s="3"/>
      <c r="AF2" s="3"/>
      <c r="AG2" s="3"/>
      <c r="AH2" s="3"/>
      <c r="AI2" s="3"/>
    </row>
    <row r="3" spans="1:246" ht="74.25" customHeight="1">
      <c r="A3" s="5"/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9" t="s">
        <v>8</v>
      </c>
      <c r="I3" s="10" t="s">
        <v>9</v>
      </c>
      <c r="J3" s="8" t="s">
        <v>7</v>
      </c>
      <c r="K3" s="66"/>
      <c r="L3" s="67"/>
      <c r="M3" s="11" t="s">
        <v>10</v>
      </c>
      <c r="N3" s="12" t="s">
        <v>11</v>
      </c>
      <c r="O3" s="12" t="s">
        <v>12</v>
      </c>
      <c r="P3" s="12"/>
      <c r="Q3" s="13" t="s">
        <v>13</v>
      </c>
      <c r="R3" s="14" t="s">
        <v>14</v>
      </c>
      <c r="S3" s="14" t="s">
        <v>15</v>
      </c>
      <c r="T3" s="14" t="s">
        <v>16</v>
      </c>
      <c r="U3" s="14" t="s">
        <v>17</v>
      </c>
      <c r="V3" s="14" t="s">
        <v>18</v>
      </c>
      <c r="W3" s="15" t="s">
        <v>19</v>
      </c>
      <c r="X3" s="11" t="s">
        <v>20</v>
      </c>
      <c r="Y3" s="16" t="s">
        <v>21</v>
      </c>
      <c r="Z3" s="17" t="s">
        <v>22</v>
      </c>
      <c r="AA3" s="18" t="s">
        <v>23</v>
      </c>
      <c r="AB3" s="18" t="s">
        <v>24</v>
      </c>
      <c r="AC3" s="18" t="s">
        <v>25</v>
      </c>
      <c r="AD3" s="18" t="s">
        <v>26</v>
      </c>
      <c r="AE3" s="19" t="s">
        <v>27</v>
      </c>
      <c r="AF3" s="11" t="s">
        <v>28</v>
      </c>
      <c r="AG3" s="11" t="s">
        <v>29</v>
      </c>
      <c r="AH3" s="20" t="s">
        <v>17</v>
      </c>
      <c r="AI3" s="21" t="s">
        <v>30</v>
      </c>
      <c r="AJ3" s="21" t="s">
        <v>31</v>
      </c>
      <c r="AK3" s="22" t="s">
        <v>32</v>
      </c>
    </row>
    <row r="4" spans="1:246" ht="212.25" customHeight="1">
      <c r="A4" s="23"/>
      <c r="B4" s="47">
        <v>1</v>
      </c>
      <c r="C4" s="68" t="s">
        <v>64</v>
      </c>
      <c r="D4" s="68"/>
      <c r="E4" s="48" t="s">
        <v>34</v>
      </c>
      <c r="F4" s="49">
        <v>1000</v>
      </c>
      <c r="G4" s="50">
        <f>AK4</f>
        <v>1.6429139999999998</v>
      </c>
      <c r="H4" s="51" t="s">
        <v>35</v>
      </c>
      <c r="I4" s="52" t="s">
        <v>36</v>
      </c>
      <c r="J4" s="53">
        <f>F4*G4</f>
        <v>1642.9139999999998</v>
      </c>
      <c r="K4" s="24"/>
      <c r="L4" s="25"/>
      <c r="M4" s="26" t="s">
        <v>37</v>
      </c>
      <c r="N4" s="27"/>
      <c r="O4" s="26"/>
      <c r="P4" s="28"/>
      <c r="Q4" s="29">
        <v>0.5</v>
      </c>
      <c r="R4" s="30">
        <v>80</v>
      </c>
      <c r="S4" s="31">
        <f t="shared" ref="S4:S6" si="0">Q4*R4/100</f>
        <v>0.4</v>
      </c>
      <c r="T4" s="32">
        <f t="shared" ref="T4:T6" si="1">S4*V4</f>
        <v>400</v>
      </c>
      <c r="U4" s="33">
        <f t="shared" ref="U4:U6" si="2">Q4+S4</f>
        <v>0.9</v>
      </c>
      <c r="V4" s="30">
        <f>F4</f>
        <v>1000</v>
      </c>
      <c r="W4" s="34">
        <f>Q4*100</f>
        <v>50</v>
      </c>
      <c r="X4" s="35">
        <v>180</v>
      </c>
      <c r="Y4" s="36">
        <f t="shared" ref="Y4:Y6" si="3">V4*U4+W4+X4</f>
        <v>1130</v>
      </c>
      <c r="Z4" s="37" t="s">
        <v>68</v>
      </c>
      <c r="AA4" s="38">
        <v>220</v>
      </c>
      <c r="AB4" s="39">
        <v>1</v>
      </c>
      <c r="AC4" s="39">
        <v>1</v>
      </c>
      <c r="AD4" s="39">
        <v>1</v>
      </c>
      <c r="AE4" s="40">
        <f>AA4*AB4*AC4*AD4</f>
        <v>220</v>
      </c>
      <c r="AF4" s="41">
        <v>15</v>
      </c>
      <c r="AG4" s="42">
        <f>2%*(Y4+AE4+AF4)</f>
        <v>27.3</v>
      </c>
      <c r="AH4" s="35">
        <f t="shared" ref="AH4:AH6" si="4">Y4+AE4+AF4+AG4</f>
        <v>1392.3</v>
      </c>
      <c r="AI4" s="43">
        <f t="shared" ref="AI4:AI6" si="5">AH4/V4</f>
        <v>1.3922999999999999</v>
      </c>
      <c r="AJ4" s="44">
        <f t="shared" ref="AJ4:AJ6" si="6">AI4*18%</f>
        <v>0.25061399999999995</v>
      </c>
      <c r="AK4" s="45">
        <f t="shared" ref="AK4:AK6" si="7">AI4+AJ4</f>
        <v>1.6429139999999998</v>
      </c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</row>
    <row r="5" spans="1:246" ht="212.25" customHeight="1">
      <c r="A5" s="23"/>
      <c r="B5" s="47">
        <v>1</v>
      </c>
      <c r="C5" s="68" t="s">
        <v>69</v>
      </c>
      <c r="D5" s="68"/>
      <c r="E5" s="48" t="s">
        <v>34</v>
      </c>
      <c r="F5" s="49">
        <v>20</v>
      </c>
      <c r="G5" s="50">
        <f>AK5</f>
        <v>50.611380000000004</v>
      </c>
      <c r="H5" s="51" t="s">
        <v>35</v>
      </c>
      <c r="I5" s="52" t="s">
        <v>36</v>
      </c>
      <c r="J5" s="53">
        <f>F5*G5</f>
        <v>1012.2276000000001</v>
      </c>
      <c r="K5" s="24"/>
      <c r="L5" s="25"/>
      <c r="M5" s="26" t="s">
        <v>37</v>
      </c>
      <c r="N5" s="27"/>
      <c r="O5" s="26"/>
      <c r="P5" s="28"/>
      <c r="Q5" s="29">
        <v>19</v>
      </c>
      <c r="R5" s="30">
        <v>40</v>
      </c>
      <c r="S5" s="31">
        <f t="shared" si="0"/>
        <v>7.6</v>
      </c>
      <c r="T5" s="32">
        <f t="shared" si="1"/>
        <v>152</v>
      </c>
      <c r="U5" s="33">
        <f t="shared" si="2"/>
        <v>26.6</v>
      </c>
      <c r="V5" s="30">
        <f>F5</f>
        <v>20</v>
      </c>
      <c r="W5" s="34">
        <f>Q5*1</f>
        <v>19</v>
      </c>
      <c r="X5" s="35">
        <v>180</v>
      </c>
      <c r="Y5" s="36">
        <f t="shared" si="3"/>
        <v>731</v>
      </c>
      <c r="Z5" s="37" t="s">
        <v>38</v>
      </c>
      <c r="AA5" s="38">
        <v>100</v>
      </c>
      <c r="AB5" s="39">
        <v>1</v>
      </c>
      <c r="AC5" s="39">
        <v>1</v>
      </c>
      <c r="AD5" s="39">
        <v>1</v>
      </c>
      <c r="AE5" s="40">
        <f t="shared" ref="AE5:AE7" si="8">AA5*AB5*AC5*AD5</f>
        <v>100</v>
      </c>
      <c r="AF5" s="41">
        <v>10</v>
      </c>
      <c r="AG5" s="42">
        <f>2%*(Y5+AE5+AF5)</f>
        <v>16.82</v>
      </c>
      <c r="AH5" s="35">
        <f t="shared" si="4"/>
        <v>857.82</v>
      </c>
      <c r="AI5" s="43">
        <f t="shared" si="5"/>
        <v>42.891000000000005</v>
      </c>
      <c r="AJ5" s="44">
        <f t="shared" si="6"/>
        <v>7.7203800000000005</v>
      </c>
      <c r="AK5" s="45">
        <f t="shared" si="7"/>
        <v>50.611380000000004</v>
      </c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</row>
    <row r="6" spans="1:246" ht="212.25" customHeight="1">
      <c r="A6" s="23"/>
      <c r="B6" s="47">
        <v>1</v>
      </c>
      <c r="C6" s="68" t="s">
        <v>70</v>
      </c>
      <c r="D6" s="68"/>
      <c r="E6" s="48" t="s">
        <v>34</v>
      </c>
      <c r="F6" s="49">
        <v>1000</v>
      </c>
      <c r="G6" s="50">
        <f>AK6</f>
        <v>1.4017230260869564</v>
      </c>
      <c r="H6" s="51" t="s">
        <v>35</v>
      </c>
      <c r="I6" s="52" t="s">
        <v>36</v>
      </c>
      <c r="J6" s="53">
        <f>F6*G6</f>
        <v>1401.7230260869565</v>
      </c>
      <c r="K6" s="24"/>
      <c r="L6" s="25"/>
      <c r="M6" s="26" t="s">
        <v>37</v>
      </c>
      <c r="N6" s="27"/>
      <c r="O6" s="26"/>
      <c r="P6" s="28"/>
      <c r="Q6" s="29">
        <f>0.8/1.15</f>
        <v>0.69565217391304357</v>
      </c>
      <c r="R6" s="30">
        <v>40</v>
      </c>
      <c r="S6" s="31">
        <f t="shared" si="0"/>
        <v>0.27826086956521739</v>
      </c>
      <c r="T6" s="32">
        <f t="shared" si="1"/>
        <v>278.26086956521738</v>
      </c>
      <c r="U6" s="33">
        <f t="shared" si="2"/>
        <v>0.97391304347826102</v>
      </c>
      <c r="V6" s="30">
        <f>F6</f>
        <v>1000</v>
      </c>
      <c r="W6" s="34">
        <f>Q6*1</f>
        <v>0.69565217391304357</v>
      </c>
      <c r="X6" s="35">
        <v>180</v>
      </c>
      <c r="Y6" s="36">
        <f t="shared" si="3"/>
        <v>1154.608695652174</v>
      </c>
      <c r="Z6" s="37" t="s">
        <v>38</v>
      </c>
      <c r="AA6" s="38">
        <v>0</v>
      </c>
      <c r="AB6" s="39">
        <v>1</v>
      </c>
      <c r="AC6" s="39">
        <v>1</v>
      </c>
      <c r="AD6" s="39">
        <v>1</v>
      </c>
      <c r="AE6" s="40">
        <f t="shared" si="8"/>
        <v>0</v>
      </c>
      <c r="AF6" s="41">
        <v>10</v>
      </c>
      <c r="AG6" s="42">
        <f>2%*(Y6+AE6+AF6)</f>
        <v>23.292173913043481</v>
      </c>
      <c r="AH6" s="35">
        <f t="shared" si="4"/>
        <v>1187.9008695652174</v>
      </c>
      <c r="AI6" s="43">
        <f t="shared" si="5"/>
        <v>1.1879008695652173</v>
      </c>
      <c r="AJ6" s="44">
        <f t="shared" si="6"/>
        <v>0.21382215652173911</v>
      </c>
      <c r="AK6" s="45">
        <f t="shared" si="7"/>
        <v>1.4017230260869564</v>
      </c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</row>
    <row r="7" spans="1:246" ht="212.25" customHeight="1">
      <c r="A7" s="23"/>
      <c r="B7" s="47">
        <v>1</v>
      </c>
      <c r="C7" s="68" t="s">
        <v>71</v>
      </c>
      <c r="D7" s="68"/>
      <c r="E7" s="48" t="s">
        <v>34</v>
      </c>
      <c r="F7" s="49">
        <v>3</v>
      </c>
      <c r="G7" s="50">
        <f>AK7</f>
        <v>319.62266666666659</v>
      </c>
      <c r="H7" s="51" t="s">
        <v>35</v>
      </c>
      <c r="I7" s="52" t="s">
        <v>36</v>
      </c>
      <c r="J7" s="53">
        <f>F7*G7</f>
        <v>958.86799999999971</v>
      </c>
      <c r="K7" s="24"/>
      <c r="L7" s="25"/>
      <c r="M7" s="26" t="s">
        <v>37</v>
      </c>
      <c r="N7" s="27"/>
      <c r="O7" s="26"/>
      <c r="P7" s="28"/>
      <c r="Q7" s="29">
        <f>150/1.17</f>
        <v>128.2051282051282</v>
      </c>
      <c r="R7" s="30">
        <v>40</v>
      </c>
      <c r="S7" s="31">
        <f t="shared" ref="S7" si="9">Q7*R7/100</f>
        <v>51.282051282051277</v>
      </c>
      <c r="T7" s="32">
        <f t="shared" ref="T7" si="10">S7*V7</f>
        <v>153.84615384615384</v>
      </c>
      <c r="U7" s="33">
        <f t="shared" ref="U7" si="11">Q7+S7</f>
        <v>179.48717948717947</v>
      </c>
      <c r="V7" s="30">
        <f>F7</f>
        <v>3</v>
      </c>
      <c r="W7" s="34">
        <f>Q7</f>
        <v>128.2051282051282</v>
      </c>
      <c r="X7" s="35">
        <v>120</v>
      </c>
      <c r="Y7" s="36">
        <f t="shared" ref="Y7" si="12">V7*U7+W7+X7</f>
        <v>786.66666666666663</v>
      </c>
      <c r="Z7" s="37" t="s">
        <v>38</v>
      </c>
      <c r="AA7" s="38">
        <v>0</v>
      </c>
      <c r="AB7" s="39">
        <v>1</v>
      </c>
      <c r="AC7" s="39">
        <v>1</v>
      </c>
      <c r="AD7" s="39">
        <v>1</v>
      </c>
      <c r="AE7" s="40">
        <f t="shared" si="8"/>
        <v>0</v>
      </c>
      <c r="AF7" s="41">
        <v>10</v>
      </c>
      <c r="AG7" s="42">
        <f>2%*(Y7+AE7+AF7)</f>
        <v>15.933333333333334</v>
      </c>
      <c r="AH7" s="35">
        <f t="shared" ref="AH7" si="13">Y7+AE7+AF7+AG7</f>
        <v>812.59999999999991</v>
      </c>
      <c r="AI7" s="43">
        <f t="shared" ref="AI7" si="14">AH7/V7</f>
        <v>270.86666666666662</v>
      </c>
      <c r="AJ7" s="44">
        <f t="shared" ref="AJ7" si="15">AI7*18%</f>
        <v>48.755999999999986</v>
      </c>
      <c r="AK7" s="45">
        <f t="shared" ref="AK7" si="16">AI7+AJ7</f>
        <v>319.62266666666659</v>
      </c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</row>
    <row r="9" spans="1:246" ht="20.25" customHeight="1">
      <c r="A9" s="5"/>
      <c r="B9" s="62" t="s">
        <v>39</v>
      </c>
      <c r="C9" s="63"/>
      <c r="D9" s="63"/>
      <c r="E9" s="63"/>
      <c r="F9" s="63"/>
      <c r="G9" s="63"/>
      <c r="H9" s="63"/>
      <c r="I9" s="63"/>
      <c r="J9" s="64"/>
      <c r="K9" s="3"/>
      <c r="L9" s="65" t="s">
        <v>1</v>
      </c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3"/>
      <c r="AC9" s="3"/>
      <c r="AD9" s="3"/>
      <c r="AE9" s="3"/>
      <c r="AF9" s="3"/>
      <c r="AG9" s="3"/>
      <c r="AH9" s="3"/>
      <c r="AI9" s="3"/>
    </row>
    <row r="10" spans="1:246" ht="74.25" customHeight="1">
      <c r="A10" s="5"/>
      <c r="B10" s="6" t="s">
        <v>2</v>
      </c>
      <c r="C10" s="7" t="s">
        <v>3</v>
      </c>
      <c r="D10" s="7" t="s">
        <v>4</v>
      </c>
      <c r="E10" s="7" t="s">
        <v>5</v>
      </c>
      <c r="F10" s="7" t="s">
        <v>6</v>
      </c>
      <c r="G10" s="8" t="s">
        <v>7</v>
      </c>
      <c r="H10" s="9" t="s">
        <v>8</v>
      </c>
      <c r="I10" s="10" t="s">
        <v>9</v>
      </c>
      <c r="J10" s="8" t="s">
        <v>7</v>
      </c>
      <c r="K10" s="66"/>
      <c r="L10" s="67"/>
      <c r="M10" s="11" t="s">
        <v>10</v>
      </c>
      <c r="N10" s="12" t="s">
        <v>11</v>
      </c>
      <c r="O10" s="12" t="s">
        <v>12</v>
      </c>
      <c r="P10" s="12"/>
      <c r="Q10" s="13" t="s">
        <v>13</v>
      </c>
      <c r="R10" s="14" t="s">
        <v>14</v>
      </c>
      <c r="S10" s="14" t="s">
        <v>15</v>
      </c>
      <c r="T10" s="14" t="s">
        <v>16</v>
      </c>
      <c r="U10" s="14" t="s">
        <v>17</v>
      </c>
      <c r="V10" s="14" t="s">
        <v>18</v>
      </c>
      <c r="W10" s="15" t="s">
        <v>19</v>
      </c>
      <c r="X10" s="11" t="s">
        <v>20</v>
      </c>
      <c r="Y10" s="16" t="s">
        <v>21</v>
      </c>
      <c r="Z10" s="17" t="s">
        <v>22</v>
      </c>
      <c r="AA10" s="18" t="s">
        <v>23</v>
      </c>
      <c r="AB10" s="18" t="s">
        <v>24</v>
      </c>
      <c r="AC10" s="18" t="s">
        <v>25</v>
      </c>
      <c r="AD10" s="18" t="s">
        <v>26</v>
      </c>
      <c r="AE10" s="19" t="s">
        <v>27</v>
      </c>
      <c r="AF10" s="11" t="s">
        <v>28</v>
      </c>
      <c r="AG10" s="11" t="s">
        <v>29</v>
      </c>
      <c r="AH10" s="20" t="s">
        <v>17</v>
      </c>
      <c r="AI10" s="21" t="s">
        <v>30</v>
      </c>
      <c r="AJ10" s="21" t="s">
        <v>31</v>
      </c>
      <c r="AK10" s="22" t="s">
        <v>32</v>
      </c>
    </row>
    <row r="11" spans="1:246" ht="342" customHeight="1">
      <c r="A11" s="23"/>
      <c r="B11" s="47">
        <v>1</v>
      </c>
      <c r="C11" s="68" t="s">
        <v>40</v>
      </c>
      <c r="D11" s="68"/>
      <c r="E11" s="48" t="s">
        <v>34</v>
      </c>
      <c r="F11" s="49">
        <v>400</v>
      </c>
      <c r="G11" s="50">
        <v>14.1</v>
      </c>
      <c r="H11" s="51" t="s">
        <v>35</v>
      </c>
      <c r="I11" s="52" t="s">
        <v>41</v>
      </c>
      <c r="J11" s="53">
        <f>F11*G11</f>
        <v>5640</v>
      </c>
      <c r="K11" s="24"/>
      <c r="L11" s="25"/>
      <c r="M11" s="26" t="s">
        <v>42</v>
      </c>
      <c r="N11" s="27"/>
      <c r="O11" s="26" t="s">
        <v>43</v>
      </c>
      <c r="P11" s="28" t="s">
        <v>44</v>
      </c>
      <c r="Q11" s="29">
        <f>8.5/1.15</f>
        <v>7.3913043478260878</v>
      </c>
      <c r="R11" s="30">
        <v>43</v>
      </c>
      <c r="S11" s="31">
        <f t="shared" ref="S11" si="17">Q11*R11/100</f>
        <v>3.1782608695652175</v>
      </c>
      <c r="T11" s="32">
        <f t="shared" ref="T11" si="18">S11*V11</f>
        <v>1271.304347826087</v>
      </c>
      <c r="U11" s="33">
        <f t="shared" ref="U11" si="19">Q11+S11</f>
        <v>10.569565217391306</v>
      </c>
      <c r="V11" s="30">
        <f>F11</f>
        <v>400</v>
      </c>
      <c r="W11" s="34">
        <f>Q11*5</f>
        <v>36.956521739130437</v>
      </c>
      <c r="X11" s="35">
        <f>250+70</f>
        <v>320</v>
      </c>
      <c r="Y11" s="36">
        <f t="shared" ref="Y11" si="20">V11*U11+W11+X11</f>
        <v>4584.782608695652</v>
      </c>
      <c r="Z11" s="37" t="s">
        <v>38</v>
      </c>
      <c r="AA11" s="38">
        <v>50</v>
      </c>
      <c r="AB11" s="39">
        <v>1</v>
      </c>
      <c r="AC11" s="39">
        <v>1</v>
      </c>
      <c r="AD11" s="39">
        <v>1</v>
      </c>
      <c r="AE11" s="40">
        <f t="shared" ref="AE11" si="21">AA11</f>
        <v>50</v>
      </c>
      <c r="AF11" s="41">
        <f>(V11/50)*3.5</f>
        <v>28</v>
      </c>
      <c r="AG11" s="42">
        <f>2%*(Y11+AE11+AF11)</f>
        <v>93.255652173913049</v>
      </c>
      <c r="AH11" s="35">
        <f t="shared" ref="AH11" si="22">Y11+AE11+AF11+AG11</f>
        <v>4756.0382608695654</v>
      </c>
      <c r="AI11" s="43">
        <f t="shared" ref="AI11" si="23">AH11/V11</f>
        <v>11.890095652173914</v>
      </c>
      <c r="AJ11" s="44">
        <f t="shared" ref="AJ11" si="24">AI11*18%</f>
        <v>2.1402172173913043</v>
      </c>
      <c r="AK11" s="45">
        <f t="shared" ref="AK11" si="25">AI11+AJ11</f>
        <v>14.030312869565218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</row>
    <row r="13" spans="1:246" ht="20.25" customHeight="1">
      <c r="A13" s="5"/>
      <c r="B13" s="62" t="s">
        <v>0</v>
      </c>
      <c r="C13" s="63"/>
      <c r="D13" s="63"/>
      <c r="E13" s="63"/>
      <c r="F13" s="63"/>
      <c r="G13" s="63"/>
      <c r="H13" s="63"/>
      <c r="I13" s="63"/>
      <c r="J13" s="64"/>
      <c r="K13" s="3"/>
      <c r="L13" s="65" t="s">
        <v>1</v>
      </c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3"/>
      <c r="AC13" s="3"/>
      <c r="AD13" s="3"/>
      <c r="AE13" s="3"/>
      <c r="AF13" s="3"/>
      <c r="AG13" s="3"/>
      <c r="AH13" s="3"/>
      <c r="AI13" s="3"/>
    </row>
    <row r="14" spans="1:246" ht="74.25" customHeight="1">
      <c r="A14" s="5"/>
      <c r="B14" s="6" t="s">
        <v>2</v>
      </c>
      <c r="C14" s="7" t="s">
        <v>3</v>
      </c>
      <c r="D14" s="7" t="s">
        <v>4</v>
      </c>
      <c r="E14" s="7" t="s">
        <v>5</v>
      </c>
      <c r="F14" s="7" t="s">
        <v>6</v>
      </c>
      <c r="G14" s="8" t="s">
        <v>7</v>
      </c>
      <c r="H14" s="9" t="s">
        <v>8</v>
      </c>
      <c r="I14" s="10" t="s">
        <v>9</v>
      </c>
      <c r="J14" s="8" t="s">
        <v>7</v>
      </c>
      <c r="K14" s="66"/>
      <c r="L14" s="67"/>
      <c r="M14" s="11" t="s">
        <v>10</v>
      </c>
      <c r="N14" s="12" t="s">
        <v>11</v>
      </c>
      <c r="O14" s="12" t="s">
        <v>12</v>
      </c>
      <c r="P14" s="12"/>
      <c r="Q14" s="13" t="s">
        <v>13</v>
      </c>
      <c r="R14" s="14" t="s">
        <v>14</v>
      </c>
      <c r="S14" s="14" t="s">
        <v>15</v>
      </c>
      <c r="T14" s="14" t="s">
        <v>16</v>
      </c>
      <c r="U14" s="14" t="s">
        <v>17</v>
      </c>
      <c r="V14" s="14" t="s">
        <v>18</v>
      </c>
      <c r="W14" s="15" t="s">
        <v>19</v>
      </c>
      <c r="X14" s="11" t="s">
        <v>20</v>
      </c>
      <c r="Y14" s="16" t="s">
        <v>21</v>
      </c>
      <c r="Z14" s="17" t="s">
        <v>22</v>
      </c>
      <c r="AA14" s="18" t="s">
        <v>23</v>
      </c>
      <c r="AB14" s="18" t="s">
        <v>24</v>
      </c>
      <c r="AC14" s="18" t="s">
        <v>25</v>
      </c>
      <c r="AD14" s="18" t="s">
        <v>26</v>
      </c>
      <c r="AE14" s="19" t="s">
        <v>27</v>
      </c>
      <c r="AF14" s="11" t="s">
        <v>28</v>
      </c>
      <c r="AG14" s="11" t="s">
        <v>29</v>
      </c>
      <c r="AH14" s="20" t="s">
        <v>17</v>
      </c>
      <c r="AI14" s="21" t="s">
        <v>30</v>
      </c>
      <c r="AJ14" s="21" t="s">
        <v>31</v>
      </c>
      <c r="AK14" s="22" t="s">
        <v>32</v>
      </c>
    </row>
    <row r="15" spans="1:246" ht="212.25" customHeight="1">
      <c r="A15" s="23"/>
      <c r="B15" s="47">
        <v>1</v>
      </c>
      <c r="C15" s="68" t="s">
        <v>33</v>
      </c>
      <c r="D15" s="68"/>
      <c r="E15" s="48" t="s">
        <v>34</v>
      </c>
      <c r="F15" s="49">
        <v>24</v>
      </c>
      <c r="G15" s="50">
        <v>24.5</v>
      </c>
      <c r="H15" s="51" t="s">
        <v>35</v>
      </c>
      <c r="I15" s="52" t="s">
        <v>36</v>
      </c>
      <c r="J15" s="53">
        <f>F15*G15</f>
        <v>588</v>
      </c>
      <c r="K15" s="24"/>
      <c r="L15" s="25"/>
      <c r="M15" s="26" t="s">
        <v>37</v>
      </c>
      <c r="N15" s="27"/>
      <c r="O15" s="26"/>
      <c r="P15" s="28"/>
      <c r="Q15" s="29">
        <f>3+1.5+2.5</f>
        <v>7</v>
      </c>
      <c r="R15" s="30">
        <v>60</v>
      </c>
      <c r="S15" s="31">
        <f t="shared" ref="S15" si="26">Q15*R15/100</f>
        <v>4.2</v>
      </c>
      <c r="T15" s="32">
        <f t="shared" ref="T15" si="27">S15*V15</f>
        <v>100.80000000000001</v>
      </c>
      <c r="U15" s="33">
        <f t="shared" ref="U15" si="28">Q15+S15</f>
        <v>11.2</v>
      </c>
      <c r="V15" s="30">
        <f>F15</f>
        <v>24</v>
      </c>
      <c r="W15" s="34">
        <f>Q15*1</f>
        <v>7</v>
      </c>
      <c r="X15" s="35">
        <f>40+90</f>
        <v>130</v>
      </c>
      <c r="Y15" s="36">
        <f t="shared" ref="Y15" si="29">V15*U15+W15+X15</f>
        <v>405.79999999999995</v>
      </c>
      <c r="Z15" s="37" t="s">
        <v>38</v>
      </c>
      <c r="AA15" s="38">
        <v>50</v>
      </c>
      <c r="AB15" s="39">
        <v>1</v>
      </c>
      <c r="AC15" s="39">
        <v>1</v>
      </c>
      <c r="AD15" s="39">
        <v>1</v>
      </c>
      <c r="AE15" s="40">
        <f t="shared" ref="AE15" si="30">AA15</f>
        <v>50</v>
      </c>
      <c r="AF15" s="41">
        <v>15</v>
      </c>
      <c r="AG15" s="42">
        <f>5%*(Y15+AE15+AF15)</f>
        <v>23.54</v>
      </c>
      <c r="AH15" s="35">
        <f t="shared" ref="AH15" si="31">Y15+AE15+AF15+AG15</f>
        <v>494.34</v>
      </c>
      <c r="AI15" s="43">
        <f t="shared" ref="AI15" si="32">AH15/V15</f>
        <v>20.5975</v>
      </c>
      <c r="AJ15" s="44">
        <f t="shared" ref="AJ15" si="33">AI15*18%</f>
        <v>3.7075499999999999</v>
      </c>
      <c r="AK15" s="45">
        <f t="shared" ref="AK15" si="34">AI15+AJ15</f>
        <v>24.305050000000001</v>
      </c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</row>
    <row r="17" spans="1:246" ht="20.25" customHeight="1">
      <c r="A17" s="5"/>
      <c r="B17" s="62" t="s">
        <v>45</v>
      </c>
      <c r="C17" s="63"/>
      <c r="D17" s="63"/>
      <c r="E17" s="63"/>
      <c r="F17" s="63"/>
      <c r="G17" s="63"/>
      <c r="H17" s="63"/>
      <c r="I17" s="63"/>
      <c r="J17" s="64"/>
      <c r="K17" s="3"/>
      <c r="L17" s="65" t="s">
        <v>1</v>
      </c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3"/>
      <c r="AC17" s="3"/>
      <c r="AD17" s="3"/>
      <c r="AE17" s="3"/>
      <c r="AF17" s="3"/>
      <c r="AG17" s="3"/>
      <c r="AH17" s="3"/>
      <c r="AI17" s="3"/>
    </row>
    <row r="18" spans="1:246" ht="74.25" customHeight="1">
      <c r="A18" s="5"/>
      <c r="B18" s="6" t="s">
        <v>2</v>
      </c>
      <c r="C18" s="7" t="s">
        <v>3</v>
      </c>
      <c r="D18" s="7" t="s">
        <v>4</v>
      </c>
      <c r="E18" s="7" t="s">
        <v>5</v>
      </c>
      <c r="F18" s="7" t="s">
        <v>6</v>
      </c>
      <c r="G18" s="8" t="s">
        <v>7</v>
      </c>
      <c r="H18" s="9" t="s">
        <v>8</v>
      </c>
      <c r="I18" s="10" t="s">
        <v>9</v>
      </c>
      <c r="J18" s="8" t="s">
        <v>7</v>
      </c>
      <c r="K18" s="66" t="s">
        <v>46</v>
      </c>
      <c r="L18" s="67"/>
      <c r="M18" s="11" t="s">
        <v>10</v>
      </c>
      <c r="N18" s="12" t="s">
        <v>11</v>
      </c>
      <c r="O18" s="12" t="s">
        <v>12</v>
      </c>
      <c r="P18" s="12"/>
      <c r="Q18" s="13" t="s">
        <v>13</v>
      </c>
      <c r="R18" s="14" t="s">
        <v>14</v>
      </c>
      <c r="S18" s="14" t="s">
        <v>15</v>
      </c>
      <c r="T18" s="14" t="s">
        <v>16</v>
      </c>
      <c r="U18" s="14" t="s">
        <v>17</v>
      </c>
      <c r="V18" s="14" t="s">
        <v>18</v>
      </c>
      <c r="W18" s="15" t="s">
        <v>19</v>
      </c>
      <c r="X18" s="11" t="s">
        <v>20</v>
      </c>
      <c r="Y18" s="16" t="s">
        <v>21</v>
      </c>
      <c r="Z18" s="17" t="s">
        <v>22</v>
      </c>
      <c r="AA18" s="18" t="s">
        <v>23</v>
      </c>
      <c r="AB18" s="18" t="s">
        <v>24</v>
      </c>
      <c r="AC18" s="18" t="s">
        <v>25</v>
      </c>
      <c r="AD18" s="18" t="s">
        <v>26</v>
      </c>
      <c r="AE18" s="19" t="s">
        <v>27</v>
      </c>
      <c r="AF18" s="11" t="s">
        <v>28</v>
      </c>
      <c r="AG18" s="11" t="s">
        <v>29</v>
      </c>
      <c r="AH18" s="20" t="s">
        <v>17</v>
      </c>
      <c r="AI18" s="21" t="s">
        <v>30</v>
      </c>
      <c r="AJ18" s="21" t="s">
        <v>31</v>
      </c>
      <c r="AK18" s="22" t="s">
        <v>32</v>
      </c>
    </row>
    <row r="19" spans="1:246" ht="212.25" customHeight="1">
      <c r="A19" s="23"/>
      <c r="B19" s="47">
        <v>1</v>
      </c>
      <c r="C19" s="68" t="s">
        <v>47</v>
      </c>
      <c r="D19" s="68"/>
      <c r="E19" s="48" t="s">
        <v>34</v>
      </c>
      <c r="F19" s="49">
        <v>18500</v>
      </c>
      <c r="G19" s="50">
        <v>0.15</v>
      </c>
      <c r="H19" s="51" t="s">
        <v>48</v>
      </c>
      <c r="I19" s="52" t="s">
        <v>49</v>
      </c>
      <c r="J19" s="53">
        <f>F19*G19</f>
        <v>2775</v>
      </c>
      <c r="K19" s="24"/>
      <c r="L19" s="25"/>
      <c r="M19" s="61" t="s">
        <v>50</v>
      </c>
      <c r="N19" s="70" t="s">
        <v>51</v>
      </c>
      <c r="O19" s="71"/>
      <c r="P19" s="28"/>
      <c r="Q19" s="29">
        <f>1350/18500/1.15</f>
        <v>6.3454759106933031E-2</v>
      </c>
      <c r="R19" s="30">
        <v>50</v>
      </c>
      <c r="S19" s="31">
        <f t="shared" ref="S19:S20" si="35">Q19*R19/100</f>
        <v>3.1727379553466516E-2</v>
      </c>
      <c r="T19" s="32">
        <f t="shared" ref="T19:T20" si="36">S19*V19</f>
        <v>586.95652173913049</v>
      </c>
      <c r="U19" s="33">
        <f t="shared" ref="U19:U20" si="37">Q19+S19</f>
        <v>9.518213866039954E-2</v>
      </c>
      <c r="V19" s="30">
        <f>F19</f>
        <v>18500</v>
      </c>
      <c r="W19" s="34">
        <f>Q19*100+15</f>
        <v>21.345475910693303</v>
      </c>
      <c r="X19" s="35">
        <v>250</v>
      </c>
      <c r="Y19" s="36">
        <f t="shared" ref="Y19:Y20" si="38">V19*U19+W19+X19</f>
        <v>2032.2150411280847</v>
      </c>
      <c r="Z19" s="37" t="s">
        <v>52</v>
      </c>
      <c r="AA19" s="38">
        <v>0</v>
      </c>
      <c r="AB19" s="39">
        <v>1</v>
      </c>
      <c r="AC19" s="39">
        <v>1</v>
      </c>
      <c r="AD19" s="39">
        <v>1</v>
      </c>
      <c r="AE19" s="40">
        <f t="shared" ref="AE19:AE20" si="39">AA19</f>
        <v>0</v>
      </c>
      <c r="AF19" s="41">
        <f>3.5*20</f>
        <v>70</v>
      </c>
      <c r="AG19" s="42">
        <f t="shared" ref="AG19:AG20" si="40">1.5%*(Y19+AE19+AF19)</f>
        <v>31.533225616921268</v>
      </c>
      <c r="AH19" s="35">
        <f t="shared" ref="AH19:AH20" si="41">Y19+AE19+AF19+AG19</f>
        <v>2133.7482667450058</v>
      </c>
      <c r="AI19" s="43">
        <f t="shared" ref="AI19:AI20" si="42">AH19/V19</f>
        <v>0.11533774414837869</v>
      </c>
      <c r="AJ19" s="44">
        <f t="shared" ref="AJ19:AJ20" si="43">AI19*18%</f>
        <v>2.0760793946708163E-2</v>
      </c>
      <c r="AK19" s="45">
        <f t="shared" ref="AK19:AK20" si="44">AI19+AJ19</f>
        <v>0.13609853809508685</v>
      </c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</row>
    <row r="20" spans="1:246" ht="212.25" customHeight="1">
      <c r="A20" s="23"/>
      <c r="B20" s="47">
        <v>2</v>
      </c>
      <c r="C20" s="68" t="s">
        <v>53</v>
      </c>
      <c r="D20" s="68"/>
      <c r="E20" s="48" t="s">
        <v>34</v>
      </c>
      <c r="F20" s="49">
        <v>135</v>
      </c>
      <c r="G20" s="50">
        <v>5.5</v>
      </c>
      <c r="H20" s="51" t="s">
        <v>48</v>
      </c>
      <c r="I20" s="52" t="s">
        <v>54</v>
      </c>
      <c r="J20" s="53">
        <f>F20*G20</f>
        <v>742.5</v>
      </c>
      <c r="K20" s="24"/>
      <c r="L20" s="25"/>
      <c r="M20" s="61" t="s">
        <v>55</v>
      </c>
      <c r="N20" s="70" t="s">
        <v>56</v>
      </c>
      <c r="O20" s="71"/>
      <c r="P20" s="28"/>
      <c r="Q20" s="29">
        <f>300/135</f>
        <v>2.2222222222222223</v>
      </c>
      <c r="R20" s="30">
        <v>60</v>
      </c>
      <c r="S20" s="31">
        <f t="shared" si="35"/>
        <v>1.3333333333333335</v>
      </c>
      <c r="T20" s="32">
        <f t="shared" si="36"/>
        <v>180.00000000000003</v>
      </c>
      <c r="U20" s="33">
        <f t="shared" si="37"/>
        <v>3.5555555555555558</v>
      </c>
      <c r="V20" s="30">
        <f>F20</f>
        <v>135</v>
      </c>
      <c r="W20" s="34">
        <f>Q20*15+35</f>
        <v>68.333333333333343</v>
      </c>
      <c r="X20" s="35">
        <v>60</v>
      </c>
      <c r="Y20" s="36">
        <f t="shared" si="38"/>
        <v>608.33333333333337</v>
      </c>
      <c r="Z20" s="37" t="s">
        <v>52</v>
      </c>
      <c r="AA20" s="38">
        <v>0</v>
      </c>
      <c r="AB20" s="39">
        <v>1</v>
      </c>
      <c r="AC20" s="39">
        <v>1</v>
      </c>
      <c r="AD20" s="39">
        <v>1</v>
      </c>
      <c r="AE20" s="40">
        <f t="shared" si="39"/>
        <v>0</v>
      </c>
      <c r="AF20" s="41">
        <f>3.5*2</f>
        <v>7</v>
      </c>
      <c r="AG20" s="42">
        <f t="shared" si="40"/>
        <v>9.23</v>
      </c>
      <c r="AH20" s="35">
        <f t="shared" si="41"/>
        <v>624.56333333333339</v>
      </c>
      <c r="AI20" s="43">
        <f t="shared" si="42"/>
        <v>4.6263950617283953</v>
      </c>
      <c r="AJ20" s="44">
        <f t="shared" si="43"/>
        <v>0.83275111111111111</v>
      </c>
      <c r="AK20" s="45">
        <f t="shared" si="44"/>
        <v>5.4591461728395068</v>
      </c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</row>
    <row r="22" spans="1:246" ht="20.25" customHeight="1">
      <c r="A22" s="5"/>
      <c r="B22" s="62" t="s">
        <v>57</v>
      </c>
      <c r="C22" s="63"/>
      <c r="D22" s="63"/>
      <c r="E22" s="63"/>
      <c r="F22" s="63"/>
      <c r="G22" s="63"/>
      <c r="H22" s="63"/>
      <c r="I22" s="63"/>
      <c r="J22" s="64"/>
      <c r="K22" s="3"/>
      <c r="L22" s="65" t="s">
        <v>1</v>
      </c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3"/>
      <c r="AC22" s="3"/>
      <c r="AD22" s="3"/>
      <c r="AE22" s="3"/>
      <c r="AF22" s="3"/>
      <c r="AG22" s="3"/>
      <c r="AH22" s="3"/>
      <c r="AI22" s="3"/>
    </row>
    <row r="23" spans="1:246" ht="74.25" customHeight="1">
      <c r="A23" s="5"/>
      <c r="B23" s="6" t="s">
        <v>2</v>
      </c>
      <c r="C23" s="7" t="s">
        <v>3</v>
      </c>
      <c r="D23" s="7" t="s">
        <v>4</v>
      </c>
      <c r="E23" s="7" t="s">
        <v>5</v>
      </c>
      <c r="F23" s="7" t="s">
        <v>6</v>
      </c>
      <c r="G23" s="8" t="s">
        <v>7</v>
      </c>
      <c r="H23" s="9" t="s">
        <v>8</v>
      </c>
      <c r="I23" s="10" t="s">
        <v>9</v>
      </c>
      <c r="J23" s="8" t="s">
        <v>7</v>
      </c>
      <c r="K23" s="66" t="s">
        <v>58</v>
      </c>
      <c r="L23" s="67"/>
      <c r="M23" s="11" t="s">
        <v>10</v>
      </c>
      <c r="N23" s="12" t="s">
        <v>11</v>
      </c>
      <c r="O23" s="12" t="s">
        <v>12</v>
      </c>
      <c r="P23" s="12"/>
      <c r="Q23" s="13" t="s">
        <v>13</v>
      </c>
      <c r="R23" s="14" t="s">
        <v>14</v>
      </c>
      <c r="S23" s="14" t="s">
        <v>15</v>
      </c>
      <c r="T23" s="14" t="s">
        <v>16</v>
      </c>
      <c r="U23" s="14" t="s">
        <v>17</v>
      </c>
      <c r="V23" s="14" t="s">
        <v>18</v>
      </c>
      <c r="W23" s="15" t="s">
        <v>19</v>
      </c>
      <c r="X23" s="11" t="s">
        <v>20</v>
      </c>
      <c r="Y23" s="16" t="s">
        <v>21</v>
      </c>
      <c r="Z23" s="17" t="s">
        <v>22</v>
      </c>
      <c r="AA23" s="18" t="s">
        <v>23</v>
      </c>
      <c r="AB23" s="18" t="s">
        <v>24</v>
      </c>
      <c r="AC23" s="18" t="s">
        <v>25</v>
      </c>
      <c r="AD23" s="18" t="s">
        <v>26</v>
      </c>
      <c r="AE23" s="19" t="s">
        <v>27</v>
      </c>
      <c r="AF23" s="11" t="s">
        <v>28</v>
      </c>
      <c r="AG23" s="11" t="s">
        <v>29</v>
      </c>
      <c r="AH23" s="20" t="s">
        <v>17</v>
      </c>
      <c r="AI23" s="21" t="s">
        <v>30</v>
      </c>
      <c r="AJ23" s="21" t="s">
        <v>31</v>
      </c>
      <c r="AK23" s="22" t="s">
        <v>32</v>
      </c>
    </row>
    <row r="24" spans="1:246" ht="212.25" customHeight="1">
      <c r="A24" s="23"/>
      <c r="B24" s="47">
        <v>1</v>
      </c>
      <c r="C24" s="68" t="s">
        <v>59</v>
      </c>
      <c r="D24" s="68"/>
      <c r="E24" s="48" t="s">
        <v>34</v>
      </c>
      <c r="F24" s="49">
        <v>500</v>
      </c>
      <c r="G24" s="50">
        <v>10.25</v>
      </c>
      <c r="H24" s="51" t="s">
        <v>35</v>
      </c>
      <c r="I24" s="52" t="s">
        <v>60</v>
      </c>
      <c r="J24" s="53">
        <f>F24*G24</f>
        <v>5125</v>
      </c>
      <c r="K24" s="24"/>
      <c r="L24" s="25"/>
      <c r="M24" s="26" t="s">
        <v>61</v>
      </c>
      <c r="N24" s="27"/>
      <c r="O24" s="26" t="s">
        <v>62</v>
      </c>
      <c r="P24" s="28" t="s">
        <v>63</v>
      </c>
      <c r="Q24" s="29">
        <f>6.3/1.15</f>
        <v>5.4782608695652177</v>
      </c>
      <c r="R24" s="30">
        <v>40</v>
      </c>
      <c r="S24" s="31">
        <f t="shared" ref="S24:S25" si="45">Q24*R24/100</f>
        <v>2.1913043478260872</v>
      </c>
      <c r="T24" s="32">
        <f t="shared" ref="T24:T25" si="46">S24*V24</f>
        <v>1095.6521739130435</v>
      </c>
      <c r="U24" s="33">
        <f t="shared" ref="U24:U25" si="47">Q24+S24</f>
        <v>7.6695652173913054</v>
      </c>
      <c r="V24" s="30">
        <f>F24</f>
        <v>500</v>
      </c>
      <c r="W24" s="34">
        <f>Q24*5</f>
        <v>27.39130434782609</v>
      </c>
      <c r="X24" s="35">
        <f>200+120</f>
        <v>320</v>
      </c>
      <c r="Y24" s="36">
        <f t="shared" ref="Y24:Y25" si="48">V24*U24+W24+X24</f>
        <v>4182.173913043478</v>
      </c>
      <c r="Z24" s="37" t="s">
        <v>38</v>
      </c>
      <c r="AA24" s="38">
        <v>50</v>
      </c>
      <c r="AB24" s="39">
        <v>1</v>
      </c>
      <c r="AC24" s="39">
        <v>1</v>
      </c>
      <c r="AD24" s="39">
        <v>1</v>
      </c>
      <c r="AE24" s="40">
        <f t="shared" ref="AE24:AE25" si="49">AA24</f>
        <v>50</v>
      </c>
      <c r="AF24" s="41">
        <v>25</v>
      </c>
      <c r="AG24" s="42">
        <f t="shared" ref="AG24:AG25" si="50">1.5%*(Y24+AE24+AF24)</f>
        <v>63.857608695652168</v>
      </c>
      <c r="AH24" s="35">
        <f t="shared" ref="AH24:AH25" si="51">Y24+AE24+AF24+AG24</f>
        <v>4321.0315217391299</v>
      </c>
      <c r="AI24" s="43">
        <f t="shared" ref="AI24:AI25" si="52">AH24/V24</f>
        <v>8.6420630434782595</v>
      </c>
      <c r="AJ24" s="44">
        <f t="shared" ref="AJ24:AJ25" si="53">AI24*18%</f>
        <v>1.5555713478260866</v>
      </c>
      <c r="AK24" s="45">
        <f t="shared" ref="AK24:AK25" si="54">AI24+AJ24</f>
        <v>10.197634391304346</v>
      </c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</row>
    <row r="25" spans="1:246" ht="270.75" customHeight="1">
      <c r="A25" s="23"/>
      <c r="B25" s="54">
        <v>2</v>
      </c>
      <c r="C25" s="69" t="s">
        <v>64</v>
      </c>
      <c r="D25" s="69"/>
      <c r="E25" s="55" t="s">
        <v>34</v>
      </c>
      <c r="F25" s="56">
        <v>500</v>
      </c>
      <c r="G25" s="57">
        <v>2.29</v>
      </c>
      <c r="H25" s="58" t="s">
        <v>35</v>
      </c>
      <c r="I25" s="59" t="s">
        <v>65</v>
      </c>
      <c r="J25" s="60">
        <f>F25*G25</f>
        <v>1145</v>
      </c>
      <c r="K25" s="24"/>
      <c r="L25" s="25"/>
      <c r="M25" s="26" t="s">
        <v>66</v>
      </c>
      <c r="N25" s="27"/>
      <c r="O25" s="26" t="s">
        <v>67</v>
      </c>
      <c r="P25" s="28"/>
      <c r="Q25" s="29">
        <f>0.44/1.15</f>
        <v>0.38260869565217392</v>
      </c>
      <c r="R25" s="30">
        <v>80</v>
      </c>
      <c r="S25" s="31">
        <f t="shared" si="45"/>
        <v>0.30608695652173912</v>
      </c>
      <c r="T25" s="32">
        <f t="shared" si="46"/>
        <v>153.04347826086956</v>
      </c>
      <c r="U25" s="33">
        <f t="shared" si="47"/>
        <v>0.68869565217391304</v>
      </c>
      <c r="V25" s="30">
        <f>F25</f>
        <v>500</v>
      </c>
      <c r="W25" s="34">
        <f>Q25*30</f>
        <v>11.478260869565219</v>
      </c>
      <c r="X25" s="35">
        <f>150+100</f>
        <v>250</v>
      </c>
      <c r="Y25" s="36">
        <f t="shared" si="48"/>
        <v>605.82608695652175</v>
      </c>
      <c r="Z25" s="37" t="s">
        <v>38</v>
      </c>
      <c r="AA25" s="38">
        <v>300</v>
      </c>
      <c r="AB25" s="39">
        <v>1</v>
      </c>
      <c r="AC25" s="39">
        <v>1</v>
      </c>
      <c r="AD25" s="39">
        <v>1</v>
      </c>
      <c r="AE25" s="40">
        <f t="shared" si="49"/>
        <v>300</v>
      </c>
      <c r="AF25" s="41">
        <v>20</v>
      </c>
      <c r="AG25" s="42">
        <f t="shared" si="50"/>
        <v>13.887391304347826</v>
      </c>
      <c r="AH25" s="35">
        <f t="shared" si="51"/>
        <v>939.71347826086958</v>
      </c>
      <c r="AI25" s="43">
        <f t="shared" si="52"/>
        <v>1.8794269565217392</v>
      </c>
      <c r="AJ25" s="44">
        <f t="shared" si="53"/>
        <v>0.33829685217391303</v>
      </c>
      <c r="AK25" s="45">
        <f t="shared" si="54"/>
        <v>2.2177238086956521</v>
      </c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</row>
  </sheetData>
  <mergeCells count="27">
    <mergeCell ref="B22:J22"/>
    <mergeCell ref="L22:AA22"/>
    <mergeCell ref="K23:L23"/>
    <mergeCell ref="C24:D24"/>
    <mergeCell ref="C25:D25"/>
    <mergeCell ref="C4:D4"/>
    <mergeCell ref="C5:D5"/>
    <mergeCell ref="C6:D6"/>
    <mergeCell ref="B17:J17"/>
    <mergeCell ref="L17:AA17"/>
    <mergeCell ref="K18:L18"/>
    <mergeCell ref="C19:D19"/>
    <mergeCell ref="N19:O19"/>
    <mergeCell ref="C20:D20"/>
    <mergeCell ref="N20:O20"/>
    <mergeCell ref="K10:L10"/>
    <mergeCell ref="C11:D11"/>
    <mergeCell ref="B13:J13"/>
    <mergeCell ref="L13:AA13"/>
    <mergeCell ref="K14:L14"/>
    <mergeCell ref="C15:D15"/>
    <mergeCell ref="B2:J2"/>
    <mergeCell ref="L2:AA2"/>
    <mergeCell ref="K3:L3"/>
    <mergeCell ref="C7:D7"/>
    <mergeCell ref="B9:J9"/>
    <mergeCell ref="L9:AA9"/>
  </mergeCells>
  <phoneticPr fontId="22" type="noConversion"/>
  <pageMargins left="0.7" right="0.7" top="0.75" bottom="0.75" header="0.3" footer="0.3"/>
  <pageSetup paperSize="9"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COMERCIAL 4</dc:creator>
  <cp:keywords/>
  <dc:description/>
  <cp:lastModifiedBy>Mayra Rosa Flores Mays</cp:lastModifiedBy>
  <cp:revision/>
  <dcterms:created xsi:type="dcterms:W3CDTF">2015-06-05T18:19:34Z</dcterms:created>
  <dcterms:modified xsi:type="dcterms:W3CDTF">2026-05-02T18:25:20Z</dcterms:modified>
  <cp:category/>
  <cp:contentStatus/>
</cp:coreProperties>
</file>