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TRANSVIAL/BD Cotizaciones/2026/"/>
    </mc:Choice>
  </mc:AlternateContent>
  <xr:revisionPtr revIDLastSave="13" documentId="13_ncr:1_{44F5E101-CE0B-4F42-8C24-EB1F89639FED}" xr6:coauthVersionLast="47" xr6:coauthVersionMax="47" xr10:uidLastSave="{534688D6-33EC-4B78-B9DB-8EBCDA9DB5CE}"/>
  <bookViews>
    <workbookView xWindow="-120" yWindow="-120" windowWidth="29040" windowHeight="15720" activeTab="2" xr2:uid="{BD56D06B-21E9-4384-A208-1E3F36338B99}"/>
  </bookViews>
  <sheets>
    <sheet name="FEBRERO" sheetId="1" r:id="rId1"/>
    <sheet name="MAYO" sheetId="2" r:id="rId2"/>
    <sheet name="JUNIO" sheetId="3" r:id="rId3"/>
  </sheets>
  <externalReferences>
    <externalReference r:id="rId4"/>
    <externalReference r:id="rId5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3" l="1"/>
  <c r="W5" i="3" s="1"/>
  <c r="X8" i="3"/>
  <c r="X7" i="3"/>
  <c r="X6" i="3"/>
  <c r="X5" i="3"/>
  <c r="W6" i="3"/>
  <c r="W7" i="3"/>
  <c r="W8" i="3"/>
  <c r="AA6" i="3"/>
  <c r="AA7" i="3"/>
  <c r="AA8" i="3"/>
  <c r="AA5" i="3"/>
  <c r="AE5" i="3" l="1"/>
  <c r="V5" i="3"/>
  <c r="AF5" i="3" s="1"/>
  <c r="S5" i="3" l="1"/>
  <c r="T5" i="3" s="1"/>
  <c r="Q6" i="3"/>
  <c r="U5" i="3" l="1"/>
  <c r="Y5" i="3" s="1"/>
  <c r="AG5" i="3" s="1"/>
  <c r="AH5" i="3" s="1"/>
  <c r="AI5" i="3" s="1"/>
  <c r="AE7" i="3"/>
  <c r="V7" i="3"/>
  <c r="AF7" i="3" s="1"/>
  <c r="AE8" i="3"/>
  <c r="V8" i="3"/>
  <c r="AF8" i="3" s="1"/>
  <c r="AE6" i="3"/>
  <c r="V6" i="3"/>
  <c r="AF6" i="3" s="1"/>
  <c r="Q5" i="2"/>
  <c r="S5" i="2" s="1"/>
  <c r="T5" i="2" s="1"/>
  <c r="AF5" i="2"/>
  <c r="AE5" i="2"/>
  <c r="V5" i="2"/>
  <c r="AF4" i="1"/>
  <c r="X4" i="1"/>
  <c r="W4" i="1"/>
  <c r="AE4" i="1"/>
  <c r="V4" i="1"/>
  <c r="S4" i="1"/>
  <c r="J4" i="1"/>
  <c r="X8" i="1"/>
  <c r="Q8" i="1"/>
  <c r="S8" i="1" s="1"/>
  <c r="AE8" i="1"/>
  <c r="V8" i="1"/>
  <c r="AF8" i="1" s="1"/>
  <c r="J8" i="1"/>
  <c r="Q12" i="1"/>
  <c r="W12" i="1"/>
  <c r="X12" i="1"/>
  <c r="AE12" i="1"/>
  <c r="V12" i="1"/>
  <c r="AF12" i="1" s="1"/>
  <c r="J5" i="3" l="1"/>
  <c r="L5" i="3" s="1"/>
  <c r="AJ5" i="3"/>
  <c r="AK5" i="3" s="1"/>
  <c r="S7" i="3"/>
  <c r="T7" i="3" s="1"/>
  <c r="S8" i="3"/>
  <c r="T8" i="3" s="1"/>
  <c r="S6" i="3"/>
  <c r="T6" i="3" s="1"/>
  <c r="W5" i="2"/>
  <c r="U5" i="2"/>
  <c r="Y5" i="2" s="1"/>
  <c r="AG5" i="2" s="1"/>
  <c r="T4" i="1"/>
  <c r="L4" i="1" s="1"/>
  <c r="U4" i="1"/>
  <c r="U8" i="1"/>
  <c r="T8" i="1"/>
  <c r="L8" i="1" s="1"/>
  <c r="W8" i="1"/>
  <c r="S12" i="1"/>
  <c r="T12" i="1" s="1"/>
  <c r="U7" i="3" l="1"/>
  <c r="Y7" i="3" s="1"/>
  <c r="AG7" i="3" s="1"/>
  <c r="AH7" i="3" s="1"/>
  <c r="AI7" i="3" s="1"/>
  <c r="U6" i="3"/>
  <c r="Y6" i="3" s="1"/>
  <c r="AG6" i="3" s="1"/>
  <c r="AH6" i="3" s="1"/>
  <c r="AI6" i="3" s="1"/>
  <c r="J6" i="3" s="1"/>
  <c r="L6" i="3" s="1"/>
  <c r="U8" i="3"/>
  <c r="Y8" i="3" s="1"/>
  <c r="AG8" i="3" s="1"/>
  <c r="AH8" i="3" s="1"/>
  <c r="AI8" i="3" s="1"/>
  <c r="AH5" i="2"/>
  <c r="AI5" i="2" s="1"/>
  <c r="J5" i="2" s="1"/>
  <c r="L5" i="2" s="1"/>
  <c r="Y4" i="1"/>
  <c r="AG4" i="1" s="1"/>
  <c r="AH4" i="1" s="1"/>
  <c r="AI4" i="1" s="1"/>
  <c r="Y8" i="1"/>
  <c r="AG8" i="1"/>
  <c r="AH8" i="1" s="1"/>
  <c r="AI8" i="1" s="1"/>
  <c r="U12" i="1"/>
  <c r="Y12" i="1" s="1"/>
  <c r="AG12" i="1" s="1"/>
  <c r="AH12" i="1" s="1"/>
  <c r="AI12" i="1" s="1"/>
  <c r="J12" i="1" s="1"/>
  <c r="L12" i="1" s="1"/>
  <c r="J8" i="3" l="1"/>
  <c r="L8" i="3" s="1"/>
  <c r="AJ7" i="3"/>
  <c r="AK7" i="3" s="1"/>
  <c r="AJ8" i="3"/>
  <c r="AK8" i="3" s="1"/>
  <c r="AJ6" i="3"/>
  <c r="AK6" i="3" s="1"/>
  <c r="AJ5" i="2"/>
  <c r="AK5" i="2" s="1"/>
  <c r="AJ4" i="1"/>
  <c r="AK4" i="1" s="1"/>
  <c r="AJ8" i="1"/>
  <c r="AK8" i="1" s="1"/>
  <c r="AJ12" i="1"/>
  <c r="AK12" i="1" s="1"/>
  <c r="J7" i="3" l="1"/>
  <c r="L7" i="3" s="1"/>
</calcChain>
</file>

<file path=xl/sharedStrings.xml><?xml version="1.0" encoding="utf-8"?>
<sst xmlns="http://schemas.openxmlformats.org/spreadsheetml/2006/main" count="236" uniqueCount="72">
  <si>
    <t>Nº</t>
  </si>
  <si>
    <t>Cód. Artíc.</t>
  </si>
  <si>
    <t>Artículo</t>
  </si>
  <si>
    <t>Foto</t>
  </si>
  <si>
    <t xml:space="preserve">Cant. </t>
  </si>
  <si>
    <t>Costo Unit. (S/.) NO Incl. IGV</t>
  </si>
  <si>
    <t xml:space="preserve">Tiempo Entrega </t>
  </si>
  <si>
    <t>Detalles</t>
  </si>
  <si>
    <t>Costo Total. (S/.) NO Incl. IGV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</si>
  <si>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</si>
  <si>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</si>
  <si>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</si>
  <si>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</si>
  <si>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</si>
  <si>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</si>
  <si>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</si>
  <si>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</si>
  <si>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</si>
  <si>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</si>
  <si>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</si>
  <si>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</si>
  <si>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</si>
  <si>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</si>
  <si>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</si>
  <si>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</si>
  <si>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</si>
  <si>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</si>
  <si>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</si>
  <si>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</si>
  <si>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</si>
  <si>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</si>
  <si>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</si>
  <si>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</si>
  <si>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KIT DIA DE LA MUJER</t>
  </si>
  <si>
    <t>CASA HUAMANI
/
TARJETA
IMPRESIONES GRAFICAS GENERALES
/
TAILOY 
/
COMPINA</t>
  </si>
  <si>
    <t>AYUDAME ACA ESA CAJA</t>
  </si>
  <si>
    <t>CASA HUAMANI
S/.15 incluido IGV
/
IMPRESIONES GRAFICAS GENERALES
Tarjeta
S/.1.11 incluido IGV
/
TAILOY  
Papel seda
S/.1,3  Incluido IGV
/
COMPINA
Servicio de Armado
S/.2 + IGV</t>
  </si>
  <si>
    <t>Imagen referencial</t>
  </si>
  <si>
    <t>COTIZACIÓN PROPUESTA_TRANSVIAL_26.02.26</t>
  </si>
  <si>
    <t>5 a 7 Días útiles</t>
  </si>
  <si>
    <r>
      <rPr>
        <b/>
        <u/>
        <sz val="14"/>
        <color rgb="FF000000"/>
        <rFont val="Arial"/>
        <family val="2"/>
      </rPr>
      <t>KIT DIA DE LA MUJER</t>
    </r>
    <r>
      <rPr>
        <sz val="14"/>
        <color indexed="8"/>
        <rFont val="Arial"/>
        <family val="2"/>
      </rPr>
      <t xml:space="preserve">
</t>
    </r>
    <r>
      <rPr>
        <b/>
        <sz val="14"/>
        <color rgb="FF000000"/>
        <rFont val="Arial"/>
        <family val="2"/>
      </rPr>
      <t>Mug Termico</t>
    </r>
    <r>
      <rPr>
        <sz val="14"/>
        <color indexed="8"/>
        <rFont val="Arial"/>
        <family val="2"/>
      </rPr>
      <t xml:space="preserve">
Material: Acero 304 y tapa plastica, Doble pared
Capacidad: 11 onzas o 330 ml
Color: Lila
</t>
    </r>
    <r>
      <rPr>
        <b/>
        <sz val="14"/>
        <color rgb="FFFF0000"/>
        <rFont val="Arial"/>
        <family val="2"/>
      </rPr>
      <t xml:space="preserve">Incluye logo Transvial +  Nombre personalizado.
</t>
    </r>
    <r>
      <rPr>
        <b/>
        <sz val="14"/>
        <color rgb="FF000000"/>
        <rFont val="Arial"/>
        <family val="2"/>
      </rPr>
      <t>Tarjeta</t>
    </r>
    <r>
      <rPr>
        <sz val="14"/>
        <color indexed="8"/>
        <rFont val="Arial"/>
        <family val="2"/>
      </rPr>
      <t xml:space="preserve">
Material puede ser couche 300 grs. Incluye impresión tira y retira, corte recto.
Medida: A6 
</t>
    </r>
    <r>
      <rPr>
        <b/>
        <sz val="14"/>
        <color rgb="FF000000"/>
        <rFont val="Arial"/>
        <family val="2"/>
      </rPr>
      <t>Papel Seda</t>
    </r>
    <r>
      <rPr>
        <sz val="14"/>
        <color indexed="8"/>
        <rFont val="Arial"/>
        <family val="2"/>
      </rPr>
      <t xml:space="preserve">
Papel delgado fino y suave
Color: Lila
</t>
    </r>
    <r>
      <rPr>
        <b/>
        <sz val="14"/>
        <color rgb="FF000000"/>
        <rFont val="Arial"/>
        <family val="2"/>
      </rPr>
      <t>Caja de presentación Cubo</t>
    </r>
    <r>
      <rPr>
        <sz val="14"/>
        <color indexed="8"/>
        <rFont val="Arial"/>
        <family val="2"/>
      </rPr>
      <t xml:space="preserve">
</t>
    </r>
    <r>
      <rPr>
        <sz val="14"/>
        <color rgb="FF000000"/>
        <rFont val="Arial"/>
        <family val="2"/>
      </rPr>
      <t xml:space="preserve">Caja microcorrugada de 15 x 15 x 15 cm.
Color: Natural
Incluye logo a 1 color a 1 lado en la tapa (opcional)
</t>
    </r>
    <r>
      <rPr>
        <sz val="14"/>
        <color indexed="8"/>
        <rFont val="Arial"/>
        <family val="2"/>
      </rPr>
      <t xml:space="preserve">Presentación: Grupal
</t>
    </r>
    <r>
      <rPr>
        <b/>
        <sz val="14"/>
        <color rgb="FFFF0000"/>
        <rFont val="Arial"/>
        <family val="2"/>
      </rPr>
      <t>*Incluye servicio de armado
*Diseño o arte debe ser facilitado por el cliente.</t>
    </r>
  </si>
  <si>
    <t>EDILBERTO</t>
  </si>
  <si>
    <t xml:space="preserve">Imagen Referencial </t>
  </si>
  <si>
    <t xml:space="preserve">MOCHILA BASIC ARANGO </t>
  </si>
  <si>
    <t xml:space="preserve">
S/.20  Incluido IGV
</t>
  </si>
  <si>
    <t>COTIZACIÓN PROPUESTA_TRANSVIAL_27.05.26</t>
  </si>
  <si>
    <t>14 a 16 Días útiles</t>
  </si>
  <si>
    <r>
      <rPr>
        <b/>
        <u/>
        <sz val="14"/>
        <color rgb="FF000000"/>
        <rFont val="Arial"/>
        <family val="2"/>
      </rPr>
      <t xml:space="preserve">MOCHILA BASIC ARANGO </t>
    </r>
    <r>
      <rPr>
        <sz val="14"/>
        <color indexed="8"/>
        <rFont val="Arial"/>
        <family val="2"/>
      </rPr>
      <t xml:space="preserve">
Material: Tetron kodra (sin portalaptop)
cintas y accesorios
Medida: 40 cm de alto - 28 cm ancho y 14 cm fuelle
Compartimientos: 1 compartimento principal forrado interiormente con tafeta negra (solo espalda y delantero)
Espalda acolchada con corcho
1 bolsillo delantero con cierre negro
Asa de cinta colgadora
Asas acolchadas
2 bolsillos laterales de malla para tomatodo
Cierre: Nylon #8
Color: Negro
Cortesia: Tarjeta 9 x 5 cm full color ambos lados
Presentación: Embolsado individual, empaque plástico grupal.
</t>
    </r>
    <r>
      <rPr>
        <b/>
        <sz val="14"/>
        <color rgb="FFFF0000"/>
        <rFont val="Arial"/>
        <family val="2"/>
      </rPr>
      <t>*Incluye 1 logo estampado a 1 color por 1 lado
*Diseño o arte debe ser facilitado por el cliente.</t>
    </r>
  </si>
  <si>
    <t>COIF-FB-6002</t>
  </si>
  <si>
    <t xml:space="preserve">MOCHILA DE LONA </t>
  </si>
  <si>
    <t>IMPORTACIONES FACUNDO</t>
  </si>
  <si>
    <t>FB-6002</t>
  </si>
  <si>
    <t>MOCHILA PLEGABLE MULTIFUNCION 3 EN 1</t>
  </si>
  <si>
    <t>COIF-FB-6001</t>
  </si>
  <si>
    <t xml:space="preserve">
S/.18  Incluido IGV
</t>
  </si>
  <si>
    <t>FB-6001
NO HAY NEGRO</t>
  </si>
  <si>
    <t xml:space="preserve">
S/.20.24  Incluido IGV
Precio me dio Proveedor mdirecto
</t>
  </si>
  <si>
    <t>MOCHILA PORTALAPTOP- IMPORTADO</t>
  </si>
  <si>
    <t>COPP-TX-151</t>
  </si>
  <si>
    <t>TX-151</t>
  </si>
  <si>
    <t xml:space="preserve">
S/.30 + IGV
</t>
  </si>
  <si>
    <t>DFT</t>
  </si>
  <si>
    <t xml:space="preserve">PROMOS PERU
ITEC </t>
  </si>
  <si>
    <r>
      <rPr>
        <b/>
        <u/>
        <sz val="14"/>
        <color rgb="FF000000"/>
        <rFont val="Arial"/>
        <family val="2"/>
      </rPr>
      <t>MOCHILA CRUZADA</t>
    </r>
    <r>
      <rPr>
        <sz val="14"/>
        <color indexed="8"/>
        <rFont val="Arial"/>
        <family val="2"/>
      </rPr>
      <t xml:space="preserve">
Tamaño: 28 cm. altura, 17 cm.  ancho, 8 cm. fuelle
Capacidad: 20 L
Peso: 550 gr.
Material: PU
Color: Negro
Presentación: Embolsado individual, empaque plástico grupal.
</t>
    </r>
    <r>
      <rPr>
        <b/>
        <sz val="14"/>
        <color rgb="FFFF0000"/>
        <rFont val="Arial"/>
        <family val="2"/>
      </rPr>
      <t>* Incluye 1 logo  estampado en DTF full color en la parte frontal
*Diseño o arte debe ser facilitado por el cliente.</t>
    </r>
  </si>
  <si>
    <t>MOCHILA CRUZADA</t>
  </si>
  <si>
    <t>COIT-WBACK22</t>
  </si>
  <si>
    <t>8 a 10 Días útiles</t>
  </si>
  <si>
    <r>
      <rPr>
        <b/>
        <u/>
        <sz val="14"/>
        <color rgb="FF000000"/>
        <rFont val="Arial"/>
        <family val="2"/>
      </rPr>
      <t>MOCHILA PORTALAPTOP- IMPORTADO</t>
    </r>
    <r>
      <rPr>
        <u/>
        <sz val="14"/>
        <color indexed="8"/>
        <rFont val="Arial"/>
        <family val="2"/>
      </rPr>
      <t xml:space="preserve">
</t>
    </r>
    <r>
      <rPr>
        <sz val="14"/>
        <color rgb="FF000000"/>
        <rFont val="Arial"/>
        <family val="2"/>
      </rPr>
      <t xml:space="preserve">MOCHILA CON ADAPTADOR USB PARA CONECTAR CABLE (USO OPCIONAL)
MATERIAL: NYLON IMPORTADO IMPERMEABLE  PRESENTACION: POLYBAG  
DIMENSIONES:  40x29x10.5 (base) cm
Color: Negro y gris
Presentación: Embolsado individual, empaque plástico grupal.
</t>
    </r>
    <r>
      <rPr>
        <b/>
        <sz val="14"/>
        <color rgb="FFFF0000"/>
        <rFont val="Arial"/>
        <family val="2"/>
      </rPr>
      <t>* Incluye 1 logo  estampado en DTF full color en la parte frontal
*Diseño o arte debe ser facilitado por el cliente.</t>
    </r>
  </si>
  <si>
    <r>
      <rPr>
        <b/>
        <u/>
        <sz val="14"/>
        <color rgb="FF000000"/>
        <rFont val="Arial"/>
        <family val="2"/>
      </rPr>
      <t xml:space="preserve">MOCHILA DE LONA </t>
    </r>
    <r>
      <rPr>
        <sz val="14"/>
        <color indexed="8"/>
        <rFont val="Arial"/>
        <family val="2"/>
      </rPr>
      <t xml:space="preserve">
Material: Poliéster 230T
Medida: 40 x 30 cm
Color: Negro, azul, gris
Presentación: Embolsado individual, empaque plástico grupal.
</t>
    </r>
    <r>
      <rPr>
        <b/>
        <sz val="14"/>
        <color rgb="FFFF0000"/>
        <rFont val="Arial"/>
        <family val="2"/>
      </rPr>
      <t>* Incluye 1 logo  estampado en DTF full color en la parte frontal
*Diseño o arte debe ser facilitado por el cliente.</t>
    </r>
  </si>
  <si>
    <r>
      <rPr>
        <b/>
        <u/>
        <sz val="14"/>
        <color rgb="FF000000"/>
        <rFont val="Arial"/>
        <family val="2"/>
      </rPr>
      <t>MOCHILA PLEGABLE MULTIFUNCIÓN 3 EN 1</t>
    </r>
    <r>
      <rPr>
        <sz val="14"/>
        <color indexed="8"/>
        <rFont val="Arial"/>
        <family val="2"/>
      </rPr>
      <t xml:space="preserve">
Material: Poliéster 230T
Medidas mochila: 44 x 35 cm
Medidas cartera: 23 x 33 cm
Medidas cartuchera: 17 x 23 cm
Color: Gris y rojo
Presentación: Embolsado individual, empaque plástico grupal.
</t>
    </r>
    <r>
      <rPr>
        <b/>
        <sz val="14"/>
        <color rgb="FFFF0000"/>
        <rFont val="Arial"/>
        <family val="2"/>
      </rPr>
      <t>* Incluye 1 logo  estampado en DTF full color en la parte frontal
*Diseño o arte debe ser facilitado por el cliente.</t>
    </r>
  </si>
  <si>
    <t>COTIZACIÓN PROPUESTA_TRANSVIAL_01.06.26</t>
  </si>
  <si>
    <t>ITEC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</si>
</sst>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S/.&quot;\ #,##0.00"/>
    <numFmt numFmtId="165" formatCode="[$S/.-280A]\ #,##0.00"/>
    <numFmt numFmtId="166" formatCode="&quot;€&quot;\ #,##0.00"/>
    <numFmt numFmtId="167" formatCode="[$$-2C0A]\ #,##0.00"/>
    <numFmt numFmtId="168" formatCode="_-[$$-409]* #,##0.00_ ;_-[$$-409]* \-#,##0.00\ ;_-[$$-409]* &quot;-&quot;??_ ;_-@_ "/>
    <numFmt numFmtId="169" formatCode="_(* #,##0_);_(* \(#,##0\);_(* &quot;-&quot;??_);_(@_)"/>
  </numFmts>
  <fonts count="32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name val="Arial"/>
      <family val="2"/>
      <charset val="1"/>
    </font>
    <font>
      <b/>
      <sz val="16"/>
      <color rgb="FF000000"/>
      <name val="Arial"/>
      <family val="2"/>
      <charset val="1"/>
    </font>
    <font>
      <sz val="16"/>
      <color rgb="FF000000"/>
      <name val="Arial"/>
      <family val="2"/>
      <charset val="1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b/>
      <sz val="12"/>
      <color rgb="FFFFFFFF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16"/>
      <name val="Arial"/>
      <family val="2"/>
    </font>
    <font>
      <b/>
      <sz val="16"/>
      <color theme="1"/>
      <name val="Arial"/>
      <family val="2"/>
    </font>
    <font>
      <b/>
      <sz val="16"/>
      <color rgb="FFFF0000"/>
      <name val="Arial"/>
      <family val="2"/>
    </font>
    <font>
      <b/>
      <sz val="18"/>
      <name val="Arial"/>
      <family val="2"/>
    </font>
    <font>
      <sz val="16"/>
      <color indexed="8"/>
      <name val="Arial"/>
      <family val="2"/>
    </font>
    <font>
      <sz val="16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10"/>
      <name val="Arial"/>
      <family val="2"/>
    </font>
    <font>
      <sz val="16"/>
      <color theme="2"/>
      <name val="Arial"/>
      <family val="2"/>
    </font>
    <font>
      <u/>
      <sz val="14"/>
      <color indexed="8"/>
      <name val="Arial"/>
      <family val="2"/>
    </font>
    <font>
      <b/>
      <u/>
      <sz val="14"/>
      <color rgb="FF000000"/>
      <name val="Arial"/>
      <family val="2"/>
    </font>
    <font>
      <sz val="14"/>
      <color indexed="8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indexed="51"/>
        <bgColor indexed="8"/>
      </patternFill>
    </fill>
    <fill>
      <patternFill patternType="solid">
        <fgColor rgb="FF003366"/>
        <bgColor rgb="FF333399"/>
      </patternFill>
    </fill>
    <fill>
      <patternFill patternType="solid">
        <fgColor rgb="FFFFFF00"/>
        <bgColor rgb="FFFFCC00"/>
      </patternFill>
    </fill>
    <fill>
      <patternFill patternType="solid">
        <fgColor rgb="FFFFC000"/>
        <bgColor rgb="FFFFCC00"/>
      </patternFill>
    </fill>
    <fill>
      <patternFill patternType="solid">
        <fgColor rgb="FFFF0000"/>
        <bgColor rgb="FFC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8" fillId="0" borderId="0"/>
    <xf numFmtId="0" fontId="2" fillId="0" borderId="0"/>
    <xf numFmtId="168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64">
    <xf numFmtId="0" fontId="0" fillId="0" borderId="0" xfId="0"/>
    <xf numFmtId="0" fontId="4" fillId="0" borderId="0" xfId="1" applyFont="1"/>
    <xf numFmtId="0" fontId="6" fillId="0" borderId="0" xfId="1" applyFont="1" applyAlignment="1">
      <alignment horizontal="center" vertical="center" wrapText="1"/>
    </xf>
    <xf numFmtId="0" fontId="4" fillId="2" borderId="0" xfId="1" applyFont="1" applyFill="1"/>
    <xf numFmtId="0" fontId="4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center"/>
    </xf>
    <xf numFmtId="0" fontId="4" fillId="2" borderId="0" xfId="1" applyFont="1" applyFill="1" applyAlignment="1">
      <alignment wrapText="1"/>
    </xf>
    <xf numFmtId="0" fontId="9" fillId="3" borderId="1" xfId="2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 wrapText="1"/>
    </xf>
    <xf numFmtId="0" fontId="10" fillId="4" borderId="3" xfId="1" applyFont="1" applyFill="1" applyBorder="1" applyAlignment="1">
      <alignment horizontal="center" vertical="center" wrapText="1"/>
    </xf>
    <xf numFmtId="0" fontId="11" fillId="5" borderId="4" xfId="1" applyFont="1" applyFill="1" applyBorder="1" applyAlignment="1">
      <alignment horizontal="center" vertical="center" wrapText="1"/>
    </xf>
    <xf numFmtId="0" fontId="11" fillId="5" borderId="2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1" fillId="5" borderId="3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 wrapText="1"/>
    </xf>
    <xf numFmtId="0" fontId="11" fillId="6" borderId="4" xfId="1" applyFont="1" applyFill="1" applyBorder="1" applyAlignment="1">
      <alignment horizontal="center" vertical="center" wrapText="1"/>
    </xf>
    <xf numFmtId="0" fontId="11" fillId="6" borderId="2" xfId="1" applyFont="1" applyFill="1" applyBorder="1" applyAlignment="1">
      <alignment horizontal="center" vertical="center" wrapText="1"/>
    </xf>
    <xf numFmtId="0" fontId="11" fillId="6" borderId="3" xfId="1" applyFont="1" applyFill="1" applyBorder="1" applyAlignment="1">
      <alignment horizontal="center" vertical="center" wrapText="1"/>
    </xf>
    <xf numFmtId="0" fontId="10" fillId="7" borderId="4" xfId="1" applyFont="1" applyFill="1" applyBorder="1" applyAlignment="1">
      <alignment horizontal="center" vertical="center" wrapText="1"/>
    </xf>
    <xf numFmtId="0" fontId="10" fillId="7" borderId="2" xfId="1" applyFont="1" applyFill="1" applyBorder="1" applyAlignment="1">
      <alignment horizontal="center" vertical="center" wrapText="1"/>
    </xf>
    <xf numFmtId="9" fontId="10" fillId="7" borderId="3" xfId="1" applyNumberFormat="1" applyFont="1" applyFill="1" applyBorder="1" applyAlignment="1">
      <alignment horizontal="center" vertical="center"/>
    </xf>
    <xf numFmtId="0" fontId="13" fillId="0" borderId="0" xfId="1" applyFont="1" applyFill="1" applyBorder="1" applyAlignment="1">
      <alignment horizontal="center" wrapText="1"/>
    </xf>
    <xf numFmtId="0" fontId="4" fillId="0" borderId="0" xfId="1" applyFont="1" applyFill="1" applyBorder="1"/>
    <xf numFmtId="0" fontId="14" fillId="0" borderId="0" xfId="1" applyFont="1" applyFill="1" applyBorder="1" applyAlignment="1">
      <alignment horizontal="center" wrapText="1"/>
    </xf>
    <xf numFmtId="0" fontId="19" fillId="8" borderId="1" xfId="2" applyFont="1" applyFill="1" applyBorder="1" applyAlignment="1">
      <alignment horizontal="center" vertical="center" wrapText="1"/>
    </xf>
    <xf numFmtId="0" fontId="21" fillId="9" borderId="1" xfId="2" applyFont="1" applyFill="1" applyBorder="1" applyAlignment="1">
      <alignment horizontal="center" vertical="center"/>
    </xf>
    <xf numFmtId="165" fontId="19" fillId="10" borderId="1" xfId="2" applyNumberFormat="1" applyFont="1" applyFill="1" applyBorder="1" applyAlignment="1">
      <alignment horizontal="center" vertical="center"/>
    </xf>
    <xf numFmtId="164" fontId="19" fillId="10" borderId="1" xfId="2" applyNumberFormat="1" applyFont="1" applyFill="1" applyBorder="1" applyAlignment="1">
      <alignment horizontal="center" vertical="center"/>
    </xf>
    <xf numFmtId="164" fontId="23" fillId="12" borderId="1" xfId="2" applyNumberFormat="1" applyFont="1" applyFill="1" applyBorder="1" applyAlignment="1">
      <alignment horizontal="center" vertical="center"/>
    </xf>
    <xf numFmtId="164" fontId="19" fillId="13" borderId="1" xfId="2" applyNumberFormat="1" applyFont="1" applyFill="1" applyBorder="1" applyAlignment="1">
      <alignment horizontal="center" vertical="center" wrapText="1"/>
    </xf>
    <xf numFmtId="0" fontId="19" fillId="11" borderId="1" xfId="2" applyFont="1" applyFill="1" applyBorder="1" applyAlignment="1">
      <alignment horizontal="center" vertical="center"/>
    </xf>
    <xf numFmtId="164" fontId="23" fillId="9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5" fillId="0" borderId="0" xfId="5" applyFont="1"/>
    <xf numFmtId="0" fontId="16" fillId="0" borderId="1" xfId="0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 wrapText="1"/>
    </xf>
    <xf numFmtId="164" fontId="18" fillId="0" borderId="1" xfId="2" applyNumberFormat="1" applyFont="1" applyBorder="1" applyAlignment="1">
      <alignment horizontal="center" vertical="center" wrapText="1"/>
    </xf>
    <xf numFmtId="166" fontId="15" fillId="0" borderId="0" xfId="5" applyNumberFormat="1" applyFont="1" applyAlignment="1">
      <alignment horizontal="center" vertical="center"/>
    </xf>
    <xf numFmtId="0" fontId="23" fillId="0" borderId="0" xfId="0" applyFont="1"/>
    <xf numFmtId="165" fontId="23" fillId="0" borderId="1" xfId="2" applyNumberFormat="1" applyFont="1" applyBorder="1" applyAlignment="1">
      <alignment horizontal="center" vertical="center"/>
    </xf>
    <xf numFmtId="164" fontId="22" fillId="10" borderId="1" xfId="2" applyNumberFormat="1" applyFont="1" applyFill="1" applyBorder="1" applyAlignment="1">
      <alignment horizontal="center" vertical="center"/>
    </xf>
    <xf numFmtId="0" fontId="21" fillId="15" borderId="1" xfId="2" applyFont="1" applyFill="1" applyBorder="1" applyAlignment="1">
      <alignment horizontal="center" vertical="center"/>
    </xf>
    <xf numFmtId="164" fontId="23" fillId="0" borderId="1" xfId="2" applyNumberFormat="1" applyFont="1" applyBorder="1" applyAlignment="1">
      <alignment horizontal="center" vertical="center"/>
    </xf>
    <xf numFmtId="164" fontId="24" fillId="0" borderId="1" xfId="2" applyNumberFormat="1" applyFont="1" applyBorder="1" applyAlignment="1">
      <alignment horizontal="center" vertical="center" wrapText="1"/>
    </xf>
    <xf numFmtId="164" fontId="15" fillId="0" borderId="1" xfId="2" applyNumberFormat="1" applyFont="1" applyBorder="1" applyAlignment="1">
      <alignment horizontal="center" vertical="center" wrapText="1"/>
    </xf>
    <xf numFmtId="164" fontId="19" fillId="0" borderId="1" xfId="2" applyNumberFormat="1" applyFont="1" applyBorder="1" applyAlignment="1">
      <alignment horizontal="center" vertical="center"/>
    </xf>
    <xf numFmtId="164" fontId="20" fillId="0" borderId="1" xfId="2" applyNumberFormat="1" applyFont="1" applyBorder="1" applyAlignment="1">
      <alignment horizontal="center" vertical="center"/>
    </xf>
    <xf numFmtId="49" fontId="15" fillId="8" borderId="1" xfId="2" applyNumberFormat="1" applyFont="1" applyFill="1" applyBorder="1" applyAlignment="1">
      <alignment horizontal="center" vertical="center" wrapText="1"/>
    </xf>
    <xf numFmtId="167" fontId="20" fillId="8" borderId="1" xfId="2" applyNumberFormat="1" applyFont="1" applyFill="1" applyBorder="1" applyAlignment="1">
      <alignment horizontal="center" vertical="center" wrapText="1"/>
    </xf>
    <xf numFmtId="164" fontId="25" fillId="14" borderId="1" xfId="2" applyNumberFormat="1" applyFont="1" applyFill="1" applyBorder="1" applyAlignment="1">
      <alignment horizontal="center" vertical="center"/>
    </xf>
    <xf numFmtId="165" fontId="15" fillId="0" borderId="1" xfId="4" applyNumberFormat="1" applyFont="1" applyBorder="1" applyAlignment="1">
      <alignment horizontal="center" vertical="center"/>
    </xf>
    <xf numFmtId="165" fontId="21" fillId="0" borderId="1" xfId="2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49" fontId="17" fillId="8" borderId="1" xfId="2" applyNumberFormat="1" applyFont="1" applyFill="1" applyBorder="1" applyAlignment="1">
      <alignment horizontal="center" vertical="center" wrapText="1"/>
    </xf>
    <xf numFmtId="0" fontId="26" fillId="0" borderId="1" xfId="6" applyFont="1" applyBorder="1" applyAlignment="1">
      <alignment horizontal="left" vertical="center" wrapText="1"/>
    </xf>
    <xf numFmtId="9" fontId="23" fillId="0" borderId="0" xfId="8" applyFont="1" applyAlignment="1">
      <alignment horizontal="center" vertical="center"/>
    </xf>
    <xf numFmtId="169" fontId="21" fillId="0" borderId="1" xfId="7" applyNumberFormat="1" applyFont="1" applyFill="1" applyBorder="1" applyAlignment="1">
      <alignment horizontal="center" vertical="center" wrapText="1"/>
    </xf>
    <xf numFmtId="169" fontId="21" fillId="0" borderId="1" xfId="7" applyNumberFormat="1" applyFont="1" applyFill="1" applyBorder="1" applyAlignment="1">
      <alignment horizontal="center" vertical="center" wrapText="1"/>
    </xf>
    <xf numFmtId="49" fontId="21" fillId="8" borderId="1" xfId="2" applyNumberFormat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169" fontId="21" fillId="0" borderId="1" xfId="7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/>
    </xf>
  </cellXfs>
  <cellStyles count="10">
    <cellStyle name="Millares 2 2 3 2 2 2 2 2 2 2 2" xfId="7" xr:uid="{0294F422-1DD1-4824-8B57-932C8DC9AD71}"/>
    <cellStyle name="Normal" xfId="0" builtinId="0"/>
    <cellStyle name="Normal 10 2" xfId="5" xr:uid="{759278AB-4F45-4C2C-B558-0DC08421DC66}"/>
    <cellStyle name="Normal 2 2" xfId="2" xr:uid="{03CC3CDB-5AB7-4460-98A5-CAF3152B5BEF}"/>
    <cellStyle name="Normal 2 3 2 2" xfId="3" xr:uid="{2134E6D5-0723-4451-A842-3F6D3BE12372}"/>
    <cellStyle name="Normal 3" xfId="6" xr:uid="{6632E2D2-D12A-4FB8-9CC5-182FAB877899}"/>
    <cellStyle name="Normal 3 3" xfId="9" xr:uid="{2AB8117C-1CB1-4E9F-BEB6-86279F5776C4}"/>
    <cellStyle name="Normal 3 4 2" xfId="4" xr:uid="{38CA86A3-A8A1-41FD-B9FF-82283EC2AA82}"/>
    <cellStyle name="Porcentaje" xfId="8" builtinId="5"/>
    <cellStyle name="Texto explicativo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279916</xdr:colOff>
      <xdr:row>11</xdr:row>
      <xdr:rowOff>3308237</xdr:rowOff>
    </xdr:from>
    <xdr:to>
      <xdr:col>13</xdr:col>
      <xdr:colOff>2018243</xdr:colOff>
      <xdr:row>11</xdr:row>
      <xdr:rowOff>4751050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298E4A1-367A-3A7E-01EE-1E4683034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30519" y="4430826"/>
          <a:ext cx="1738327" cy="144281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25165BA-C4BB-AE8D-C828-997BAFEE00A2}"/>
            </a:ext>
          </a:extLst>
        </xdr:cNvPr>
        <xdr:cNvSpPr>
          <a:spLocks noChangeAspect="1" noChangeArrowheads="1"/>
        </xdr:cNvSpPr>
      </xdr:nvSpPr>
      <xdr:spPr bwMode="auto">
        <a:xfrm>
          <a:off x="6800850" y="68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816430</xdr:colOff>
      <xdr:row>11</xdr:row>
      <xdr:rowOff>1102179</xdr:rowOff>
    </xdr:from>
    <xdr:to>
      <xdr:col>4</xdr:col>
      <xdr:colOff>3034394</xdr:colOff>
      <xdr:row>11</xdr:row>
      <xdr:rowOff>4256855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D9AE06-983F-3201-36B3-853FD54C9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5073" y="2231572"/>
          <a:ext cx="2217964" cy="3154676"/>
        </a:xfrm>
        <a:prstGeom prst="rect">
          <a:avLst/>
        </a:prstGeom>
      </xdr:spPr>
    </xdr:pic>
    <xdr:clientData/>
  </xdr:twoCellAnchor>
  <xdr:oneCellAnchor>
    <xdr:from>
      <xdr:col>13</xdr:col>
      <xdr:colOff>279916</xdr:colOff>
      <xdr:row>7</xdr:row>
      <xdr:rowOff>3308237</xdr:rowOff>
    </xdr:from>
    <xdr:ext cx="1738327" cy="1442813"/>
    <xdr:pic>
      <xdr:nvPicPr>
        <xdr:cNvPr id="3" name="Imagen 2">
          <a:extLst>
            <a:ext uri="{FF2B5EF4-FFF2-40B4-BE49-F238E27FC236}">
              <a16:creationId xmlns:a16="http://schemas.microsoft.com/office/drawing/2014/main" id="{7C455369-8F7F-488D-A12A-BBDB47D42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25416" y="5199630"/>
          <a:ext cx="1738327" cy="1442813"/>
        </a:xfrm>
        <a:prstGeom prst="rect">
          <a:avLst/>
        </a:prstGeom>
      </xdr:spPr>
    </xdr:pic>
    <xdr:clientData/>
  </xdr:oneCellAnchor>
  <xdr:oneCellAnchor>
    <xdr:from>
      <xdr:col>4</xdr:col>
      <xdr:colOff>816430</xdr:colOff>
      <xdr:row>7</xdr:row>
      <xdr:rowOff>1102179</xdr:rowOff>
    </xdr:from>
    <xdr:ext cx="2217964" cy="3154676"/>
    <xdr:pic>
      <xdr:nvPicPr>
        <xdr:cNvPr id="4" name="Imagen 3">
          <a:extLst>
            <a:ext uri="{FF2B5EF4-FFF2-40B4-BE49-F238E27FC236}">
              <a16:creationId xmlns:a16="http://schemas.microsoft.com/office/drawing/2014/main" id="{F646B9B7-21A5-45A4-8ADA-15BB1F9E6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5073" y="2993572"/>
          <a:ext cx="2217964" cy="3154676"/>
        </a:xfrm>
        <a:prstGeom prst="rect">
          <a:avLst/>
        </a:prstGeom>
      </xdr:spPr>
    </xdr:pic>
    <xdr:clientData/>
  </xdr:oneCellAnchor>
  <xdr:oneCellAnchor>
    <xdr:from>
      <xdr:col>13</xdr:col>
      <xdr:colOff>279916</xdr:colOff>
      <xdr:row>3</xdr:row>
      <xdr:rowOff>3308237</xdr:rowOff>
    </xdr:from>
    <xdr:ext cx="1738327" cy="1442813"/>
    <xdr:pic>
      <xdr:nvPicPr>
        <xdr:cNvPr id="5" name="Imagen 4">
          <a:extLst>
            <a:ext uri="{FF2B5EF4-FFF2-40B4-BE49-F238E27FC236}">
              <a16:creationId xmlns:a16="http://schemas.microsoft.com/office/drawing/2014/main" id="{F92C77D4-78D8-472E-BDD6-552CA9D4D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25416" y="5199630"/>
          <a:ext cx="1738327" cy="14428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376702</xdr:colOff>
      <xdr:row>4</xdr:row>
      <xdr:rowOff>185873</xdr:rowOff>
    </xdr:from>
    <xdr:to>
      <xdr:col>4</xdr:col>
      <xdr:colOff>3529263</xdr:colOff>
      <xdr:row>7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B0716EE-2C9F-A9B1-E407-68DD9682CA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33" t="5336" r="69774" b="7649"/>
        <a:stretch>
          <a:fillRect/>
        </a:stretch>
      </xdr:blipFill>
      <xdr:spPr>
        <a:xfrm>
          <a:off x="3123913" y="1499320"/>
          <a:ext cx="3152561" cy="45465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605725</xdr:colOff>
      <xdr:row>5</xdr:row>
      <xdr:rowOff>111332</xdr:rowOff>
    </xdr:from>
    <xdr:to>
      <xdr:col>4</xdr:col>
      <xdr:colOff>2384265</xdr:colOff>
      <xdr:row>5</xdr:row>
      <xdr:rowOff>2143126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5F3F04-BCED-C40B-DEC4-64D51C1A2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8475" y="4064207"/>
          <a:ext cx="1778540" cy="2031794"/>
        </a:xfrm>
        <a:prstGeom prst="rect">
          <a:avLst/>
        </a:prstGeom>
      </xdr:spPr>
    </xdr:pic>
    <xdr:clientData/>
  </xdr:twoCellAnchor>
  <xdr:twoCellAnchor editAs="oneCell">
    <xdr:from>
      <xdr:col>13</xdr:col>
      <xdr:colOff>14225</xdr:colOff>
      <xdr:row>5</xdr:row>
      <xdr:rowOff>1886444</xdr:rowOff>
    </xdr:from>
    <xdr:to>
      <xdr:col>14</xdr:col>
      <xdr:colOff>630133</xdr:colOff>
      <xdr:row>6</xdr:row>
      <xdr:rowOff>247401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9D5F478-7645-782A-6FBB-C09A3BF0B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3850" y="5839319"/>
          <a:ext cx="2838408" cy="773957"/>
        </a:xfrm>
        <a:prstGeom prst="rect">
          <a:avLst/>
        </a:prstGeom>
      </xdr:spPr>
    </xdr:pic>
    <xdr:clientData/>
  </xdr:twoCellAnchor>
  <xdr:oneCellAnchor>
    <xdr:from>
      <xdr:col>4</xdr:col>
      <xdr:colOff>761176</xdr:colOff>
      <xdr:row>7</xdr:row>
      <xdr:rowOff>307398</xdr:rowOff>
    </xdr:from>
    <xdr:ext cx="1715324" cy="2166382"/>
    <xdr:pic>
      <xdr:nvPicPr>
        <xdr:cNvPr id="6" name="Imagen 5">
          <a:extLst>
            <a:ext uri="{FF2B5EF4-FFF2-40B4-BE49-F238E27FC236}">
              <a16:creationId xmlns:a16="http://schemas.microsoft.com/office/drawing/2014/main" id="{303ECD95-E653-4C3E-914D-2F1B8F555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26" y="9784773"/>
          <a:ext cx="1715324" cy="2166382"/>
        </a:xfrm>
        <a:prstGeom prst="rect">
          <a:avLst/>
        </a:prstGeom>
      </xdr:spPr>
    </xdr:pic>
    <xdr:clientData/>
  </xdr:oneCellAnchor>
  <xdr:oneCellAnchor>
    <xdr:from>
      <xdr:col>13</xdr:col>
      <xdr:colOff>61850</xdr:colOff>
      <xdr:row>3</xdr:row>
      <xdr:rowOff>2362694</xdr:rowOff>
    </xdr:from>
    <xdr:ext cx="2830161" cy="779318"/>
    <xdr:pic>
      <xdr:nvPicPr>
        <xdr:cNvPr id="7" name="Imagen 6">
          <a:extLst>
            <a:ext uri="{FF2B5EF4-FFF2-40B4-BE49-F238E27FC236}">
              <a16:creationId xmlns:a16="http://schemas.microsoft.com/office/drawing/2014/main" id="{4BB2E59B-2C56-4687-8F16-27F7201A7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31201" y="3933700"/>
          <a:ext cx="2830161" cy="779318"/>
        </a:xfrm>
        <a:prstGeom prst="rect">
          <a:avLst/>
        </a:prstGeom>
      </xdr:spPr>
    </xdr:pic>
    <xdr:clientData/>
  </xdr:oneCellAnchor>
  <xdr:twoCellAnchor editAs="oneCell">
    <xdr:from>
      <xdr:col>4</xdr:col>
      <xdr:colOff>174625</xdr:colOff>
      <xdr:row>6</xdr:row>
      <xdr:rowOff>428625</xdr:rowOff>
    </xdr:from>
    <xdr:to>
      <xdr:col>4</xdr:col>
      <xdr:colOff>1671531</xdr:colOff>
      <xdr:row>6</xdr:row>
      <xdr:rowOff>2254250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D0F5BB6-E5CB-489D-996B-D9D1A1297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2750" y="7270750"/>
          <a:ext cx="1496906" cy="1825625"/>
        </a:xfrm>
        <a:prstGeom prst="rect">
          <a:avLst/>
        </a:prstGeom>
      </xdr:spPr>
    </xdr:pic>
    <xdr:clientData/>
  </xdr:twoCellAnchor>
  <xdr:twoCellAnchor editAs="oneCell">
    <xdr:from>
      <xdr:col>4</xdr:col>
      <xdr:colOff>1381125</xdr:colOff>
      <xdr:row>6</xdr:row>
      <xdr:rowOff>254001</xdr:rowOff>
    </xdr:from>
    <xdr:to>
      <xdr:col>4</xdr:col>
      <xdr:colOff>2984838</xdr:colOff>
      <xdr:row>6</xdr:row>
      <xdr:rowOff>2349501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68C4163-826A-49A3-B10A-0DF7994952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37" t="15875" r="14617"/>
        <a:stretch>
          <a:fillRect/>
        </a:stretch>
      </xdr:blipFill>
      <xdr:spPr>
        <a:xfrm>
          <a:off x="5429250" y="7096126"/>
          <a:ext cx="1603713" cy="2095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11</xdr:row>
      <xdr:rowOff>114300</xdr:rowOff>
    </xdr:to>
    <xdr:sp macro="" textlink="">
      <xdr:nvSpPr>
        <xdr:cNvPr id="3075" name="AutoShape 3" descr="Mochila Plegable Multifunción 3 en 1 – Importaciones Facundo">
          <a:extLst>
            <a:ext uri="{FF2B5EF4-FFF2-40B4-BE49-F238E27FC236}">
              <a16:creationId xmlns:a16="http://schemas.microsoft.com/office/drawing/2014/main" id="{EAF765BC-9CE3-D29E-5E2D-A428B03A0CA6}"/>
            </a:ext>
          </a:extLst>
        </xdr:cNvPr>
        <xdr:cNvSpPr>
          <a:spLocks noChangeAspect="1" noChangeArrowheads="1"/>
        </xdr:cNvSpPr>
      </xdr:nvSpPr>
      <xdr:spPr bwMode="auto">
        <a:xfrm>
          <a:off x="9801225" y="1236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400051</xdr:colOff>
      <xdr:row>4</xdr:row>
      <xdr:rowOff>323851</xdr:rowOff>
    </xdr:from>
    <xdr:to>
      <xdr:col>4</xdr:col>
      <xdr:colOff>2476501</xdr:colOff>
      <xdr:row>4</xdr:row>
      <xdr:rowOff>2280455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8A10AF9-4389-361F-581A-8D4662298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29151" y="1657351"/>
          <a:ext cx="2076450" cy="19566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0D21-ED42-4E52-8CC6-0C52C1E60F22}">
  <dimension ref="A2:IV14"/>
  <sheetViews>
    <sheetView showGridLines="0" topLeftCell="B1" zoomScale="70" zoomScaleNormal="70" workbookViewId="0">
      <selection activeCell="E4" sqref="E4"/>
    </sheetView>
  </sheetViews>
  <sheetFormatPr baseColWidth="10" defaultColWidth="11.42578125" defaultRowHeight="15" x14ac:dyDescent="0.25"/>
  <cols>
    <col min="1" max="1" width="3.140625" customWidth="1"/>
    <col min="2" max="2" width="5.42578125" customWidth="1"/>
    <col min="3" max="3" width="13.28515625" customWidth="1"/>
    <col min="4" max="4" width="19.42578125" customWidth="1"/>
    <col min="5" max="5" width="60.7109375" customWidth="1"/>
    <col min="6" max="6" width="10.28515625" customWidth="1"/>
    <col min="7" max="7" width="23.5703125" customWidth="1"/>
    <col min="8" max="8" width="16.7109375" style="34" customWidth="1"/>
    <col min="9" max="9" width="76" customWidth="1"/>
    <col min="10" max="10" width="23" customWidth="1"/>
    <col min="11" max="11" width="15.140625" bestFit="1" customWidth="1"/>
    <col min="12" max="12" width="13.42578125" customWidth="1"/>
    <col min="13" max="13" width="37" customWidth="1"/>
    <col min="14" max="14" width="33.28515625" customWidth="1"/>
    <col min="15" max="15" width="38.42578125" customWidth="1"/>
    <col min="16" max="16" width="10.28515625" customWidth="1"/>
    <col min="17" max="17" width="20.85546875" customWidth="1"/>
    <col min="18" max="18" width="17.5703125" customWidth="1"/>
    <col min="19" max="19" width="15.85546875" bestFit="1" customWidth="1"/>
    <col min="20" max="20" width="21.5703125" customWidth="1"/>
    <col min="21" max="21" width="18.42578125" bestFit="1" customWidth="1"/>
    <col min="22" max="22" width="18.5703125" customWidth="1"/>
    <col min="23" max="23" width="18.28515625" customWidth="1"/>
    <col min="24" max="24" width="18.42578125" customWidth="1"/>
    <col min="25" max="25" width="20" customWidth="1"/>
    <col min="26" max="26" width="18.5703125" customWidth="1"/>
    <col min="27" max="27" width="18" bestFit="1" customWidth="1"/>
    <col min="28" max="28" width="12.5703125" customWidth="1"/>
    <col min="29" max="29" width="11.5703125" bestFit="1" customWidth="1"/>
    <col min="30" max="30" width="15" customWidth="1"/>
    <col min="31" max="31" width="20.5703125" customWidth="1"/>
    <col min="32" max="32" width="15.5703125" customWidth="1"/>
    <col min="33" max="33" width="18.5703125" customWidth="1"/>
    <col min="34" max="34" width="20.140625" bestFit="1" customWidth="1"/>
    <col min="35" max="35" width="18.42578125" bestFit="1" customWidth="1"/>
    <col min="36" max="36" width="18" customWidth="1"/>
    <col min="37" max="37" width="15.28515625" bestFit="1" customWidth="1"/>
    <col min="39" max="39" width="12.5703125" customWidth="1"/>
    <col min="40" max="40" width="16.28515625" bestFit="1" customWidth="1"/>
    <col min="41" max="41" width="14.42578125" bestFit="1" customWidth="1"/>
    <col min="42" max="42" width="16.28515625" bestFit="1" customWidth="1"/>
    <col min="43" max="43" width="18.85546875" bestFit="1" customWidth="1"/>
    <col min="44" max="44" width="16.28515625" bestFit="1" customWidth="1"/>
    <col min="46" max="47" width="11.5703125" bestFit="1" customWidth="1"/>
  </cols>
  <sheetData>
    <row r="2" spans="1:256" ht="26.25" customHeight="1" thickBot="1" x14ac:dyDescent="0.3">
      <c r="A2" s="1"/>
      <c r="B2" s="61" t="s">
        <v>38</v>
      </c>
      <c r="C2" s="61"/>
      <c r="D2" s="61"/>
      <c r="E2" s="61"/>
      <c r="F2" s="61"/>
      <c r="G2" s="61"/>
      <c r="H2" s="61"/>
      <c r="I2" s="61"/>
      <c r="J2" s="61"/>
      <c r="K2" s="2"/>
      <c r="L2" s="3"/>
      <c r="M2" s="3"/>
      <c r="N2" s="3"/>
      <c r="O2" s="4"/>
      <c r="P2" s="3"/>
      <c r="Q2" s="3"/>
      <c r="R2" s="3"/>
      <c r="S2" s="3"/>
      <c r="T2" s="3"/>
      <c r="U2" s="3"/>
      <c r="V2" s="5"/>
      <c r="W2" s="3"/>
      <c r="X2" s="3"/>
      <c r="Y2" s="3"/>
      <c r="Z2" s="6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256" ht="47.25" x14ac:dyDescent="0.25">
      <c r="A3" s="1"/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8"/>
      <c r="M3" s="9" t="s">
        <v>9</v>
      </c>
      <c r="N3" s="9" t="s">
        <v>10</v>
      </c>
      <c r="O3" s="9" t="s">
        <v>11</v>
      </c>
      <c r="P3" s="10" t="s">
        <v>12</v>
      </c>
      <c r="Q3" s="11" t="s">
        <v>13</v>
      </c>
      <c r="R3" s="12" t="s">
        <v>14</v>
      </c>
      <c r="S3" s="12" t="s">
        <v>15</v>
      </c>
      <c r="T3" s="13" t="s">
        <v>16</v>
      </c>
      <c r="U3" s="12" t="s">
        <v>17</v>
      </c>
      <c r="V3" s="12" t="s">
        <v>18</v>
      </c>
      <c r="W3" s="14" t="s">
        <v>19</v>
      </c>
      <c r="X3" s="15" t="s">
        <v>20</v>
      </c>
      <c r="Y3" s="10" t="s">
        <v>21</v>
      </c>
      <c r="Z3" s="16" t="s">
        <v>22</v>
      </c>
      <c r="AA3" s="17" t="s">
        <v>23</v>
      </c>
      <c r="AB3" s="17" t="s">
        <v>24</v>
      </c>
      <c r="AC3" s="17" t="s">
        <v>25</v>
      </c>
      <c r="AD3" s="17" t="s">
        <v>26</v>
      </c>
      <c r="AE3" s="18" t="s">
        <v>27</v>
      </c>
      <c r="AF3" s="15" t="s">
        <v>28</v>
      </c>
      <c r="AG3" s="15" t="s">
        <v>29</v>
      </c>
      <c r="AH3" s="19" t="s">
        <v>17</v>
      </c>
      <c r="AI3" s="20" t="s">
        <v>30</v>
      </c>
      <c r="AJ3" s="20" t="s">
        <v>31</v>
      </c>
      <c r="AK3" s="21" t="s">
        <v>32</v>
      </c>
      <c r="AL3" s="22"/>
      <c r="AM3" s="22"/>
      <c r="AN3" s="22"/>
      <c r="AO3" s="22"/>
      <c r="AP3" s="22"/>
      <c r="AQ3" s="22"/>
      <c r="AR3" s="23"/>
      <c r="AS3" s="24"/>
      <c r="AT3" s="24"/>
    </row>
    <row r="4" spans="1:256" s="40" customFormat="1" ht="409.5" customHeight="1" x14ac:dyDescent="0.3">
      <c r="A4" s="35"/>
      <c r="B4" s="36">
        <v>1</v>
      </c>
      <c r="C4" s="62" t="s">
        <v>33</v>
      </c>
      <c r="D4" s="62"/>
      <c r="E4" s="54" t="s">
        <v>37</v>
      </c>
      <c r="F4" s="37">
        <v>400</v>
      </c>
      <c r="G4" s="38">
        <v>37</v>
      </c>
      <c r="H4" s="25" t="s">
        <v>39</v>
      </c>
      <c r="I4" s="56" t="s">
        <v>40</v>
      </c>
      <c r="J4" s="38">
        <f>F4*G4</f>
        <v>14800</v>
      </c>
      <c r="K4" s="39"/>
      <c r="L4" s="57">
        <f>T4/J4</f>
        <v>0.14594594594594595</v>
      </c>
      <c r="M4" s="49" t="s">
        <v>34</v>
      </c>
      <c r="N4" s="55" t="s">
        <v>35</v>
      </c>
      <c r="O4" s="49" t="s">
        <v>36</v>
      </c>
      <c r="P4" s="50"/>
      <c r="Q4" s="41">
        <v>18</v>
      </c>
      <c r="R4" s="26">
        <v>30</v>
      </c>
      <c r="S4" s="27">
        <f t="shared" ref="S4" si="0">Q4*R4/100</f>
        <v>5.4</v>
      </c>
      <c r="T4" s="42">
        <f t="shared" ref="T4" si="1">S4*V4</f>
        <v>2160</v>
      </c>
      <c r="U4" s="28">
        <f t="shared" ref="U4" si="2">Q4+S4</f>
        <v>23.4</v>
      </c>
      <c r="V4" s="43">
        <f t="shared" ref="V4" si="3">F4</f>
        <v>400</v>
      </c>
      <c r="W4" s="29">
        <f>Q4*2</f>
        <v>36</v>
      </c>
      <c r="X4" s="44">
        <f>35+30+80+120</f>
        <v>265</v>
      </c>
      <c r="Y4" s="45">
        <f t="shared" ref="Y4" si="4">V4*U4+W4+X4</f>
        <v>9661</v>
      </c>
      <c r="Z4" s="46"/>
      <c r="AA4" s="30"/>
      <c r="AB4" s="31">
        <v>1</v>
      </c>
      <c r="AC4" s="31">
        <v>1</v>
      </c>
      <c r="AD4" s="31">
        <v>1</v>
      </c>
      <c r="AE4" s="47">
        <f t="shared" ref="AE4" si="5">AA4*AB4*AC4*AD4</f>
        <v>0</v>
      </c>
      <c r="AF4" s="32">
        <f>V4/12*2.85</f>
        <v>95.000000000000014</v>
      </c>
      <c r="AG4" s="48">
        <f t="shared" ref="AG4" si="6">1.5%*(Y4+AE4+AF4)</f>
        <v>146.34</v>
      </c>
      <c r="AH4" s="47">
        <f>Y4+AE4+AG4+AF4</f>
        <v>9902.34</v>
      </c>
      <c r="AI4" s="51">
        <f>AH4/V4</f>
        <v>24.755849999999999</v>
      </c>
      <c r="AJ4" s="52">
        <f t="shared" ref="AJ4" si="7">AI4*18%</f>
        <v>4.4560529999999998</v>
      </c>
      <c r="AK4" s="53">
        <f t="shared" ref="AK4" si="8">AI4+AJ4</f>
        <v>29.211903</v>
      </c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</row>
    <row r="6" spans="1:256" ht="26.25" customHeight="1" thickBot="1" x14ac:dyDescent="0.3">
      <c r="A6" s="1"/>
      <c r="B6" s="61" t="s">
        <v>38</v>
      </c>
      <c r="C6" s="61"/>
      <c r="D6" s="61"/>
      <c r="E6" s="61"/>
      <c r="F6" s="61"/>
      <c r="G6" s="61"/>
      <c r="H6" s="61"/>
      <c r="I6" s="61"/>
      <c r="J6" s="61"/>
      <c r="K6" s="2"/>
      <c r="L6" s="3"/>
      <c r="M6" s="3"/>
      <c r="N6" s="3"/>
      <c r="O6" s="4"/>
      <c r="P6" s="3"/>
      <c r="Q6" s="3"/>
      <c r="R6" s="3"/>
      <c r="S6" s="3"/>
      <c r="T6" s="3"/>
      <c r="U6" s="3"/>
      <c r="V6" s="5"/>
      <c r="W6" s="3"/>
      <c r="X6" s="3"/>
      <c r="Y6" s="3"/>
      <c r="Z6" s="6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256" ht="47.25" x14ac:dyDescent="0.25">
      <c r="A7" s="1"/>
      <c r="B7" s="7" t="s">
        <v>0</v>
      </c>
      <c r="C7" s="7" t="s">
        <v>1</v>
      </c>
      <c r="D7" s="7" t="s">
        <v>2</v>
      </c>
      <c r="E7" s="7" t="s">
        <v>3</v>
      </c>
      <c r="F7" s="7" t="s">
        <v>4</v>
      </c>
      <c r="G7" s="7" t="s">
        <v>5</v>
      </c>
      <c r="H7" s="7" t="s">
        <v>6</v>
      </c>
      <c r="I7" s="7" t="s">
        <v>7</v>
      </c>
      <c r="J7" s="7" t="s">
        <v>8</v>
      </c>
      <c r="K7" s="8"/>
      <c r="M7" s="9" t="s">
        <v>9</v>
      </c>
      <c r="N7" s="9" t="s">
        <v>10</v>
      </c>
      <c r="O7" s="9" t="s">
        <v>11</v>
      </c>
      <c r="P7" s="10" t="s">
        <v>12</v>
      </c>
      <c r="Q7" s="11" t="s">
        <v>13</v>
      </c>
      <c r="R7" s="12" t="s">
        <v>14</v>
      </c>
      <c r="S7" s="12" t="s">
        <v>15</v>
      </c>
      <c r="T7" s="13" t="s">
        <v>16</v>
      </c>
      <c r="U7" s="12" t="s">
        <v>17</v>
      </c>
      <c r="V7" s="12" t="s">
        <v>18</v>
      </c>
      <c r="W7" s="14" t="s">
        <v>19</v>
      </c>
      <c r="X7" s="15" t="s">
        <v>20</v>
      </c>
      <c r="Y7" s="10" t="s">
        <v>21</v>
      </c>
      <c r="Z7" s="16" t="s">
        <v>22</v>
      </c>
      <c r="AA7" s="17" t="s">
        <v>23</v>
      </c>
      <c r="AB7" s="17" t="s">
        <v>24</v>
      </c>
      <c r="AC7" s="17" t="s">
        <v>25</v>
      </c>
      <c r="AD7" s="17" t="s">
        <v>26</v>
      </c>
      <c r="AE7" s="18" t="s">
        <v>27</v>
      </c>
      <c r="AF7" s="15" t="s">
        <v>28</v>
      </c>
      <c r="AG7" s="15" t="s">
        <v>29</v>
      </c>
      <c r="AH7" s="19" t="s">
        <v>17</v>
      </c>
      <c r="AI7" s="20" t="s">
        <v>30</v>
      </c>
      <c r="AJ7" s="20" t="s">
        <v>31</v>
      </c>
      <c r="AK7" s="21" t="s">
        <v>32</v>
      </c>
      <c r="AL7" s="22"/>
      <c r="AM7" s="22"/>
      <c r="AN7" s="22"/>
      <c r="AO7" s="22"/>
      <c r="AP7" s="22"/>
      <c r="AQ7" s="22"/>
      <c r="AR7" s="23"/>
      <c r="AS7" s="24"/>
      <c r="AT7" s="24"/>
    </row>
    <row r="8" spans="1:256" s="40" customFormat="1" ht="409.5" customHeight="1" x14ac:dyDescent="0.3">
      <c r="A8" s="35"/>
      <c r="B8" s="36">
        <v>1</v>
      </c>
      <c r="C8" s="62" t="s">
        <v>33</v>
      </c>
      <c r="D8" s="62"/>
      <c r="E8" s="54" t="s">
        <v>37</v>
      </c>
      <c r="F8" s="37">
        <v>45</v>
      </c>
      <c r="G8" s="38">
        <v>37</v>
      </c>
      <c r="H8" s="25" t="s">
        <v>39</v>
      </c>
      <c r="I8" s="56" t="s">
        <v>40</v>
      </c>
      <c r="J8" s="38">
        <f>F8*G8</f>
        <v>1665</v>
      </c>
      <c r="K8" s="39"/>
      <c r="L8" s="57">
        <f>T8/J8</f>
        <v>0.25567545399476727</v>
      </c>
      <c r="M8" s="49" t="s">
        <v>34</v>
      </c>
      <c r="N8" s="55" t="s">
        <v>35</v>
      </c>
      <c r="O8" s="49" t="s">
        <v>36</v>
      </c>
      <c r="P8" s="50"/>
      <c r="Q8" s="41">
        <f>(15/1.165+2.5+2.5)+0.58+1.3/3+2+50/45</f>
        <v>21.999980925131137</v>
      </c>
      <c r="R8" s="26">
        <v>43</v>
      </c>
      <c r="S8" s="27">
        <f t="shared" ref="S8" si="9">Q8*R8/100</f>
        <v>9.4599917978063885</v>
      </c>
      <c r="T8" s="42">
        <f t="shared" ref="T8" si="10">S8*V8</f>
        <v>425.69963090128749</v>
      </c>
      <c r="U8" s="28">
        <f t="shared" ref="U8" si="11">Q8+S8</f>
        <v>31.459972722937525</v>
      </c>
      <c r="V8" s="43">
        <f t="shared" ref="V8" si="12">F8</f>
        <v>45</v>
      </c>
      <c r="W8" s="29">
        <f>Q8*1</f>
        <v>21.999980925131137</v>
      </c>
      <c r="X8" s="44">
        <f>35+15+15+15+100</f>
        <v>180</v>
      </c>
      <c r="Y8" s="45">
        <f t="shared" ref="Y8" si="13">V8*U8+W8+X8</f>
        <v>1617.69875345732</v>
      </c>
      <c r="Z8" s="46"/>
      <c r="AA8" s="30"/>
      <c r="AB8" s="31">
        <v>1</v>
      </c>
      <c r="AC8" s="31">
        <v>1</v>
      </c>
      <c r="AD8" s="31">
        <v>1</v>
      </c>
      <c r="AE8" s="47">
        <f t="shared" ref="AE8" si="14">AA8*AB8*AC8*AD8</f>
        <v>0</v>
      </c>
      <c r="AF8" s="32">
        <f>V8/12*4.85</f>
        <v>18.1875</v>
      </c>
      <c r="AG8" s="48">
        <f t="shared" ref="AG8" si="15">1.5%*(Y8+AE8+AF8)</f>
        <v>24.538293801859798</v>
      </c>
      <c r="AH8" s="47">
        <f>Y8+AE8+AG8+AF8</f>
        <v>1660.4245472591797</v>
      </c>
      <c r="AI8" s="51">
        <f>AH8/V8</f>
        <v>36.898323272426218</v>
      </c>
      <c r="AJ8" s="52">
        <f t="shared" ref="AJ8" si="16">AI8*18%</f>
        <v>6.6416981890367186</v>
      </c>
      <c r="AK8" s="53">
        <f t="shared" ref="AK8" si="17">AI8+AJ8</f>
        <v>43.540021461462935</v>
      </c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</row>
    <row r="10" spans="1:256" ht="26.25" customHeight="1" thickBot="1" x14ac:dyDescent="0.3">
      <c r="A10" s="1"/>
      <c r="B10" s="61" t="s">
        <v>38</v>
      </c>
      <c r="C10" s="61"/>
      <c r="D10" s="61"/>
      <c r="E10" s="61"/>
      <c r="F10" s="61"/>
      <c r="G10" s="61"/>
      <c r="H10" s="61"/>
      <c r="I10" s="61"/>
      <c r="J10" s="61"/>
      <c r="K10" s="2"/>
      <c r="L10" s="3"/>
      <c r="M10" s="3"/>
      <c r="N10" s="3"/>
      <c r="O10" s="4"/>
      <c r="P10" s="3"/>
      <c r="Q10" s="3"/>
      <c r="R10" s="3"/>
      <c r="S10" s="3"/>
      <c r="T10" s="3"/>
      <c r="U10" s="3"/>
      <c r="V10" s="5"/>
      <c r="W10" s="3"/>
      <c r="X10" s="3"/>
      <c r="Y10" s="3"/>
      <c r="Z10" s="6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256" ht="47.25" x14ac:dyDescent="0.25">
      <c r="A11" s="1"/>
      <c r="B11" s="7" t="s">
        <v>0</v>
      </c>
      <c r="C11" s="7" t="s">
        <v>1</v>
      </c>
      <c r="D11" s="7" t="s">
        <v>2</v>
      </c>
      <c r="E11" s="7" t="s">
        <v>3</v>
      </c>
      <c r="F11" s="7" t="s">
        <v>4</v>
      </c>
      <c r="G11" s="7" t="s">
        <v>5</v>
      </c>
      <c r="H11" s="7" t="s">
        <v>6</v>
      </c>
      <c r="I11" s="7" t="s">
        <v>7</v>
      </c>
      <c r="J11" s="7" t="s">
        <v>8</v>
      </c>
      <c r="K11" s="8"/>
      <c r="M11" s="9" t="s">
        <v>9</v>
      </c>
      <c r="N11" s="9" t="s">
        <v>10</v>
      </c>
      <c r="O11" s="9" t="s">
        <v>11</v>
      </c>
      <c r="P11" s="10" t="s">
        <v>12</v>
      </c>
      <c r="Q11" s="11" t="s">
        <v>13</v>
      </c>
      <c r="R11" s="12" t="s">
        <v>14</v>
      </c>
      <c r="S11" s="12" t="s">
        <v>15</v>
      </c>
      <c r="T11" s="13" t="s">
        <v>16</v>
      </c>
      <c r="U11" s="12" t="s">
        <v>17</v>
      </c>
      <c r="V11" s="12" t="s">
        <v>18</v>
      </c>
      <c r="W11" s="14" t="s">
        <v>19</v>
      </c>
      <c r="X11" s="15" t="s">
        <v>20</v>
      </c>
      <c r="Y11" s="10" t="s">
        <v>21</v>
      </c>
      <c r="Z11" s="16" t="s">
        <v>22</v>
      </c>
      <c r="AA11" s="17" t="s">
        <v>23</v>
      </c>
      <c r="AB11" s="17" t="s">
        <v>24</v>
      </c>
      <c r="AC11" s="17" t="s">
        <v>25</v>
      </c>
      <c r="AD11" s="17" t="s">
        <v>26</v>
      </c>
      <c r="AE11" s="18" t="s">
        <v>27</v>
      </c>
      <c r="AF11" s="15" t="s">
        <v>28</v>
      </c>
      <c r="AG11" s="15" t="s">
        <v>29</v>
      </c>
      <c r="AH11" s="19" t="s">
        <v>17</v>
      </c>
      <c r="AI11" s="20" t="s">
        <v>30</v>
      </c>
      <c r="AJ11" s="20" t="s">
        <v>31</v>
      </c>
      <c r="AK11" s="21" t="s">
        <v>32</v>
      </c>
      <c r="AL11" s="22"/>
      <c r="AM11" s="22"/>
      <c r="AN11" s="22"/>
      <c r="AO11" s="22"/>
      <c r="AP11" s="22"/>
      <c r="AQ11" s="22"/>
      <c r="AR11" s="23"/>
      <c r="AS11" s="24"/>
      <c r="AT11" s="24"/>
    </row>
    <row r="12" spans="1:256" s="40" customFormat="1" ht="409.5" customHeight="1" x14ac:dyDescent="0.3">
      <c r="A12" s="35"/>
      <c r="B12" s="36">
        <v>1</v>
      </c>
      <c r="C12" s="62" t="s">
        <v>33</v>
      </c>
      <c r="D12" s="62"/>
      <c r="E12" s="54" t="s">
        <v>37</v>
      </c>
      <c r="F12" s="37">
        <v>45</v>
      </c>
      <c r="G12" s="38">
        <v>39.9</v>
      </c>
      <c r="H12" s="25" t="s">
        <v>39</v>
      </c>
      <c r="I12" s="56" t="s">
        <v>40</v>
      </c>
      <c r="J12" s="38">
        <f>F12*G12</f>
        <v>1795.5</v>
      </c>
      <c r="K12" s="39"/>
      <c r="L12" s="57">
        <f>T12/J12</f>
        <v>0.26040078737616573</v>
      </c>
      <c r="M12" s="49" t="s">
        <v>34</v>
      </c>
      <c r="N12" s="55" t="s">
        <v>35</v>
      </c>
      <c r="O12" s="49" t="s">
        <v>36</v>
      </c>
      <c r="P12" s="50"/>
      <c r="Q12" s="41">
        <f>(15/1.165+2.5+2.5)+0.58+1.3/3+2.2+40/45+50/45</f>
        <v>23.088869814020025</v>
      </c>
      <c r="R12" s="26">
        <v>45</v>
      </c>
      <c r="S12" s="27">
        <f t="shared" ref="S12" si="18">Q12*R12/100</f>
        <v>10.389991416309012</v>
      </c>
      <c r="T12" s="42">
        <f t="shared" ref="T12" si="19">S12*V12</f>
        <v>467.54961373390557</v>
      </c>
      <c r="U12" s="28">
        <f t="shared" ref="U12" si="20">Q12+S12</f>
        <v>33.478861230329038</v>
      </c>
      <c r="V12" s="43">
        <f t="shared" ref="V12" si="21">F12</f>
        <v>45</v>
      </c>
      <c r="W12" s="29">
        <f>Q12*1</f>
        <v>23.088869814020025</v>
      </c>
      <c r="X12" s="44">
        <f>35+15+15+15+100</f>
        <v>180</v>
      </c>
      <c r="Y12" s="45">
        <f t="shared" ref="Y12" si="22">V12*U12+W12+X12</f>
        <v>1709.6376251788267</v>
      </c>
      <c r="Z12" s="46"/>
      <c r="AA12" s="30"/>
      <c r="AB12" s="31">
        <v>1</v>
      </c>
      <c r="AC12" s="31">
        <v>1</v>
      </c>
      <c r="AD12" s="31">
        <v>1</v>
      </c>
      <c r="AE12" s="47">
        <f t="shared" ref="AE12" si="23">AA12*AB12*AC12*AD12</f>
        <v>0</v>
      </c>
      <c r="AF12" s="32">
        <f>V12/12*4.85</f>
        <v>18.1875</v>
      </c>
      <c r="AG12" s="48">
        <f t="shared" ref="AG12" si="24">1.5%*(Y12+AE12+AF12)</f>
        <v>25.917376877682401</v>
      </c>
      <c r="AH12" s="47">
        <f>Y12+AE12+AG12+AF12</f>
        <v>1753.7425020565092</v>
      </c>
      <c r="AI12" s="51">
        <f>AH12/V12</f>
        <v>38.972055601255761</v>
      </c>
      <c r="AJ12" s="52">
        <f t="shared" ref="AJ12" si="25">AI12*18%</f>
        <v>7.0149700082260367</v>
      </c>
      <c r="AK12" s="53">
        <f t="shared" ref="AK12" si="26">AI12+AJ12</f>
        <v>45.987025609481798</v>
      </c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</row>
    <row r="14" spans="1:256" x14ac:dyDescent="0.25">
      <c r="IV14" s="33"/>
    </row>
  </sheetData>
  <sheetProtection selectLockedCells="1" selectUnlockedCells="1"/>
  <mergeCells count="6">
    <mergeCell ref="B10:J10"/>
    <mergeCell ref="C12:D12"/>
    <mergeCell ref="B6:J6"/>
    <mergeCell ref="C8:D8"/>
    <mergeCell ref="B2:J2"/>
    <mergeCell ref="C4:D4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416C-0A21-4E9F-80A8-154840DFC0CF}">
  <dimension ref="A3:IV8"/>
  <sheetViews>
    <sheetView showGridLines="0" topLeftCell="B1" zoomScale="95" zoomScaleNormal="95" workbookViewId="0">
      <selection activeCell="B5" sqref="B5"/>
    </sheetView>
  </sheetViews>
  <sheetFormatPr baseColWidth="10" defaultColWidth="11.42578125" defaultRowHeight="15" x14ac:dyDescent="0.25"/>
  <cols>
    <col min="1" max="1" width="3.140625" customWidth="1"/>
    <col min="2" max="2" width="5.42578125" customWidth="1"/>
    <col min="3" max="3" width="13.28515625" customWidth="1"/>
    <col min="4" max="4" width="19.42578125" customWidth="1"/>
    <col min="5" max="5" width="60.7109375" customWidth="1"/>
    <col min="6" max="6" width="10.28515625" customWidth="1"/>
    <col min="7" max="7" width="23.5703125" customWidth="1"/>
    <col min="8" max="8" width="16.7109375" style="34" customWidth="1"/>
    <col min="9" max="9" width="76" customWidth="1"/>
    <col min="10" max="10" width="23" customWidth="1"/>
    <col min="11" max="11" width="15.140625" bestFit="1" customWidth="1"/>
    <col min="12" max="12" width="13.42578125" customWidth="1"/>
    <col min="13" max="13" width="37" customWidth="1"/>
    <col min="14" max="14" width="33.28515625" customWidth="1"/>
    <col min="15" max="15" width="38.42578125" customWidth="1"/>
    <col min="16" max="16" width="10.28515625" customWidth="1"/>
    <col min="17" max="17" width="20.85546875" customWidth="1"/>
    <col min="18" max="18" width="17.5703125" customWidth="1"/>
    <col min="19" max="19" width="15.85546875" bestFit="1" customWidth="1"/>
    <col min="20" max="20" width="21.5703125" customWidth="1"/>
    <col min="21" max="21" width="18.42578125" bestFit="1" customWidth="1"/>
    <col min="22" max="22" width="18.5703125" customWidth="1"/>
    <col min="23" max="23" width="18.28515625" customWidth="1"/>
    <col min="24" max="24" width="18.42578125" customWidth="1"/>
    <col min="25" max="25" width="20" customWidth="1"/>
    <col min="26" max="26" width="18.5703125" customWidth="1"/>
    <col min="27" max="27" width="18" bestFit="1" customWidth="1"/>
    <col min="28" max="28" width="12.5703125" customWidth="1"/>
    <col min="29" max="29" width="11.5703125" bestFit="1" customWidth="1"/>
    <col min="30" max="30" width="15" customWidth="1"/>
    <col min="31" max="31" width="20.5703125" customWidth="1"/>
    <col min="32" max="32" width="15.5703125" customWidth="1"/>
    <col min="33" max="33" width="18.5703125" customWidth="1"/>
    <col min="34" max="34" width="20.140625" bestFit="1" customWidth="1"/>
    <col min="35" max="35" width="18.42578125" bestFit="1" customWidth="1"/>
    <col min="36" max="36" width="18" customWidth="1"/>
    <col min="37" max="37" width="15.28515625" bestFit="1" customWidth="1"/>
    <col min="39" max="39" width="12.5703125" customWidth="1"/>
    <col min="40" max="40" width="16.28515625" bestFit="1" customWidth="1"/>
    <col min="41" max="41" width="14.42578125" bestFit="1" customWidth="1"/>
    <col min="42" max="42" width="16.28515625" bestFit="1" customWidth="1"/>
    <col min="43" max="43" width="18.85546875" bestFit="1" customWidth="1"/>
    <col min="44" max="44" width="16.28515625" bestFit="1" customWidth="1"/>
    <col min="46" max="47" width="11.5703125" bestFit="1" customWidth="1"/>
  </cols>
  <sheetData>
    <row r="3" spans="1:256" ht="26.25" customHeight="1" thickBot="1" x14ac:dyDescent="0.3">
      <c r="A3" s="1"/>
      <c r="B3" s="61" t="s">
        <v>45</v>
      </c>
      <c r="C3" s="61"/>
      <c r="D3" s="61"/>
      <c r="E3" s="61"/>
      <c r="F3" s="61"/>
      <c r="G3" s="61"/>
      <c r="H3" s="61"/>
      <c r="I3" s="61"/>
      <c r="J3" s="61"/>
      <c r="K3" s="2"/>
      <c r="L3" s="3"/>
      <c r="M3" s="3"/>
      <c r="N3" s="3"/>
      <c r="O3" s="4"/>
      <c r="P3" s="3"/>
      <c r="Q3" s="3"/>
      <c r="R3" s="3"/>
      <c r="S3" s="3"/>
      <c r="T3" s="3"/>
      <c r="U3" s="3"/>
      <c r="V3" s="5"/>
      <c r="W3" s="3"/>
      <c r="X3" s="3"/>
      <c r="Y3" s="3"/>
      <c r="Z3" s="6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256" ht="47.25" x14ac:dyDescent="0.25">
      <c r="A4" s="1"/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8"/>
      <c r="M4" s="9" t="s">
        <v>9</v>
      </c>
      <c r="N4" s="9" t="s">
        <v>10</v>
      </c>
      <c r="O4" s="9" t="s">
        <v>11</v>
      </c>
      <c r="P4" s="10" t="s">
        <v>12</v>
      </c>
      <c r="Q4" s="11" t="s">
        <v>13</v>
      </c>
      <c r="R4" s="12" t="s">
        <v>14</v>
      </c>
      <c r="S4" s="12" t="s">
        <v>15</v>
      </c>
      <c r="T4" s="13" t="s">
        <v>16</v>
      </c>
      <c r="U4" s="12" t="s">
        <v>17</v>
      </c>
      <c r="V4" s="12" t="s">
        <v>18</v>
      </c>
      <c r="W4" s="14" t="s">
        <v>19</v>
      </c>
      <c r="X4" s="15" t="s">
        <v>20</v>
      </c>
      <c r="Y4" s="10" t="s">
        <v>21</v>
      </c>
      <c r="Z4" s="16" t="s">
        <v>22</v>
      </c>
      <c r="AA4" s="17" t="s">
        <v>23</v>
      </c>
      <c r="AB4" s="17" t="s">
        <v>24</v>
      </c>
      <c r="AC4" s="17" t="s">
        <v>25</v>
      </c>
      <c r="AD4" s="17" t="s">
        <v>26</v>
      </c>
      <c r="AE4" s="18" t="s">
        <v>27</v>
      </c>
      <c r="AF4" s="15" t="s">
        <v>28</v>
      </c>
      <c r="AG4" s="15" t="s">
        <v>29</v>
      </c>
      <c r="AH4" s="19" t="s">
        <v>17</v>
      </c>
      <c r="AI4" s="20" t="s">
        <v>30</v>
      </c>
      <c r="AJ4" s="20" t="s">
        <v>31</v>
      </c>
      <c r="AK4" s="21" t="s">
        <v>32</v>
      </c>
      <c r="AL4" s="22"/>
      <c r="AM4" s="22"/>
      <c r="AN4" s="22"/>
      <c r="AO4" s="22"/>
      <c r="AP4" s="22"/>
      <c r="AQ4" s="22"/>
      <c r="AR4" s="23"/>
      <c r="AS4" s="24"/>
      <c r="AT4" s="24"/>
    </row>
    <row r="5" spans="1:256" s="40" customFormat="1" ht="342.75" customHeight="1" x14ac:dyDescent="0.3">
      <c r="A5" s="35"/>
      <c r="B5" s="36">
        <v>1</v>
      </c>
      <c r="C5" s="62" t="s">
        <v>43</v>
      </c>
      <c r="D5" s="62"/>
      <c r="E5" s="54" t="s">
        <v>42</v>
      </c>
      <c r="F5" s="37">
        <v>400</v>
      </c>
      <c r="G5" s="38">
        <v>23.99</v>
      </c>
      <c r="H5" s="25" t="s">
        <v>46</v>
      </c>
      <c r="I5" s="56" t="s">
        <v>47</v>
      </c>
      <c r="J5" s="38">
        <f>F5*G5</f>
        <v>9596</v>
      </c>
      <c r="K5" s="39"/>
      <c r="L5" s="57">
        <f>T5/J5</f>
        <v>0.21183844257141038</v>
      </c>
      <c r="M5" s="49" t="s">
        <v>41</v>
      </c>
      <c r="N5" s="55"/>
      <c r="O5" s="49" t="s">
        <v>44</v>
      </c>
      <c r="P5" s="50"/>
      <c r="Q5" s="41">
        <f>20/1.18+(0.1+0.1+150/400)</f>
        <v>17.524152542372882</v>
      </c>
      <c r="R5" s="26">
        <v>29</v>
      </c>
      <c r="S5" s="27">
        <f t="shared" ref="S5" si="0">Q5*R5/100</f>
        <v>5.0820042372881353</v>
      </c>
      <c r="T5" s="42">
        <f t="shared" ref="T5" si="1">S5*V5</f>
        <v>2032.8016949152541</v>
      </c>
      <c r="U5" s="28">
        <f t="shared" ref="U5" si="2">Q5+S5</f>
        <v>22.606156779661017</v>
      </c>
      <c r="V5" s="43">
        <f t="shared" ref="V5" si="3">F5</f>
        <v>400</v>
      </c>
      <c r="W5" s="29">
        <f>Q5*2</f>
        <v>35.048305084745763</v>
      </c>
      <c r="X5" s="44">
        <v>250</v>
      </c>
      <c r="Y5" s="45">
        <f t="shared" ref="Y5" si="4">V5*U5+W5+X5</f>
        <v>9327.5110169491527</v>
      </c>
      <c r="Z5" s="46"/>
      <c r="AA5" s="30"/>
      <c r="AB5" s="31">
        <v>1</v>
      </c>
      <c r="AC5" s="31">
        <v>1</v>
      </c>
      <c r="AD5" s="31">
        <v>1</v>
      </c>
      <c r="AE5" s="47">
        <f t="shared" ref="AE5" si="5">AA5*AB5*AC5*AD5</f>
        <v>0</v>
      </c>
      <c r="AF5" s="32">
        <f>V5/12*2.85</f>
        <v>95.000000000000014</v>
      </c>
      <c r="AG5" s="48">
        <f>1.5%*(Y5+AE5+AF5)</f>
        <v>141.33766525423729</v>
      </c>
      <c r="AH5" s="47">
        <f>Y5+AE5+AG5+AF5</f>
        <v>9563.8486822033901</v>
      </c>
      <c r="AI5" s="51">
        <f>AH5/V5</f>
        <v>23.909621705508474</v>
      </c>
      <c r="AJ5" s="52">
        <f t="shared" ref="AJ5" si="6">AI5*18%</f>
        <v>4.3037319069915254</v>
      </c>
      <c r="AK5" s="53">
        <f t="shared" ref="AK5" si="7">AI5+AJ5</f>
        <v>28.213353612500001</v>
      </c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</row>
    <row r="8" spans="1:256" x14ac:dyDescent="0.25">
      <c r="IV8" s="33"/>
    </row>
  </sheetData>
  <sheetProtection selectLockedCells="1" selectUnlockedCells="1"/>
  <mergeCells count="2">
    <mergeCell ref="B3:J3"/>
    <mergeCell ref="C5:D5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AF59-997D-4539-9232-B4E63744BAB3}">
  <dimension ref="A3:IV11"/>
  <sheetViews>
    <sheetView showGridLines="0" tabSelected="1" zoomScale="50" zoomScaleNormal="50" workbookViewId="0">
      <selection activeCell="A9" sqref="A9"/>
    </sheetView>
  </sheetViews>
  <sheetFormatPr baseColWidth="10" defaultColWidth="11.42578125" defaultRowHeight="15" x14ac:dyDescent="0.25"/>
  <cols>
    <col min="1" max="1" width="3.140625" customWidth="1"/>
    <col min="2" max="2" width="5.42578125" customWidth="1"/>
    <col min="3" max="3" width="15.85546875" customWidth="1"/>
    <col min="4" max="4" width="38.7109375" customWidth="1"/>
    <col min="5" max="5" width="46.5703125" customWidth="1"/>
    <col min="6" max="6" width="10.28515625" customWidth="1"/>
    <col min="7" max="7" width="27" customWidth="1"/>
    <col min="8" max="8" width="16.7109375" style="34" customWidth="1"/>
    <col min="9" max="9" width="83.28515625" customWidth="1"/>
    <col min="10" max="10" width="27.5703125" customWidth="1"/>
    <col min="11" max="11" width="15.140625" bestFit="1" customWidth="1"/>
    <col min="12" max="12" width="13.42578125" customWidth="1"/>
    <col min="13" max="13" width="24" customWidth="1"/>
    <col min="14" max="14" width="33.28515625" customWidth="1"/>
    <col min="15" max="15" width="38.42578125" customWidth="1"/>
    <col min="16" max="16" width="10.28515625" customWidth="1"/>
    <col min="17" max="17" width="20.85546875" customWidth="1"/>
    <col min="18" max="18" width="17.5703125" customWidth="1"/>
    <col min="19" max="19" width="15.85546875" bestFit="1" customWidth="1"/>
    <col min="20" max="20" width="21.5703125" customWidth="1"/>
    <col min="21" max="21" width="18.42578125" bestFit="1" customWidth="1"/>
    <col min="22" max="22" width="18.5703125" customWidth="1"/>
    <col min="23" max="23" width="18.28515625" customWidth="1"/>
    <col min="24" max="24" width="18.42578125" customWidth="1"/>
    <col min="25" max="25" width="20" customWidth="1"/>
    <col min="26" max="26" width="18.5703125" customWidth="1"/>
    <col min="27" max="27" width="18" bestFit="1" customWidth="1"/>
    <col min="28" max="28" width="12.5703125" customWidth="1"/>
    <col min="29" max="29" width="11.5703125" bestFit="1" customWidth="1"/>
    <col min="30" max="30" width="15" customWidth="1"/>
    <col min="31" max="31" width="20.5703125" customWidth="1"/>
    <col min="32" max="32" width="15.5703125" customWidth="1"/>
    <col min="33" max="33" width="18.5703125" customWidth="1"/>
    <col min="34" max="34" width="20.140625" bestFit="1" customWidth="1"/>
    <col min="35" max="35" width="18.42578125" bestFit="1" customWidth="1"/>
    <col min="36" max="36" width="18" customWidth="1"/>
    <col min="37" max="37" width="15.28515625" bestFit="1" customWidth="1"/>
    <col min="39" max="39" width="12.5703125" customWidth="1"/>
    <col min="40" max="40" width="16.28515625" bestFit="1" customWidth="1"/>
    <col min="41" max="41" width="14.42578125" bestFit="1" customWidth="1"/>
    <col min="42" max="42" width="16.28515625" bestFit="1" customWidth="1"/>
    <col min="43" max="43" width="18.85546875" bestFit="1" customWidth="1"/>
    <col min="44" max="44" width="16.28515625" bestFit="1" customWidth="1"/>
    <col min="46" max="47" width="11.5703125" bestFit="1" customWidth="1"/>
  </cols>
  <sheetData>
    <row r="3" spans="1:256" ht="26.25" customHeight="1" thickBot="1" x14ac:dyDescent="0.3">
      <c r="A3" s="1"/>
      <c r="B3" s="61" t="s">
        <v>70</v>
      </c>
      <c r="C3" s="61"/>
      <c r="D3" s="61"/>
      <c r="E3" s="61"/>
      <c r="F3" s="61"/>
      <c r="G3" s="61"/>
      <c r="H3" s="61"/>
      <c r="I3" s="61"/>
      <c r="J3" s="61"/>
      <c r="K3" s="2"/>
      <c r="L3" s="3"/>
      <c r="M3" s="3"/>
      <c r="N3" s="3"/>
      <c r="O3" s="4"/>
      <c r="P3" s="3"/>
      <c r="Q3" s="3"/>
      <c r="R3" s="3"/>
      <c r="S3" s="3"/>
      <c r="T3" s="3"/>
      <c r="U3" s="3"/>
      <c r="V3" s="5"/>
      <c r="W3" s="3"/>
      <c r="X3" s="3"/>
      <c r="Y3" s="3"/>
      <c r="Z3" s="6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256" ht="47.25" x14ac:dyDescent="0.25">
      <c r="A4" s="1"/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8"/>
      <c r="M4" s="9" t="s">
        <v>9</v>
      </c>
      <c r="N4" s="9" t="s">
        <v>10</v>
      </c>
      <c r="O4" s="9" t="s">
        <v>11</v>
      </c>
      <c r="P4" s="10" t="s">
        <v>12</v>
      </c>
      <c r="Q4" s="11" t="s">
        <v>13</v>
      </c>
      <c r="R4" s="12" t="s">
        <v>14</v>
      </c>
      <c r="S4" s="12" t="s">
        <v>15</v>
      </c>
      <c r="T4" s="13" t="s">
        <v>16</v>
      </c>
      <c r="U4" s="12" t="s">
        <v>17</v>
      </c>
      <c r="V4" s="12" t="s">
        <v>18</v>
      </c>
      <c r="W4" s="14" t="s">
        <v>19</v>
      </c>
      <c r="X4" s="15" t="s">
        <v>20</v>
      </c>
      <c r="Y4" s="10" t="s">
        <v>21</v>
      </c>
      <c r="Z4" s="16" t="s">
        <v>22</v>
      </c>
      <c r="AA4" s="17" t="s">
        <v>23</v>
      </c>
      <c r="AB4" s="17" t="s">
        <v>24</v>
      </c>
      <c r="AC4" s="17" t="s">
        <v>25</v>
      </c>
      <c r="AD4" s="17" t="s">
        <v>26</v>
      </c>
      <c r="AE4" s="18" t="s">
        <v>27</v>
      </c>
      <c r="AF4" s="15" t="s">
        <v>28</v>
      </c>
      <c r="AG4" s="15" t="s">
        <v>29</v>
      </c>
      <c r="AH4" s="19" t="s">
        <v>17</v>
      </c>
      <c r="AI4" s="20" t="s">
        <v>30</v>
      </c>
      <c r="AJ4" s="20" t="s">
        <v>31</v>
      </c>
      <c r="AK4" s="21" t="s">
        <v>32</v>
      </c>
      <c r="AL4" s="22"/>
      <c r="AM4" s="22"/>
      <c r="AN4" s="22"/>
      <c r="AO4" s="22"/>
      <c r="AP4" s="22"/>
      <c r="AQ4" s="22"/>
      <c r="AR4" s="23"/>
      <c r="AS4" s="24"/>
      <c r="AT4" s="24"/>
    </row>
    <row r="5" spans="1:256" s="40" customFormat="1" ht="207.75" customHeight="1" x14ac:dyDescent="0.3">
      <c r="A5" s="35"/>
      <c r="B5" s="36">
        <v>1</v>
      </c>
      <c r="C5" s="59" t="s">
        <v>53</v>
      </c>
      <c r="D5" s="59" t="s">
        <v>52</v>
      </c>
      <c r="E5" s="63" t="s">
        <v>42</v>
      </c>
      <c r="F5" s="37">
        <v>400</v>
      </c>
      <c r="G5" s="38">
        <v>24.49</v>
      </c>
      <c r="H5" s="25" t="s">
        <v>66</v>
      </c>
      <c r="I5" s="56" t="s">
        <v>69</v>
      </c>
      <c r="J5" s="38">
        <f>F5*G5</f>
        <v>9796</v>
      </c>
      <c r="K5" s="39"/>
      <c r="L5" s="57">
        <f>T5/J5</f>
        <v>0.22081361053035573</v>
      </c>
      <c r="M5" s="49" t="s">
        <v>50</v>
      </c>
      <c r="N5" s="60" t="s">
        <v>55</v>
      </c>
      <c r="O5" s="49" t="s">
        <v>54</v>
      </c>
      <c r="P5" s="50"/>
      <c r="Q5" s="41">
        <f>18/1.165</f>
        <v>15.450643776824034</v>
      </c>
      <c r="R5" s="26">
        <v>35</v>
      </c>
      <c r="S5" s="27">
        <f t="shared" ref="S5" si="0">Q5*R5/100</f>
        <v>5.407725321888412</v>
      </c>
      <c r="T5" s="42">
        <f t="shared" ref="T5" si="1">S5*V5</f>
        <v>2163.0901287553647</v>
      </c>
      <c r="U5" s="28">
        <f t="shared" ref="U5" si="2">Q5+S5</f>
        <v>20.858369098712444</v>
      </c>
      <c r="V5" s="43">
        <f t="shared" ref="V5" si="3">F5</f>
        <v>400</v>
      </c>
      <c r="W5" s="29">
        <f>Q5*5</f>
        <v>77.253218884120173</v>
      </c>
      <c r="X5" s="44">
        <f>60+50+140</f>
        <v>250</v>
      </c>
      <c r="Y5" s="45">
        <f t="shared" ref="Y5" si="4">V5*U5+W5+X5</f>
        <v>8670.6008583690982</v>
      </c>
      <c r="Z5" s="46" t="s">
        <v>61</v>
      </c>
      <c r="AA5" s="30">
        <f>2*400</f>
        <v>800</v>
      </c>
      <c r="AB5" s="31">
        <v>1</v>
      </c>
      <c r="AC5" s="31">
        <v>1</v>
      </c>
      <c r="AD5" s="31">
        <v>1</v>
      </c>
      <c r="AE5" s="47">
        <f t="shared" ref="AE5" si="5">AA5*AB5*AC5*AD5</f>
        <v>800</v>
      </c>
      <c r="AF5" s="32">
        <f>V5/12*2.85</f>
        <v>95.000000000000014</v>
      </c>
      <c r="AG5" s="48">
        <f>1.5%*(Y5+AE5+AF5)</f>
        <v>143.48401287553648</v>
      </c>
      <c r="AH5" s="47">
        <f>Y5+AE5+AG5+AF5</f>
        <v>9709.084871244635</v>
      </c>
      <c r="AI5" s="51">
        <f>AH5/V5</f>
        <v>24.272712178111586</v>
      </c>
      <c r="AJ5" s="52">
        <f t="shared" ref="AJ5" si="6">AI5*18%</f>
        <v>4.3690881920600857</v>
      </c>
      <c r="AK5" s="53">
        <f t="shared" ref="AK5" si="7">AI5+AJ5</f>
        <v>28.641800370171673</v>
      </c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</row>
    <row r="6" spans="1:256" s="40" customFormat="1" ht="190.5" customHeight="1" x14ac:dyDescent="0.3">
      <c r="A6" s="35"/>
      <c r="B6" s="36">
        <v>2</v>
      </c>
      <c r="C6" s="58" t="s">
        <v>48</v>
      </c>
      <c r="D6" s="58" t="s">
        <v>49</v>
      </c>
      <c r="E6" s="63" t="s">
        <v>42</v>
      </c>
      <c r="F6" s="37">
        <v>400</v>
      </c>
      <c r="G6" s="38">
        <v>26.99</v>
      </c>
      <c r="H6" s="25" t="s">
        <v>66</v>
      </c>
      <c r="I6" s="56" t="s">
        <v>68</v>
      </c>
      <c r="J6" s="38">
        <f>F6*G6</f>
        <v>10796</v>
      </c>
      <c r="K6" s="39"/>
      <c r="L6" s="57">
        <f>T6/J6</f>
        <v>0.22433126545760854</v>
      </c>
      <c r="M6" s="49" t="s">
        <v>50</v>
      </c>
      <c r="N6" s="49" t="s">
        <v>51</v>
      </c>
      <c r="O6" s="49" t="s">
        <v>56</v>
      </c>
      <c r="P6" s="50"/>
      <c r="Q6" s="41">
        <f>20.24/1.17</f>
        <v>17.299145299145298</v>
      </c>
      <c r="R6" s="26">
        <v>35</v>
      </c>
      <c r="S6" s="27">
        <f t="shared" ref="S6" si="8">Q6*R6/100</f>
        <v>6.0547008547008545</v>
      </c>
      <c r="T6" s="42">
        <f t="shared" ref="T6" si="9">S6*V6</f>
        <v>2421.8803418803418</v>
      </c>
      <c r="U6" s="28">
        <f t="shared" ref="U6" si="10">Q6+S6</f>
        <v>23.353846153846153</v>
      </c>
      <c r="V6" s="43">
        <f t="shared" ref="V6" si="11">F6</f>
        <v>400</v>
      </c>
      <c r="W6" s="29">
        <f t="shared" ref="W6:W8" si="12">Q6*5</f>
        <v>86.495726495726487</v>
      </c>
      <c r="X6" s="44">
        <f>80+60+160</f>
        <v>300</v>
      </c>
      <c r="Y6" s="45">
        <f t="shared" ref="Y6" si="13">V6*U6+W6+X6</f>
        <v>9728.0341880341875</v>
      </c>
      <c r="Z6" s="46" t="s">
        <v>61</v>
      </c>
      <c r="AA6" s="30">
        <f t="shared" ref="AA6:AA8" si="14">2*400</f>
        <v>800</v>
      </c>
      <c r="AB6" s="31">
        <v>1</v>
      </c>
      <c r="AC6" s="31">
        <v>1</v>
      </c>
      <c r="AD6" s="31">
        <v>1</v>
      </c>
      <c r="AE6" s="47">
        <f t="shared" ref="AE6" si="15">AA6*AB6*AC6*AD6</f>
        <v>800</v>
      </c>
      <c r="AF6" s="32">
        <f>V6/12*2.85</f>
        <v>95.000000000000014</v>
      </c>
      <c r="AG6" s="48">
        <f>1.5%*(Y6+AE6+AF6)</f>
        <v>159.34551282051279</v>
      </c>
      <c r="AH6" s="47">
        <f>Y6+AE6+AG6+AF6</f>
        <v>10782.379700854701</v>
      </c>
      <c r="AI6" s="51">
        <f>AH6/V6</f>
        <v>26.955949252136751</v>
      </c>
      <c r="AJ6" s="52">
        <f t="shared" ref="AJ6" si="16">AI6*18%</f>
        <v>4.852070865384615</v>
      </c>
      <c r="AK6" s="53">
        <f t="shared" ref="AK6" si="17">AI6+AJ6</f>
        <v>31.808020117521366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</row>
    <row r="7" spans="1:256" s="40" customFormat="1" ht="207.75" customHeight="1" x14ac:dyDescent="0.3">
      <c r="A7" s="35"/>
      <c r="B7" s="36">
        <v>3</v>
      </c>
      <c r="C7" s="58" t="s">
        <v>65</v>
      </c>
      <c r="D7" s="58" t="s">
        <v>64</v>
      </c>
      <c r="E7" s="63" t="s">
        <v>42</v>
      </c>
      <c r="F7" s="37">
        <v>400</v>
      </c>
      <c r="G7" s="38">
        <v>34.99</v>
      </c>
      <c r="H7" s="25" t="s">
        <v>66</v>
      </c>
      <c r="I7" s="56" t="s">
        <v>63</v>
      </c>
      <c r="J7" s="38">
        <f>F7*G7</f>
        <v>13996</v>
      </c>
      <c r="K7" s="39"/>
      <c r="L7" s="57">
        <f>T7/J7</f>
        <v>0.21491854815661618</v>
      </c>
      <c r="M7" s="49" t="s">
        <v>71</v>
      </c>
      <c r="N7" s="60"/>
      <c r="O7" s="49"/>
      <c r="P7" s="50"/>
      <c r="Q7" s="41">
        <v>23.5</v>
      </c>
      <c r="R7" s="26">
        <v>32</v>
      </c>
      <c r="S7" s="27">
        <f t="shared" ref="S7" si="18">Q7*R7/100</f>
        <v>7.52</v>
      </c>
      <c r="T7" s="42">
        <f t="shared" ref="T7" si="19">S7*V7</f>
        <v>3008</v>
      </c>
      <c r="U7" s="28">
        <f t="shared" ref="U7" si="20">Q7+S7</f>
        <v>31.02</v>
      </c>
      <c r="V7" s="43">
        <f t="shared" ref="V7" si="21">F7</f>
        <v>400</v>
      </c>
      <c r="W7" s="29">
        <f t="shared" si="12"/>
        <v>117.5</v>
      </c>
      <c r="X7" s="44">
        <f>100+80+160</f>
        <v>340</v>
      </c>
      <c r="Y7" s="45">
        <f t="shared" ref="Y7" si="22">V7*U7+W7+X7</f>
        <v>12865.5</v>
      </c>
      <c r="Z7" s="46" t="s">
        <v>61</v>
      </c>
      <c r="AA7" s="30">
        <f t="shared" si="14"/>
        <v>800</v>
      </c>
      <c r="AB7" s="31">
        <v>1</v>
      </c>
      <c r="AC7" s="31">
        <v>1</v>
      </c>
      <c r="AD7" s="31">
        <v>1</v>
      </c>
      <c r="AE7" s="47">
        <f t="shared" ref="AE7" si="23">AA7*AB7*AC7*AD7</f>
        <v>800</v>
      </c>
      <c r="AF7" s="32">
        <f>V7/12*2.85</f>
        <v>95.000000000000014</v>
      </c>
      <c r="AG7" s="48">
        <f>1.5%*(Y7+AE7+AF7)</f>
        <v>206.4075</v>
      </c>
      <c r="AH7" s="47">
        <f>Y7+AE7+AG7+AF7</f>
        <v>13966.907499999999</v>
      </c>
      <c r="AI7" s="51">
        <f>AH7/V7</f>
        <v>34.917268749999998</v>
      </c>
      <c r="AJ7" s="52">
        <f t="shared" ref="AJ7" si="24">AI7*18%</f>
        <v>6.2851083749999992</v>
      </c>
      <c r="AK7" s="53">
        <f t="shared" ref="AK7" si="25">AI7+AJ7</f>
        <v>41.202377124999998</v>
      </c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</row>
    <row r="8" spans="1:256" s="40" customFormat="1" ht="234" customHeight="1" x14ac:dyDescent="0.3">
      <c r="A8" s="35"/>
      <c r="B8" s="36">
        <v>4</v>
      </c>
      <c r="C8" s="58" t="s">
        <v>58</v>
      </c>
      <c r="D8" s="58" t="s">
        <v>57</v>
      </c>
      <c r="E8" s="63" t="s">
        <v>42</v>
      </c>
      <c r="F8" s="37">
        <v>400</v>
      </c>
      <c r="G8" s="38">
        <v>43.9</v>
      </c>
      <c r="H8" s="25" t="s">
        <v>66</v>
      </c>
      <c r="I8" s="56" t="s">
        <v>67</v>
      </c>
      <c r="J8" s="38">
        <f>F8*G8</f>
        <v>17560</v>
      </c>
      <c r="K8" s="39"/>
      <c r="L8" s="57">
        <f>T8/J8</f>
        <v>0.2255125284738041</v>
      </c>
      <c r="M8" s="49" t="s">
        <v>62</v>
      </c>
      <c r="N8" s="60" t="s">
        <v>59</v>
      </c>
      <c r="O8" s="49" t="s">
        <v>60</v>
      </c>
      <c r="P8" s="50"/>
      <c r="Q8" s="41">
        <v>30</v>
      </c>
      <c r="R8" s="26">
        <v>33</v>
      </c>
      <c r="S8" s="27">
        <f t="shared" ref="S8" si="26">Q8*R8/100</f>
        <v>9.9</v>
      </c>
      <c r="T8" s="42">
        <f t="shared" ref="T8" si="27">S8*V8</f>
        <v>3960</v>
      </c>
      <c r="U8" s="28">
        <f t="shared" ref="U8" si="28">Q8+S8</f>
        <v>39.9</v>
      </c>
      <c r="V8" s="43">
        <f t="shared" ref="V8" si="29">F8</f>
        <v>400</v>
      </c>
      <c r="W8" s="29">
        <f t="shared" si="12"/>
        <v>150</v>
      </c>
      <c r="X8" s="44">
        <f>80+70+160</f>
        <v>310</v>
      </c>
      <c r="Y8" s="45">
        <f t="shared" ref="Y8" si="30">V8*U8+W8+X8</f>
        <v>16420</v>
      </c>
      <c r="Z8" s="46" t="s">
        <v>61</v>
      </c>
      <c r="AA8" s="30">
        <f t="shared" si="14"/>
        <v>800</v>
      </c>
      <c r="AB8" s="31">
        <v>1</v>
      </c>
      <c r="AC8" s="31">
        <v>1</v>
      </c>
      <c r="AD8" s="31">
        <v>1</v>
      </c>
      <c r="AE8" s="47">
        <f t="shared" ref="AE8" si="31">AA8*AB8*AC8*AD8</f>
        <v>800</v>
      </c>
      <c r="AF8" s="32">
        <f>V8/12*2.85</f>
        <v>95.000000000000014</v>
      </c>
      <c r="AG8" s="48">
        <f>1.5%*(Y8+AE8+AF8)</f>
        <v>259.72499999999997</v>
      </c>
      <c r="AH8" s="47">
        <f>Y8+AE8+AG8+AF8</f>
        <v>17574.724999999999</v>
      </c>
      <c r="AI8" s="51">
        <f>AH8/V8</f>
        <v>43.936812499999995</v>
      </c>
      <c r="AJ8" s="52">
        <f t="shared" ref="AJ8" si="32">AI8*18%</f>
        <v>7.9086262499999984</v>
      </c>
      <c r="AK8" s="53">
        <f t="shared" ref="AK8" si="33">AI8+AJ8</f>
        <v>51.845438749999992</v>
      </c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</row>
    <row r="11" spans="1:256" x14ac:dyDescent="0.25">
      <c r="H11"/>
      <c r="IV11" s="33"/>
    </row>
  </sheetData>
  <sheetProtection selectLockedCells="1" selectUnlockedCells="1"/>
  <mergeCells count="1">
    <mergeCell ref="B3:J3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FEBRERO</vt:lpstr>
      <vt:lpstr>MAYO</vt:lpstr>
      <vt:lpstr>JUNIO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Lady Diana Orellana Estrada</dc:creator>
  <cp:keywords/>
  <dc:description/>
  <cp:lastModifiedBy>Lady Diana Orellana Estrada</cp:lastModifiedBy>
  <cp:revision/>
  <dcterms:created xsi:type="dcterms:W3CDTF">2025-05-30T18:19:36Z</dcterms:created>
  <dcterms:modified xsi:type="dcterms:W3CDTF">2026-06-01T18:48:36Z</dcterms:modified>
  <cp:category/>
  <cp:contentStatus/>
</cp:coreProperties>
</file>