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zacion-cotizaciones\data\input\"/>
    </mc:Choice>
  </mc:AlternateContent>
  <xr:revisionPtr revIDLastSave="0" documentId="13_ncr:1_{3881EFEC-BD6A-441A-B176-525FF1F42DFF}" xr6:coauthVersionLast="47" xr6:coauthVersionMax="47" xr10:uidLastSave="{00000000-0000-0000-0000-000000000000}"/>
  <bookViews>
    <workbookView xWindow="-120" yWindow="-120" windowWidth="20730" windowHeight="11040" firstSheet="4" activeTab="1" xr2:uid="{00000000-000D-0000-FFFF-FFFF00000000}"/>
  </bookViews>
  <sheets>
    <sheet name="ABRIL" sheetId="4" r:id="rId1"/>
    <sheet name="Mayo" sheetId="1" r:id="rId2"/>
    <sheet name="JULIO" sheetId="3" r:id="rId3"/>
    <sheet name="SET" sheetId="5" r:id="rId4"/>
    <sheet name="Hoja1" sheetId="6" r:id="rId5"/>
  </sheets>
  <externalReferences>
    <externalReference r:id="rId6"/>
    <externalReference r:id="rId7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6" l="1"/>
  <c r="P3" i="6"/>
  <c r="AE3" i="6"/>
  <c r="V3" i="6"/>
  <c r="AD3" i="6"/>
  <c r="R3" i="6" l="1"/>
  <c r="S3" i="6" s="1"/>
  <c r="W9" i="6"/>
  <c r="P9" i="6"/>
  <c r="V9" i="6" s="1"/>
  <c r="Z8" i="6"/>
  <c r="W8" i="6"/>
  <c r="P8" i="6"/>
  <c r="T3" i="6" l="1"/>
  <c r="X3" i="6" s="1"/>
  <c r="AF3" i="6" s="1"/>
  <c r="AG3" i="6" s="1"/>
  <c r="AH3" i="6" s="1"/>
  <c r="G3" i="6" s="1"/>
  <c r="AP3" i="6"/>
  <c r="U9" i="6"/>
  <c r="U8" i="6"/>
  <c r="AD9" i="6"/>
  <c r="R9" i="6"/>
  <c r="AI3" i="6" l="1"/>
  <c r="AJ3" i="6" s="1"/>
  <c r="S9" i="6"/>
  <c r="T9" i="6"/>
  <c r="X9" i="6" s="1"/>
  <c r="AF9" i="6" s="1"/>
  <c r="AO3" i="6" l="1"/>
  <c r="AN3" i="6"/>
  <c r="AM3" i="6"/>
  <c r="AL3" i="6"/>
  <c r="AG9" i="6"/>
  <c r="AH9" i="6" s="1"/>
  <c r="G9" i="6" s="1"/>
  <c r="J9" i="6" s="1"/>
  <c r="AS3" i="6" l="1"/>
  <c r="AQ3" i="6"/>
  <c r="AT3" i="6" s="1"/>
  <c r="AI9" i="6"/>
  <c r="AJ9" i="6" s="1"/>
  <c r="R8" i="6" l="1"/>
  <c r="T8" i="6" s="1"/>
  <c r="AD8" i="6"/>
  <c r="AD3" i="5"/>
  <c r="U3" i="5"/>
  <c r="R3" i="5"/>
  <c r="T3" i="5" s="1"/>
  <c r="J3" i="5"/>
  <c r="K5" i="3"/>
  <c r="X8" i="6" l="1"/>
  <c r="AF8" i="6" s="1"/>
  <c r="AG8" i="6" s="1"/>
  <c r="AH8" i="6" s="1"/>
  <c r="G7" i="6" s="1"/>
  <c r="J7" i="6" s="1"/>
  <c r="S8" i="6"/>
  <c r="X3" i="5"/>
  <c r="S3" i="5"/>
  <c r="J4" i="3"/>
  <c r="AI8" i="6" l="1"/>
  <c r="AJ8" i="6" s="1"/>
  <c r="AF3" i="5"/>
  <c r="AG3" i="5" s="1"/>
  <c r="AH3" i="5" s="1"/>
  <c r="AI3" i="5" s="1"/>
  <c r="AJ3" i="5" s="1"/>
  <c r="P4" i="3"/>
  <c r="V4" i="3" s="1"/>
  <c r="U4" i="3"/>
  <c r="AE4" i="3"/>
  <c r="AD4" i="3"/>
  <c r="R4" i="3" l="1"/>
  <c r="S4" i="3" s="1"/>
  <c r="AE20" i="4"/>
  <c r="AD20" i="4"/>
  <c r="P20" i="4"/>
  <c r="R20" i="4" s="1"/>
  <c r="J20" i="4"/>
  <c r="AE19" i="4"/>
  <c r="AD19" i="4"/>
  <c r="P19" i="4"/>
  <c r="V19" i="4" s="1"/>
  <c r="J19" i="4"/>
  <c r="AE15" i="4"/>
  <c r="AD15" i="4"/>
  <c r="V15" i="4"/>
  <c r="R15" i="4"/>
  <c r="T15" i="4" s="1"/>
  <c r="X15" i="4" s="1"/>
  <c r="J15" i="4"/>
  <c r="AE14" i="4"/>
  <c r="AD14" i="4"/>
  <c r="P14" i="4"/>
  <c r="R14" i="4" s="1"/>
  <c r="J14" i="4"/>
  <c r="AE11" i="4"/>
  <c r="AD11" i="4"/>
  <c r="P11" i="4"/>
  <c r="V11" i="4" s="1"/>
  <c r="J11" i="4"/>
  <c r="AE8" i="4"/>
  <c r="AD8" i="4"/>
  <c r="P8" i="4"/>
  <c r="V8" i="4" s="1"/>
  <c r="K8" i="4"/>
  <c r="J8" i="4"/>
  <c r="AE7" i="4"/>
  <c r="AD7" i="4"/>
  <c r="V7" i="4"/>
  <c r="R7" i="4"/>
  <c r="T7" i="4" s="1"/>
  <c r="K7" i="4"/>
  <c r="J7" i="4"/>
  <c r="AE6" i="4"/>
  <c r="AD6" i="4"/>
  <c r="P6" i="4"/>
  <c r="V6" i="4" s="1"/>
  <c r="J6" i="4"/>
  <c r="K6" i="4" s="1"/>
  <c r="AE3" i="4"/>
  <c r="AD3" i="4"/>
  <c r="P3" i="4"/>
  <c r="V3" i="4" s="1"/>
  <c r="K3" i="4"/>
  <c r="J3" i="4"/>
  <c r="V11" i="3"/>
  <c r="AD10" i="3"/>
  <c r="U10" i="3"/>
  <c r="P10" i="3"/>
  <c r="R10" i="3" s="1"/>
  <c r="AD9" i="3"/>
  <c r="U9" i="3"/>
  <c r="P9" i="3"/>
  <c r="V9" i="3" s="1"/>
  <c r="AD11" i="3"/>
  <c r="R11" i="3"/>
  <c r="X7" i="4" l="1"/>
  <c r="AF7" i="4" s="1"/>
  <c r="AG7" i="4" s="1"/>
  <c r="AH7" i="4" s="1"/>
  <c r="R9" i="3"/>
  <c r="T9" i="3" s="1"/>
  <c r="X9" i="3" s="1"/>
  <c r="AF9" i="3" s="1"/>
  <c r="AG9" i="3" s="1"/>
  <c r="AH9" i="3" s="1"/>
  <c r="J9" i="3" s="1"/>
  <c r="V20" i="4"/>
  <c r="R19" i="4"/>
  <c r="T19" i="4" s="1"/>
  <c r="X19" i="4" s="1"/>
  <c r="T4" i="3"/>
  <c r="X4" i="3" s="1"/>
  <c r="AF4" i="3" s="1"/>
  <c r="AG4" i="3" s="1"/>
  <c r="AH4" i="3" s="1"/>
  <c r="AF19" i="4"/>
  <c r="AP20" i="4"/>
  <c r="T20" i="4"/>
  <c r="X20" i="4" s="1"/>
  <c r="S20" i="4"/>
  <c r="S19" i="4"/>
  <c r="S14" i="4"/>
  <c r="T14" i="4"/>
  <c r="AF15" i="4"/>
  <c r="AG15" i="4" s="1"/>
  <c r="AH15" i="4" s="1"/>
  <c r="V14" i="4"/>
  <c r="AP15" i="4"/>
  <c r="S15" i="4"/>
  <c r="R11" i="4"/>
  <c r="S11" i="4" s="1"/>
  <c r="T11" i="4"/>
  <c r="X11" i="4" s="1"/>
  <c r="R8" i="4"/>
  <c r="S8" i="4" s="1"/>
  <c r="AP7" i="4"/>
  <c r="R6" i="4"/>
  <c r="S6" i="4" s="1"/>
  <c r="S7" i="4"/>
  <c r="T8" i="4"/>
  <c r="X8" i="4" s="1"/>
  <c r="R3" i="4"/>
  <c r="S3" i="4" s="1"/>
  <c r="T3" i="4"/>
  <c r="X3" i="4" s="1"/>
  <c r="V10" i="3"/>
  <c r="S10" i="3"/>
  <c r="T10" i="3"/>
  <c r="T11" i="3"/>
  <c r="S11" i="3"/>
  <c r="S9" i="3" l="1"/>
  <c r="X14" i="4"/>
  <c r="AG19" i="4"/>
  <c r="AH19" i="4" s="1"/>
  <c r="X10" i="3"/>
  <c r="AF10" i="3" s="1"/>
  <c r="AG10" i="3" s="1"/>
  <c r="AH10" i="3" s="1"/>
  <c r="J10" i="3" s="1"/>
  <c r="AI4" i="3"/>
  <c r="AJ4" i="3" s="1"/>
  <c r="AI19" i="4"/>
  <c r="AJ19" i="4" s="1"/>
  <c r="G19" i="4"/>
  <c r="AF20" i="4"/>
  <c r="AG20" i="4" s="1"/>
  <c r="AH20" i="4" s="1"/>
  <c r="AI15" i="4"/>
  <c r="AJ15" i="4" s="1"/>
  <c r="G15" i="4"/>
  <c r="AF14" i="4"/>
  <c r="AG14" i="4" s="1"/>
  <c r="AH14" i="4" s="1"/>
  <c r="AF11" i="4"/>
  <c r="AG11" i="4" s="1"/>
  <c r="AH11" i="4" s="1"/>
  <c r="G7" i="4"/>
  <c r="AI7" i="4"/>
  <c r="AJ7" i="4" s="1"/>
  <c r="AF8" i="4"/>
  <c r="AG8" i="4" s="1"/>
  <c r="AH8" i="4" s="1"/>
  <c r="T6" i="4"/>
  <c r="X6" i="4" s="1"/>
  <c r="AF3" i="4"/>
  <c r="AG3" i="4" s="1"/>
  <c r="AH3" i="4" s="1"/>
  <c r="AI9" i="3"/>
  <c r="AJ9" i="3" s="1"/>
  <c r="X11" i="3"/>
  <c r="AF11" i="3" s="1"/>
  <c r="AI20" i="4" l="1"/>
  <c r="G20" i="4"/>
  <c r="AJ20" i="4"/>
  <c r="G14" i="4"/>
  <c r="AI14" i="4"/>
  <c r="AJ14" i="4" s="1"/>
  <c r="AO15" i="4"/>
  <c r="AN15" i="4"/>
  <c r="AM15" i="4"/>
  <c r="AL15" i="4"/>
  <c r="AI11" i="4"/>
  <c r="AJ11" i="4" s="1"/>
  <c r="G11" i="4"/>
  <c r="AI8" i="4"/>
  <c r="AJ8" i="4" s="1"/>
  <c r="G8" i="4"/>
  <c r="AO7" i="4"/>
  <c r="AN7" i="4"/>
  <c r="AM7" i="4"/>
  <c r="AL7" i="4"/>
  <c r="AF6" i="4"/>
  <c r="AG6" i="4" s="1"/>
  <c r="AH6" i="4" s="1"/>
  <c r="AI3" i="4"/>
  <c r="AJ3" i="4" s="1"/>
  <c r="G3" i="4" s="1"/>
  <c r="AI10" i="3"/>
  <c r="AJ10" i="3" s="1"/>
  <c r="AG11" i="3"/>
  <c r="AH11" i="3" s="1"/>
  <c r="AS7" i="4" l="1"/>
  <c r="AS15" i="4"/>
  <c r="AO20" i="4"/>
  <c r="AN20" i="4"/>
  <c r="AM20" i="4"/>
  <c r="AL20" i="4"/>
  <c r="AS20" i="4" s="1"/>
  <c r="AQ15" i="4"/>
  <c r="AT15" i="4" s="1"/>
  <c r="AI6" i="4"/>
  <c r="AJ6" i="4" s="1"/>
  <c r="G6" i="4"/>
  <c r="AQ7" i="4"/>
  <c r="AT7" i="4" s="1"/>
  <c r="J11" i="3"/>
  <c r="AI11" i="3"/>
  <c r="AJ11" i="3" s="1"/>
  <c r="AQ20" i="4" l="1"/>
  <c r="AT20" i="4" s="1"/>
  <c r="J16" i="3"/>
  <c r="J15" i="3"/>
  <c r="K17" i="3"/>
  <c r="AE16" i="3"/>
  <c r="K18" i="3"/>
  <c r="AE15" i="3"/>
  <c r="AD16" i="3" l="1"/>
  <c r="P16" i="3"/>
  <c r="V16" i="3" s="1"/>
  <c r="AD15" i="3"/>
  <c r="V15" i="3"/>
  <c r="R15" i="3"/>
  <c r="T15" i="3" s="1"/>
  <c r="R16" i="3" l="1"/>
  <c r="T16" i="3" s="1"/>
  <c r="X16" i="3" s="1"/>
  <c r="AF16" i="3" s="1"/>
  <c r="X15" i="3"/>
  <c r="AP15" i="3"/>
  <c r="S15" i="3"/>
  <c r="AF15" i="3" l="1"/>
  <c r="AG15" i="3" s="1"/>
  <c r="AH15" i="3" s="1"/>
  <c r="AG16" i="3"/>
  <c r="AH16" i="3" s="1"/>
  <c r="AI16" i="3" s="1"/>
  <c r="AJ16" i="3" s="1"/>
  <c r="S16" i="3"/>
  <c r="G16" i="3" l="1"/>
  <c r="G15" i="3"/>
  <c r="G17" i="3" s="1"/>
  <c r="AI15" i="3"/>
  <c r="AJ15" i="3" s="1"/>
  <c r="AM15" i="3" s="1"/>
  <c r="AO15" i="3" l="1"/>
  <c r="AN15" i="3"/>
  <c r="AQ15" i="3" s="1"/>
  <c r="AL15" i="3"/>
  <c r="AS15" i="3" s="1"/>
  <c r="AT15" i="3" l="1"/>
  <c r="G5" i="1"/>
  <c r="J5" i="1" s="1"/>
  <c r="L6" i="1" s="1"/>
  <c r="K6" i="1"/>
  <c r="K5" i="1"/>
  <c r="M6" i="1" l="1"/>
  <c r="AD5" i="1" l="1"/>
  <c r="P5" i="1"/>
  <c r="R5" i="1" s="1"/>
  <c r="J12" i="1"/>
  <c r="P13" i="1"/>
  <c r="P12" i="1"/>
  <c r="V12" i="1" s="1"/>
  <c r="P11" i="1"/>
  <c r="P10" i="1"/>
  <c r="V5" i="1" l="1"/>
  <c r="T5" i="1"/>
  <c r="S5" i="1"/>
  <c r="J13" i="1"/>
  <c r="V13" i="1"/>
  <c r="R13" i="1"/>
  <c r="T13" i="1" s="1"/>
  <c r="AD13" i="1"/>
  <c r="K13" i="1"/>
  <c r="AD12" i="1"/>
  <c r="P19" i="1"/>
  <c r="R19" i="1" s="1"/>
  <c r="S19" i="1" s="1"/>
  <c r="AD19" i="1"/>
  <c r="X5" i="1" l="1"/>
  <c r="AF5" i="1"/>
  <c r="AG5" i="1" s="1"/>
  <c r="AH5" i="1" s="1"/>
  <c r="X13" i="1"/>
  <c r="AF13" i="1" s="1"/>
  <c r="AG13" i="1" s="1"/>
  <c r="AH13" i="1" s="1"/>
  <c r="AP13" i="1"/>
  <c r="S13" i="1"/>
  <c r="R12" i="1"/>
  <c r="S12" i="1" s="1"/>
  <c r="T19" i="1"/>
  <c r="V19" i="1"/>
  <c r="AI5" i="1" l="1"/>
  <c r="AJ5" i="1" s="1"/>
  <c r="T12" i="1"/>
  <c r="X12" i="1" s="1"/>
  <c r="AI13" i="1"/>
  <c r="AJ13" i="1" s="1"/>
  <c r="X19" i="1"/>
  <c r="AF12" i="1" l="1"/>
  <c r="AG12" i="1" s="1"/>
  <c r="AH12" i="1" s="1"/>
  <c r="AO13" i="1"/>
  <c r="AM13" i="1"/>
  <c r="AL13" i="1"/>
  <c r="AN13" i="1"/>
  <c r="AF19" i="1"/>
  <c r="AG19" i="1" s="1"/>
  <c r="AH19" i="1" s="1"/>
  <c r="G19" i="1" s="1"/>
  <c r="AI12" i="1" l="1"/>
  <c r="AJ12" i="1" s="1"/>
  <c r="AQ13" i="1"/>
  <c r="AT13" i="1" s="1"/>
  <c r="AS13" i="1"/>
  <c r="AI19" i="1"/>
  <c r="AJ19" i="1" s="1"/>
  <c r="AD20" i="1" l="1"/>
  <c r="V20" i="1"/>
  <c r="R20" i="1"/>
  <c r="S20" i="1" s="1"/>
  <c r="K20" i="1"/>
  <c r="J20" i="1"/>
  <c r="AD11" i="1"/>
  <c r="U11" i="1"/>
  <c r="V11" i="1"/>
  <c r="J11" i="1"/>
  <c r="AD10" i="1"/>
  <c r="U10" i="1"/>
  <c r="R10" i="1"/>
  <c r="J10" i="1"/>
  <c r="P18" i="1"/>
  <c r="V18" i="1" s="1"/>
  <c r="P17" i="1"/>
  <c r="V17" i="1" s="1"/>
  <c r="AD17" i="1"/>
  <c r="U17" i="1"/>
  <c r="AD18" i="1"/>
  <c r="U18" i="1"/>
  <c r="S10" i="1" l="1"/>
  <c r="T20" i="1"/>
  <c r="X20" i="1" s="1"/>
  <c r="AF20" i="1" s="1"/>
  <c r="AG20" i="1" s="1"/>
  <c r="AH20" i="1" s="1"/>
  <c r="R11" i="1"/>
  <c r="T11" i="1" s="1"/>
  <c r="X11" i="1" s="1"/>
  <c r="AP20" i="1"/>
  <c r="T10" i="1"/>
  <c r="V10" i="1"/>
  <c r="R17" i="1"/>
  <c r="S17" i="1" s="1"/>
  <c r="R18" i="1"/>
  <c r="S18" i="1" s="1"/>
  <c r="S11" i="1" l="1"/>
  <c r="AI20" i="1"/>
  <c r="AJ20" i="1" s="1"/>
  <c r="X10" i="1"/>
  <c r="AF10" i="1" s="1"/>
  <c r="AG10" i="1" s="1"/>
  <c r="AH10" i="1" s="1"/>
  <c r="T17" i="1"/>
  <c r="X17" i="1" s="1"/>
  <c r="AF17" i="1" s="1"/>
  <c r="AG17" i="1" s="1"/>
  <c r="AH17" i="1" s="1"/>
  <c r="AF11" i="1"/>
  <c r="AG11" i="1" s="1"/>
  <c r="AH11" i="1" s="1"/>
  <c r="T18" i="1"/>
  <c r="X18" i="1" s="1"/>
  <c r="AF18" i="1" s="1"/>
  <c r="AG18" i="1" s="1"/>
  <c r="AH18" i="1" s="1"/>
  <c r="AN20" i="1" l="1"/>
  <c r="AL20" i="1"/>
  <c r="AO20" i="1"/>
  <c r="AM20" i="1"/>
  <c r="AI10" i="1"/>
  <c r="AJ10" i="1" s="1"/>
  <c r="AI11" i="1"/>
  <c r="AJ11" i="1" s="1"/>
  <c r="AI17" i="1"/>
  <c r="AJ17" i="1" s="1"/>
  <c r="J17" i="1" s="1"/>
  <c r="AI18" i="1"/>
  <c r="AJ18" i="1" s="1"/>
  <c r="AQ20" i="1" l="1"/>
  <c r="AT20" i="1" s="1"/>
  <c r="AS20" i="1"/>
  <c r="J18" i="1"/>
  <c r="P25" i="1" l="1"/>
  <c r="V25" i="1" s="1"/>
  <c r="K26" i="1"/>
  <c r="K27" i="1"/>
  <c r="K25" i="1"/>
  <c r="AD27" i="1"/>
  <c r="R27" i="1"/>
  <c r="AP27" i="1" s="1"/>
  <c r="V27" i="1"/>
  <c r="J27" i="1"/>
  <c r="AD26" i="1"/>
  <c r="V26" i="1"/>
  <c r="R26" i="1"/>
  <c r="T26" i="1" s="1"/>
  <c r="J26" i="1"/>
  <c r="AD25" i="1"/>
  <c r="J25" i="1"/>
  <c r="AD24" i="1"/>
  <c r="V24" i="1"/>
  <c r="R24" i="1"/>
  <c r="T24" i="1" s="1"/>
  <c r="J24" i="1"/>
  <c r="X26" i="1" l="1"/>
  <c r="X24" i="1"/>
  <c r="AF24" i="1" s="1"/>
  <c r="AG24" i="1" s="1"/>
  <c r="AH24" i="1" s="1"/>
  <c r="AP24" i="1"/>
  <c r="S24" i="1"/>
  <c r="R25" i="1"/>
  <c r="AP25" i="1" s="1"/>
  <c r="S27" i="1"/>
  <c r="T27" i="1"/>
  <c r="X27" i="1" s="1"/>
  <c r="S26" i="1"/>
  <c r="AP26" i="1"/>
  <c r="AF26" i="1"/>
  <c r="AG26" i="1" s="1"/>
  <c r="AH26" i="1" s="1"/>
  <c r="V32" i="1"/>
  <c r="AF27" i="1" l="1"/>
  <c r="AG27" i="1" s="1"/>
  <c r="AH27" i="1" s="1"/>
  <c r="AI27" i="1" s="1"/>
  <c r="AJ27" i="1" s="1"/>
  <c r="S25" i="1"/>
  <c r="T25" i="1"/>
  <c r="X25" i="1" s="1"/>
  <c r="AF25" i="1" s="1"/>
  <c r="AG25" i="1" s="1"/>
  <c r="AH25" i="1" s="1"/>
  <c r="AI25" i="1" s="1"/>
  <c r="AI26" i="1"/>
  <c r="AJ26" i="1" s="1"/>
  <c r="AI24" i="1"/>
  <c r="AJ24" i="1" s="1"/>
  <c r="AD34" i="1"/>
  <c r="AJ25" i="1" l="1"/>
  <c r="AN25" i="1" s="1"/>
  <c r="AN26" i="1"/>
  <c r="AL26" i="1"/>
  <c r="AO26" i="1"/>
  <c r="AM26" i="1"/>
  <c r="AN24" i="1"/>
  <c r="AO24" i="1"/>
  <c r="AM24" i="1"/>
  <c r="AL24" i="1"/>
  <c r="AM27" i="1"/>
  <c r="AL27" i="1"/>
  <c r="AO27" i="1"/>
  <c r="AN27" i="1"/>
  <c r="V34" i="1"/>
  <c r="R34" i="1"/>
  <c r="P35" i="1"/>
  <c r="AO25" i="1" l="1"/>
  <c r="AQ25" i="1" s="1"/>
  <c r="AM25" i="1"/>
  <c r="AL25" i="1"/>
  <c r="AS24" i="1"/>
  <c r="AQ24" i="1"/>
  <c r="AT24" i="1" s="1"/>
  <c r="AS27" i="1"/>
  <c r="AS26" i="1"/>
  <c r="AQ27" i="1"/>
  <c r="AT27" i="1" s="1"/>
  <c r="AQ26" i="1"/>
  <c r="AT26" i="1" s="1"/>
  <c r="S34" i="1"/>
  <c r="AP34" i="1"/>
  <c r="T34" i="1"/>
  <c r="X34" i="1" s="1"/>
  <c r="AF34" i="1" s="1"/>
  <c r="V35" i="1"/>
  <c r="AD35" i="1"/>
  <c r="AS25" i="1" l="1"/>
  <c r="AT25" i="1"/>
  <c r="AG34" i="1"/>
  <c r="AH34" i="1" s="1"/>
  <c r="R35" i="1"/>
  <c r="AI34" i="1" l="1"/>
  <c r="AJ34" i="1" s="1"/>
  <c r="J34" i="1"/>
  <c r="S35" i="1"/>
  <c r="AP35" i="1"/>
  <c r="T35" i="1"/>
  <c r="X35" i="1" s="1"/>
  <c r="AF35" i="1" s="1"/>
  <c r="AO34" i="1" l="1"/>
  <c r="AN34" i="1"/>
  <c r="AM34" i="1"/>
  <c r="AL34" i="1"/>
  <c r="AG35" i="1"/>
  <c r="AH35" i="1" s="1"/>
  <c r="J35" i="1" s="1"/>
  <c r="AS34" i="1" l="1"/>
  <c r="AQ34" i="1"/>
  <c r="AT34" i="1" s="1"/>
  <c r="AI35" i="1"/>
  <c r="AJ35" i="1" s="1"/>
  <c r="AM35" i="1" l="1"/>
  <c r="AL35" i="1"/>
  <c r="AO35" i="1"/>
  <c r="AN35" i="1"/>
  <c r="AQ35" i="1" l="1"/>
  <c r="AT35" i="1" s="1"/>
  <c r="AS35" i="1"/>
  <c r="AD33" i="1" l="1"/>
  <c r="V33" i="1"/>
  <c r="R33" i="1"/>
  <c r="T33" i="1" s="1"/>
  <c r="X33" i="1" l="1"/>
  <c r="AF33" i="1" s="1"/>
  <c r="S33" i="1"/>
  <c r="AP33" i="1"/>
  <c r="AG33" i="1" l="1"/>
  <c r="AH33" i="1" s="1"/>
  <c r="J33" i="1" s="1"/>
  <c r="AI33" i="1" l="1"/>
  <c r="AJ33" i="1" s="1"/>
  <c r="AN33" i="1" s="1"/>
  <c r="AO33" i="1" l="1"/>
  <c r="AQ33" i="1" s="1"/>
  <c r="AL33" i="1"/>
  <c r="AM33" i="1"/>
  <c r="AS33" i="1" l="1"/>
  <c r="AT33" i="1"/>
  <c r="AD32" i="1"/>
  <c r="R32" i="1"/>
  <c r="S32" i="1" s="1"/>
  <c r="T32" i="1" l="1"/>
  <c r="X32" i="1" s="1"/>
  <c r="AF32" i="1" s="1"/>
  <c r="AP32" i="1"/>
  <c r="AG32" i="1" l="1"/>
  <c r="AH32" i="1" s="1"/>
  <c r="J32" i="1" s="1"/>
  <c r="AI32" i="1" l="1"/>
  <c r="AJ32" i="1" s="1"/>
  <c r="AL32" i="1" l="1"/>
  <c r="AM32" i="1"/>
  <c r="AO32" i="1"/>
  <c r="AN32" i="1"/>
  <c r="AQ32" i="1" l="1"/>
  <c r="AT32" i="1" s="1"/>
  <c r="AS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  <author>Autor</author>
  </authors>
  <commentList>
    <comment ref="AE5" authorId="0" shapeId="0" xr:uid="{00000000-0006-0000-0100-000001000000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12" authorId="0" shapeId="0" xr:uid="{00000000-0006-0000-0100-000002000000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19" authorId="0" shapeId="0" xr:uid="{00000000-0006-0000-0100-000003000000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E24" authorId="1" shapeId="0" xr:uid="{00000000-0006-0000-0100-000004000000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E32" authorId="1" shapeId="0" xr:uid="{00000000-0006-0000-0100-000005000000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2" authorId="0" shapeId="0" xr:uid="{00000000-0006-0000-0300-000001000000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2" authorId="0" shapeId="0" xr:uid="{00000000-0006-0000-0300-000002000000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2" authorId="0" shapeId="0" xr:uid="{00000000-0006-0000-0400-000001000000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2" authorId="0" shapeId="0" xr:uid="{00000000-0006-0000-0400-000002000000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  <comment ref="AE6" authorId="0" shapeId="0" xr:uid="{00000000-0006-0000-0400-000003000000}">
      <text>
        <r>
          <rPr>
            <b/>
            <sz val="11"/>
            <color indexed="81"/>
            <rFont val="Tahoma"/>
            <family val="2"/>
          </rPr>
          <t>Costo Caja x S/3.5.  Capac. dependerá prod. Consultar c Bruce,, Andres, Ronald</t>
        </r>
      </text>
    </comment>
    <comment ref="AF6" authorId="0" shapeId="0" xr:uid="{00000000-0006-0000-0400-000004000000}">
      <text>
        <r>
          <rPr>
            <b/>
            <sz val="11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<sst xmlns="http://schemas.openxmlformats.org/spreadsheetml/2006/main" count="826" uniqueCount="173">
  <si>
    <t>COTIZACIÓN PROPUESTA_TRANSPORTE SAN LORENZO_19.04.2023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</si>
  <si>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</si>
  <si>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</si>
  <si>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</si>
  <si>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</si>
  <si>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</si>
  <si>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</si>
  <si>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 
Incluye IGV (S/.) </t>
  </si>
  <si>
    <t>Tiempo Entrega</t>
  </si>
  <si>
    <t>Detalles</t>
  </si>
  <si>
    <t xml:space="preserve">Costo TOTAL Incluye 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</si>
  <si>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</si>
  <si>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</si>
  <si>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</si>
  <si>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</si>
  <si>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</si>
  <si>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</si>
  <si>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</si>
  <si>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</si>
  <si>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</si>
  <si>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</si>
  <si>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</si>
  <si>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</si>
  <si>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</si>
  <si>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</si>
  <si>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</si>
  <si>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</si>
  <si>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</si>
  <si>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</si>
  <si>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</si>
  <si>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</si>
  <si>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</si>
  <si>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</si>
  <si>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</si>
  <si>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</si>
  <si>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POLERA DE CALIDAD</t>
  </si>
  <si>
    <t>*Imagen referencial*</t>
  </si>
  <si>
    <t>12 dias utiles</t>
  </si>
  <si>
    <r>
      <rPr>
        <b/>
        <u/>
        <sz val="16"/>
        <rFont val="Arial"/>
        <family val="2"/>
      </rPr>
      <t xml:space="preserve">POLERA DE CALIDAD
</t>
    </r>
    <r>
      <rPr>
        <b/>
        <sz val="16"/>
        <rFont val="Arial"/>
        <family val="2"/>
      </rPr>
      <t>Color plomo
Material Franela reactivo Algodon
Incluye capucha forrada algodon 30/1 RX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 Incluye puños y pretina en rip. bolsillo canguro
TALLAS
S  7 
M  58
L  58
XL  25 
XXL  9
XXXL 5
</t>
    </r>
    <r>
      <rPr>
        <sz val="16"/>
        <color rgb="FFFF0000"/>
        <rFont val="Arial"/>
        <family val="2"/>
      </rPr>
      <t>*Incluye 1 Logo bordado en el pecho tamaño insignia.
*Arte y diseño facilitado por el cliente.</t>
    </r>
  </si>
  <si>
    <t>MAGALI</t>
  </si>
  <si>
    <t>55
XL 3.00 soles 
XXL 7.00 soles
XXXL 10.00 soles</t>
  </si>
  <si>
    <t>COTIZACIÓN PROPUESTA_TRANSPORTE SAN LORENZO_14.04.2023</t>
  </si>
  <si>
    <t xml:space="preserve">Costo uni. 
NO IGV (S/.) </t>
  </si>
  <si>
    <t xml:space="preserve">Costo TOTAL NO IGV (S/.) </t>
  </si>
  <si>
    <t>5 a 7 días útiles</t>
  </si>
  <si>
    <r>
      <rPr>
        <b/>
        <u/>
        <sz val="16"/>
        <rFont val="Arial"/>
        <family val="2"/>
      </rPr>
      <t xml:space="preserve">POLERA DE CALIDAD
</t>
    </r>
    <r>
      <rPr>
        <b/>
        <sz val="16"/>
        <rFont val="Arial"/>
        <family val="2"/>
      </rPr>
      <t>Color plomo
Material Franela reactivo Algodon
Incluye capucha forrada algodon 30/1 RX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 Incluye puños y pretina en rip. bolsillo canguro
</t>
    </r>
    <r>
      <rPr>
        <sz val="16"/>
        <color rgb="FFFF0000"/>
        <rFont val="Arial"/>
        <family val="2"/>
      </rPr>
      <t>*Incluye 1 Logo bordado en el pecho tamaño insignia.
*Arte y diseño facilitado por el cliente.</t>
    </r>
  </si>
  <si>
    <t>60.00 soles tres colores 
58.00 soles dos colores 
Tallas XL 3.00 
Tallas XXL y XXXL 5.00</t>
  </si>
  <si>
    <t>WILFREDO A 1 COLO 1 LADO</t>
  </si>
  <si>
    <t>MOCHILA DE VIAJE</t>
  </si>
  <si>
    <r>
      <rPr>
        <b/>
        <u/>
        <sz val="16"/>
        <rFont val="Arial"/>
        <family val="2"/>
      </rPr>
      <t xml:space="preserve">MOCHILA DE VIAJE
</t>
    </r>
    <r>
      <rPr>
        <sz val="16"/>
        <rFont val="Arial"/>
        <family val="2"/>
      </rPr>
      <t xml:space="preserve">Mochila travesias o campamento. Con cintas regulabless  varios compartimientos internos
Material: Lona o Nylon
Color: A elegir
</t>
    </r>
    <r>
      <rPr>
        <sz val="16"/>
        <color indexed="10"/>
        <rFont val="Arial"/>
        <family val="2"/>
      </rPr>
      <t>*Incluye 1 Logo a 1 color bordado
*Arte y diseño facilitado por el cliente.</t>
    </r>
  </si>
  <si>
    <t>GUSTAVO</t>
  </si>
  <si>
    <t>Hola buenas tardes.. mira en cualquiera de los dos modelos en material lona o nylon te puede salir a 90.00 soles cada uno.</t>
  </si>
  <si>
    <t>Serigrafia</t>
  </si>
  <si>
    <t>CASACA CORPORATIVAS</t>
  </si>
  <si>
    <r>
      <rPr>
        <b/>
        <u/>
        <sz val="16"/>
        <rFont val="Arial"/>
        <family val="2"/>
      </rPr>
      <t xml:space="preserve">CASACA CORPORATIVAS
</t>
    </r>
    <r>
      <rPr>
        <sz val="16"/>
        <rFont val="Arial"/>
        <family val="2"/>
      </rPr>
      <t>Material: Taslan Gamuzado
Tallas: S,M,L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Casacas corporativas impermeable acolchadas fibra delgada,  forro tafeta delgada, capucha desmontable, bolsillos inferiores y superior, cierres rey, logo bordado pecho y espalda, tallas desde la S hasta la XL, corte para damas y caballeros.
</t>
    </r>
    <r>
      <rPr>
        <sz val="16"/>
        <color rgb="FFFF0000"/>
        <rFont val="Arial"/>
        <family val="2"/>
      </rPr>
      <t>*Incluye 1 Logo borado en el pecho tamaño insignia
*Arte y diseño facilitado por el cliente.</t>
    </r>
    <r>
      <rPr>
        <sz val="16"/>
        <rFont val="Arial"/>
        <family val="2"/>
      </rPr>
      <t xml:space="preserve">
-----------------------
Costo adicionales por material
✔Taslan tejido engomado + S/10 + IGV
✔Hipora alta calidad 100% impermeable y 100% antiflyido : + S/20+ IGV
✔ Con forro micropolar es S/6 +IGV  soles más a cualquier calidad
</t>
    </r>
  </si>
  <si>
    <t>COTIZACIÓN PROPUESTA_ENVASES SELECTOS EIRL_LAPICEROS ECO_03.04.2023</t>
  </si>
  <si>
    <t>POLERA</t>
  </si>
  <si>
    <r>
      <rPr>
        <b/>
        <u/>
        <sz val="16"/>
        <rFont val="Arial"/>
        <family val="2"/>
      </rPr>
      <t xml:space="preserve">POLERA
Color plomo
</t>
    </r>
    <r>
      <rPr>
        <sz val="16"/>
        <rFont val="Arial"/>
        <family val="2"/>
      </rPr>
      <t xml:space="preserve">por este color de poleras en franela algodón color plomo melage cuello camisero con capucha forrada algodón 30/1 RX, con bordado en pecho, con puños y pretina en rip. bolsillo canguro
</t>
    </r>
    <r>
      <rPr>
        <sz val="16"/>
        <color rgb="FFFF0000"/>
        <rFont val="Arial"/>
        <family val="2"/>
      </rPr>
      <t>*Incluye 1 Logo a 1 coloren el pecho
*Arte y diseño facilitado por el cliente.</t>
    </r>
  </si>
  <si>
    <r>
      <rPr>
        <b/>
        <u/>
        <sz val="16"/>
        <rFont val="Arial"/>
        <family val="2"/>
      </rPr>
      <t xml:space="preserve">POLERA
</t>
    </r>
    <r>
      <rPr>
        <sz val="16"/>
        <rFont val="Arial"/>
        <family val="2"/>
      </rPr>
      <t xml:space="preserve">Material: Franela reactivo
incluye bolsillo canguro y capucha
Colores: A escoger
Talla: S,M,L 
</t>
    </r>
    <r>
      <rPr>
        <sz val="16"/>
        <color rgb="FFFF0000"/>
        <rFont val="Arial"/>
        <family val="2"/>
      </rPr>
      <t>*Incluye 1 Logo a 1 coloren el pecho
*Arte y diseño facilitado por el cliente.</t>
    </r>
  </si>
  <si>
    <t>CASACA</t>
  </si>
  <si>
    <r>
      <rPr>
        <b/>
        <u/>
        <sz val="16"/>
        <rFont val="Arial"/>
        <family val="2"/>
      </rPr>
      <t xml:space="preserve">CASACA 
</t>
    </r>
    <r>
      <rPr>
        <sz val="16"/>
        <rFont val="Arial"/>
        <family val="2"/>
      </rPr>
      <t xml:space="preserve">Colores: A elegir ( Incluye 3 colores)
Incluye 2 bolsillo
Talla: S,M,L 
</t>
    </r>
    <r>
      <rPr>
        <sz val="16"/>
        <color rgb="FFFF0000"/>
        <rFont val="Arial"/>
        <family val="2"/>
      </rPr>
      <t>*Incluye 1 Logo a 1 color bordado  en el pecho
*Arte y diseño facilitado por el cliente.</t>
    </r>
  </si>
  <si>
    <t>EDILBERO</t>
  </si>
  <si>
    <t>RECOTIZACIÓN PROPUESTA_Grupo San Lorenzo Gruas Y Transporte_Casaca_05.06.23</t>
  </si>
  <si>
    <t>AP}ROBADO</t>
  </si>
  <si>
    <t>50-50 envio a agencia en Lima</t>
  </si>
  <si>
    <t>CASACA CORTAVIENTO</t>
  </si>
  <si>
    <t>Viernes 16 o Sabado 17 Jun max*</t>
  </si>
  <si>
    <r>
      <rPr>
        <b/>
        <u/>
        <sz val="16"/>
        <color indexed="8"/>
        <rFont val="Arial"/>
        <family val="2"/>
      </rPr>
      <t>CASACA CORTAVIENTO</t>
    </r>
    <r>
      <rPr>
        <sz val="16"/>
        <color indexed="8"/>
        <rFont val="Arial"/>
        <family val="2"/>
      </rPr>
      <t xml:space="preserve">
Material: Taslam platinado impermeable o gamuzado con forro malla 
Modelo: Casaca cuerpo entero (1 color) con cierre principal, con 1 bolsillo en pecho con cierre. Insumos de calidad (cierres), Incluye capucha.
Color: Azul
Presentación: Doblado.
Tallas:
</t>
    </r>
    <r>
      <rPr>
        <sz val="16"/>
        <color indexed="10"/>
        <rFont val="Arial"/>
        <family val="2"/>
      </rPr>
      <t>* Incluye 1 logo bordado tipo insignia en pecho izquierdo o derecho tamaño insignia (10 cm ancho aprox)
* Arte y diseño debe ser facilitado por el cliente</t>
    </r>
  </si>
  <si>
    <t>M&amp;M 
MAGALI</t>
  </si>
  <si>
    <t>A S/50 en base 70 unid
+S/5 x capucha
Precio final con capcuha
S-M-L = 87ud a S/55 inc IGV
XL = 22ud a S/60 inc IGV
XXL = 9ud a S/62 inc IGV
XXL = 5ud a S/65 inc IGV</t>
  </si>
  <si>
    <t>YA INCLUYE</t>
  </si>
  <si>
    <t>RECOTIZACIÓN PROPUESTA_Grupo San Lorenzo Gruas Y Transporte_Polos pique y chompas_03.06.23</t>
  </si>
  <si>
    <t>son otros prod…</t>
  </si>
  <si>
    <t>POLOS PIQUE  30/1</t>
  </si>
  <si>
    <t>*Imagen Referencial</t>
  </si>
  <si>
    <t>10 a 12 Dias utiles</t>
  </si>
  <si>
    <r>
      <rPr>
        <b/>
        <u/>
        <sz val="16"/>
        <rFont val="Arial"/>
        <family val="2"/>
      </rPr>
      <t>POLOS PIQUE  30/1</t>
    </r>
    <r>
      <rPr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Pique 30/1, con reactivo (no despinta)
Modelo: Polo cuello camisero con puño y cuello tejido en manga corta conacabados en blanco. Pechera blanco solo a 1 lado.
Color: Color oscuro
Talla: S,M,L
Presentación: Bolsa individual y embolsado grupal por 50 und aprox.
</t>
    </r>
    <r>
      <rPr>
        <sz val="16"/>
        <color rgb="FFFF0000"/>
        <rFont val="Arial"/>
        <family val="2"/>
      </rPr>
      <t xml:space="preserve">*Incluye logo Bordado en pecho izquierdo tamaño insignia. 
*Diseño o arte facilitado por el cliente
</t>
    </r>
    <r>
      <rPr>
        <b/>
        <sz val="16"/>
        <color rgb="FFFF0000"/>
        <rFont val="Arial"/>
        <family val="2"/>
      </rPr>
      <t>+S/3.50 + IGV por tallas XL.
+S/5.50 + IGV por tallas XXL.
+S/7.50 + IGV por tallas XXXL.</t>
    </r>
  </si>
  <si>
    <t>MAGALI TEXTIL
986 273 616
8 dias</t>
  </si>
  <si>
    <t>25.50 soles  incl IGV
XL 3.00 
XXL 5.00
XXXL 7.00</t>
  </si>
  <si>
    <t>POLOS PIQUE  30/1
MANGA LARGA</t>
  </si>
  <si>
    <r>
      <rPr>
        <b/>
        <u/>
        <sz val="16"/>
        <rFont val="Arial"/>
        <family val="2"/>
      </rPr>
      <t>POLOS PIQUE  30/1 MANGA LARGA</t>
    </r>
    <r>
      <rPr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Pique 30/1,  con reactivo (no despinta)
Modelo: Polo cuello camisero del mismo color que el polo (no es armado),cuello tejido en manga larga y bolsillo en pecho izquierdo..
Color: Color oscuro
Talla: S,M,L
Presentación: Bolsa individual y embolsado grupal por 50 und aprox.
</t>
    </r>
    <r>
      <rPr>
        <sz val="16"/>
        <color rgb="FFFF0000"/>
        <rFont val="Arial"/>
        <family val="2"/>
      </rPr>
      <t xml:space="preserve">*Incluye logo Bordado en pecho izquierdo tamaño insignia. 
*Diseño o arte facilitado por el cliente
</t>
    </r>
    <r>
      <rPr>
        <b/>
        <sz val="16"/>
        <color rgb="FFFF0000"/>
        <rFont val="Arial"/>
        <family val="2"/>
      </rPr>
      <t>+S/3.50 + IGV por tallas XL.
+S/5.50 + IGV por tallas XXL.
+S/7.50 + IGV por tallas XXXL.</t>
    </r>
  </si>
  <si>
    <t>MAGALI TEXTIL
986 273 616
8 días</t>
  </si>
  <si>
    <t xml:space="preserve">33.00 soles incl IGV
</t>
  </si>
  <si>
    <r>
      <rPr>
        <b/>
        <u/>
        <sz val="16"/>
        <color rgb="FF000000"/>
        <rFont val="Arial"/>
      </rPr>
      <t xml:space="preserve">CASACA CORTAVIENTO
</t>
    </r>
    <r>
      <rPr>
        <sz val="16"/>
        <color rgb="FF000000"/>
        <rFont val="Arial"/>
      </rPr>
      <t xml:space="preserve">Material: Taslam platinado impermeable o gamuzado con forro malla 
Modelo: Casaca cuerpo entero (1 color) con cierre principal, con 1 bolsillo en pecho con cierre. Insumos de calidad (cierres)
Color: A elección (color entero tono sujeto a stock local)
Tallas: S, M, L
Presentación: Doblado.
</t>
    </r>
    <r>
      <rPr>
        <sz val="16"/>
        <color rgb="FFFF0000"/>
        <rFont val="Arial"/>
      </rPr>
      <t xml:space="preserve">* Incluye 1 logo bordado tipo insignia en pecho izquierdo o derecho tamaño insignia (10 cm ancho aprox)
* Arte y diseño debe ser facilitado por el cliente.
</t>
    </r>
    <r>
      <rPr>
        <b/>
        <sz val="16"/>
        <color rgb="FFFF0000"/>
        <rFont val="Arial"/>
      </rPr>
      <t>+S/5.50 por Capucha
+S/5.50 + IGV por tallas XL.
+S/7.50 + IGV por tallas XXL.
+S/10.00 + IGV por tallas XXXL.</t>
    </r>
  </si>
  <si>
    <t>A S/50 en base 70 unid
+S/5 x capucha
 PROYECTO TASA 2022-150 UNIDA
S/ 45 +1.50INCL IGV</t>
  </si>
  <si>
    <t xml:space="preserve">CASACA CON FORRO POLAR </t>
  </si>
  <si>
    <r>
      <rPr>
        <b/>
        <u/>
        <sz val="16"/>
        <color rgb="FF000000"/>
        <rFont val="Arial"/>
      </rPr>
      <t xml:space="preserve">CASACA FORRO POLAR 
</t>
    </r>
    <r>
      <rPr>
        <sz val="16"/>
        <color rgb="FF000000"/>
        <rFont val="Arial"/>
      </rPr>
      <t xml:space="preserve">Con corte estandar, cierre central y  2 bolsillos externos
Material: TCasacas corporativas acolchadas y forradas con Micropolar  taslan gamuzado logo bordado pecho dos bolsillos inferiores puño elástico, cierres rey, corte para damas y caballeros 
Colores: A elegir acorde stock (entero)
Tallas : S-M-L
Presentanción: Bolsa individuales y empaque grupal.
</t>
    </r>
    <r>
      <rPr>
        <sz val="16"/>
        <color rgb="FFFF0000"/>
        <rFont val="Arial"/>
      </rPr>
      <t xml:space="preserve">*Incluye logo bordado en pecho izquierdo o derecho tamaño insignia (10 cm ancho aprox)
* Arte y diseño debe ser facilitado por el cliente. 
</t>
    </r>
    <r>
      <rPr>
        <b/>
        <sz val="16"/>
        <color rgb="FFFF0000"/>
        <rFont val="Arial"/>
      </rPr>
      <t>+S/5.50 + IGV por tallas XL.
+S/7.50 + IGV por tallas XXL.
+S/10.00 + IGV por tallas XXXL.</t>
    </r>
  </si>
  <si>
    <t xml:space="preserve">
DANTE
2 semanas
//
Magaly
15 días</t>
  </si>
  <si>
    <t>Casaca taslan  con polar por dentro 
Precio .... 46 .00 + igv
//
58.00 .00 incl IGV
15 días
+ 5 POR TALLA XL Y 7 POR XXL
10 POR XXXL</t>
  </si>
  <si>
    <t>Ya incluye</t>
  </si>
  <si>
    <t>RECOTIZACIÓN PROPUESTA_Grupo San Lorenzo Gruas Y Transporte_Polos pique_03.06.23</t>
  </si>
  <si>
    <t>9 a 10 Dias utiles</t>
  </si>
  <si>
    <r>
      <rPr>
        <b/>
        <u/>
        <sz val="16"/>
        <rFont val="Arial"/>
        <family val="2"/>
      </rPr>
      <t>POLOS PIQUE  30/1</t>
    </r>
    <r>
      <rPr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Pique 30/1, con reactivo (no despinta)
Modelo: Polo cuello camisero con puño y cuello tejido en manga corta.
Color: Color oscuro
Talla: S,M,L
Presentación: Bolsa individual y embolsado grupal por 50 und aprox.
</t>
    </r>
    <r>
      <rPr>
        <sz val="16"/>
        <color rgb="FFFF0000"/>
        <rFont val="Arial"/>
        <family val="2"/>
      </rPr>
      <t xml:space="preserve">*Incluye logo Bordado en pecho izquierdo tamaño insignia. 
*Diseño o arte facilitado por el cliente
</t>
    </r>
    <r>
      <rPr>
        <b/>
        <sz val="16"/>
        <color rgb="FFFF0000"/>
        <rFont val="Arial"/>
        <family val="2"/>
      </rPr>
      <t>+S/3.50 + IGV por tallas XL.
+S/5.50 + IGV por tallas XXL.
+S/7.50 + IGV por tallas XXXL.</t>
    </r>
  </si>
  <si>
    <r>
      <rPr>
        <b/>
        <u/>
        <sz val="16"/>
        <rFont val="Arial"/>
        <family val="2"/>
      </rPr>
      <t>POLOS PIQUE  30/1 MANGA LARGA</t>
    </r>
    <r>
      <rPr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Pique 30/1,  con reactivo (no despinta)
Modelo: Polo cuello camisero con puño y cuello tejido en manga larga.
Color: Color oscuro
Talla: S,M,L
Presentación: Bolsa individual y embolsado grupal por 50 und aprox.
</t>
    </r>
    <r>
      <rPr>
        <sz val="16"/>
        <color rgb="FFFF0000"/>
        <rFont val="Arial"/>
        <family val="2"/>
      </rPr>
      <t xml:space="preserve">*Incluye logo Bordado en pecho izquierdo tamaño insignia. 
*Diseño o arte facilitado por el cliente
</t>
    </r>
    <r>
      <rPr>
        <b/>
        <sz val="16"/>
        <color rgb="FFFF0000"/>
        <rFont val="Arial"/>
        <family val="2"/>
      </rPr>
      <t>+S/3.50 + IGV por tallas XL.
+S/5.50 + IGV por tallas XXL.
+S/7.50 + IGV por tallas XXXL.</t>
    </r>
  </si>
  <si>
    <r>
      <rPr>
        <b/>
        <u/>
        <sz val="16"/>
        <color indexed="8"/>
        <rFont val="Arial"/>
        <family val="2"/>
      </rPr>
      <t>CASACA CORTAVIENTO</t>
    </r>
    <r>
      <rPr>
        <sz val="16"/>
        <color indexed="8"/>
        <rFont val="Arial"/>
        <family val="2"/>
      </rPr>
      <t xml:space="preserve">
Material: Taslam platinado impermeable y forro malla 
Modelo: Casaca con capucha entero (1 cuerpo) con cierre principal, con 1 bolsillo en pecho con cierre. Insumos de calidad (cierres marca REY
Color: A elección (color entero tono sujeto a stock local)
Tallas: S, M, L
Presentación: Doblado.
</t>
    </r>
    <r>
      <rPr>
        <sz val="16"/>
        <color indexed="10"/>
        <rFont val="Arial"/>
        <family val="2"/>
      </rPr>
      <t xml:space="preserve">* Incluye 1 logo bordado tipo insignia en pecho izquierdo o derecho tamaño insignia (10 cm ancho aprox)
* Arte y diseño debe ser facilitado por el cliente.
</t>
    </r>
    <r>
      <rPr>
        <b/>
        <sz val="16"/>
        <color rgb="FFFF0000"/>
        <rFont val="Arial"/>
        <family val="2"/>
      </rPr>
      <t>+S/5.50 + IGV por tallas XL.
+S/7.50 + IGV por tallas XXL.
+S/10.00 + IGV por tallas XXXL.</t>
    </r>
  </si>
  <si>
    <t xml:space="preserve"> PROYECTO TASA 2022-150 UNIDA
S/ 45 +1.50INCL IGV</t>
  </si>
  <si>
    <r>
      <rPr>
        <b/>
        <u/>
        <sz val="16"/>
        <rFont val="Arial"/>
        <family val="2"/>
      </rPr>
      <t xml:space="preserve">CASACA FORRO POLAR 
</t>
    </r>
    <r>
      <rPr>
        <sz val="16"/>
        <rFont val="Arial"/>
        <family val="2"/>
      </rPr>
      <t xml:space="preserve">Con corte estandar, cierre central y  2 bolsillos externos
Material: Taslan con forro polar o micro polar interno, puño elástico y  cierres rey
Colores: A elegir acorde stock (entero)
Tallas : S-M-L
Presentanción: Bolsa individuales y empaque grupal.
</t>
    </r>
    <r>
      <rPr>
        <sz val="16"/>
        <color rgb="FFFF0000"/>
        <rFont val="Arial"/>
        <family val="2"/>
      </rPr>
      <t xml:space="preserve">*Incluye logo bordado en pecho izquierdo o derecho tamaño insignia (10 cm ancho aprox)
* Arte y diseño debe ser facilitado por el cliente. 
</t>
    </r>
    <r>
      <rPr>
        <b/>
        <sz val="16"/>
        <color rgb="FFFF0000"/>
        <rFont val="Arial"/>
        <family val="2"/>
      </rPr>
      <t>+S/5.50 + IGV por tallas XL.
+S/7.50 + IGV por tallas XXL.
+S/10.00 + IGV por tallas XXXL.</t>
    </r>
  </si>
  <si>
    <t>RECOTIZACIÓN PROPUESTA_Grupo San Lorenzo Gruas Y Transporte_VARIOS PRODUCTOS_02.06.23</t>
  </si>
  <si>
    <t>Presupuesto:
55 incl Igv pero puede sub un poco más</t>
  </si>
  <si>
    <t>BANDANA</t>
  </si>
  <si>
    <r>
      <rPr>
        <b/>
        <u/>
        <sz val="16"/>
        <color indexed="8"/>
        <rFont val="Arial"/>
        <family val="2"/>
      </rPr>
      <t xml:space="preserve">BANDANA
</t>
    </r>
    <r>
      <rPr>
        <sz val="16"/>
        <color indexed="8"/>
        <rFont val="Arial"/>
        <family val="2"/>
      </rPr>
      <t>Bandanas con costura</t>
    </r>
    <r>
      <rPr>
        <b/>
        <u/>
        <sz val="16"/>
        <color indexed="8"/>
        <rFont val="Arial"/>
        <family val="2"/>
      </rPr>
      <t xml:space="preserve">
</t>
    </r>
    <r>
      <rPr>
        <sz val="16"/>
        <color indexed="8"/>
        <rFont val="Arial"/>
        <family val="2"/>
      </rPr>
      <t xml:space="preserve">Material: Hidrosedal
</t>
    </r>
    <r>
      <rPr>
        <b/>
        <sz val="16"/>
        <color indexed="8"/>
        <rFont val="Arial"/>
        <family val="2"/>
      </rPr>
      <t>Colores</t>
    </r>
    <r>
      <rPr>
        <sz val="16"/>
        <color indexed="8"/>
        <rFont val="Arial"/>
        <family val="2"/>
      </rPr>
      <t xml:space="preserve">: Tonalidad azul
Medidas: 60 x 30 cm aprox.
Acabado: Costuras son remallada recubierta + atraque para que no se abra (mayor refuerzo)
Presentanción: Eempaque grupal.
</t>
    </r>
    <r>
      <rPr>
        <b/>
        <sz val="16"/>
        <color indexed="10"/>
        <rFont val="Arial"/>
        <family val="2"/>
      </rPr>
      <t xml:space="preserve">*Incluye logo impresión full color en tela en Sublimado </t>
    </r>
    <r>
      <rPr>
        <sz val="16"/>
        <color indexed="10"/>
        <rFont val="Arial"/>
        <family val="2"/>
      </rPr>
      <t xml:space="preserve">
*Arte y logo proporcionado por el cliente</t>
    </r>
  </si>
  <si>
    <t>**YA CONOCE TALLAS X PROY PASADO, PEOR DE MAGALY</t>
  </si>
  <si>
    <t>Magaly</t>
  </si>
  <si>
    <t xml:space="preserve">7.00 soles incl IGV
</t>
  </si>
  <si>
    <t>Incluye</t>
  </si>
  <si>
    <t xml:space="preserve">CHOMPA  POLAR </t>
  </si>
  <si>
    <r>
      <rPr>
        <b/>
        <u/>
        <sz val="16"/>
        <rFont val="Arial"/>
        <family val="2"/>
      </rPr>
      <t xml:space="preserve">CHOMPA  POLAR </t>
    </r>
    <r>
      <rPr>
        <sz val="16"/>
        <rFont val="Arial"/>
        <family val="2"/>
      </rPr>
      <t xml:space="preserve">
Material: Franela de algodón, calidad intermedia
Modelo: Cuello redondo y cierre en cuello
Color: A elegir
Acabados: Peinado  (Textura suave)
Tallas: S, M, L
Presentanción: Bolsa individuales y empaque grupal.
</t>
    </r>
    <r>
      <rPr>
        <sz val="16"/>
        <color rgb="FFFF0000"/>
        <rFont val="Arial"/>
        <family val="2"/>
      </rPr>
      <t xml:space="preserve">*Incluye logo bordado en pecho izquierdo o derecho tamaño insignia (10 cm ancho aprox)
*Diseño o arte facilitado por cliente
</t>
    </r>
    <r>
      <rPr>
        <b/>
        <sz val="16"/>
        <color rgb="FFFF0000"/>
        <rFont val="Arial"/>
        <family val="2"/>
      </rPr>
      <t>+S/5.50 + IGV por tallas XL.
+S/7.50 + IGV por tallas XXL.
+S/10.50 + IGV por tallas XXXL.</t>
    </r>
  </si>
  <si>
    <t>s/40+igv -  a 10 días 
2 más XL 
3 más XXL y xxxl
//
38.00 incl IGV
+ 5 POR TALLA XL Y 7 POR XXL
10 POR XXXL
15 sías</t>
  </si>
  <si>
    <t>ya incluue</t>
  </si>
  <si>
    <t xml:space="preserve">CASACA POLAR </t>
  </si>
  <si>
    <r>
      <rPr>
        <b/>
        <u/>
        <sz val="16"/>
        <rFont val="Arial"/>
        <family val="2"/>
      </rPr>
      <t xml:space="preserve">CASACA POLAR 
</t>
    </r>
    <r>
      <rPr>
        <sz val="16"/>
        <rFont val="Arial"/>
        <family val="2"/>
      </rPr>
      <t xml:space="preserve">Con corte estandar, cierre central y  2 bolsillos externos
Material: Polar carnero  ( grueso) y  cierres rey en parte central.
Colores: A elegir acorde stock (entero)
Tallas : S-M-L
Presentanción: Bolsa individuales y empaque grupal.
</t>
    </r>
    <r>
      <rPr>
        <sz val="16"/>
        <color rgb="FFFF0000"/>
        <rFont val="Arial"/>
        <family val="2"/>
      </rPr>
      <t xml:space="preserve">*Incluye logo bordado en pecho izquierdo o derecho tamaño insignia (10 cm ancho aprox)
* Arte y diseño debe ser facilitado por el cliente. 
</t>
    </r>
    <r>
      <rPr>
        <b/>
        <sz val="16"/>
        <color rgb="FFFF0000"/>
        <rFont val="Arial"/>
        <family val="2"/>
      </rPr>
      <t>+S/3.00 + IGV por tallas XL.
+S/5.00 + IGV por tallas XXL.
+S/8.00 + IGV por tallas XXXL.</t>
    </r>
  </si>
  <si>
    <t xml:space="preserve">DANTE
992 410 965
2 semanas
</t>
  </si>
  <si>
    <t>Casasa  solo polar carnero  ( grueso).
Precio .... 36 .00 + igv
2.50 mas Por las tallas grandes</t>
  </si>
  <si>
    <t>(*) A confirmarse con orden hoy Vie 02 Jun y Muestras virtuales máximo Sab 03 Jun 11am</t>
  </si>
  <si>
    <t>RECOTIZACIÓN PROPUESTA_Grupo San Lorenzo Gruas Y Transporte_VARIOS PRODUCTOS_01.06.23</t>
  </si>
  <si>
    <t>10 a 12 dias utiles</t>
  </si>
  <si>
    <r>
      <rPr>
        <b/>
        <u/>
        <sz val="14"/>
        <color indexed="8"/>
        <rFont val="Arial"/>
        <family val="2"/>
      </rPr>
      <t xml:space="preserve">BANDANA
</t>
    </r>
    <r>
      <rPr>
        <sz val="14"/>
        <color indexed="8"/>
        <rFont val="Arial"/>
        <family val="2"/>
      </rPr>
      <t>Bandanas con costura</t>
    </r>
    <r>
      <rPr>
        <b/>
        <u/>
        <sz val="14"/>
        <color indexed="8"/>
        <rFont val="Arial"/>
        <family val="2"/>
      </rPr>
      <t xml:space="preserve">
</t>
    </r>
    <r>
      <rPr>
        <sz val="14"/>
        <color indexed="8"/>
        <rFont val="Arial"/>
        <family val="2"/>
      </rPr>
      <t xml:space="preserve">Material: Hidrosedal
</t>
    </r>
    <r>
      <rPr>
        <b/>
        <sz val="14"/>
        <color indexed="8"/>
        <rFont val="Arial"/>
        <family val="2"/>
      </rPr>
      <t>Colores</t>
    </r>
    <r>
      <rPr>
        <sz val="14"/>
        <color indexed="8"/>
        <rFont val="Arial"/>
        <family val="2"/>
      </rPr>
      <t xml:space="preserve">: Tonalidad azul
Medidas: 60 x 30 cm aprox.
Acabado: Costuras son remallada recubierta + atraque para que no se abra (mayor refuerzo)
Presentanción: Eempaque grupal.
</t>
    </r>
    <r>
      <rPr>
        <b/>
        <sz val="14"/>
        <color indexed="10"/>
        <rFont val="Arial"/>
        <family val="2"/>
      </rPr>
      <t xml:space="preserve">*Incluye logo impresión full color en tela en Sublimado </t>
    </r>
    <r>
      <rPr>
        <sz val="14"/>
        <color indexed="10"/>
        <rFont val="Arial"/>
        <family val="2"/>
      </rPr>
      <t xml:space="preserve">
*Arte y logo proporcionado por el cliente</t>
    </r>
  </si>
  <si>
    <t xml:space="preserve">18 a 20 dias útiles  </t>
  </si>
  <si>
    <t>COTIZACIÓN PROPUESTA_Grupo San Lorenzo Gruas Y Transporte_Casaca_24.07.23</t>
  </si>
  <si>
    <t>APROBADO</t>
  </si>
  <si>
    <t xml:space="preserve">Costo TOTAL 
NO IGV (S/.) </t>
  </si>
  <si>
    <t>Ma 08 Ago*</t>
  </si>
  <si>
    <r>
      <rPr>
        <b/>
        <u/>
        <sz val="18"/>
        <rFont val="Arial"/>
        <family val="2"/>
      </rPr>
      <t xml:space="preserve">CASACA CORPORATIVAS
</t>
    </r>
    <r>
      <rPr>
        <sz val="18"/>
        <rFont val="Arial"/>
        <family val="2"/>
      </rPr>
      <t>Material: Taslan Gamuzado
Tallas: 
S:  3 hombre, 5 mujer
M: 49 hombre, 6 mujer
L: 58 hombre, 2 mujer
XL: 27 hombre
XXL: 10 hombre
XXXL: 4 hombre</t>
    </r>
    <r>
      <rPr>
        <b/>
        <u/>
        <sz val="18"/>
        <rFont val="Arial"/>
        <family val="2"/>
      </rPr>
      <t xml:space="preserve">
</t>
    </r>
    <r>
      <rPr>
        <sz val="18"/>
        <rFont val="Arial"/>
        <family val="2"/>
      </rPr>
      <t xml:space="preserve">Casacas corporativas impermeable acolchadas fibra delgada,  forro tafeta delgada, capucha desmontable, bolsillos inferiores, cierre rey, logo bordado pecho, corte para damas y caballeros.
Presentacion grupal: en bolsa manga plastico
</t>
    </r>
    <r>
      <rPr>
        <sz val="18"/>
        <color rgb="FFFF0000"/>
        <rFont val="Arial"/>
        <family val="2"/>
      </rPr>
      <t>*Incluye 1 Logo borado en el pecho tamaño insignia
*Arte y diseño facilitado por el cliente.</t>
    </r>
  </si>
  <si>
    <t>Ajustar a S/88.50
Adicionales
XS - Mujer
M- Varon</t>
  </si>
  <si>
    <t>78 incl IGV tallas xs s m l xl
+ 10 xxl xxxl
= 78.86 incl IGV c/u</t>
  </si>
  <si>
    <t>*Entrega MA 08 Agosto, de confirmarse MV, OC y adelanto Lunes 24 Julio max. 2 a 3pm</t>
  </si>
  <si>
    <t>COTIZACIÓN PROPUESTA_Grupo San Lorenzo Gruas Y Transporte_Polos y lonchera_21.07.23</t>
  </si>
  <si>
    <r>
      <rPr>
        <b/>
        <u/>
        <sz val="16"/>
        <rFont val="Arial"/>
        <family val="2"/>
      </rPr>
      <t>POLOS PIQUE  30/1</t>
    </r>
    <r>
      <rPr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Pique 30/1, con reactivo (no despinta)
Modelo: Polo cuello camisero con puño y cuello tejido en manga corta con acabados en blanco. Pechera blanco solo a 1 lado.
Color: Color oscuro
Talla: S,M,L
Presentación: Bolsa individual y embolsado grupal por 50 und aprox.
</t>
    </r>
    <r>
      <rPr>
        <sz val="16"/>
        <color rgb="FFFF0000"/>
        <rFont val="Arial"/>
        <family val="2"/>
      </rPr>
      <t xml:space="preserve">*Incluye logo Bordado en pecho izquierdo tamaño insignia. 
*Diseño o arte facilitado por el cliente
</t>
    </r>
    <r>
      <rPr>
        <b/>
        <sz val="16"/>
        <color rgb="FFFF0000"/>
        <rFont val="Arial"/>
        <family val="2"/>
      </rPr>
      <t>+S/3.50 + IGV por tallas XL.
+S/5.50 + IGV por tallas XXL.
+S/7.50 + IGV por tallas XXXL.</t>
    </r>
  </si>
  <si>
    <r>
      <rPr>
        <b/>
        <u/>
        <sz val="16"/>
        <rFont val="Arial"/>
        <family val="2"/>
      </rPr>
      <t>POLOS PIQUE  30/1 MANGA LARGA</t>
    </r>
    <r>
      <rPr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Pique 30/1,  con reactivo (no despinta)
Modelo: Polo cuello camisero del mismo color que el polo (no es armado),cuello tejido en manga larga y bolsillo en pecho izquierdo.
Color: Color oscuro
Talla: S,M,L
Presentación: Bolsa individual y embolsado grupal por 50 und aprox.
</t>
    </r>
    <r>
      <rPr>
        <sz val="16"/>
        <color rgb="FFFF0000"/>
        <rFont val="Arial"/>
        <family val="2"/>
      </rPr>
      <t xml:space="preserve">*Incluye logo Bordado en pecho izquierdo tamaño insignia. 
*Diseño o arte facilitado por el cliente
</t>
    </r>
    <r>
      <rPr>
        <b/>
        <sz val="16"/>
        <color rgb="FFFF0000"/>
        <rFont val="Arial"/>
        <family val="2"/>
      </rPr>
      <t>+S/3.50 + IGV por tallas XL.
+S/5.50 + IGV por tallas XXL.
+S/7.50 + IGV por tallas XXXL.</t>
    </r>
  </si>
  <si>
    <t xml:space="preserve">LONCHERA </t>
  </si>
  <si>
    <t>*Imagen Referencial*</t>
  </si>
  <si>
    <t>10 a 15 dias utiles</t>
  </si>
  <si>
    <r>
      <rPr>
        <b/>
        <u/>
        <sz val="16"/>
        <color indexed="8"/>
        <rFont val="Arial"/>
        <family val="2"/>
      </rPr>
      <t>LONCHERA</t>
    </r>
    <r>
      <rPr>
        <sz val="16"/>
        <color indexed="8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Modelo: Lonchera con forro laminado (térmico) por dentro y tapa modelo oval. Con 2 compartimentos y    concinta para uso cruzado en hombros.
Medidas: alto 21 cm, ancho 22 y profundidad de 18 cm aprox
Material:  Nylon
</t>
    </r>
    <r>
      <rPr>
        <sz val="16"/>
        <color indexed="8"/>
        <rFont val="Arial"/>
        <family val="2"/>
      </rPr>
      <t xml:space="preserve">Presentacion: embolsado individual
</t>
    </r>
    <r>
      <rPr>
        <sz val="16"/>
        <color rgb="FFFF0000"/>
        <rFont val="Arial"/>
        <family val="2"/>
      </rPr>
      <t>*Incluyen un bordado por un lado 
*Diseño o arte facilitado por el cliente</t>
    </r>
  </si>
  <si>
    <t>EDILBERTO</t>
  </si>
  <si>
    <t>Mira en material tetron te sale a 20.00 soles 
En material nylon te sale a 22.00 soles.</t>
  </si>
  <si>
    <t xml:space="preserve"> Incluye bordado</t>
  </si>
  <si>
    <t>COTIZACIÓN PROPUESTA_Grupo San Lorenzo Gruas Y Transporte_Casaca_20.07.23</t>
  </si>
  <si>
    <t>10 a 12 días útiles</t>
  </si>
  <si>
    <r>
      <rPr>
        <b/>
        <u/>
        <sz val="16"/>
        <rFont val="Arial"/>
        <family val="2"/>
      </rPr>
      <t xml:space="preserve">MOCHILA DE VIAJE
</t>
    </r>
    <r>
      <rPr>
        <sz val="16"/>
        <rFont val="Arial"/>
        <family val="2"/>
      </rPr>
      <t xml:space="preserve">Mochila travesias o campamento. Con cintas regulabless  varios compartimientos internos
Material: Lona o Nylon
Medidas.Alto 60cm, Ancho 30cm, Profundidad 23cm
Color: A elegir (Color entero)
Presentacion grupal: en bolsa manga plastico
</t>
    </r>
    <r>
      <rPr>
        <sz val="16"/>
        <color indexed="10"/>
        <rFont val="Arial"/>
        <family val="2"/>
      </rPr>
      <t>*Incluye 1 Logo a 1 color bordado
*Arte y diseño facilitado por el cliente.</t>
    </r>
  </si>
  <si>
    <t>58.5 + IGV
si se aprueba sábado llega hasta el 4 o 5
12 dias ( contando 2 feriados)</t>
  </si>
  <si>
    <r>
      <rPr>
        <b/>
        <u/>
        <sz val="16"/>
        <rFont val="Arial"/>
        <family val="2"/>
      </rPr>
      <t xml:space="preserve">CASACA CORPORATIVAS
</t>
    </r>
    <r>
      <rPr>
        <sz val="16"/>
        <rFont val="Arial"/>
        <family val="2"/>
      </rPr>
      <t>Material: Taslan Gamuzado
Tallas: S,M,L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Casacas corporativas impermeable acolchadas fibra delgada,  forro tafeta delgada, capucha desmontable, bolsillos inferiores y superior, cierres rey, logo bordado pecho y espalda, tallas desde la S hasta la XL, corte para damas y caballeros.
Presentacion grupal: en bolsa manga plastico
</t>
    </r>
    <r>
      <rPr>
        <sz val="16"/>
        <color rgb="FFFF0000"/>
        <rFont val="Arial"/>
        <family val="2"/>
      </rPr>
      <t>*Incluye 1 Logo borado en el pecho tamaño insignia
*Arte y diseño facilitado por el cliente.</t>
    </r>
    <r>
      <rPr>
        <sz val="16"/>
        <rFont val="Arial"/>
        <family val="2"/>
      </rPr>
      <t xml:space="preserve">
-----------------------
Costo adicionales por material
✔Taslan tejido engomado + S/10 + IGV
✔Hipora alta calidad 100% impermeable y 100% antiflyido : + S/20+ IGV
✔ Con forro micropolar es S/6 +IGV  soles más a cualquier calidad
</t>
    </r>
  </si>
  <si>
    <t>si llega, si se comienza mañana 21/07</t>
  </si>
  <si>
    <t>COTIZACIÓN PROPUESTA_Grupo San Lorenzo Gruas y Transporte_Cuadernos_14.09.23</t>
  </si>
  <si>
    <t>H/M</t>
  </si>
  <si>
    <t>MAGDALENA</t>
  </si>
  <si>
    <t>CREDITO 30 DIAS</t>
  </si>
  <si>
    <t>Nº</t>
  </si>
  <si>
    <t xml:space="preserve">Cant. </t>
  </si>
  <si>
    <t>Costo Uni. (S/.) NO IGV</t>
  </si>
  <si>
    <t>Costo TOTAL
NO. IGV (S/.)</t>
  </si>
  <si>
    <t>CUADERNO CORPORATIVO</t>
  </si>
  <si>
    <t>7 a 9 Dias utiles</t>
  </si>
  <si>
    <r>
      <t xml:space="preserve">CUADERNOS CORPORATIVOS - FABRICACION NACIONAL
</t>
    </r>
    <r>
      <rPr>
        <sz val="16"/>
        <rFont val="Arial"/>
        <family val="2"/>
      </rPr>
      <t xml:space="preserve">Cuaderno 20X15cm - Tapa Dura
</t>
    </r>
    <r>
      <rPr>
        <u/>
        <sz val="16"/>
        <rFont val="Arial"/>
        <family val="2"/>
      </rPr>
      <t>TAPA y CONTRA TAPA</t>
    </r>
    <r>
      <rPr>
        <sz val="16"/>
        <rFont val="Arial"/>
        <family val="2"/>
      </rPr>
      <t xml:space="preserve">
Tamaño cerrado: 20cm x 15cm
Impresión Tapa y contra tapa: Full color
Interior (la guarda) tapa y contratapa: Blanco
Material: couche de 150 gr
Plastificado Mate
</t>
    </r>
    <r>
      <rPr>
        <u/>
        <sz val="16"/>
        <rFont val="Arial"/>
        <family val="2"/>
      </rPr>
      <t>INTERIORES</t>
    </r>
    <r>
      <rPr>
        <sz val="16"/>
        <rFont val="Arial"/>
        <family val="2"/>
      </rPr>
      <t xml:space="preserve">
hojas rayadas/ cuadriculada: 100 Hojas
interiores, material: bond de 75 gr,
impresion: 1 color tira y retira
</t>
    </r>
    <r>
      <rPr>
        <u/>
        <sz val="16"/>
        <rFont val="Arial"/>
        <family val="2"/>
      </rPr>
      <t xml:space="preserve">ACABADOS </t>
    </r>
    <r>
      <rPr>
        <sz val="16"/>
        <rFont val="Arial"/>
        <family val="2"/>
      </rPr>
      <t xml:space="preserve">
tapa dura, espiralado, compaginado,
plastificado mate la tapa, anillado doble.
</t>
    </r>
    <r>
      <rPr>
        <sz val="16"/>
        <color rgb="FFFF0000"/>
        <rFont val="Arial"/>
        <family val="2"/>
      </rPr>
      <t>*Arte y diseño facilitado por el cliente.</t>
    </r>
    <r>
      <rPr>
        <b/>
        <u/>
        <sz val="16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+S/.1.00 por 1 hoja bond datos o bienvenida ia 1 colo, 1 lado
+S/1.50 por j1 encarte o publicidad en couche de 150gr, a full color, 1 lado</t>
    </r>
  </si>
  <si>
    <t>varios</t>
  </si>
  <si>
    <t xml:space="preserve">
MARCO IMPRENTA
CIENTO: S/ 9.00- MILLAR: 7.50
INNOVAGRAF
100UD s/12, 200 UND: S/ 10.00- 500 UND: 7.20
J.M IMPRESIONES
100 UND: S 7.50- 500 UND 5.50 C/U
PRECIOS LADY BRINDADOS A CLIENTE
100 - 15.5
200 - 13.9</t>
  </si>
  <si>
    <t>INCLUYE</t>
  </si>
  <si>
    <t>COTIZACIÓN PROPUESTA_Grupo San Lorenzo Gruas y Transporte_MALETIN CON RUEDA_10.11.23</t>
  </si>
  <si>
    <t>MALETIN</t>
  </si>
  <si>
    <t>Por confirmar</t>
  </si>
  <si>
    <r>
      <rPr>
        <b/>
        <u/>
        <sz val="16"/>
        <color indexed="8"/>
        <rFont val="Arial"/>
        <family val="2"/>
      </rPr>
      <t xml:space="preserve">MALETÍN
</t>
    </r>
    <r>
      <rPr>
        <sz val="16"/>
        <color indexed="8"/>
        <rFont val="Arial"/>
        <family val="2"/>
      </rPr>
      <t xml:space="preserve">Diseño: Tipo carry con revestimiento, sistema de rodamiento de bolas de metal para patines empotrables y asa de tracción oculta. 
Sistema de apertura superior en forma de U para un fácil acceso al compartimento principal de embalaje. 
5 compartimientos:1 grande en U, 2 pequeños en la parte delantera y 2 bolsillos a un lado.
Material: poliéster ó similar. 
Medidas: alto 70 cm ancho: 45 cm profundidad: 22.5 cm 
Color: a elegir
Capacidad: 15 kg  
</t>
    </r>
    <r>
      <rPr>
        <sz val="16"/>
        <color indexed="10"/>
        <rFont val="Arial"/>
        <family val="2"/>
      </rPr>
      <t>Impreso en serigrafia de logo: 
1. logo central ACNUR (medida15x15 cms en la parte superior central) y el numero hotline debajo del logo de 1.5x1.5 cms cada número/letra.
2. Logos o info de contacto de Ven Informado y Tu Causa Es Mi Causa que van con logo en horizontal (medidas de 9x3cms) 
3. Logo de dos banderas a 2 colores cada una.
Empaque grupal con Fill</t>
    </r>
  </si>
  <si>
    <t>GUSTAVO LORA
999 272 675
EDILBERTO
949 775 137</t>
  </si>
  <si>
    <r>
      <rPr>
        <b/>
        <sz val="16"/>
        <rFont val="Arial"/>
        <family val="2"/>
      </rPr>
      <t xml:space="preserve">Precio aproximado (Considera 5 a 7 compartimientos)
S/ 65.00
+IGV
Tiempo de confección 15 días
</t>
    </r>
    <r>
      <rPr>
        <sz val="16"/>
        <rFont val="Arial"/>
        <family val="2"/>
      </rPr>
      <t xml:space="preserve">
 el maletín en ese modelo en material poliéster o nylon con sus logos y el coche con ruedas así como indica te puedo hacer a 75.00 soles cada maletin así igual al modelo.
14 DIAS
COTI DE 2020
Se agrego 10 soles mas</t>
    </r>
  </si>
  <si>
    <t>COTIZACIÓN PROPUESTA_Grupo San Lorenzo Gruas y Transporte_COOLER Y MOCHIRUEDA_08.11.23</t>
  </si>
  <si>
    <t>COOLER CON RUEDAS</t>
  </si>
  <si>
    <r>
      <rPr>
        <b/>
        <u/>
        <sz val="16"/>
        <color indexed="8"/>
        <rFont val="Arial"/>
        <family val="2"/>
      </rPr>
      <t xml:space="preserve">COOLER CON RUEDA
</t>
    </r>
    <r>
      <rPr>
        <b/>
        <sz val="16"/>
        <color rgb="FF000000"/>
        <rFont val="Arial"/>
        <family val="2"/>
      </rPr>
      <t>1-COOLER</t>
    </r>
    <r>
      <rPr>
        <sz val="16"/>
        <color indexed="8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Modelo: Caja con ruedas ideal para almacenar transportar comida y bebidas.
Contenedor aislante de calor de 30 litros de capacidad
Cuenta con dos asas, una manija y ruedas que facilitan su transporte.
La manija es graduable para mayor comodidad del usuario.
Cuerpo externo: Polietileno de
alta densidad (PEAD)
Largo: 47.5 cm
Ancho: 31.8 cm
Altura: 48.1 cm
 Peso: 4.89 kg
</t>
    </r>
    <r>
      <rPr>
        <b/>
        <sz val="16"/>
        <color rgb="FF000000"/>
        <rFont val="Arial"/>
        <family val="2"/>
      </rPr>
      <t>2-STICKERS</t>
    </r>
    <r>
      <rPr>
        <sz val="16"/>
        <color rgb="FF000000"/>
        <rFont val="Arial"/>
        <family val="2"/>
      </rPr>
      <t xml:space="preserve">
Material: Vinil adhesivo blanco o transparente.
Tamaño aprox: 4 cm x 4 cm
</t>
    </r>
    <r>
      <rPr>
        <sz val="16"/>
        <color indexed="8"/>
        <rFont val="Arial"/>
        <family val="2"/>
      </rPr>
      <t xml:space="preserve">Presentacion: Empaque grupal
</t>
    </r>
    <r>
      <rPr>
        <sz val="16"/>
        <color rgb="FFFF0000"/>
        <rFont val="Arial"/>
        <family val="2"/>
      </rPr>
      <t>*Incluyen un logo a full color en sicker vinil de 4 x 4 cm por un lado 
*Diseño o arte facilitado por el cliente</t>
    </r>
  </si>
  <si>
    <t>BASA
951 719 716
REDFLOWERS</t>
  </si>
  <si>
    <t>https://basa.com.pe/comercial/324-303-cooler-yeti-31-qt-c-ruedas-y-asa-telescopica.html#/32-color-negro</t>
  </si>
  <si>
    <t>178: PRECIO : 206.67 INCLUDIO IGV
5 DÍAS
100 unidades de stickers vinil 4cm x 4cm troquelado 
20 + igv
500 unidades: 25</t>
  </si>
  <si>
    <t>SERVICIO DE ARMADO + MOV DE STICKERS</t>
  </si>
  <si>
    <t>MOCHIRRUEDA</t>
  </si>
  <si>
    <t>19 a 20 dias utiles</t>
  </si>
  <si>
    <r>
      <rPr>
        <b/>
        <u/>
        <sz val="16"/>
        <color rgb="FF000000"/>
        <rFont val="Arial"/>
        <family val="2"/>
      </rPr>
      <t>MOCHIRRUEDA</t>
    </r>
    <r>
      <rPr>
        <sz val="16"/>
        <color indexed="8"/>
        <rFont val="Arial"/>
        <family val="2"/>
      </rPr>
      <t xml:space="preserve">
Material: Tetron codra
Medidas: Ancho 32cm x Alto 48 cm y 25 cm fuelle espesor.
Modelo: Mochila con soporte con ruedad, 2 compatirmientos principales, 1 bolsillo laterall y un bolsillo para tomatodo
Acabados: Forrado por dentro y reforzado en la base
</t>
    </r>
    <r>
      <rPr>
        <b/>
        <sz val="16"/>
        <color indexed="10"/>
        <rFont val="Arial"/>
        <family val="2"/>
      </rPr>
      <t>*Incluye un logo a 2 o 3 colores a 1 lado (Parte frontal)</t>
    </r>
  </si>
  <si>
    <t xml:space="preserve">Esta mochila con ruedas te saldría a 70.00 soles así forrado y con ruedas
15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</si>
</sst>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&quot;S/&quot;\ * #,##0.00_-;\-&quot;S/&quot;\ * #,##0.00_-;_-&quot;S/&quot;\ * &quot;-&quot;??_-;_-@_-"/>
    <numFmt numFmtId="166" formatCode="[$S/.-280A]\ #,##0.00"/>
    <numFmt numFmtId="167" formatCode="_-[$$-409]* #,##0.00_ ;_-[$$-409]* \-#,##0.00\ ;_-[$$-409]* &quot;-&quot;??_ ;_-@_ "/>
    <numFmt numFmtId="168" formatCode="&quot;S/.&quot;\ #,##0.00"/>
    <numFmt numFmtId="169" formatCode="[$$-2C0A]\ #,##0.00"/>
    <numFmt numFmtId="170" formatCode="_ * #,##0.00_ ;_ * \-#,##0.00_ ;_ * &quot;-&quot;??_ ;_ @_ "/>
    <numFmt numFmtId="171" formatCode="&quot;S/. &quot;#,##0.00"/>
    <numFmt numFmtId="172" formatCode="_ &quot;S/.&quot;\ * #,##0.00_ ;_ &quot;S/.&quot;\ * \-#,##0.00_ ;_ &quot;S/.&quot;\ * &quot;-&quot;??_ ;_ @_ "/>
    <numFmt numFmtId="173" formatCode="_(* #,##0_);_(* \(#,##0\);_(* &quot;-&quot;??_);_(@_)"/>
    <numFmt numFmtId="174" formatCode="#,##0.0000000000000"/>
    <numFmt numFmtId="175" formatCode="[$S/-280A]#,##0.00;[Red][$S/-280A]\-#,##0.00"/>
    <numFmt numFmtId="176" formatCode="_ &quot;S/&quot;\ * #,##0.00_ ;_ &quot;S/&quot;\ * \-#,##0.00_ ;_ &quot;S/&quot;\ * &quot;-&quot;??_ ;_ @_ "/>
    <numFmt numFmtId="177" formatCode="_-* #,##0\ _€_-;\-* #,##0\ _€_-;_-* &quot;-&quot;\ _€_-;_-@_-"/>
    <numFmt numFmtId="178" formatCode="_-* #,##0.00\ _€_-;\-* #,##0.00\ _€_-;_-* &quot;-&quot;??\ _€_-;_-@_-"/>
    <numFmt numFmtId="179" formatCode="_-&quot;$&quot;* #,##0_-;\-&quot;$&quot;* #,##0_-;_-&quot;$&quot;* &quot;-&quot;_-;_-@_-"/>
    <numFmt numFmtId="180" formatCode="_-&quot;$&quot;* #,##0.00_-;\-&quot;$&quot;* #,##0.00_-;_-&quot;$&quot;* &quot;-&quot;??_-;_-@_-"/>
    <numFmt numFmtId="181" formatCode="_(&quot;$&quot;* #,##0.00_);_(&quot;$&quot;* \(#,##0.00\);_(&quot;$&quot;* &quot;-&quot;??_);_(@_)"/>
    <numFmt numFmtId="182" formatCode="_(&quot;$&quot;* #,##0_);_(&quot;$&quot;* \(#,##0\);_(&quot;$&quot;* &quot;-&quot;_);_(@_)"/>
    <numFmt numFmtId="183" formatCode="_([$€-2]\ * #,##0.00_);_([$€-2]\ * \(#,##0.00\);_([$€-2]\ * &quot;-&quot;??_)"/>
    <numFmt numFmtId="184" formatCode="_-[$€]* #,##0.00_-;\-[$€]* #,##0.00_-;_-[$€]* &quot;-&quot;??_-;_-@_-"/>
    <numFmt numFmtId="185" formatCode="[$S/.-280A]\ #,##0.000"/>
    <numFmt numFmtId="186" formatCode="_ &quot;S/.&quot;* #,##0.00_ ;_ &quot;S/.&quot;* \-#,##0.00_ ;_ &quot;S/.&quot;* &quot;-&quot;??_ ;_ @_ "/>
    <numFmt numFmtId="187" formatCode="_(&quot;S/.&quot;\ * #,##0.00_);_(&quot;S/.&quot;\ * \(#,##0.00\);_(&quot;S/.&quot;\ * &quot;-&quot;??_);_(@_)"/>
    <numFmt numFmtId="188" formatCode="_ &quot;€&quot;* #,##0.00_ ;_ &quot;€&quot;* \-#,##0.00_ ;_ &quot;€&quot;* &quot;-&quot;??_ ;_ @_ "/>
    <numFmt numFmtId="189" formatCode="#,##0.00&quot; € &quot;;\-#,##0.00&quot; € &quot;;&quot; -&quot;#&quot; € &quot;;@\ "/>
    <numFmt numFmtId="190" formatCode="_ [$S/.-280A]\ * #,##0.00_ ;_ [$S/.-280A]\ * \-#,##0.00_ ;_ [$S/.-280A]\ * \-??_ ;_ @_ "/>
  </numFmts>
  <fonts count="14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8"/>
      <name val="Arial"/>
      <family val="2"/>
    </font>
    <font>
      <b/>
      <sz val="1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6"/>
      <name val="Arial"/>
      <family val="2"/>
    </font>
    <font>
      <b/>
      <sz val="18"/>
      <name val="Arial"/>
      <family val="2"/>
    </font>
    <font>
      <sz val="11"/>
      <color indexed="52"/>
      <name val="Tahoma"/>
      <family val="2"/>
      <charset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theme="1"/>
      <name val="Arial"/>
      <family val="2"/>
    </font>
    <font>
      <sz val="8"/>
      <name val="Calibri"/>
      <family val="2"/>
      <scheme val="minor"/>
    </font>
    <font>
      <sz val="16"/>
      <color rgb="FFFF000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1"/>
      <name val="Arial"/>
      <family val="2"/>
    </font>
    <font>
      <sz val="14"/>
      <name val="Calibri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u/>
      <sz val="16"/>
      <name val="Arial"/>
      <family val="2"/>
    </font>
    <font>
      <sz val="18"/>
      <color indexed="8"/>
      <name val="Arial"/>
      <family val="2"/>
    </font>
    <font>
      <b/>
      <sz val="14"/>
      <color theme="1"/>
      <name val="Arial"/>
      <family val="2"/>
    </font>
    <font>
      <sz val="14"/>
      <color rgb="FFC00000"/>
      <name val="Arial"/>
      <family val="2"/>
    </font>
    <font>
      <sz val="20"/>
      <color indexed="8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8"/>
      <name val="Arial"/>
      <family val="2"/>
    </font>
    <font>
      <sz val="12"/>
      <color indexed="63"/>
      <name val="Arial"/>
      <family val="2"/>
    </font>
    <font>
      <sz val="12"/>
      <color indexed="60"/>
      <name val="Arial"/>
      <family val="2"/>
    </font>
    <font>
      <sz val="18"/>
      <name val="Arial"/>
      <family val="2"/>
    </font>
    <font>
      <b/>
      <u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sz val="16"/>
      <color rgb="FF000000"/>
      <name val="Arial"/>
      <family val="2"/>
    </font>
    <font>
      <sz val="12"/>
      <color rgb="FFFF0000"/>
      <name val="Calibri"/>
      <family val="2"/>
      <scheme val="minor"/>
    </font>
    <font>
      <u/>
      <sz val="16"/>
      <name val="Arial"/>
      <family val="2"/>
    </font>
    <font>
      <sz val="18"/>
      <color rgb="FF000000"/>
      <name val="Arial"/>
      <family val="2"/>
    </font>
    <font>
      <sz val="18"/>
      <color rgb="FF333333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1"/>
      <color indexed="8"/>
      <name val="Tahoma"/>
      <family val="2"/>
    </font>
    <font>
      <b/>
      <sz val="9"/>
      <color indexed="8"/>
      <name val="Tahoma"/>
      <family val="2"/>
    </font>
    <font>
      <sz val="18"/>
      <color theme="1"/>
      <name val="Arial"/>
      <family val="2"/>
    </font>
    <font>
      <b/>
      <sz val="18"/>
      <color indexed="63"/>
      <name val="Arial"/>
      <family val="2"/>
    </font>
    <font>
      <sz val="18"/>
      <color indexed="63"/>
      <name val="Arial"/>
      <family val="2"/>
    </font>
    <font>
      <b/>
      <sz val="18"/>
      <color rgb="FFFF0000"/>
      <name val="Arial"/>
      <family val="2"/>
    </font>
    <font>
      <sz val="18"/>
      <color rgb="FFFF0000"/>
      <name val="Arial"/>
      <family val="2"/>
    </font>
    <font>
      <b/>
      <sz val="18"/>
      <color theme="0"/>
      <name val="Arial"/>
      <family val="2"/>
    </font>
    <font>
      <sz val="18"/>
      <color indexed="10"/>
      <name val="Arial"/>
      <family val="2"/>
    </font>
    <font>
      <b/>
      <sz val="16"/>
      <color rgb="FFFF0000"/>
      <name val="Calibri"/>
      <family val="2"/>
      <scheme val="minor"/>
    </font>
    <font>
      <b/>
      <sz val="16"/>
      <color indexed="9"/>
      <name val="Arial"/>
      <family val="2"/>
    </font>
    <font>
      <sz val="16"/>
      <color indexed="16"/>
      <name val="Arial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宋体"/>
      <charset val="134"/>
    </font>
    <font>
      <sz val="10"/>
      <name val="Times New Roman"/>
      <family val="1"/>
    </font>
    <font>
      <u/>
      <sz val="7.5"/>
      <color indexed="12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6.05"/>
      <color theme="10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6"/>
      <name val="Calibri"/>
      <family val="2"/>
    </font>
    <font>
      <sz val="11"/>
      <color indexed="19"/>
      <name val="Calibri"/>
      <family val="2"/>
    </font>
    <font>
      <b/>
      <sz val="20"/>
      <name val="Arial"/>
      <family val="2"/>
    </font>
    <font>
      <b/>
      <u/>
      <sz val="18"/>
      <name val="Arial"/>
      <family val="2"/>
    </font>
    <font>
      <sz val="16"/>
      <color theme="1"/>
      <name val="Calibri"/>
      <family val="2"/>
      <scheme val="minor"/>
    </font>
    <font>
      <sz val="16"/>
      <color indexed="8"/>
      <name val="Calibri"/>
      <family val="2"/>
    </font>
    <font>
      <sz val="16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u/>
      <sz val="16"/>
      <color rgb="FF000000"/>
      <name val="Arial"/>
      <family val="2"/>
    </font>
    <font>
      <sz val="16"/>
      <color rgb="FFC00000"/>
      <name val="Arial"/>
      <family val="2"/>
    </font>
    <font>
      <b/>
      <u/>
      <sz val="16"/>
      <color rgb="FF000000"/>
      <name val="Arial"/>
    </font>
    <font>
      <sz val="16"/>
      <color rgb="FF000000"/>
      <name val="Arial"/>
    </font>
    <font>
      <sz val="16"/>
      <color rgb="FFFF0000"/>
      <name val="Arial"/>
    </font>
    <font>
      <b/>
      <sz val="16"/>
      <color rgb="FFFF0000"/>
      <name val="Arial"/>
    </font>
    <font>
      <b/>
      <sz val="16"/>
      <name val="Arial"/>
    </font>
    <font>
      <sz val="16"/>
      <name val="Arial"/>
    </font>
  </fonts>
  <fills count="97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CC00"/>
        <bgColor rgb="FFFFCC00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34"/>
      </patternFill>
    </fill>
    <fill>
      <patternFill patternType="solid">
        <fgColor indexed="10"/>
        <bgColor indexed="16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9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 tint="-0.249977111117893"/>
        <bgColor rgb="FF000000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53">
    <xf numFmtId="0" fontId="0" fillId="0" borderId="0"/>
    <xf numFmtId="0" fontId="1" fillId="0" borderId="0"/>
    <xf numFmtId="0" fontId="1" fillId="0" borderId="0"/>
    <xf numFmtId="0" fontId="10" fillId="0" borderId="0"/>
    <xf numFmtId="0" fontId="13" fillId="0" borderId="9" applyProtection="0">
      <alignment vertical="center"/>
    </xf>
    <xf numFmtId="167" fontId="15" fillId="0" borderId="0" applyFont="0" applyFill="0" applyBorder="0" applyAlignment="0" applyProtection="0"/>
    <xf numFmtId="0" fontId="14" fillId="0" borderId="0"/>
    <xf numFmtId="0" fontId="14" fillId="0" borderId="0"/>
    <xf numFmtId="167" fontId="15" fillId="0" borderId="0" applyFont="0" applyFill="0" applyBorder="0" applyAlignment="0" applyProtection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172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1" fillId="0" borderId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06" fillId="40" borderId="0" applyProtection="0">
      <alignment vertical="center"/>
    </xf>
    <xf numFmtId="0" fontId="106" fillId="40" borderId="0" applyProtection="0">
      <alignment vertical="center"/>
    </xf>
    <xf numFmtId="0" fontId="106" fillId="41" borderId="0" applyProtection="0">
      <alignment vertical="center"/>
    </xf>
    <xf numFmtId="0" fontId="106" fillId="41" borderId="0" applyProtection="0">
      <alignment vertical="center"/>
    </xf>
    <xf numFmtId="0" fontId="106" fillId="42" borderId="0" applyProtection="0">
      <alignment vertical="center"/>
    </xf>
    <xf numFmtId="0" fontId="106" fillId="42" borderId="0" applyProtection="0">
      <alignment vertical="center"/>
    </xf>
    <xf numFmtId="0" fontId="106" fillId="43" borderId="0" applyProtection="0">
      <alignment vertical="center"/>
    </xf>
    <xf numFmtId="0" fontId="106" fillId="43" borderId="0" applyProtection="0">
      <alignment vertical="center"/>
    </xf>
    <xf numFmtId="0" fontId="106" fillId="44" borderId="0" applyProtection="0">
      <alignment vertical="center"/>
    </xf>
    <xf numFmtId="0" fontId="106" fillId="44" borderId="0" applyProtection="0">
      <alignment vertical="center"/>
    </xf>
    <xf numFmtId="0" fontId="106" fillId="45" borderId="0" applyProtection="0">
      <alignment vertical="center"/>
    </xf>
    <xf numFmtId="0" fontId="106" fillId="45" borderId="0" applyProtection="0">
      <alignment vertical="center"/>
    </xf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37" borderId="0" applyNumberFormat="0" applyBorder="0" applyAlignment="0" applyProtection="0"/>
    <xf numFmtId="0" fontId="15" fillId="46" borderId="0" applyNumberFormat="0" applyBorder="0" applyAlignment="0" applyProtection="0"/>
    <xf numFmtId="0" fontId="15" fillId="49" borderId="0" applyNumberFormat="0" applyBorder="0" applyAlignment="0" applyProtection="0"/>
    <xf numFmtId="0" fontId="106" fillId="50" borderId="0" applyProtection="0">
      <alignment vertical="center"/>
    </xf>
    <xf numFmtId="0" fontId="106" fillId="50" borderId="0" applyProtection="0">
      <alignment vertical="center"/>
    </xf>
    <xf numFmtId="0" fontId="106" fillId="51" borderId="0" applyProtection="0">
      <alignment vertical="center"/>
    </xf>
    <xf numFmtId="0" fontId="106" fillId="51" borderId="0" applyProtection="0">
      <alignment vertical="center"/>
    </xf>
    <xf numFmtId="0" fontId="106" fillId="52" borderId="0" applyProtection="0">
      <alignment vertical="center"/>
    </xf>
    <xf numFmtId="0" fontId="106" fillId="52" borderId="0" applyProtection="0">
      <alignment vertical="center"/>
    </xf>
    <xf numFmtId="0" fontId="106" fillId="43" borderId="0" applyProtection="0">
      <alignment vertical="center"/>
    </xf>
    <xf numFmtId="0" fontId="106" fillId="43" borderId="0" applyProtection="0">
      <alignment vertical="center"/>
    </xf>
    <xf numFmtId="0" fontId="106" fillId="50" borderId="0" applyProtection="0">
      <alignment vertical="center"/>
    </xf>
    <xf numFmtId="0" fontId="106" fillId="50" borderId="0" applyProtection="0">
      <alignment vertical="center"/>
    </xf>
    <xf numFmtId="0" fontId="106" fillId="53" borderId="0" applyProtection="0">
      <alignment vertical="center"/>
    </xf>
    <xf numFmtId="0" fontId="106" fillId="53" borderId="0" applyProtection="0">
      <alignment vertical="center"/>
    </xf>
    <xf numFmtId="0" fontId="89" fillId="54" borderId="0" applyNumberFormat="0" applyBorder="0" applyAlignment="0" applyProtection="0"/>
    <xf numFmtId="0" fontId="89" fillId="47" borderId="0" applyNumberFormat="0" applyBorder="0" applyAlignment="0" applyProtection="0"/>
    <xf numFmtId="0" fontId="89" fillId="48" borderId="0" applyNumberFormat="0" applyBorder="0" applyAlignment="0" applyProtection="0"/>
    <xf numFmtId="0" fontId="89" fillId="55" borderId="0" applyNumberFormat="0" applyBorder="0" applyAlignment="0" applyProtection="0"/>
    <xf numFmtId="0" fontId="89" fillId="56" borderId="0" applyNumberFormat="0" applyBorder="0" applyAlignment="0" applyProtection="0"/>
    <xf numFmtId="0" fontId="89" fillId="57" borderId="0" applyNumberFormat="0" applyBorder="0" applyAlignment="0" applyProtection="0"/>
    <xf numFmtId="0" fontId="107" fillId="58" borderId="0" applyProtection="0">
      <alignment vertical="center"/>
    </xf>
    <xf numFmtId="0" fontId="107" fillId="58" borderId="0" applyProtection="0">
      <alignment vertical="center"/>
    </xf>
    <xf numFmtId="0" fontId="107" fillId="51" borderId="0" applyProtection="0">
      <alignment vertical="center"/>
    </xf>
    <xf numFmtId="0" fontId="107" fillId="51" borderId="0" applyProtection="0">
      <alignment vertical="center"/>
    </xf>
    <xf numFmtId="0" fontId="107" fillId="52" borderId="0" applyProtection="0">
      <alignment vertical="center"/>
    </xf>
    <xf numFmtId="0" fontId="107" fillId="52" borderId="0" applyProtection="0">
      <alignment vertical="center"/>
    </xf>
    <xf numFmtId="0" fontId="107" fillId="59" borderId="0" applyProtection="0">
      <alignment vertical="center"/>
    </xf>
    <xf numFmtId="0" fontId="107" fillId="59" borderId="0" applyProtection="0">
      <alignment vertical="center"/>
    </xf>
    <xf numFmtId="0" fontId="107" fillId="60" borderId="0" applyProtection="0">
      <alignment vertical="center"/>
    </xf>
    <xf numFmtId="0" fontId="107" fillId="60" borderId="0" applyProtection="0">
      <alignment vertical="center"/>
    </xf>
    <xf numFmtId="0" fontId="107" fillId="61" borderId="0" applyProtection="0">
      <alignment vertical="center"/>
    </xf>
    <xf numFmtId="0" fontId="107" fillId="61" borderId="0" applyProtection="0">
      <alignment vertical="center"/>
    </xf>
    <xf numFmtId="0" fontId="90" fillId="36" borderId="0" applyNumberFormat="0" applyBorder="0" applyAlignment="0" applyProtection="0"/>
    <xf numFmtId="0" fontId="91" fillId="62" borderId="46" applyNumberFormat="0" applyAlignment="0" applyProtection="0"/>
    <xf numFmtId="0" fontId="1" fillId="0" borderId="0"/>
    <xf numFmtId="0" fontId="92" fillId="63" borderId="47" applyNumberFormat="0" applyAlignment="0" applyProtection="0"/>
    <xf numFmtId="0" fontId="93" fillId="0" borderId="9" applyNumberFormat="0" applyFill="0" applyAlignment="0" applyProtection="0"/>
    <xf numFmtId="0" fontId="94" fillId="0" borderId="0" applyNumberFormat="0" applyFill="0" applyBorder="0" applyAlignment="0" applyProtection="0"/>
    <xf numFmtId="0" fontId="89" fillId="64" borderId="0" applyNumberFormat="0" applyBorder="0" applyAlignment="0" applyProtection="0"/>
    <xf numFmtId="0" fontId="89" fillId="65" borderId="0" applyNumberFormat="0" applyBorder="0" applyAlignment="0" applyProtection="0"/>
    <xf numFmtId="0" fontId="89" fillId="66" borderId="0" applyNumberFormat="0" applyBorder="0" applyAlignment="0" applyProtection="0"/>
    <xf numFmtId="0" fontId="89" fillId="55" borderId="0" applyNumberFormat="0" applyBorder="0" applyAlignment="0" applyProtection="0"/>
    <xf numFmtId="0" fontId="89" fillId="56" borderId="0" applyNumberFormat="0" applyBorder="0" applyAlignment="0" applyProtection="0"/>
    <xf numFmtId="0" fontId="89" fillId="67" borderId="0" applyNumberFormat="0" applyBorder="0" applyAlignment="0" applyProtection="0"/>
    <xf numFmtId="0" fontId="95" fillId="39" borderId="46" applyNumberFormat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88" fontId="86" fillId="0" borderId="0" applyFont="0" applyFill="0" applyBorder="0" applyAlignment="0" applyProtection="0"/>
    <xf numFmtId="188" fontId="86" fillId="0" borderId="0" applyFont="0" applyFill="0" applyBorder="0" applyAlignment="0" applyProtection="0"/>
    <xf numFmtId="18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88" fontId="86" fillId="0" borderId="0" applyFont="0" applyFill="0" applyBorder="0" applyAlignment="0" applyProtection="0"/>
    <xf numFmtId="188" fontId="86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96" fillId="35" borderId="0" applyNumberFormat="0" applyBorder="0" applyAlignment="0" applyProtection="0"/>
    <xf numFmtId="0" fontId="1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8" fontId="14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86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86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86" fillId="0" borderId="0" applyFont="0" applyFill="0" applyBorder="0" applyAlignment="0" applyProtection="0"/>
    <xf numFmtId="170" fontId="86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86" fillId="0" borderId="0" applyFont="0" applyFill="0" applyBorder="0" applyAlignment="0" applyProtection="0"/>
    <xf numFmtId="186" fontId="1" fillId="0" borderId="0" applyFont="0" applyFill="0" applyBorder="0" applyAlignment="0" applyProtection="0"/>
    <xf numFmtId="188" fontId="86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88" fontId="86" fillId="0" borderId="0" applyFont="0" applyFill="0" applyBorder="0" applyAlignment="0" applyProtection="0"/>
    <xf numFmtId="188" fontId="86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86" fillId="0" borderId="0" applyFont="0" applyFill="0" applyBorder="0" applyAlignment="0" applyProtection="0"/>
    <xf numFmtId="0" fontId="97" fillId="6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5" fillId="0" borderId="0"/>
    <xf numFmtId="0" fontId="86" fillId="0" borderId="0"/>
    <xf numFmtId="0" fontId="15" fillId="0" borderId="0"/>
    <xf numFmtId="0" fontId="15" fillId="0" borderId="0"/>
    <xf numFmtId="0" fontId="86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86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86" fillId="0" borderId="0"/>
    <xf numFmtId="0" fontId="1" fillId="0" borderId="0"/>
    <xf numFmtId="0" fontId="1" fillId="0" borderId="0"/>
    <xf numFmtId="0" fontId="86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86" fillId="0" borderId="0"/>
    <xf numFmtId="0" fontId="86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86" fillId="0" borderId="0"/>
    <xf numFmtId="0" fontId="1" fillId="0" borderId="0"/>
    <xf numFmtId="0" fontId="1" fillId="0" borderId="0"/>
    <xf numFmtId="0" fontId="8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40" fillId="0" borderId="0">
      <alignment vertical="top"/>
    </xf>
    <xf numFmtId="0" fontId="15" fillId="69" borderId="4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8" fillId="62" borderId="50" applyNumberFormat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8" applyNumberFormat="0" applyFill="0" applyAlignment="0" applyProtection="0"/>
    <xf numFmtId="0" fontId="103" fillId="0" borderId="51" applyNumberFormat="0" applyFill="0" applyAlignment="0" applyProtection="0"/>
    <xf numFmtId="0" fontId="94" fillId="0" borderId="52" applyNumberFormat="0" applyFill="0" applyAlignment="0" applyProtection="0"/>
    <xf numFmtId="0" fontId="101" fillId="0" borderId="0" applyNumberFormat="0" applyFill="0" applyBorder="0" applyAlignment="0" applyProtection="0"/>
    <xf numFmtId="0" fontId="104" fillId="0" borderId="53" applyNumberFormat="0" applyFill="0" applyAlignment="0" applyProtection="0"/>
    <xf numFmtId="0" fontId="108" fillId="42" borderId="0" applyProtection="0">
      <alignment vertical="center"/>
    </xf>
    <xf numFmtId="0" fontId="108" fillId="42" borderId="0" applyProtection="0">
      <alignment vertical="center"/>
    </xf>
    <xf numFmtId="0" fontId="109" fillId="41" borderId="0" applyProtection="0">
      <alignment vertical="center"/>
    </xf>
    <xf numFmtId="0" fontId="109" fillId="41" borderId="0" applyProtection="0">
      <alignment vertical="center"/>
    </xf>
    <xf numFmtId="0" fontId="86" fillId="0" borderId="0" applyProtection="0"/>
    <xf numFmtId="0" fontId="107" fillId="70" borderId="0" applyProtection="0">
      <alignment vertical="center"/>
    </xf>
    <xf numFmtId="0" fontId="107" fillId="70" borderId="0" applyProtection="0">
      <alignment vertical="center"/>
    </xf>
    <xf numFmtId="0" fontId="107" fillId="27" borderId="0" applyProtection="0">
      <alignment vertical="center"/>
    </xf>
    <xf numFmtId="0" fontId="107" fillId="27" borderId="0" applyProtection="0">
      <alignment vertical="center"/>
    </xf>
    <xf numFmtId="0" fontId="107" fillId="71" borderId="0" applyProtection="0">
      <alignment vertical="center"/>
    </xf>
    <xf numFmtId="0" fontId="107" fillId="71" borderId="0" applyProtection="0">
      <alignment vertical="center"/>
    </xf>
    <xf numFmtId="0" fontId="107" fillId="59" borderId="0" applyProtection="0">
      <alignment vertical="center"/>
    </xf>
    <xf numFmtId="0" fontId="107" fillId="59" borderId="0" applyProtection="0">
      <alignment vertical="center"/>
    </xf>
    <xf numFmtId="0" fontId="107" fillId="60" borderId="0" applyProtection="0">
      <alignment vertical="center"/>
    </xf>
    <xf numFmtId="0" fontId="107" fillId="60" borderId="0" applyProtection="0">
      <alignment vertical="center"/>
    </xf>
    <xf numFmtId="0" fontId="107" fillId="72" borderId="0" applyProtection="0">
      <alignment vertical="center"/>
    </xf>
    <xf numFmtId="0" fontId="107" fillId="72" borderId="0" applyProtection="0">
      <alignment vertical="center"/>
    </xf>
    <xf numFmtId="0" fontId="110" fillId="0" borderId="0" applyProtection="0">
      <alignment vertical="center"/>
    </xf>
    <xf numFmtId="0" fontId="111" fillId="0" borderId="48" applyProtection="0">
      <alignment vertical="center"/>
    </xf>
    <xf numFmtId="0" fontId="111" fillId="0" borderId="48" applyProtection="0">
      <alignment vertical="center"/>
    </xf>
    <xf numFmtId="0" fontId="112" fillId="0" borderId="51" applyProtection="0">
      <alignment vertical="center"/>
    </xf>
    <xf numFmtId="0" fontId="112" fillId="0" borderId="51" applyProtection="0">
      <alignment vertical="center"/>
    </xf>
    <xf numFmtId="0" fontId="113" fillId="0" borderId="52" applyProtection="0">
      <alignment vertical="center"/>
    </xf>
    <xf numFmtId="0" fontId="113" fillId="0" borderId="52" applyProtection="0">
      <alignment vertical="center"/>
    </xf>
    <xf numFmtId="0" fontId="113" fillId="0" borderId="0" applyProtection="0">
      <alignment vertical="center"/>
    </xf>
    <xf numFmtId="0" fontId="113" fillId="0" borderId="0" applyProtection="0">
      <alignment vertical="center"/>
    </xf>
    <xf numFmtId="0" fontId="110" fillId="0" borderId="0" applyProtection="0">
      <alignment vertical="center"/>
    </xf>
    <xf numFmtId="0" fontId="114" fillId="17" borderId="47" applyProtection="0">
      <alignment vertical="center"/>
    </xf>
    <xf numFmtId="0" fontId="114" fillId="17" borderId="47" applyProtection="0">
      <alignment vertical="center"/>
    </xf>
    <xf numFmtId="0" fontId="68" fillId="0" borderId="53" applyProtection="0">
      <alignment vertical="center"/>
    </xf>
    <xf numFmtId="0" fontId="68" fillId="0" borderId="53" applyProtection="0">
      <alignment vertical="center"/>
    </xf>
    <xf numFmtId="0" fontId="86" fillId="73" borderId="49" applyProtection="0">
      <alignment vertical="center"/>
    </xf>
    <xf numFmtId="0" fontId="86" fillId="73" borderId="49" applyProtection="0">
      <alignment vertical="center"/>
    </xf>
    <xf numFmtId="0" fontId="115" fillId="0" borderId="0" applyProtection="0">
      <alignment vertical="center"/>
    </xf>
    <xf numFmtId="0" fontId="115" fillId="0" borderId="0" applyProtection="0">
      <alignment vertical="center"/>
    </xf>
    <xf numFmtId="0" fontId="116" fillId="0" borderId="0" applyProtection="0">
      <alignment vertical="center"/>
    </xf>
    <xf numFmtId="0" fontId="116" fillId="0" borderId="0" applyProtection="0">
      <alignment vertical="center"/>
    </xf>
    <xf numFmtId="0" fontId="117" fillId="15" borderId="46" applyProtection="0">
      <alignment vertical="center"/>
    </xf>
    <xf numFmtId="0" fontId="117" fillId="15" borderId="46" applyProtection="0">
      <alignment vertical="center"/>
    </xf>
    <xf numFmtId="0" fontId="118" fillId="45" borderId="46" applyProtection="0">
      <alignment vertical="center"/>
    </xf>
    <xf numFmtId="0" fontId="118" fillId="45" borderId="46" applyProtection="0">
      <alignment vertical="center"/>
    </xf>
    <xf numFmtId="0" fontId="119" fillId="15" borderId="50" applyProtection="0">
      <alignment vertical="center"/>
    </xf>
    <xf numFmtId="0" fontId="119" fillId="15" borderId="50" applyProtection="0">
      <alignment vertical="center"/>
    </xf>
    <xf numFmtId="0" fontId="120" fillId="74" borderId="0" applyProtection="0">
      <alignment vertical="center"/>
    </xf>
    <xf numFmtId="0" fontId="120" fillId="74" borderId="0" applyProtection="0">
      <alignment vertical="center"/>
    </xf>
    <xf numFmtId="0" fontId="121" fillId="0" borderId="9" applyProtection="0">
      <alignment vertical="center"/>
    </xf>
    <xf numFmtId="0" fontId="121" fillId="0" borderId="9" applyProtection="0">
      <alignment vertical="center"/>
    </xf>
    <xf numFmtId="0" fontId="85" fillId="0" borderId="0"/>
    <xf numFmtId="43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4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4" fillId="0" borderId="0" applyFont="0" applyFill="0" applyBorder="0" applyAlignment="0" applyProtection="0"/>
    <xf numFmtId="0" fontId="15" fillId="0" borderId="0"/>
    <xf numFmtId="0" fontId="15" fillId="18" borderId="0" applyNumberFormat="0" applyBorder="0" applyAlignment="0" applyProtection="0"/>
    <xf numFmtId="0" fontId="15" fillId="76" borderId="0" applyNumberFormat="0" applyBorder="0" applyAlignment="0" applyProtection="0"/>
    <xf numFmtId="0" fontId="15" fillId="77" borderId="0" applyNumberFormat="0" applyBorder="0" applyAlignment="0" applyProtection="0"/>
    <xf numFmtId="0" fontId="15" fillId="18" borderId="0" applyNumberFormat="0" applyBorder="0" applyAlignment="0" applyProtection="0"/>
    <xf numFmtId="0" fontId="15" fillId="78" borderId="0" applyNumberFormat="0" applyBorder="0" applyAlignment="0" applyProtection="0"/>
    <xf numFmtId="0" fontId="15" fillId="76" borderId="0" applyNumberFormat="0" applyBorder="0" applyAlignment="0" applyProtection="0"/>
    <xf numFmtId="0" fontId="15" fillId="75" borderId="0" applyNumberFormat="0" applyBorder="0" applyAlignment="0" applyProtection="0"/>
    <xf numFmtId="0" fontId="15" fillId="79" borderId="0" applyNumberFormat="0" applyBorder="0" applyAlignment="0" applyProtection="0"/>
    <xf numFmtId="0" fontId="15" fillId="80" borderId="0" applyNumberFormat="0" applyBorder="0" applyAlignment="0" applyProtection="0"/>
    <xf numFmtId="0" fontId="15" fillId="75" borderId="0" applyNumberFormat="0" applyBorder="0" applyAlignment="0" applyProtection="0"/>
    <xf numFmtId="0" fontId="15" fillId="81" borderId="0" applyNumberFormat="0" applyBorder="0" applyAlignment="0" applyProtection="0"/>
    <xf numFmtId="0" fontId="15" fillId="76" borderId="0" applyNumberFormat="0" applyBorder="0" applyAlignment="0" applyProtection="0"/>
    <xf numFmtId="0" fontId="89" fillId="82" borderId="0" applyNumberFormat="0" applyBorder="0" applyAlignment="0" applyProtection="0"/>
    <xf numFmtId="0" fontId="89" fillId="79" borderId="0" applyNumberFormat="0" applyBorder="0" applyAlignment="0" applyProtection="0"/>
    <xf numFmtId="0" fontId="89" fillId="80" borderId="0" applyNumberFormat="0" applyBorder="0" applyAlignment="0" applyProtection="0"/>
    <xf numFmtId="0" fontId="89" fillId="75" borderId="0" applyNumberFormat="0" applyBorder="0" applyAlignment="0" applyProtection="0"/>
    <xf numFmtId="0" fontId="89" fillId="82" borderId="0" applyNumberFormat="0" applyBorder="0" applyAlignment="0" applyProtection="0"/>
    <xf numFmtId="0" fontId="89" fillId="76" borderId="0" applyNumberFormat="0" applyBorder="0" applyAlignment="0" applyProtection="0"/>
    <xf numFmtId="0" fontId="90" fillId="83" borderId="0" applyNumberFormat="0" applyBorder="0" applyAlignment="0" applyProtection="0"/>
    <xf numFmtId="0" fontId="91" fillId="18" borderId="46" applyNumberFormat="0" applyAlignment="0" applyProtection="0"/>
    <xf numFmtId="0" fontId="92" fillId="84" borderId="47" applyNumberFormat="0" applyAlignment="0" applyProtection="0"/>
    <xf numFmtId="0" fontId="123" fillId="0" borderId="0" applyNumberFormat="0" applyFill="0" applyBorder="0" applyAlignment="0" applyProtection="0"/>
    <xf numFmtId="0" fontId="89" fillId="82" borderId="0" applyNumberFormat="0" applyBorder="0" applyAlignment="0" applyProtection="0"/>
    <xf numFmtId="0" fontId="89" fillId="85" borderId="0" applyNumberFormat="0" applyBorder="0" applyAlignment="0" applyProtection="0"/>
    <xf numFmtId="0" fontId="89" fillId="86" borderId="0" applyNumberFormat="0" applyBorder="0" applyAlignment="0" applyProtection="0"/>
    <xf numFmtId="0" fontId="89" fillId="87" borderId="0" applyNumberFormat="0" applyBorder="0" applyAlignment="0" applyProtection="0"/>
    <xf numFmtId="0" fontId="89" fillId="82" borderId="0" applyNumberFormat="0" applyBorder="0" applyAlignment="0" applyProtection="0"/>
    <xf numFmtId="0" fontId="89" fillId="88" borderId="0" applyNumberFormat="0" applyBorder="0" applyAlignment="0" applyProtection="0"/>
    <xf numFmtId="0" fontId="95" fillId="76" borderId="46" applyNumberFormat="0" applyAlignment="0" applyProtection="0"/>
    <xf numFmtId="189" fontId="1" fillId="0" borderId="0" applyFill="0" applyBorder="0" applyAlignment="0" applyProtection="0"/>
    <xf numFmtId="0" fontId="127" fillId="89" borderId="0" applyNumberFormat="0" applyBorder="0" applyAlignment="0" applyProtection="0"/>
    <xf numFmtId="170" fontId="1" fillId="0" borderId="0" applyFill="0" applyBorder="0" applyAlignment="0" applyProtection="0"/>
    <xf numFmtId="170" fontId="1" fillId="0" borderId="0" applyFill="0" applyBorder="0" applyAlignment="0" applyProtection="0"/>
    <xf numFmtId="0" fontId="128" fillId="80" borderId="0" applyNumberFormat="0" applyBorder="0" applyAlignment="0" applyProtection="0"/>
    <xf numFmtId="0" fontId="1" fillId="0" borderId="0"/>
    <xf numFmtId="0" fontId="14" fillId="0" borderId="0"/>
    <xf numFmtId="0" fontId="1" fillId="77" borderId="49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0" fontId="98" fillId="18" borderId="50" applyNumberFormat="0" applyAlignment="0" applyProtection="0"/>
    <xf numFmtId="0" fontId="125" fillId="0" borderId="54" applyNumberFormat="0" applyFill="0" applyAlignment="0" applyProtection="0"/>
    <xf numFmtId="0" fontId="126" fillId="0" borderId="51" applyNumberFormat="0" applyFill="0" applyAlignment="0" applyProtection="0"/>
    <xf numFmtId="0" fontId="123" fillId="0" borderId="55" applyNumberFormat="0" applyFill="0" applyAlignment="0" applyProtection="0"/>
    <xf numFmtId="0" fontId="124" fillId="0" borderId="0" applyNumberFormat="0" applyFill="0" applyBorder="0" applyAlignment="0" applyProtection="0"/>
    <xf numFmtId="0" fontId="104" fillId="0" borderId="56" applyNumberFormat="0" applyFill="0" applyAlignment="0" applyProtection="0"/>
    <xf numFmtId="170" fontId="1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84" fillId="0" borderId="0"/>
    <xf numFmtId="167" fontId="15" fillId="0" borderId="0" applyFont="0" applyFill="0" applyBorder="0" applyAlignment="0" applyProtection="0"/>
    <xf numFmtId="9" fontId="84" fillId="0" borderId="0" applyFont="0" applyFill="0" applyBorder="0" applyAlignment="0" applyProtection="0"/>
    <xf numFmtId="167" fontId="15" fillId="0" borderId="0" applyFont="0" applyFill="0" applyBorder="0" applyAlignment="0" applyProtection="0"/>
    <xf numFmtId="176" fontId="14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91" fillId="18" borderId="46" applyNumberFormat="0" applyAlignment="0" applyProtection="0"/>
    <xf numFmtId="0" fontId="91" fillId="18" borderId="46" applyNumberFormat="0" applyAlignment="0" applyProtection="0"/>
    <xf numFmtId="0" fontId="95" fillId="76" borderId="46" applyNumberFormat="0" applyAlignment="0" applyProtection="0"/>
    <xf numFmtId="170" fontId="1" fillId="0" borderId="0" applyFill="0" applyBorder="0" applyAlignment="0" applyProtection="0"/>
    <xf numFmtId="0" fontId="1" fillId="0" borderId="0"/>
    <xf numFmtId="0" fontId="1" fillId="77" borderId="49" applyNumberFormat="0" applyAlignment="0" applyProtection="0"/>
    <xf numFmtId="0" fontId="98" fillId="18" borderId="50" applyNumberFormat="0" applyAlignment="0" applyProtection="0"/>
    <xf numFmtId="0" fontId="104" fillId="0" borderId="56" applyNumberFormat="0" applyFill="0" applyAlignment="0" applyProtection="0"/>
    <xf numFmtId="0" fontId="14" fillId="0" borderId="0"/>
    <xf numFmtId="170" fontId="1" fillId="0" borderId="0" applyFill="0" applyBorder="0" applyAlignment="0" applyProtection="0"/>
    <xf numFmtId="0" fontId="91" fillId="18" borderId="46" applyNumberFormat="0" applyAlignment="0" applyProtection="0"/>
    <xf numFmtId="0" fontId="95" fillId="76" borderId="46" applyNumberFormat="0" applyAlignment="0" applyProtection="0"/>
    <xf numFmtId="0" fontId="1" fillId="77" borderId="49" applyNumberFormat="0" applyAlignment="0" applyProtection="0"/>
    <xf numFmtId="43" fontId="15" fillId="0" borderId="0" applyFont="0" applyFill="0" applyBorder="0" applyAlignment="0" applyProtection="0"/>
    <xf numFmtId="170" fontId="14" fillId="0" borderId="0" applyFont="0" applyFill="0" applyBorder="0" applyAlignment="0" applyProtection="0"/>
    <xf numFmtId="0" fontId="98" fillId="18" borderId="50" applyNumberFormat="0" applyAlignment="0" applyProtection="0"/>
    <xf numFmtId="170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0" fontId="104" fillId="0" borderId="56" applyNumberFormat="0" applyFill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5" fillId="76" borderId="46" applyNumberFormat="0" applyAlignment="0" applyProtection="0"/>
    <xf numFmtId="170" fontId="1" fillId="0" borderId="0" applyFill="0" applyBorder="0" applyAlignment="0" applyProtection="0"/>
    <xf numFmtId="0" fontId="1" fillId="77" borderId="49" applyNumberFormat="0" applyAlignment="0" applyProtection="0"/>
    <xf numFmtId="0" fontId="98" fillId="18" borderId="50" applyNumberFormat="0" applyAlignment="0" applyProtection="0"/>
    <xf numFmtId="0" fontId="104" fillId="0" borderId="56" applyNumberFormat="0" applyFill="0" applyAlignment="0" applyProtection="0"/>
    <xf numFmtId="0" fontId="91" fillId="18" borderId="46" applyNumberFormat="0" applyAlignment="0" applyProtection="0"/>
    <xf numFmtId="0" fontId="95" fillId="76" borderId="46" applyNumberFormat="0" applyAlignment="0" applyProtection="0"/>
    <xf numFmtId="0" fontId="1" fillId="77" borderId="49" applyNumberFormat="0" applyAlignment="0" applyProtection="0"/>
    <xf numFmtId="0" fontId="98" fillId="18" borderId="50" applyNumberFormat="0" applyAlignment="0" applyProtection="0"/>
    <xf numFmtId="0" fontId="104" fillId="0" borderId="56" applyNumberFormat="0" applyFill="0" applyAlignment="0" applyProtection="0"/>
    <xf numFmtId="167" fontId="15" fillId="0" borderId="0" applyFont="0" applyFill="0" applyBorder="0" applyAlignment="0" applyProtection="0"/>
    <xf numFmtId="0" fontId="15" fillId="0" borderId="0"/>
    <xf numFmtId="0" fontId="14" fillId="0" borderId="0"/>
    <xf numFmtId="0" fontId="15" fillId="0" borderId="0"/>
    <xf numFmtId="0" fontId="14" fillId="0" borderId="0"/>
    <xf numFmtId="190" fontId="15" fillId="0" borderId="0"/>
    <xf numFmtId="0" fontId="134" fillId="0" borderId="0" applyNumberFormat="0" applyFill="0" applyBorder="0" applyAlignment="0" applyProtection="0"/>
  </cellStyleXfs>
  <cellXfs count="635">
    <xf numFmtId="0" fontId="0" fillId="0" borderId="0" xfId="0"/>
    <xf numFmtId="0" fontId="1" fillId="0" borderId="0" xfId="1"/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1" fontId="3" fillId="5" borderId="6" xfId="1" applyNumberFormat="1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7" fillId="7" borderId="5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9" fontId="9" fillId="7" borderId="7" xfId="1" applyNumberFormat="1" applyFont="1" applyFill="1" applyBorder="1" applyAlignment="1">
      <alignment horizontal="center" vertical="center"/>
    </xf>
    <xf numFmtId="0" fontId="1" fillId="0" borderId="0" xfId="2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29" fillId="0" borderId="3" xfId="1" applyFont="1" applyBorder="1" applyAlignment="1">
      <alignment vertical="center" wrapText="1"/>
    </xf>
    <xf numFmtId="49" fontId="19" fillId="10" borderId="8" xfId="1" applyNumberFormat="1" applyFont="1" applyFill="1" applyBorder="1" applyAlignment="1">
      <alignment horizontal="center" vertical="center" wrapText="1"/>
    </xf>
    <xf numFmtId="169" fontId="23" fillId="10" borderId="8" xfId="1" applyNumberFormat="1" applyFont="1" applyFill="1" applyBorder="1" applyAlignment="1">
      <alignment horizontal="center" vertical="center"/>
    </xf>
    <xf numFmtId="166" fontId="21" fillId="10" borderId="8" xfId="1" applyNumberFormat="1" applyFont="1" applyFill="1" applyBorder="1" applyAlignment="1">
      <alignment horizontal="center" vertical="center"/>
    </xf>
    <xf numFmtId="0" fontId="23" fillId="12" borderId="8" xfId="1" applyFont="1" applyFill="1" applyBorder="1" applyAlignment="1">
      <alignment horizontal="center" vertical="center"/>
    </xf>
    <xf numFmtId="166" fontId="31" fillId="13" borderId="18" xfId="1" applyNumberFormat="1" applyFont="1" applyFill="1" applyBorder="1" applyAlignment="1">
      <alignment horizontal="center" vertical="center"/>
    </xf>
    <xf numFmtId="168" fontId="32" fillId="13" borderId="18" xfId="1" applyNumberFormat="1" applyFont="1" applyFill="1" applyBorder="1" applyAlignment="1">
      <alignment horizontal="center" vertical="center"/>
    </xf>
    <xf numFmtId="168" fontId="33" fillId="13" borderId="18" xfId="1" applyNumberFormat="1" applyFont="1" applyFill="1" applyBorder="1" applyAlignment="1">
      <alignment horizontal="center" vertical="center"/>
    </xf>
    <xf numFmtId="168" fontId="21" fillId="5" borderId="8" xfId="1" applyNumberFormat="1" applyFont="1" applyFill="1" applyBorder="1" applyAlignment="1">
      <alignment horizontal="center" vertical="center"/>
    </xf>
    <xf numFmtId="168" fontId="31" fillId="8" borderId="8" xfId="1" applyNumberFormat="1" applyFont="1" applyFill="1" applyBorder="1" applyAlignment="1">
      <alignment horizontal="center" vertical="center"/>
    </xf>
    <xf numFmtId="168" fontId="34" fillId="8" borderId="13" xfId="1" applyNumberFormat="1" applyFont="1" applyFill="1" applyBorder="1" applyAlignment="1">
      <alignment horizontal="center" vertical="center"/>
    </xf>
    <xf numFmtId="168" fontId="21" fillId="10" borderId="8" xfId="1" applyNumberFormat="1" applyFont="1" applyFill="1" applyBorder="1" applyAlignment="1">
      <alignment horizontal="center" vertical="center" wrapText="1"/>
    </xf>
    <xf numFmtId="168" fontId="21" fillId="11" borderId="8" xfId="1" applyNumberFormat="1" applyFont="1" applyFill="1" applyBorder="1" applyAlignment="1">
      <alignment horizontal="center" vertical="center"/>
    </xf>
    <xf numFmtId="0" fontId="21" fillId="12" borderId="8" xfId="1" applyFont="1" applyFill="1" applyBorder="1" applyAlignment="1">
      <alignment horizontal="center" vertical="center"/>
    </xf>
    <xf numFmtId="168" fontId="35" fillId="10" borderId="8" xfId="1" applyNumberFormat="1" applyFont="1" applyFill="1" applyBorder="1" applyAlignment="1">
      <alignment horizontal="center" vertical="center"/>
    </xf>
    <xf numFmtId="168" fontId="21" fillId="12" borderId="8" xfId="1" applyNumberFormat="1" applyFont="1" applyFill="1" applyBorder="1" applyAlignment="1">
      <alignment horizontal="center" vertical="center"/>
    </xf>
    <xf numFmtId="168" fontId="34" fillId="10" borderId="8" xfId="1" applyNumberFormat="1" applyFont="1" applyFill="1" applyBorder="1" applyAlignment="1">
      <alignment horizontal="center" vertical="center"/>
    </xf>
    <xf numFmtId="168" fontId="21" fillId="0" borderId="8" xfId="1" applyNumberFormat="1" applyFont="1" applyBorder="1" applyAlignment="1">
      <alignment horizontal="center" vertical="center"/>
    </xf>
    <xf numFmtId="168" fontId="22" fillId="7" borderId="8" xfId="1" applyNumberFormat="1" applyFont="1" applyFill="1" applyBorder="1" applyAlignment="1">
      <alignment horizontal="center" vertical="center"/>
    </xf>
    <xf numFmtId="166" fontId="21" fillId="10" borderId="8" xfId="10" applyNumberFormat="1" applyFont="1" applyFill="1" applyBorder="1" applyAlignment="1">
      <alignment horizontal="center" vertical="center"/>
    </xf>
    <xf numFmtId="166" fontId="34" fillId="10" borderId="8" xfId="1" applyNumberFormat="1" applyFont="1" applyFill="1" applyBorder="1" applyAlignment="1">
      <alignment horizontal="center" vertical="center"/>
    </xf>
    <xf numFmtId="0" fontId="19" fillId="0" borderId="0" xfId="1" applyFont="1"/>
    <xf numFmtId="166" fontId="36" fillId="0" borderId="8" xfId="9" applyNumberFormat="1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center" vertical="center"/>
    </xf>
    <xf numFmtId="166" fontId="36" fillId="0" borderId="8" xfId="0" applyNumberFormat="1" applyFont="1" applyBorder="1" applyAlignment="1">
      <alignment horizontal="center" vertical="center"/>
    </xf>
    <xf numFmtId="0" fontId="19" fillId="0" borderId="0" xfId="0" applyFont="1"/>
    <xf numFmtId="2" fontId="37" fillId="0" borderId="8" xfId="0" applyNumberFormat="1" applyFont="1" applyBorder="1" applyAlignment="1">
      <alignment horizontal="center" vertical="center"/>
    </xf>
    <xf numFmtId="0" fontId="40" fillId="0" borderId="0" xfId="0" applyFont="1"/>
    <xf numFmtId="0" fontId="11" fillId="10" borderId="12" xfId="1" applyFont="1" applyFill="1" applyBorder="1" applyAlignment="1">
      <alignment horizontal="center" vertical="center" wrapText="1"/>
    </xf>
    <xf numFmtId="170" fontId="11" fillId="0" borderId="8" xfId="1" applyNumberFormat="1" applyFont="1" applyBorder="1" applyAlignment="1">
      <alignment horizontal="right" wrapText="1"/>
    </xf>
    <xf numFmtId="0" fontId="42" fillId="0" borderId="8" xfId="13" applyFont="1" applyBorder="1" applyAlignment="1">
      <alignment horizontal="center" vertical="center"/>
    </xf>
    <xf numFmtId="0" fontId="16" fillId="0" borderId="8" xfId="14" applyFont="1" applyBorder="1" applyAlignment="1">
      <alignment horizontal="center" vertical="center" wrapText="1"/>
    </xf>
    <xf numFmtId="0" fontId="20" fillId="0" borderId="8" xfId="1" applyFont="1" applyBorder="1" applyAlignment="1">
      <alignment horizontal="left" vertical="center" wrapText="1"/>
    </xf>
    <xf numFmtId="0" fontId="44" fillId="0" borderId="0" xfId="0" applyFont="1"/>
    <xf numFmtId="49" fontId="23" fillId="14" borderId="19" xfId="1" applyNumberFormat="1" applyFont="1" applyFill="1" applyBorder="1" applyAlignment="1">
      <alignment horizontal="center" vertical="center" wrapText="1"/>
    </xf>
    <xf numFmtId="166" fontId="21" fillId="10" borderId="21" xfId="1" applyNumberFormat="1" applyFont="1" applyFill="1" applyBorder="1" applyAlignment="1">
      <alignment horizontal="center" vertical="center"/>
    </xf>
    <xf numFmtId="0" fontId="23" fillId="9" borderId="21" xfId="1" applyFont="1" applyFill="1" applyBorder="1" applyAlignment="1">
      <alignment horizontal="center" vertical="center"/>
    </xf>
    <xf numFmtId="166" fontId="31" fillId="13" borderId="21" xfId="1" applyNumberFormat="1" applyFont="1" applyFill="1" applyBorder="1" applyAlignment="1">
      <alignment horizontal="center" vertical="center"/>
    </xf>
    <xf numFmtId="168" fontId="32" fillId="13" borderId="21" xfId="1" applyNumberFormat="1" applyFont="1" applyFill="1" applyBorder="1" applyAlignment="1">
      <alignment horizontal="center" vertical="center"/>
    </xf>
    <xf numFmtId="168" fontId="33" fillId="13" borderId="21" xfId="1" applyNumberFormat="1" applyFont="1" applyFill="1" applyBorder="1" applyAlignment="1">
      <alignment horizontal="center" vertical="center"/>
    </xf>
    <xf numFmtId="168" fontId="31" fillId="13" borderId="21" xfId="1" applyNumberFormat="1" applyFont="1" applyFill="1" applyBorder="1" applyAlignment="1">
      <alignment horizontal="center" vertical="center"/>
    </xf>
    <xf numFmtId="166" fontId="21" fillId="10" borderId="21" xfId="1" applyNumberFormat="1" applyFont="1" applyFill="1" applyBorder="1" applyAlignment="1">
      <alignment horizontal="center" vertical="center" wrapText="1"/>
    </xf>
    <xf numFmtId="168" fontId="21" fillId="11" borderId="21" xfId="1" applyNumberFormat="1" applyFont="1" applyFill="1" applyBorder="1" applyAlignment="1">
      <alignment horizontal="center" vertical="center"/>
    </xf>
    <xf numFmtId="0" fontId="21" fillId="12" borderId="21" xfId="1" applyFont="1" applyFill="1" applyBorder="1" applyAlignment="1">
      <alignment horizontal="center" vertical="center"/>
    </xf>
    <xf numFmtId="168" fontId="35" fillId="10" borderId="21" xfId="1" applyNumberFormat="1" applyFont="1" applyFill="1" applyBorder="1" applyAlignment="1">
      <alignment horizontal="center" vertical="center"/>
    </xf>
    <xf numFmtId="166" fontId="21" fillId="10" borderId="21" xfId="13" applyNumberFormat="1" applyFont="1" applyFill="1" applyBorder="1" applyAlignment="1">
      <alignment horizontal="center" vertical="center"/>
    </xf>
    <xf numFmtId="166" fontId="34" fillId="10" borderId="22" xfId="1" applyNumberFormat="1" applyFont="1" applyFill="1" applyBorder="1" applyAlignment="1">
      <alignment horizontal="center" vertical="center"/>
    </xf>
    <xf numFmtId="166" fontId="46" fillId="0" borderId="8" xfId="9" applyNumberFormat="1" applyFont="1" applyBorder="1" applyAlignment="1">
      <alignment horizontal="center" vertical="center"/>
    </xf>
    <xf numFmtId="166" fontId="21" fillId="0" borderId="8" xfId="0" applyNumberFormat="1" applyFont="1" applyBorder="1" applyAlignment="1">
      <alignment horizontal="center" vertical="center"/>
    </xf>
    <xf numFmtId="166" fontId="46" fillId="0" borderId="8" xfId="0" applyNumberFormat="1" applyFont="1" applyBorder="1" applyAlignment="1">
      <alignment horizontal="center" vertical="center"/>
    </xf>
    <xf numFmtId="0" fontId="21" fillId="0" borderId="0" xfId="0" applyFont="1"/>
    <xf numFmtId="2" fontId="45" fillId="0" borderId="8" xfId="0" applyNumberFormat="1" applyFont="1" applyBorder="1" applyAlignment="1">
      <alignment horizontal="center" vertical="center"/>
    </xf>
    <xf numFmtId="0" fontId="47" fillId="0" borderId="0" xfId="0" applyFont="1"/>
    <xf numFmtId="0" fontId="20" fillId="14" borderId="12" xfId="0" applyFont="1" applyFill="1" applyBorder="1" applyAlignment="1">
      <alignment horizontal="center" vertical="center" wrapText="1"/>
    </xf>
    <xf numFmtId="0" fontId="49" fillId="14" borderId="8" xfId="0" applyFont="1" applyFill="1" applyBorder="1" applyAlignment="1">
      <alignment horizontal="center" wrapText="1"/>
    </xf>
    <xf numFmtId="0" fontId="12" fillId="14" borderId="8" xfId="1" applyFont="1" applyFill="1" applyBorder="1" applyAlignment="1">
      <alignment horizontal="center" vertical="center" wrapText="1"/>
    </xf>
    <xf numFmtId="0" fontId="48" fillId="14" borderId="0" xfId="1" applyFont="1" applyFill="1"/>
    <xf numFmtId="49" fontId="19" fillId="10" borderId="19" xfId="1" applyNumberFormat="1" applyFont="1" applyFill="1" applyBorder="1" applyAlignment="1">
      <alignment horizontal="center" vertical="center" wrapText="1"/>
    </xf>
    <xf numFmtId="169" fontId="20" fillId="10" borderId="21" xfId="1" applyNumberFormat="1" applyFont="1" applyFill="1" applyBorder="1" applyAlignment="1">
      <alignment horizontal="center" vertical="center" wrapText="1"/>
    </xf>
    <xf numFmtId="166" fontId="21" fillId="12" borderId="21" xfId="1" applyNumberFormat="1" applyFont="1" applyFill="1" applyBorder="1" applyAlignment="1">
      <alignment horizontal="center" vertical="center"/>
    </xf>
    <xf numFmtId="165" fontId="50" fillId="16" borderId="8" xfId="11" applyFont="1" applyFill="1" applyBorder="1" applyAlignment="1">
      <alignment vertical="center" wrapText="1"/>
    </xf>
    <xf numFmtId="165" fontId="51" fillId="16" borderId="8" xfId="11" applyFont="1" applyFill="1" applyBorder="1" applyAlignment="1">
      <alignment vertical="center" wrapText="1"/>
    </xf>
    <xf numFmtId="165" fontId="49" fillId="14" borderId="8" xfId="11" applyFont="1" applyFill="1" applyBorder="1" applyAlignment="1">
      <alignment vertical="center" wrapText="1"/>
    </xf>
    <xf numFmtId="165" fontId="48" fillId="14" borderId="8" xfId="11" applyFont="1" applyFill="1" applyBorder="1" applyAlignment="1">
      <alignment horizontal="center" vertical="center" wrapText="1"/>
    </xf>
    <xf numFmtId="165" fontId="50" fillId="17" borderId="8" xfId="11" applyFont="1" applyFill="1" applyBorder="1" applyAlignment="1">
      <alignment vertical="center" wrapText="1"/>
    </xf>
    <xf numFmtId="0" fontId="50" fillId="15" borderId="8" xfId="11" applyNumberFormat="1" applyFont="1" applyFill="1" applyBorder="1" applyAlignment="1">
      <alignment horizontal="center" vertical="center" wrapText="1"/>
    </xf>
    <xf numFmtId="165" fontId="50" fillId="14" borderId="8" xfId="11" applyFont="1" applyFill="1" applyBorder="1" applyAlignment="1">
      <alignment vertical="center" wrapText="1"/>
    </xf>
    <xf numFmtId="0" fontId="50" fillId="0" borderId="8" xfId="0" applyFont="1" applyBorder="1" applyAlignment="1">
      <alignment wrapText="1"/>
    </xf>
    <xf numFmtId="166" fontId="52" fillId="0" borderId="8" xfId="7" applyNumberFormat="1" applyFont="1" applyBorder="1" applyAlignment="1">
      <alignment vertical="center" wrapText="1"/>
    </xf>
    <xf numFmtId="166" fontId="50" fillId="0" borderId="8" xfId="0" applyNumberFormat="1" applyFont="1" applyBorder="1" applyAlignment="1">
      <alignment vertical="center" wrapText="1"/>
    </xf>
    <xf numFmtId="166" fontId="52" fillId="0" borderId="8" xfId="0" applyNumberFormat="1" applyFont="1" applyBorder="1" applyAlignment="1">
      <alignment vertical="center" wrapText="1"/>
    </xf>
    <xf numFmtId="2" fontId="50" fillId="0" borderId="8" xfId="0" applyNumberFormat="1" applyFont="1" applyBorder="1" applyAlignment="1">
      <alignment vertical="center" wrapText="1"/>
    </xf>
    <xf numFmtId="0" fontId="48" fillId="0" borderId="8" xfId="1" applyFont="1" applyBorder="1" applyAlignment="1">
      <alignment wrapText="1"/>
    </xf>
    <xf numFmtId="0" fontId="48" fillId="5" borderId="0" xfId="1" applyFont="1" applyFill="1" applyAlignment="1">
      <alignment wrapText="1"/>
    </xf>
    <xf numFmtId="0" fontId="40" fillId="5" borderId="0" xfId="0" applyFont="1" applyFill="1"/>
    <xf numFmtId="0" fontId="1" fillId="5" borderId="0" xfId="1" applyFill="1"/>
    <xf numFmtId="168" fontId="23" fillId="0" borderId="8" xfId="0" applyNumberFormat="1" applyFont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22" fillId="10" borderId="4" xfId="9" applyFont="1" applyFill="1" applyBorder="1" applyAlignment="1">
      <alignment horizontal="center" vertical="center"/>
    </xf>
    <xf numFmtId="3" fontId="23" fillId="0" borderId="4" xfId="1" applyNumberFormat="1" applyFont="1" applyBorder="1" applyAlignment="1">
      <alignment horizontal="center" vertical="center" wrapText="1"/>
    </xf>
    <xf numFmtId="168" fontId="23" fillId="0" borderId="4" xfId="0" applyNumberFormat="1" applyFont="1" applyBorder="1" applyAlignment="1">
      <alignment horizontal="center" vertical="center" wrapText="1"/>
    </xf>
    <xf numFmtId="0" fontId="21" fillId="10" borderId="4" xfId="1" applyFont="1" applyFill="1" applyBorder="1" applyAlignment="1">
      <alignment horizontal="center" vertical="center" wrapText="1"/>
    </xf>
    <xf numFmtId="0" fontId="21" fillId="0" borderId="4" xfId="10" applyFont="1" applyBorder="1" applyAlignment="1">
      <alignment vertical="center" wrapText="1"/>
    </xf>
    <xf numFmtId="168" fontId="12" fillId="0" borderId="11" xfId="1" applyNumberFormat="1" applyFont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 wrapText="1"/>
    </xf>
    <xf numFmtId="0" fontId="49" fillId="14" borderId="26" xfId="0" applyFont="1" applyFill="1" applyBorder="1" applyAlignment="1">
      <alignment horizontal="center" wrapText="1"/>
    </xf>
    <xf numFmtId="0" fontId="12" fillId="14" borderId="26" xfId="1" applyFont="1" applyFill="1" applyBorder="1" applyAlignment="1">
      <alignment horizontal="center" vertical="center" wrapText="1"/>
    </xf>
    <xf numFmtId="168" fontId="23" fillId="0" borderId="26" xfId="0" applyNumberFormat="1" applyFont="1" applyBorder="1" applyAlignment="1">
      <alignment horizontal="center" vertical="center" wrapText="1"/>
    </xf>
    <xf numFmtId="0" fontId="16" fillId="0" borderId="26" xfId="14" applyFont="1" applyBorder="1" applyAlignment="1">
      <alignment horizontal="center" vertical="center" wrapText="1"/>
    </xf>
    <xf numFmtId="0" fontId="20" fillId="14" borderId="26" xfId="0" applyFont="1" applyFill="1" applyBorder="1" applyAlignment="1">
      <alignment horizontal="left" vertical="center" wrapText="1"/>
    </xf>
    <xf numFmtId="0" fontId="6" fillId="0" borderId="0" xfId="1" applyFont="1" applyAlignment="1">
      <alignment wrapText="1"/>
    </xf>
    <xf numFmtId="49" fontId="23" fillId="14" borderId="0" xfId="1" applyNumberFormat="1" applyFont="1" applyFill="1" applyAlignment="1">
      <alignment horizontal="center" vertical="center" wrapText="1"/>
    </xf>
    <xf numFmtId="49" fontId="20" fillId="10" borderId="0" xfId="1" applyNumberFormat="1" applyFont="1" applyFill="1" applyAlignment="1">
      <alignment horizontal="center" vertical="center" wrapText="1"/>
    </xf>
    <xf numFmtId="169" fontId="20" fillId="10" borderId="0" xfId="1" applyNumberFormat="1" applyFont="1" applyFill="1" applyAlignment="1">
      <alignment horizontal="center" vertical="center" wrapText="1"/>
    </xf>
    <xf numFmtId="166" fontId="21" fillId="12" borderId="0" xfId="1" applyNumberFormat="1" applyFont="1" applyFill="1" applyAlignment="1">
      <alignment horizontal="center" vertical="center"/>
    </xf>
    <xf numFmtId="0" fontId="23" fillId="9" borderId="0" xfId="1" applyFont="1" applyFill="1" applyAlignment="1">
      <alignment horizontal="center" vertical="center"/>
    </xf>
    <xf numFmtId="165" fontId="50" fillId="16" borderId="0" xfId="11" applyFont="1" applyFill="1" applyBorder="1" applyAlignment="1">
      <alignment vertical="center" wrapText="1"/>
    </xf>
    <xf numFmtId="165" fontId="51" fillId="16" borderId="0" xfId="11" applyFont="1" applyFill="1" applyBorder="1" applyAlignment="1">
      <alignment vertical="center" wrapText="1"/>
    </xf>
    <xf numFmtId="0" fontId="23" fillId="12" borderId="0" xfId="1" applyFont="1" applyFill="1" applyAlignment="1">
      <alignment horizontal="center" vertical="center"/>
    </xf>
    <xf numFmtId="168" fontId="31" fillId="13" borderId="0" xfId="1" applyNumberFormat="1" applyFont="1" applyFill="1" applyAlignment="1">
      <alignment horizontal="center" vertical="center"/>
    </xf>
    <xf numFmtId="168" fontId="31" fillId="8" borderId="0" xfId="1" applyNumberFormat="1" applyFont="1" applyFill="1" applyAlignment="1">
      <alignment horizontal="center" vertical="center"/>
    </xf>
    <xf numFmtId="168" fontId="34" fillId="8" borderId="0" xfId="1" applyNumberFormat="1" applyFont="1" applyFill="1" applyAlignment="1">
      <alignment horizontal="center" vertical="center"/>
    </xf>
    <xf numFmtId="165" fontId="48" fillId="14" borderId="0" xfId="11" applyFont="1" applyFill="1" applyBorder="1" applyAlignment="1">
      <alignment horizontal="center" vertical="center" wrapText="1"/>
    </xf>
    <xf numFmtId="165" fontId="50" fillId="17" borderId="0" xfId="11" applyFont="1" applyFill="1" applyBorder="1" applyAlignment="1">
      <alignment vertical="center" wrapText="1"/>
    </xf>
    <xf numFmtId="0" fontId="50" fillId="15" borderId="0" xfId="11" applyNumberFormat="1" applyFont="1" applyFill="1" applyBorder="1" applyAlignment="1">
      <alignment horizontal="center" vertical="center" wrapText="1"/>
    </xf>
    <xf numFmtId="165" fontId="49" fillId="14" borderId="0" xfId="11" applyFont="1" applyFill="1" applyBorder="1" applyAlignment="1">
      <alignment vertical="center" wrapText="1"/>
    </xf>
    <xf numFmtId="168" fontId="21" fillId="12" borderId="0" xfId="1" applyNumberFormat="1" applyFont="1" applyFill="1" applyAlignment="1">
      <alignment horizontal="center" vertical="center"/>
    </xf>
    <xf numFmtId="168" fontId="34" fillId="10" borderId="0" xfId="1" applyNumberFormat="1" applyFont="1" applyFill="1" applyAlignment="1">
      <alignment horizontal="center" vertical="center"/>
    </xf>
    <xf numFmtId="168" fontId="21" fillId="0" borderId="0" xfId="1" applyNumberFormat="1" applyFont="1" applyAlignment="1">
      <alignment horizontal="center" vertical="center"/>
    </xf>
    <xf numFmtId="168" fontId="22" fillId="7" borderId="0" xfId="1" applyNumberFormat="1" applyFont="1" applyFill="1" applyAlignment="1">
      <alignment horizontal="center" vertical="center"/>
    </xf>
    <xf numFmtId="165" fontId="50" fillId="14" borderId="0" xfId="11" applyFont="1" applyFill="1" applyBorder="1" applyAlignment="1">
      <alignment vertical="center" wrapText="1"/>
    </xf>
    <xf numFmtId="0" fontId="50" fillId="0" borderId="0" xfId="0" applyFont="1" applyAlignment="1">
      <alignment wrapText="1"/>
    </xf>
    <xf numFmtId="166" fontId="52" fillId="0" borderId="0" xfId="7" applyNumberFormat="1" applyFont="1" applyAlignment="1">
      <alignment vertical="center" wrapText="1"/>
    </xf>
    <xf numFmtId="166" fontId="50" fillId="0" borderId="0" xfId="0" applyNumberFormat="1" applyFont="1" applyAlignment="1">
      <alignment vertical="center" wrapText="1"/>
    </xf>
    <xf numFmtId="166" fontId="52" fillId="0" borderId="0" xfId="0" applyNumberFormat="1" applyFont="1" applyAlignment="1">
      <alignment vertical="center" wrapText="1"/>
    </xf>
    <xf numFmtId="2" fontId="50" fillId="0" borderId="0" xfId="0" applyNumberFormat="1" applyFont="1" applyAlignment="1">
      <alignment vertical="center" wrapText="1"/>
    </xf>
    <xf numFmtId="0" fontId="48" fillId="0" borderId="0" xfId="1" applyFont="1" applyAlignment="1">
      <alignment wrapText="1"/>
    </xf>
    <xf numFmtId="0" fontId="0" fillId="0" borderId="0" xfId="0" applyAlignment="1">
      <alignment wrapText="1"/>
    </xf>
    <xf numFmtId="0" fontId="44" fillId="0" borderId="0" xfId="0" applyFont="1" applyAlignment="1">
      <alignment horizontal="left"/>
    </xf>
    <xf numFmtId="0" fontId="47" fillId="0" borderId="0" xfId="0" applyFont="1" applyAlignment="1">
      <alignment horizontal="left" vertical="center"/>
    </xf>
    <xf numFmtId="0" fontId="23" fillId="10" borderId="0" xfId="0" applyFont="1" applyFill="1" applyAlignment="1">
      <alignment horizontal="center" vertical="center" wrapText="1"/>
    </xf>
    <xf numFmtId="0" fontId="49" fillId="10" borderId="0" xfId="0" applyFont="1" applyFill="1" applyAlignment="1">
      <alignment horizontal="center" wrapText="1"/>
    </xf>
    <xf numFmtId="0" fontId="12" fillId="10" borderId="0" xfId="1" applyFont="1" applyFill="1" applyAlignment="1">
      <alignment horizontal="center" vertical="center" wrapText="1"/>
    </xf>
    <xf numFmtId="168" fontId="23" fillId="10" borderId="0" xfId="0" applyNumberFormat="1" applyFont="1" applyFill="1" applyAlignment="1">
      <alignment horizontal="center" vertical="center" wrapText="1"/>
    </xf>
    <xf numFmtId="0" fontId="16" fillId="10" borderId="0" xfId="14" applyFont="1" applyFill="1" applyAlignment="1">
      <alignment horizontal="center" vertical="center" wrapText="1"/>
    </xf>
    <xf numFmtId="0" fontId="20" fillId="10" borderId="0" xfId="0" applyFont="1" applyFill="1" applyAlignment="1">
      <alignment horizontal="left" vertical="center" wrapText="1"/>
    </xf>
    <xf numFmtId="168" fontId="12" fillId="10" borderId="0" xfId="1" applyNumberFormat="1" applyFont="1" applyFill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2" fillId="10" borderId="8" xfId="9" applyFont="1" applyFill="1" applyBorder="1" applyAlignment="1">
      <alignment horizontal="center" vertical="center"/>
    </xf>
    <xf numFmtId="0" fontId="16" fillId="0" borderId="8" xfId="10" applyFont="1" applyBorder="1" applyAlignment="1">
      <alignment vertical="center" wrapText="1"/>
    </xf>
    <xf numFmtId="168" fontId="12" fillId="0" borderId="8" xfId="1" applyNumberFormat="1" applyFont="1" applyBorder="1" applyAlignment="1">
      <alignment horizontal="center" vertical="center"/>
    </xf>
    <xf numFmtId="0" fontId="11" fillId="10" borderId="8" xfId="1" applyFont="1" applyFill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center" vertical="center" wrapText="1"/>
    </xf>
    <xf numFmtId="0" fontId="45" fillId="0" borderId="3" xfId="1" applyFont="1" applyBorder="1" applyAlignment="1">
      <alignment vertical="top" wrapText="1"/>
    </xf>
    <xf numFmtId="168" fontId="12" fillId="0" borderId="8" xfId="0" applyNumberFormat="1" applyFont="1" applyBorder="1" applyAlignment="1">
      <alignment horizontal="center" vertical="center" wrapText="1"/>
    </xf>
    <xf numFmtId="3" fontId="12" fillId="0" borderId="8" xfId="1" applyNumberFormat="1" applyFont="1" applyBorder="1" applyAlignment="1">
      <alignment horizontal="center" vertical="center" wrapText="1"/>
    </xf>
    <xf numFmtId="0" fontId="53" fillId="10" borderId="0" xfId="0" applyFont="1" applyFill="1" applyAlignment="1">
      <alignment vertical="top"/>
    </xf>
    <xf numFmtId="0" fontId="59" fillId="5" borderId="0" xfId="0" applyFont="1" applyFill="1"/>
    <xf numFmtId="0" fontId="59" fillId="19" borderId="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6" fontId="53" fillId="20" borderId="30" xfId="0" applyNumberFormat="1" applyFont="1" applyFill="1" applyBorder="1" applyAlignment="1">
      <alignment horizontal="center" vertical="center"/>
    </xf>
    <xf numFmtId="0" fontId="53" fillId="21" borderId="30" xfId="0" applyFont="1" applyFill="1" applyBorder="1" applyAlignment="1">
      <alignment horizontal="center" vertical="center" wrapText="1"/>
    </xf>
    <xf numFmtId="172" fontId="62" fillId="22" borderId="30" xfId="0" applyNumberFormat="1" applyFont="1" applyFill="1" applyBorder="1" applyAlignment="1">
      <alignment vertical="center" wrapText="1"/>
    </xf>
    <xf numFmtId="172" fontId="63" fillId="22" borderId="30" xfId="0" applyNumberFormat="1" applyFont="1" applyFill="1" applyBorder="1" applyAlignment="1">
      <alignment horizontal="center" vertical="center" wrapText="1"/>
    </xf>
    <xf numFmtId="172" fontId="63" fillId="22" borderId="30" xfId="0" applyNumberFormat="1" applyFont="1" applyFill="1" applyBorder="1" applyAlignment="1">
      <alignment vertical="center" wrapText="1"/>
    </xf>
    <xf numFmtId="0" fontId="12" fillId="20" borderId="31" xfId="0" applyFont="1" applyFill="1" applyBorder="1" applyAlignment="1">
      <alignment horizontal="center" vertical="center"/>
    </xf>
    <xf numFmtId="168" fontId="41" fillId="5" borderId="8" xfId="1" applyNumberFormat="1" applyFont="1" applyFill="1" applyBorder="1" applyAlignment="1">
      <alignment horizontal="center" vertical="center"/>
    </xf>
    <xf numFmtId="168" fontId="55" fillId="2" borderId="8" xfId="1" applyNumberFormat="1" applyFont="1" applyFill="1" applyBorder="1" applyAlignment="1">
      <alignment horizontal="center" vertical="center"/>
    </xf>
    <xf numFmtId="168" fontId="6" fillId="10" borderId="16" xfId="1" applyNumberFormat="1" applyFont="1" applyFill="1" applyBorder="1" applyAlignment="1">
      <alignment horizontal="center" vertical="center"/>
    </xf>
    <xf numFmtId="168" fontId="20" fillId="0" borderId="8" xfId="1" applyNumberFormat="1" applyFont="1" applyBorder="1" applyAlignment="1">
      <alignment horizontal="center" vertical="center" wrapText="1"/>
    </xf>
    <xf numFmtId="168" fontId="55" fillId="23" borderId="8" xfId="1" applyNumberFormat="1" applyFont="1" applyFill="1" applyBorder="1" applyAlignment="1">
      <alignment horizontal="center" vertical="center" wrapText="1"/>
    </xf>
    <xf numFmtId="0" fontId="59" fillId="9" borderId="16" xfId="1" applyFont="1" applyFill="1" applyBorder="1" applyAlignment="1">
      <alignment horizontal="center" vertical="center"/>
    </xf>
    <xf numFmtId="0" fontId="55" fillId="24" borderId="8" xfId="1" applyFont="1" applyFill="1" applyBorder="1" applyAlignment="1">
      <alignment horizontal="center" vertical="center"/>
    </xf>
    <xf numFmtId="168" fontId="18" fillId="10" borderId="13" xfId="1" applyNumberFormat="1" applyFont="1" applyFill="1" applyBorder="1" applyAlignment="1">
      <alignment horizontal="center" vertical="center"/>
    </xf>
    <xf numFmtId="168" fontId="55" fillId="15" borderId="8" xfId="1" applyNumberFormat="1" applyFont="1" applyFill="1" applyBorder="1" applyAlignment="1">
      <alignment horizontal="center" vertical="center"/>
    </xf>
    <xf numFmtId="171" fontId="58" fillId="18" borderId="8" xfId="4" applyNumberFormat="1" applyFont="1" applyFill="1" applyBorder="1" applyAlignment="1" applyProtection="1">
      <alignment horizontal="center" vertical="center"/>
    </xf>
    <xf numFmtId="168" fontId="16" fillId="0" borderId="16" xfId="1" applyNumberFormat="1" applyFont="1" applyBorder="1" applyAlignment="1">
      <alignment horizontal="center" vertical="center"/>
    </xf>
    <xf numFmtId="168" fontId="64" fillId="7" borderId="16" xfId="16" applyNumberFormat="1" applyFont="1" applyFill="1" applyBorder="1" applyAlignment="1">
      <alignment horizontal="center" vertical="center"/>
    </xf>
    <xf numFmtId="166" fontId="16" fillId="10" borderId="16" xfId="10" applyNumberFormat="1" applyFont="1" applyFill="1" applyBorder="1" applyAlignment="1">
      <alignment horizontal="center" vertical="center"/>
    </xf>
    <xf numFmtId="166" fontId="6" fillId="10" borderId="16" xfId="16" applyNumberFormat="1" applyFont="1" applyFill="1" applyBorder="1" applyAlignment="1">
      <alignment horizontal="center" vertical="center"/>
    </xf>
    <xf numFmtId="0" fontId="20" fillId="0" borderId="0" xfId="0" applyFont="1"/>
    <xf numFmtId="0" fontId="59" fillId="0" borderId="0" xfId="0" applyFont="1"/>
    <xf numFmtId="0" fontId="11" fillId="10" borderId="12" xfId="0" applyFont="1" applyFill="1" applyBorder="1" applyAlignment="1">
      <alignment horizontal="center" vertical="center" wrapText="1"/>
    </xf>
    <xf numFmtId="0" fontId="60" fillId="10" borderId="8" xfId="15" applyFont="1" applyFill="1" applyBorder="1" applyAlignment="1">
      <alignment horizontal="center" wrapText="1"/>
    </xf>
    <xf numFmtId="0" fontId="61" fillId="0" borderId="8" xfId="0" applyFont="1" applyBorder="1" applyAlignment="1">
      <alignment horizontal="left" vertical="center" wrapText="1"/>
    </xf>
    <xf numFmtId="0" fontId="11" fillId="10" borderId="10" xfId="1" applyFont="1" applyFill="1" applyBorder="1" applyAlignment="1">
      <alignment horizontal="center" vertical="center"/>
    </xf>
    <xf numFmtId="0" fontId="0" fillId="0" borderId="4" xfId="0" applyBorder="1"/>
    <xf numFmtId="0" fontId="11" fillId="0" borderId="4" xfId="1" applyFont="1" applyBorder="1" applyAlignment="1">
      <alignment horizontal="left" vertical="center" wrapText="1"/>
    </xf>
    <xf numFmtId="0" fontId="25" fillId="0" borderId="0" xfId="0" applyFont="1" applyAlignment="1">
      <alignment vertical="top" wrapText="1"/>
    </xf>
    <xf numFmtId="49" fontId="65" fillId="14" borderId="19" xfId="1" applyNumberFormat="1" applyFont="1" applyFill="1" applyBorder="1" applyAlignment="1">
      <alignment horizontal="center" vertical="center" wrapText="1"/>
    </xf>
    <xf numFmtId="166" fontId="16" fillId="5" borderId="16" xfId="1" applyNumberFormat="1" applyFont="1" applyFill="1" applyBorder="1" applyAlignment="1">
      <alignment horizontal="center" vertical="center"/>
    </xf>
    <xf numFmtId="168" fontId="66" fillId="5" borderId="16" xfId="1" applyNumberFormat="1" applyFont="1" applyFill="1" applyBorder="1" applyAlignment="1">
      <alignment horizontal="center" vertical="center"/>
    </xf>
    <xf numFmtId="168" fontId="67" fillId="5" borderId="16" xfId="1" applyNumberFormat="1" applyFont="1" applyFill="1" applyBorder="1" applyAlignment="1">
      <alignment horizontal="center" vertical="center"/>
    </xf>
    <xf numFmtId="0" fontId="45" fillId="0" borderId="21" xfId="13" applyFont="1" applyBorder="1" applyAlignment="1">
      <alignment horizontal="center" vertical="center"/>
    </xf>
    <xf numFmtId="168" fontId="59" fillId="8" borderId="16" xfId="1" applyNumberFormat="1" applyFont="1" applyFill="1" applyBorder="1" applyAlignment="1">
      <alignment horizontal="center" vertical="center"/>
    </xf>
    <xf numFmtId="168" fontId="18" fillId="10" borderId="16" xfId="1" applyNumberFormat="1" applyFont="1" applyFill="1" applyBorder="1" applyAlignment="1">
      <alignment horizontal="center" vertical="center"/>
    </xf>
    <xf numFmtId="168" fontId="16" fillId="12" borderId="16" xfId="1" applyNumberFormat="1" applyFont="1" applyFill="1" applyBorder="1" applyAlignment="1">
      <alignment horizontal="center" vertical="center"/>
    </xf>
    <xf numFmtId="168" fontId="35" fillId="19" borderId="35" xfId="0" applyNumberFormat="1" applyFont="1" applyFill="1" applyBorder="1" applyAlignment="1">
      <alignment horizontal="center" vertical="center"/>
    </xf>
    <xf numFmtId="168" fontId="64" fillId="7" borderId="16" xfId="1" applyNumberFormat="1" applyFont="1" applyFill="1" applyBorder="1" applyAlignment="1">
      <alignment horizontal="center" vertical="center"/>
    </xf>
    <xf numFmtId="166" fontId="6" fillId="10" borderId="16" xfId="1" applyNumberFormat="1" applyFont="1" applyFill="1" applyBorder="1" applyAlignment="1">
      <alignment horizontal="center" vertical="center"/>
    </xf>
    <xf numFmtId="0" fontId="0" fillId="0" borderId="8" xfId="0" applyBorder="1"/>
    <xf numFmtId="0" fontId="11" fillId="10" borderId="10" xfId="0" applyFont="1" applyFill="1" applyBorder="1" applyAlignment="1">
      <alignment horizontal="center" vertical="center" wrapText="1"/>
    </xf>
    <xf numFmtId="0" fontId="60" fillId="10" borderId="4" xfId="15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171" fontId="11" fillId="18" borderId="4" xfId="4" applyNumberFormat="1" applyFont="1" applyFill="1" applyBorder="1" applyAlignment="1" applyProtection="1">
      <alignment horizontal="center" vertical="center" wrapText="1"/>
    </xf>
    <xf numFmtId="0" fontId="59" fillId="19" borderId="4" xfId="0" applyFont="1" applyFill="1" applyBorder="1" applyAlignment="1">
      <alignment horizontal="center" vertical="center" wrapText="1"/>
    </xf>
    <xf numFmtId="0" fontId="61" fillId="0" borderId="4" xfId="0" applyFont="1" applyBorder="1" applyAlignment="1">
      <alignment horizontal="left" vertical="center" wrapText="1"/>
    </xf>
    <xf numFmtId="168" fontId="12" fillId="0" borderId="11" xfId="0" applyNumberFormat="1" applyFont="1" applyBorder="1" applyAlignment="1">
      <alignment horizontal="center" vertical="center" wrapText="1"/>
    </xf>
    <xf numFmtId="168" fontId="12" fillId="0" borderId="13" xfId="0" applyNumberFormat="1" applyFont="1" applyBorder="1" applyAlignment="1">
      <alignment horizontal="center" vertical="center" wrapText="1"/>
    </xf>
    <xf numFmtId="168" fontId="12" fillId="0" borderId="26" xfId="0" applyNumberFormat="1" applyFont="1" applyBorder="1" applyAlignment="1">
      <alignment horizontal="center" vertical="center" wrapText="1"/>
    </xf>
    <xf numFmtId="166" fontId="70" fillId="10" borderId="21" xfId="1" applyNumberFormat="1" applyFont="1" applyFill="1" applyBorder="1" applyAlignment="1">
      <alignment horizontal="center" vertical="center"/>
    </xf>
    <xf numFmtId="0" fontId="12" fillId="9" borderId="21" xfId="1" applyFont="1" applyFill="1" applyBorder="1" applyAlignment="1">
      <alignment horizontal="center" vertical="center"/>
    </xf>
    <xf numFmtId="166" fontId="70" fillId="5" borderId="16" xfId="1" applyNumberFormat="1" applyFont="1" applyFill="1" applyBorder="1" applyAlignment="1">
      <alignment horizontal="center" vertical="center"/>
    </xf>
    <xf numFmtId="168" fontId="71" fillId="5" borderId="16" xfId="1" applyNumberFormat="1" applyFont="1" applyFill="1" applyBorder="1" applyAlignment="1">
      <alignment horizontal="center" vertical="center"/>
    </xf>
    <xf numFmtId="168" fontId="72" fillId="5" borderId="16" xfId="1" applyNumberFormat="1" applyFont="1" applyFill="1" applyBorder="1" applyAlignment="1">
      <alignment horizontal="center" vertical="center"/>
    </xf>
    <xf numFmtId="0" fontId="42" fillId="0" borderId="21" xfId="13" applyFont="1" applyBorder="1" applyAlignment="1">
      <alignment horizontal="center" vertical="center"/>
    </xf>
    <xf numFmtId="168" fontId="62" fillId="13" borderId="21" xfId="1" applyNumberFormat="1" applyFont="1" applyFill="1" applyBorder="1" applyAlignment="1">
      <alignment horizontal="center" vertical="center"/>
    </xf>
    <xf numFmtId="168" fontId="62" fillId="8" borderId="16" xfId="1" applyNumberFormat="1" applyFont="1" applyFill="1" applyBorder="1" applyAlignment="1">
      <alignment horizontal="center" vertical="center"/>
    </xf>
    <xf numFmtId="168" fontId="73" fillId="10" borderId="16" xfId="1" applyNumberFormat="1" applyFont="1" applyFill="1" applyBorder="1" applyAlignment="1">
      <alignment horizontal="center" vertical="center"/>
    </xf>
    <xf numFmtId="166" fontId="70" fillId="10" borderId="21" xfId="1" applyNumberFormat="1" applyFont="1" applyFill="1" applyBorder="1" applyAlignment="1">
      <alignment horizontal="center" vertical="center" wrapText="1"/>
    </xf>
    <xf numFmtId="168" fontId="70" fillId="11" borderId="21" xfId="1" applyNumberFormat="1" applyFont="1" applyFill="1" applyBorder="1" applyAlignment="1">
      <alignment horizontal="center" vertical="center"/>
    </xf>
    <xf numFmtId="0" fontId="70" fillId="12" borderId="21" xfId="1" applyFont="1" applyFill="1" applyBorder="1" applyAlignment="1">
      <alignment horizontal="center" vertical="center"/>
    </xf>
    <xf numFmtId="168" fontId="74" fillId="10" borderId="16" xfId="1" applyNumberFormat="1" applyFont="1" applyFill="1" applyBorder="1" applyAlignment="1">
      <alignment horizontal="center" vertical="center"/>
    </xf>
    <xf numFmtId="168" fontId="70" fillId="12" borderId="16" xfId="1" applyNumberFormat="1" applyFont="1" applyFill="1" applyBorder="1" applyAlignment="1">
      <alignment horizontal="center" vertical="center"/>
    </xf>
    <xf numFmtId="168" fontId="74" fillId="19" borderId="35" xfId="0" applyNumberFormat="1" applyFont="1" applyFill="1" applyBorder="1" applyAlignment="1">
      <alignment horizontal="center" vertical="center"/>
    </xf>
    <xf numFmtId="168" fontId="70" fillId="0" borderId="16" xfId="1" applyNumberFormat="1" applyFont="1" applyBorder="1" applyAlignment="1">
      <alignment horizontal="center" vertical="center"/>
    </xf>
    <xf numFmtId="168" fontId="75" fillId="7" borderId="16" xfId="1" applyNumberFormat="1" applyFont="1" applyFill="1" applyBorder="1" applyAlignment="1">
      <alignment horizontal="center" vertical="center"/>
    </xf>
    <xf numFmtId="166" fontId="70" fillId="10" borderId="16" xfId="10" applyNumberFormat="1" applyFont="1" applyFill="1" applyBorder="1" applyAlignment="1">
      <alignment horizontal="center" vertical="center"/>
    </xf>
    <xf numFmtId="166" fontId="70" fillId="12" borderId="21" xfId="1" applyNumberFormat="1" applyFont="1" applyFill="1" applyBorder="1" applyAlignment="1">
      <alignment horizontal="center" vertical="center"/>
    </xf>
    <xf numFmtId="165" fontId="44" fillId="16" borderId="8" xfId="11" applyFont="1" applyFill="1" applyBorder="1" applyAlignment="1">
      <alignment vertical="center" wrapText="1"/>
    </xf>
    <xf numFmtId="165" fontId="72" fillId="16" borderId="8" xfId="11" applyFont="1" applyFill="1" applyBorder="1" applyAlignment="1">
      <alignment vertical="center" wrapText="1"/>
    </xf>
    <xf numFmtId="0" fontId="12" fillId="12" borderId="8" xfId="1" applyFont="1" applyFill="1" applyBorder="1" applyAlignment="1">
      <alignment horizontal="center" vertical="center"/>
    </xf>
    <xf numFmtId="168" fontId="62" fillId="8" borderId="8" xfId="1" applyNumberFormat="1" applyFont="1" applyFill="1" applyBorder="1" applyAlignment="1">
      <alignment horizontal="center" vertical="center"/>
    </xf>
    <xf numFmtId="168" fontId="73" fillId="8" borderId="13" xfId="1" applyNumberFormat="1" applyFont="1" applyFill="1" applyBorder="1" applyAlignment="1">
      <alignment horizontal="center" vertical="center"/>
    </xf>
    <xf numFmtId="165" fontId="53" fillId="14" borderId="8" xfId="11" applyFont="1" applyFill="1" applyBorder="1" applyAlignment="1">
      <alignment horizontal="center" vertical="center" wrapText="1"/>
    </xf>
    <xf numFmtId="165" fontId="44" fillId="17" borderId="8" xfId="11" applyFont="1" applyFill="1" applyBorder="1" applyAlignment="1">
      <alignment vertical="center" wrapText="1"/>
    </xf>
    <xf numFmtId="0" fontId="44" fillId="15" borderId="8" xfId="11" applyNumberFormat="1" applyFont="1" applyFill="1" applyBorder="1" applyAlignment="1">
      <alignment horizontal="center" vertical="center" wrapText="1"/>
    </xf>
    <xf numFmtId="165" fontId="76" fillId="14" borderId="8" xfId="11" applyFont="1" applyFill="1" applyBorder="1" applyAlignment="1">
      <alignment vertical="center" wrapText="1"/>
    </xf>
    <xf numFmtId="168" fontId="70" fillId="12" borderId="8" xfId="1" applyNumberFormat="1" applyFont="1" applyFill="1" applyBorder="1" applyAlignment="1">
      <alignment horizontal="center" vertical="center"/>
    </xf>
    <xf numFmtId="168" fontId="73" fillId="10" borderId="8" xfId="1" applyNumberFormat="1" applyFont="1" applyFill="1" applyBorder="1" applyAlignment="1">
      <alignment horizontal="center" vertical="center"/>
    </xf>
    <xf numFmtId="168" fontId="70" fillId="0" borderId="8" xfId="1" applyNumberFormat="1" applyFont="1" applyBorder="1" applyAlignment="1">
      <alignment horizontal="center" vertical="center"/>
    </xf>
    <xf numFmtId="168" fontId="75" fillId="7" borderId="8" xfId="1" applyNumberFormat="1" applyFont="1" applyFill="1" applyBorder="1" applyAlignment="1">
      <alignment horizontal="center" vertical="center"/>
    </xf>
    <xf numFmtId="165" fontId="44" fillId="14" borderId="8" xfId="11" applyFont="1" applyFill="1" applyBorder="1" applyAlignment="1">
      <alignment vertical="center" wrapText="1"/>
    </xf>
    <xf numFmtId="2" fontId="25" fillId="0" borderId="0" xfId="0" applyNumberFormat="1" applyFont="1" applyAlignment="1">
      <alignment vertical="top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71" fontId="0" fillId="0" borderId="0" xfId="0" applyNumberFormat="1"/>
    <xf numFmtId="174" fontId="0" fillId="0" borderId="0" xfId="0" applyNumberFormat="1"/>
    <xf numFmtId="0" fontId="77" fillId="0" borderId="0" xfId="0" applyFont="1" applyAlignment="1">
      <alignment wrapText="1"/>
    </xf>
    <xf numFmtId="0" fontId="16" fillId="0" borderId="0" xfId="0" applyFont="1"/>
    <xf numFmtId="49" fontId="20" fillId="14" borderId="16" xfId="1" applyNumberFormat="1" applyFont="1" applyFill="1" applyBorder="1" applyAlignment="1">
      <alignment horizontal="center" vertical="center" wrapText="1"/>
    </xf>
    <xf numFmtId="166" fontId="55" fillId="14" borderId="8" xfId="1" applyNumberFormat="1" applyFont="1" applyFill="1" applyBorder="1" applyAlignment="1">
      <alignment horizontal="center" vertical="center"/>
    </xf>
    <xf numFmtId="0" fontId="11" fillId="15" borderId="8" xfId="1" applyFont="1" applyFill="1" applyBorder="1" applyAlignment="1">
      <alignment horizontal="center" vertical="center"/>
    </xf>
    <xf numFmtId="166" fontId="55" fillId="16" borderId="8" xfId="1" applyNumberFormat="1" applyFont="1" applyFill="1" applyBorder="1" applyAlignment="1">
      <alignment horizontal="center" vertical="center"/>
    </xf>
    <xf numFmtId="168" fontId="66" fillId="16" borderId="8" xfId="1" applyNumberFormat="1" applyFont="1" applyFill="1" applyBorder="1" applyAlignment="1">
      <alignment horizontal="center" vertical="center"/>
    </xf>
    <xf numFmtId="168" fontId="67" fillId="16" borderId="8" xfId="1" applyNumberFormat="1" applyFont="1" applyFill="1" applyBorder="1" applyAlignment="1">
      <alignment horizontal="center" vertical="center"/>
    </xf>
    <xf numFmtId="0" fontId="11" fillId="25" borderId="8" xfId="0" applyFont="1" applyFill="1" applyBorder="1" applyAlignment="1">
      <alignment horizontal="center" vertical="center"/>
    </xf>
    <xf numFmtId="168" fontId="59" fillId="22" borderId="35" xfId="3" applyNumberFormat="1" applyFont="1" applyFill="1" applyBorder="1" applyAlignment="1">
      <alignment horizontal="center" vertical="center"/>
    </xf>
    <xf numFmtId="171" fontId="20" fillId="26" borderId="8" xfId="1" applyNumberFormat="1" applyFont="1" applyFill="1" applyBorder="1" applyAlignment="1">
      <alignment horizontal="center" vertical="center"/>
    </xf>
    <xf numFmtId="168" fontId="57" fillId="14" borderId="8" xfId="1" applyNumberFormat="1" applyFont="1" applyFill="1" applyBorder="1" applyAlignment="1">
      <alignment horizontal="center" vertical="center"/>
    </xf>
    <xf numFmtId="168" fontId="55" fillId="2" borderId="8" xfId="1" applyNumberFormat="1" applyFont="1" applyFill="1" applyBorder="1" applyAlignment="1">
      <alignment horizontal="center" vertical="center" wrapText="1"/>
    </xf>
    <xf numFmtId="168" fontId="55" fillId="17" borderId="8" xfId="1" applyNumberFormat="1" applyFont="1" applyFill="1" applyBorder="1" applyAlignment="1">
      <alignment horizontal="center" vertical="center"/>
    </xf>
    <xf numFmtId="0" fontId="55" fillId="15" borderId="21" xfId="1" applyFont="1" applyFill="1" applyBorder="1" applyAlignment="1">
      <alignment horizontal="center" vertical="center"/>
    </xf>
    <xf numFmtId="0" fontId="55" fillId="15" borderId="8" xfId="1" applyFont="1" applyFill="1" applyBorder="1" applyAlignment="1">
      <alignment horizontal="center" vertical="center"/>
    </xf>
    <xf numFmtId="168" fontId="58" fillId="14" borderId="8" xfId="1" applyNumberFormat="1" applyFont="1" applyFill="1" applyBorder="1" applyAlignment="1">
      <alignment horizontal="center" vertical="center"/>
    </xf>
    <xf numFmtId="172" fontId="58" fillId="14" borderId="8" xfId="17" applyFont="1" applyFill="1" applyBorder="1" applyAlignment="1">
      <alignment vertical="center" wrapText="1"/>
    </xf>
    <xf numFmtId="168" fontId="55" fillId="0" borderId="8" xfId="1" applyNumberFormat="1" applyFont="1" applyBorder="1" applyAlignment="1">
      <alignment horizontal="center" vertical="center"/>
    </xf>
    <xf numFmtId="168" fontId="78" fillId="27" borderId="8" xfId="1" applyNumberFormat="1" applyFont="1" applyFill="1" applyBorder="1" applyAlignment="1">
      <alignment horizontal="center" vertical="center"/>
    </xf>
    <xf numFmtId="166" fontId="55" fillId="14" borderId="8" xfId="10" applyNumberFormat="1" applyFont="1" applyFill="1" applyBorder="1" applyAlignment="1">
      <alignment horizontal="center" vertical="center"/>
    </xf>
    <xf numFmtId="166" fontId="57" fillId="14" borderId="8" xfId="1" applyNumberFormat="1" applyFont="1" applyFill="1" applyBorder="1" applyAlignment="1">
      <alignment horizontal="center" vertical="center"/>
    </xf>
    <xf numFmtId="0" fontId="55" fillId="18" borderId="0" xfId="4" applyFont="1" applyFill="1" applyBorder="1" applyAlignment="1" applyProtection="1"/>
    <xf numFmtId="0" fontId="55" fillId="0" borderId="0" xfId="4" applyFont="1" applyBorder="1" applyAlignment="1" applyProtection="1">
      <alignment horizontal="left" vertical="center" wrapText="1"/>
    </xf>
    <xf numFmtId="49" fontId="20" fillId="18" borderId="8" xfId="4" applyNumberFormat="1" applyFont="1" applyFill="1" applyBorder="1" applyAlignment="1" applyProtection="1">
      <alignment horizontal="center" vertical="center" wrapText="1"/>
    </xf>
    <xf numFmtId="166" fontId="55" fillId="18" borderId="8" xfId="4" applyNumberFormat="1" applyFont="1" applyFill="1" applyBorder="1" applyAlignment="1" applyProtection="1">
      <alignment horizontal="center" vertical="center"/>
    </xf>
    <xf numFmtId="166" fontId="55" fillId="28" borderId="8" xfId="4" applyNumberFormat="1" applyFont="1" applyFill="1" applyBorder="1" applyAlignment="1" applyProtection="1">
      <alignment horizontal="center" vertical="center"/>
    </xf>
    <xf numFmtId="171" fontId="66" fillId="28" borderId="8" xfId="4" applyNumberFormat="1" applyFont="1" applyFill="1" applyBorder="1" applyAlignment="1" applyProtection="1">
      <alignment horizontal="center" vertical="center"/>
    </xf>
    <xf numFmtId="171" fontId="67" fillId="28" borderId="8" xfId="4" applyNumberFormat="1" applyFont="1" applyFill="1" applyBorder="1" applyAlignment="1" applyProtection="1">
      <alignment horizontal="center" vertical="center"/>
    </xf>
    <xf numFmtId="0" fontId="11" fillId="29" borderId="8" xfId="4" applyFont="1" applyFill="1" applyBorder="1" applyAlignment="1" applyProtection="1">
      <alignment horizontal="center" vertical="center"/>
    </xf>
    <xf numFmtId="171" fontId="57" fillId="18" borderId="8" xfId="4" applyNumberFormat="1" applyFont="1" applyFill="1" applyBorder="1" applyAlignment="1" applyProtection="1">
      <alignment horizontal="center" vertical="center"/>
    </xf>
    <xf numFmtId="171" fontId="20" fillId="30" borderId="8" xfId="4" applyNumberFormat="1" applyFont="1" applyFill="1" applyBorder="1" applyAlignment="1" applyProtection="1">
      <alignment horizontal="center" vertical="center" wrapText="1"/>
    </xf>
    <xf numFmtId="0" fontId="55" fillId="29" borderId="8" xfId="4" applyFont="1" applyFill="1" applyBorder="1" applyAlignment="1" applyProtection="1">
      <alignment horizontal="center" vertical="center"/>
    </xf>
    <xf numFmtId="171" fontId="55" fillId="0" borderId="8" xfId="4" applyNumberFormat="1" applyFont="1" applyBorder="1" applyAlignment="1" applyProtection="1">
      <alignment horizontal="center" vertical="center"/>
    </xf>
    <xf numFmtId="171" fontId="78" fillId="31" borderId="8" xfId="4" applyNumberFormat="1" applyFont="1" applyFill="1" applyBorder="1" applyAlignment="1" applyProtection="1">
      <alignment horizontal="center" vertical="center"/>
    </xf>
    <xf numFmtId="166" fontId="57" fillId="18" borderId="8" xfId="4" applyNumberFormat="1" applyFont="1" applyFill="1" applyBorder="1" applyAlignment="1" applyProtection="1">
      <alignment horizontal="center" vertical="center"/>
    </xf>
    <xf numFmtId="166" fontId="79" fillId="0" borderId="39" xfId="4" applyNumberFormat="1" applyFont="1" applyBorder="1" applyAlignment="1" applyProtection="1">
      <alignment horizontal="center" vertical="center"/>
    </xf>
    <xf numFmtId="166" fontId="55" fillId="0" borderId="39" xfId="0" applyNumberFormat="1" applyFont="1" applyBorder="1" applyAlignment="1">
      <alignment horizontal="center" vertical="center"/>
    </xf>
    <xf numFmtId="166" fontId="79" fillId="0" borderId="39" xfId="0" applyNumberFormat="1" applyFont="1" applyBorder="1" applyAlignment="1">
      <alignment horizontal="center" vertical="center"/>
    </xf>
    <xf numFmtId="0" fontId="55" fillId="0" borderId="39" xfId="0" applyFont="1" applyBorder="1"/>
    <xf numFmtId="2" fontId="56" fillId="0" borderId="39" xfId="0" applyNumberFormat="1" applyFont="1" applyBorder="1" applyAlignment="1">
      <alignment horizontal="center" vertical="center"/>
    </xf>
    <xf numFmtId="0" fontId="55" fillId="0" borderId="0" xfId="4" applyFont="1" applyBorder="1" applyAlignment="1" applyProtection="1"/>
    <xf numFmtId="168" fontId="11" fillId="0" borderId="0" xfId="1" applyNumberFormat="1" applyFont="1" applyAlignment="1">
      <alignment horizontal="center" vertical="center"/>
    </xf>
    <xf numFmtId="0" fontId="80" fillId="0" borderId="0" xfId="0" applyFont="1"/>
    <xf numFmtId="0" fontId="81" fillId="0" borderId="0" xfId="0" applyFont="1"/>
    <xf numFmtId="166" fontId="81" fillId="0" borderId="0" xfId="0" applyNumberFormat="1" applyFont="1"/>
    <xf numFmtId="0" fontId="6" fillId="0" borderId="40" xfId="0" applyFont="1" applyBorder="1" applyAlignment="1">
      <alignment horizontal="center"/>
    </xf>
    <xf numFmtId="0" fontId="11" fillId="0" borderId="40" xfId="1" applyFont="1" applyBorder="1" applyAlignment="1">
      <alignment horizontal="center" vertical="center" wrapText="1"/>
    </xf>
    <xf numFmtId="166" fontId="41" fillId="10" borderId="40" xfId="1" applyNumberFormat="1" applyFont="1" applyFill="1" applyBorder="1" applyAlignment="1">
      <alignment horizontal="center" vertical="center"/>
    </xf>
    <xf numFmtId="16" fontId="16" fillId="0" borderId="40" xfId="14" applyNumberFormat="1" applyFont="1" applyBorder="1" applyAlignment="1">
      <alignment horizontal="center" vertical="center" wrapText="1"/>
    </xf>
    <xf numFmtId="0" fontId="20" fillId="0" borderId="40" xfId="0" applyFont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11" fillId="18" borderId="43" xfId="4" applyFont="1" applyFill="1" applyBorder="1" applyAlignment="1" applyProtection="1">
      <alignment horizontal="center" vertical="center"/>
    </xf>
    <xf numFmtId="168" fontId="11" fillId="0" borderId="44" xfId="1" applyNumberFormat="1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11" fillId="0" borderId="26" xfId="1" applyFont="1" applyBorder="1" applyAlignment="1">
      <alignment horizontal="center" vertical="center" wrapText="1"/>
    </xf>
    <xf numFmtId="166" fontId="41" fillId="10" borderId="26" xfId="1" applyNumberFormat="1" applyFont="1" applyFill="1" applyBorder="1" applyAlignment="1">
      <alignment horizontal="center" vertical="center"/>
    </xf>
    <xf numFmtId="16" fontId="16" fillId="0" borderId="26" xfId="14" applyNumberFormat="1" applyFont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 wrapText="1"/>
    </xf>
    <xf numFmtId="168" fontId="11" fillId="0" borderId="27" xfId="1" applyNumberFormat="1" applyFont="1" applyBorder="1" applyAlignment="1">
      <alignment horizontal="center" vertical="center" wrapText="1"/>
    </xf>
    <xf numFmtId="0" fontId="82" fillId="0" borderId="0" xfId="0" applyFont="1"/>
    <xf numFmtId="168" fontId="19" fillId="0" borderId="0" xfId="0" applyNumberFormat="1" applyFont="1" applyAlignment="1">
      <alignment horizontal="center" vertical="center"/>
    </xf>
    <xf numFmtId="49" fontId="19" fillId="8" borderId="8" xfId="1" applyNumberFormat="1" applyFont="1" applyFill="1" applyBorder="1" applyAlignment="1">
      <alignment horizontal="center" vertical="center" wrapText="1"/>
    </xf>
    <xf numFmtId="166" fontId="31" fillId="8" borderId="8" xfId="1" applyNumberFormat="1" applyFont="1" applyFill="1" applyBorder="1" applyAlignment="1">
      <alignment horizontal="center" vertical="center"/>
    </xf>
    <xf numFmtId="0" fontId="23" fillId="9" borderId="8" xfId="1" applyFont="1" applyFill="1" applyBorder="1" applyAlignment="1">
      <alignment horizontal="center" vertical="center"/>
    </xf>
    <xf numFmtId="166" fontId="31" fillId="13" borderId="8" xfId="1" applyNumberFormat="1" applyFont="1" applyFill="1" applyBorder="1" applyAlignment="1">
      <alignment horizontal="center" vertical="center"/>
    </xf>
    <xf numFmtId="168" fontId="32" fillId="13" borderId="8" xfId="1" applyNumberFormat="1" applyFont="1" applyFill="1" applyBorder="1" applyAlignment="1">
      <alignment horizontal="center" vertical="center"/>
    </xf>
    <xf numFmtId="168" fontId="33" fillId="13" borderId="8" xfId="1" applyNumberFormat="1" applyFont="1" applyFill="1" applyBorder="1" applyAlignment="1">
      <alignment horizontal="center" vertical="center"/>
    </xf>
    <xf numFmtId="168" fontId="34" fillId="8" borderId="8" xfId="1" applyNumberFormat="1" applyFont="1" applyFill="1" applyBorder="1" applyAlignment="1">
      <alignment horizontal="center" vertical="center"/>
    </xf>
    <xf numFmtId="168" fontId="19" fillId="8" borderId="8" xfId="1" applyNumberFormat="1" applyFont="1" applyFill="1" applyBorder="1" applyAlignment="1">
      <alignment horizontal="center" vertical="center" wrapText="1"/>
    </xf>
    <xf numFmtId="168" fontId="31" fillId="32" borderId="8" xfId="1" applyNumberFormat="1" applyFont="1" applyFill="1" applyBorder="1" applyAlignment="1">
      <alignment horizontal="center" vertical="center"/>
    </xf>
    <xf numFmtId="0" fontId="31" fillId="9" borderId="8" xfId="1" applyFont="1" applyFill="1" applyBorder="1" applyAlignment="1">
      <alignment horizontal="center" vertical="center"/>
    </xf>
    <xf numFmtId="168" fontId="35" fillId="8" borderId="8" xfId="1" applyNumberFormat="1" applyFont="1" applyFill="1" applyBorder="1" applyAlignment="1">
      <alignment horizontal="center" vertical="center"/>
    </xf>
    <xf numFmtId="168" fontId="31" fillId="9" borderId="8" xfId="1" applyNumberFormat="1" applyFont="1" applyFill="1" applyBorder="1" applyAlignment="1">
      <alignment horizontal="center" vertical="center"/>
    </xf>
    <xf numFmtId="168" fontId="31" fillId="0" borderId="8" xfId="1" applyNumberFormat="1" applyFont="1" applyBorder="1" applyAlignment="1">
      <alignment horizontal="center" vertical="center"/>
    </xf>
    <xf numFmtId="168" fontId="83" fillId="33" borderId="8" xfId="1" applyNumberFormat="1" applyFont="1" applyFill="1" applyBorder="1" applyAlignment="1">
      <alignment horizontal="center" vertical="center"/>
    </xf>
    <xf numFmtId="166" fontId="31" fillId="8" borderId="8" xfId="13" applyNumberFormat="1" applyFont="1" applyFill="1" applyBorder="1" applyAlignment="1">
      <alignment horizontal="center" vertical="center"/>
    </xf>
    <xf numFmtId="166" fontId="34" fillId="8" borderId="8" xfId="1" applyNumberFormat="1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wrapText="1"/>
    </xf>
    <xf numFmtId="0" fontId="59" fillId="8" borderId="26" xfId="1" applyFont="1" applyFill="1" applyBorder="1" applyAlignment="1">
      <alignment horizontal="center" vertical="center" wrapText="1"/>
    </xf>
    <xf numFmtId="0" fontId="59" fillId="0" borderId="26" xfId="13" applyFont="1" applyBorder="1" applyAlignment="1">
      <alignment horizontal="left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18" fillId="10" borderId="4" xfId="15" applyFont="1" applyFill="1" applyBorder="1" applyAlignment="1">
      <alignment horizontal="center" wrapText="1"/>
    </xf>
    <xf numFmtId="0" fontId="18" fillId="10" borderId="8" xfId="15" applyFont="1" applyFill="1" applyBorder="1" applyAlignment="1">
      <alignment horizontal="center" wrapText="1"/>
    </xf>
    <xf numFmtId="168" fontId="11" fillId="0" borderId="26" xfId="1" applyNumberFormat="1" applyFont="1" applyBorder="1" applyAlignment="1">
      <alignment horizontal="center" vertical="center" wrapText="1"/>
    </xf>
    <xf numFmtId="168" fontId="11" fillId="0" borderId="27" xfId="0" applyNumberFormat="1" applyFont="1" applyBorder="1" applyAlignment="1">
      <alignment horizontal="center" vertical="center" wrapText="1"/>
    </xf>
    <xf numFmtId="171" fontId="11" fillId="18" borderId="45" xfId="4" applyNumberFormat="1" applyFont="1" applyFill="1" applyBorder="1" applyAlignment="1" applyProtection="1">
      <alignment horizontal="center" vertical="center" wrapText="1"/>
    </xf>
    <xf numFmtId="171" fontId="11" fillId="18" borderId="3" xfId="4" applyNumberFormat="1" applyFont="1" applyFill="1" applyBorder="1" applyAlignment="1" applyProtection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59" fillId="0" borderId="10" xfId="0" applyFont="1" applyBorder="1"/>
    <xf numFmtId="0" fontId="11" fillId="10" borderId="4" xfId="0" applyFont="1" applyFill="1" applyBorder="1" applyAlignment="1">
      <alignment horizontal="center" vertical="center" wrapText="1"/>
    </xf>
    <xf numFmtId="0" fontId="59" fillId="0" borderId="12" xfId="0" applyFont="1" applyBorder="1"/>
    <xf numFmtId="0" fontId="82" fillId="0" borderId="25" xfId="0" applyFont="1" applyBorder="1"/>
    <xf numFmtId="0" fontId="11" fillId="0" borderId="26" xfId="1" applyFont="1" applyBorder="1" applyAlignment="1">
      <alignment horizontal="center" vertical="center"/>
    </xf>
    <xf numFmtId="0" fontId="20" fillId="0" borderId="0" xfId="1" applyFont="1"/>
    <xf numFmtId="0" fontId="20" fillId="0" borderId="0" xfId="2" applyFont="1"/>
    <xf numFmtId="0" fontId="5" fillId="3" borderId="19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78" fillId="4" borderId="5" xfId="1" applyFont="1" applyFill="1" applyBorder="1" applyAlignment="1">
      <alignment horizontal="center" vertical="center" wrapText="1"/>
    </xf>
    <xf numFmtId="0" fontId="78" fillId="4" borderId="6" xfId="1" applyFont="1" applyFill="1" applyBorder="1" applyAlignment="1">
      <alignment horizontal="center" vertical="center" wrapText="1"/>
    </xf>
    <xf numFmtId="0" fontId="78" fillId="4" borderId="7" xfId="1" applyFont="1" applyFill="1" applyBorder="1" applyAlignment="1">
      <alignment horizontal="center" vertical="center" wrapText="1"/>
    </xf>
    <xf numFmtId="0" fontId="11" fillId="5" borderId="5" xfId="1" applyFont="1" applyFill="1" applyBorder="1" applyAlignment="1">
      <alignment horizontal="center" vertical="center" wrapText="1"/>
    </xf>
    <xf numFmtId="0" fontId="11" fillId="5" borderId="6" xfId="1" applyFont="1" applyFill="1" applyBorder="1" applyAlignment="1">
      <alignment horizontal="center" vertical="center" wrapText="1"/>
    </xf>
    <xf numFmtId="1" fontId="11" fillId="5" borderId="6" xfId="1" applyNumberFormat="1" applyFont="1" applyFill="1" applyBorder="1" applyAlignment="1">
      <alignment horizontal="center" vertical="center" wrapText="1"/>
    </xf>
    <xf numFmtId="0" fontId="11" fillId="5" borderId="7" xfId="1" applyFont="1" applyFill="1" applyBorder="1" applyAlignment="1">
      <alignment horizontal="center" vertical="center" wrapText="1"/>
    </xf>
    <xf numFmtId="0" fontId="11" fillId="6" borderId="5" xfId="1" applyFont="1" applyFill="1" applyBorder="1" applyAlignment="1">
      <alignment horizontal="center" vertical="center" wrapText="1"/>
    </xf>
    <xf numFmtId="0" fontId="11" fillId="6" borderId="6" xfId="1" applyFont="1" applyFill="1" applyBorder="1" applyAlignment="1">
      <alignment horizontal="center" vertical="center" wrapText="1"/>
    </xf>
    <xf numFmtId="0" fontId="11" fillId="6" borderId="7" xfId="1" applyFont="1" applyFill="1" applyBorder="1" applyAlignment="1">
      <alignment horizontal="center" vertical="center" wrapText="1"/>
    </xf>
    <xf numFmtId="0" fontId="78" fillId="7" borderId="5" xfId="1" applyFont="1" applyFill="1" applyBorder="1" applyAlignment="1">
      <alignment horizontal="center" vertical="center" wrapText="1"/>
    </xf>
    <xf numFmtId="0" fontId="64" fillId="7" borderId="6" xfId="1" applyFont="1" applyFill="1" applyBorder="1" applyAlignment="1">
      <alignment horizontal="center" vertical="center" wrapText="1"/>
    </xf>
    <xf numFmtId="9" fontId="64" fillId="7" borderId="7" xfId="1" applyNumberFormat="1" applyFont="1" applyFill="1" applyBorder="1" applyAlignment="1">
      <alignment horizontal="center" vertical="center"/>
    </xf>
    <xf numFmtId="166" fontId="41" fillId="10" borderId="4" xfId="1" applyNumberFormat="1" applyFont="1" applyFill="1" applyBorder="1" applyAlignment="1">
      <alignment horizontal="center" vertical="center"/>
    </xf>
    <xf numFmtId="16" fontId="16" fillId="0" borderId="4" xfId="14" applyNumberFormat="1" applyFont="1" applyBorder="1" applyAlignment="1">
      <alignment horizontal="center" vertical="center" wrapText="1"/>
    </xf>
    <xf numFmtId="168" fontId="11" fillId="0" borderId="11" xfId="1" applyNumberFormat="1" applyFont="1" applyBorder="1" applyAlignment="1">
      <alignment horizontal="center" vertical="center" wrapText="1"/>
    </xf>
    <xf numFmtId="0" fontId="11" fillId="18" borderId="10" xfId="4" applyFont="1" applyFill="1" applyBorder="1" applyAlignment="1" applyProtection="1">
      <alignment horizontal="center" vertical="center"/>
    </xf>
    <xf numFmtId="0" fontId="6" fillId="0" borderId="18" xfId="0" applyFont="1" applyBorder="1" applyAlignment="1">
      <alignment horizontal="center"/>
    </xf>
    <xf numFmtId="0" fontId="20" fillId="0" borderId="18" xfId="0" applyFont="1" applyBorder="1" applyAlignment="1">
      <alignment horizontal="left" vertical="center" wrapText="1"/>
    </xf>
    <xf numFmtId="0" fontId="11" fillId="0" borderId="41" xfId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20" fillId="0" borderId="4" xfId="0" applyFont="1" applyBorder="1" applyAlignment="1">
      <alignment horizontal="left" vertical="center" wrapText="1"/>
    </xf>
    <xf numFmtId="168" fontId="11" fillId="0" borderId="0" xfId="1" applyNumberFormat="1" applyFont="1" applyAlignment="1">
      <alignment horizontal="center" vertical="center" wrapText="1"/>
    </xf>
    <xf numFmtId="166" fontId="41" fillId="10" borderId="0" xfId="1" applyNumberFormat="1" applyFont="1" applyFill="1" applyAlignment="1">
      <alignment horizontal="center" vertical="center"/>
    </xf>
    <xf numFmtId="0" fontId="16" fillId="10" borderId="0" xfId="0" applyFont="1" applyFill="1"/>
    <xf numFmtId="0" fontId="11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/>
    </xf>
    <xf numFmtId="0" fontId="11" fillId="10" borderId="0" xfId="1" applyFont="1" applyFill="1" applyAlignment="1">
      <alignment horizontal="center" vertical="center" wrapText="1"/>
    </xf>
    <xf numFmtId="16" fontId="16" fillId="10" borderId="0" xfId="14" applyNumberFormat="1" applyFont="1" applyFill="1" applyAlignment="1">
      <alignment horizontal="center" vertical="center" wrapText="1"/>
    </xf>
    <xf numFmtId="168" fontId="11" fillId="10" borderId="0" xfId="1" applyNumberFormat="1" applyFont="1" applyFill="1" applyAlignment="1">
      <alignment horizontal="center" vertical="center" wrapText="1"/>
    </xf>
    <xf numFmtId="168" fontId="11" fillId="10" borderId="0" xfId="1" applyNumberFormat="1" applyFont="1" applyFill="1" applyAlignment="1">
      <alignment horizontal="center" vertical="center"/>
    </xf>
    <xf numFmtId="166" fontId="55" fillId="10" borderId="0" xfId="1" applyNumberFormat="1" applyFont="1" applyFill="1" applyAlignment="1">
      <alignment horizontal="center" vertical="center"/>
    </xf>
    <xf numFmtId="0" fontId="11" fillId="10" borderId="0" xfId="1" applyFont="1" applyFill="1" applyAlignment="1">
      <alignment horizontal="center" vertical="center"/>
    </xf>
    <xf numFmtId="168" fontId="66" fillId="10" borderId="0" xfId="1" applyNumberFormat="1" applyFont="1" applyFill="1" applyAlignment="1">
      <alignment horizontal="center" vertical="center"/>
    </xf>
    <xf numFmtId="168" fontId="67" fillId="10" borderId="0" xfId="1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68" fontId="59" fillId="90" borderId="0" xfId="3" applyNumberFormat="1" applyFont="1" applyFill="1" applyAlignment="1">
      <alignment horizontal="center" vertical="center"/>
    </xf>
    <xf numFmtId="171" fontId="20" fillId="10" borderId="0" xfId="1" applyNumberFormat="1" applyFont="1" applyFill="1" applyAlignment="1">
      <alignment horizontal="center" vertical="center"/>
    </xf>
    <xf numFmtId="168" fontId="57" fillId="10" borderId="0" xfId="1" applyNumberFormat="1" applyFont="1" applyFill="1" applyAlignment="1">
      <alignment horizontal="center" vertical="center"/>
    </xf>
    <xf numFmtId="168" fontId="55" fillId="91" borderId="0" xfId="1" applyNumberFormat="1" applyFont="1" applyFill="1" applyAlignment="1">
      <alignment horizontal="center" vertical="center" wrapText="1"/>
    </xf>
    <xf numFmtId="168" fontId="55" fillId="10" borderId="0" xfId="1" applyNumberFormat="1" applyFont="1" applyFill="1" applyAlignment="1">
      <alignment horizontal="center" vertical="center"/>
    </xf>
    <xf numFmtId="0" fontId="55" fillId="10" borderId="0" xfId="1" applyFont="1" applyFill="1" applyAlignment="1">
      <alignment horizontal="center" vertical="center"/>
    </xf>
    <xf numFmtId="168" fontId="58" fillId="10" borderId="0" xfId="1" applyNumberFormat="1" applyFont="1" applyFill="1" applyAlignment="1">
      <alignment horizontal="center" vertical="center"/>
    </xf>
    <xf numFmtId="172" fontId="58" fillId="10" borderId="0" xfId="17" applyFont="1" applyFill="1" applyBorder="1" applyAlignment="1">
      <alignment vertical="center" wrapText="1"/>
    </xf>
    <xf numFmtId="168" fontId="78" fillId="10" borderId="0" xfId="1" applyNumberFormat="1" applyFont="1" applyFill="1" applyAlignment="1">
      <alignment horizontal="center" vertical="center"/>
    </xf>
    <xf numFmtId="166" fontId="55" fillId="10" borderId="0" xfId="10" applyNumberFormat="1" applyFont="1" applyFill="1" applyAlignment="1">
      <alignment horizontal="center" vertical="center"/>
    </xf>
    <xf numFmtId="166" fontId="57" fillId="10" borderId="0" xfId="1" applyNumberFormat="1" applyFont="1" applyFill="1" applyAlignment="1">
      <alignment horizontal="center" vertical="center"/>
    </xf>
    <xf numFmtId="0" fontId="129" fillId="10" borderId="0" xfId="1" applyFont="1" applyFill="1" applyAlignment="1">
      <alignment horizontal="left" vertical="center"/>
    </xf>
    <xf numFmtId="0" fontId="11" fillId="0" borderId="58" xfId="1" applyFont="1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11" fillId="0" borderId="59" xfId="1" applyFont="1" applyBorder="1" applyAlignment="1">
      <alignment horizontal="center" vertical="center" wrapText="1"/>
    </xf>
    <xf numFmtId="166" fontId="41" fillId="10" borderId="59" xfId="1" applyNumberFormat="1" applyFont="1" applyFill="1" applyBorder="1" applyAlignment="1">
      <alignment horizontal="center" vertical="center"/>
    </xf>
    <xf numFmtId="16" fontId="16" fillId="0" borderId="59" xfId="14" applyNumberFormat="1" applyFont="1" applyBorder="1" applyAlignment="1">
      <alignment horizontal="center" vertical="center" wrapText="1"/>
    </xf>
    <xf numFmtId="0" fontId="53" fillId="0" borderId="59" xfId="0" applyFont="1" applyBorder="1" applyAlignment="1">
      <alignment horizontal="left" vertical="center" wrapText="1"/>
    </xf>
    <xf numFmtId="168" fontId="11" fillId="0" borderId="60" xfId="1" applyNumberFormat="1" applyFont="1" applyBorder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15" fillId="10" borderId="0" xfId="547" applyFill="1"/>
    <xf numFmtId="0" fontId="29" fillId="18" borderId="0" xfId="329" applyFont="1" applyFill="1"/>
    <xf numFmtId="49" fontId="1" fillId="18" borderId="0" xfId="1" applyNumberFormat="1" applyFill="1" applyAlignment="1">
      <alignment vertical="center" wrapText="1"/>
    </xf>
    <xf numFmtId="0" fontId="29" fillId="18" borderId="0" xfId="329" applyFont="1" applyFill="1" applyAlignment="1">
      <alignment vertical="center"/>
    </xf>
    <xf numFmtId="0" fontId="29" fillId="18" borderId="0" xfId="329" applyFont="1" applyFill="1" applyAlignment="1">
      <alignment wrapText="1"/>
    </xf>
    <xf numFmtId="0" fontId="15" fillId="0" borderId="0" xfId="547"/>
    <xf numFmtId="0" fontId="131" fillId="10" borderId="0" xfId="548" applyFont="1" applyFill="1"/>
    <xf numFmtId="0" fontId="20" fillId="10" borderId="0" xfId="1" applyFont="1" applyFill="1"/>
    <xf numFmtId="0" fontId="78" fillId="4" borderId="8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31" fillId="0" borderId="0" xfId="548" applyFont="1"/>
    <xf numFmtId="0" fontId="20" fillId="92" borderId="0" xfId="1" applyFont="1" applyFill="1" applyAlignment="1">
      <alignment horizontal="center" vertical="center" wrapText="1"/>
    </xf>
    <xf numFmtId="168" fontId="34" fillId="10" borderId="0" xfId="1" applyNumberFormat="1" applyFont="1" applyFill="1" applyAlignment="1">
      <alignment horizontal="center" vertical="center" wrapText="1"/>
    </xf>
    <xf numFmtId="49" fontId="55" fillId="10" borderId="8" xfId="1" applyNumberFormat="1" applyFont="1" applyFill="1" applyBorder="1" applyAlignment="1">
      <alignment horizontal="center" vertical="center" wrapText="1"/>
    </xf>
    <xf numFmtId="166" fontId="55" fillId="14" borderId="40" xfId="1" applyNumberFormat="1" applyFont="1" applyFill="1" applyBorder="1" applyAlignment="1">
      <alignment horizontal="center" vertical="center"/>
    </xf>
    <xf numFmtId="0" fontId="11" fillId="11" borderId="8" xfId="1" applyFont="1" applyFill="1" applyBorder="1" applyAlignment="1">
      <alignment horizontal="center" vertical="center"/>
    </xf>
    <xf numFmtId="166" fontId="55" fillId="93" borderId="8" xfId="1" applyNumberFormat="1" applyFont="1" applyFill="1" applyBorder="1" applyAlignment="1">
      <alignment horizontal="center" vertical="center"/>
    </xf>
    <xf numFmtId="168" fontId="56" fillId="93" borderId="8" xfId="1" applyNumberFormat="1" applyFont="1" applyFill="1" applyBorder="1" applyAlignment="1">
      <alignment horizontal="center" vertical="center"/>
    </xf>
    <xf numFmtId="168" fontId="55" fillId="93" borderId="8" xfId="1" applyNumberFormat="1" applyFont="1" applyFill="1" applyBorder="1" applyAlignment="1">
      <alignment horizontal="center" vertical="center"/>
    </xf>
    <xf numFmtId="0" fontId="56" fillId="24" borderId="8" xfId="1" applyFont="1" applyFill="1" applyBorder="1" applyAlignment="1">
      <alignment horizontal="center" vertical="center"/>
    </xf>
    <xf numFmtId="168" fontId="20" fillId="5" borderId="8" xfId="1" applyNumberFormat="1" applyFont="1" applyFill="1" applyBorder="1" applyAlignment="1">
      <alignment horizontal="center" vertical="center"/>
    </xf>
    <xf numFmtId="168" fontId="16" fillId="10" borderId="8" xfId="1" applyNumberFormat="1" applyFont="1" applyFill="1" applyBorder="1" applyAlignment="1">
      <alignment horizontal="center" vertical="center"/>
    </xf>
    <xf numFmtId="168" fontId="57" fillId="14" borderId="8" xfId="1" applyNumberFormat="1" applyFont="1" applyFill="1" applyBorder="1" applyAlignment="1">
      <alignment horizontal="center" vertical="center" wrapText="1"/>
    </xf>
    <xf numFmtId="168" fontId="20" fillId="10" borderId="8" xfId="1" applyNumberFormat="1" applyFont="1" applyFill="1" applyBorder="1" applyAlignment="1">
      <alignment horizontal="center" vertical="center" wrapText="1"/>
    </xf>
    <xf numFmtId="168" fontId="55" fillId="94" borderId="8" xfId="1" applyNumberFormat="1" applyFont="1" applyFill="1" applyBorder="1" applyAlignment="1">
      <alignment horizontal="center" vertical="center" wrapText="1"/>
    </xf>
    <xf numFmtId="0" fontId="55" fillId="95" borderId="8" xfId="1" applyFont="1" applyFill="1" applyBorder="1" applyAlignment="1">
      <alignment horizontal="center" vertical="center"/>
    </xf>
    <xf numFmtId="168" fontId="18" fillId="2" borderId="8" xfId="1" applyNumberFormat="1" applyFont="1" applyFill="1" applyBorder="1" applyAlignment="1">
      <alignment horizontal="center" vertical="center"/>
    </xf>
    <xf numFmtId="168" fontId="16" fillId="12" borderId="8" xfId="1" applyNumberFormat="1" applyFont="1" applyFill="1" applyBorder="1" applyAlignment="1">
      <alignment horizontal="center" vertical="center"/>
    </xf>
    <xf numFmtId="168" fontId="18" fillId="10" borderId="8" xfId="1" applyNumberFormat="1" applyFont="1" applyFill="1" applyBorder="1" applyAlignment="1">
      <alignment horizontal="center" vertical="center"/>
    </xf>
    <xf numFmtId="166" fontId="55" fillId="2" borderId="8" xfId="550" applyNumberFormat="1" applyFont="1" applyFill="1" applyBorder="1" applyAlignment="1">
      <alignment horizontal="center" vertical="center"/>
    </xf>
    <xf numFmtId="166" fontId="56" fillId="2" borderId="8" xfId="1" applyNumberFormat="1" applyFont="1" applyFill="1" applyBorder="1" applyAlignment="1">
      <alignment horizontal="center" vertical="center"/>
    </xf>
    <xf numFmtId="0" fontId="131" fillId="0" borderId="0" xfId="548" applyFont="1" applyAlignment="1">
      <alignment horizontal="left" vertical="top"/>
    </xf>
    <xf numFmtId="0" fontId="15" fillId="0" borderId="0" xfId="452"/>
    <xf numFmtId="168" fontId="133" fillId="27" borderId="8" xfId="1" applyNumberFormat="1" applyFont="1" applyFill="1" applyBorder="1" applyAlignment="1">
      <alignment horizontal="center" vertical="center"/>
    </xf>
    <xf numFmtId="0" fontId="11" fillId="10" borderId="58" xfId="548" applyFont="1" applyFill="1" applyBorder="1" applyAlignment="1">
      <alignment horizontal="center" vertical="center" wrapText="1"/>
    </xf>
    <xf numFmtId="0" fontId="132" fillId="10" borderId="59" xfId="548" applyFont="1" applyFill="1" applyBorder="1" applyAlignment="1">
      <alignment horizontal="center" wrapText="1"/>
    </xf>
    <xf numFmtId="0" fontId="12" fillId="10" borderId="59" xfId="1" applyFont="1" applyFill="1" applyBorder="1" applyAlignment="1">
      <alignment horizontal="center" vertical="center" wrapText="1"/>
    </xf>
    <xf numFmtId="168" fontId="42" fillId="10" borderId="59" xfId="1" applyNumberFormat="1" applyFont="1" applyFill="1" applyBorder="1" applyAlignment="1">
      <alignment horizontal="center" vertical="center" wrapText="1"/>
    </xf>
    <xf numFmtId="0" fontId="55" fillId="10" borderId="59" xfId="1" applyFont="1" applyFill="1" applyBorder="1" applyAlignment="1">
      <alignment horizontal="center" vertical="center" wrapText="1"/>
    </xf>
    <xf numFmtId="0" fontId="43" fillId="10" borderId="59" xfId="1" applyFont="1" applyFill="1" applyBorder="1" applyAlignment="1">
      <alignment horizontal="left" vertical="center" wrapText="1"/>
    </xf>
    <xf numFmtId="168" fontId="12" fillId="10" borderId="60" xfId="1" applyNumberFormat="1" applyFont="1" applyFill="1" applyBorder="1" applyAlignment="1">
      <alignment horizontal="center" vertical="center" wrapText="1"/>
    </xf>
    <xf numFmtId="0" fontId="41" fillId="6" borderId="25" xfId="1" applyFont="1" applyFill="1" applyBorder="1" applyAlignment="1">
      <alignment horizontal="center" vertical="center" wrapText="1"/>
    </xf>
    <xf numFmtId="0" fontId="41" fillId="6" borderId="26" xfId="1" applyFont="1" applyFill="1" applyBorder="1" applyAlignment="1">
      <alignment horizontal="center" vertical="center" wrapText="1"/>
    </xf>
    <xf numFmtId="0" fontId="41" fillId="6" borderId="27" xfId="1" applyFont="1" applyFill="1" applyBorder="1" applyAlignment="1">
      <alignment horizontal="center" vertical="center" wrapText="1"/>
    </xf>
    <xf numFmtId="49" fontId="134" fillId="8" borderId="8" xfId="552" applyNumberFormat="1" applyFill="1" applyBorder="1" applyAlignment="1">
      <alignment horizontal="center" vertical="center" wrapText="1"/>
    </xf>
    <xf numFmtId="49" fontId="20" fillId="10" borderId="19" xfId="1" applyNumberFormat="1" applyFont="1" applyFill="1" applyBorder="1" applyAlignment="1">
      <alignment horizontal="center" vertical="center" wrapText="1"/>
    </xf>
    <xf numFmtId="49" fontId="20" fillId="10" borderId="21" xfId="1" applyNumberFormat="1" applyFont="1" applyFill="1" applyBorder="1" applyAlignment="1">
      <alignment horizontal="center" vertical="center" wrapText="1"/>
    </xf>
    <xf numFmtId="0" fontId="11" fillId="12" borderId="21" xfId="1" applyFont="1" applyFill="1" applyBorder="1" applyAlignment="1">
      <alignment horizontal="center" vertical="center"/>
    </xf>
    <xf numFmtId="166" fontId="16" fillId="5" borderId="21" xfId="1" applyNumberFormat="1" applyFont="1" applyFill="1" applyBorder="1" applyAlignment="1">
      <alignment horizontal="center" vertical="center"/>
    </xf>
    <xf numFmtId="168" fontId="66" fillId="5" borderId="21" xfId="1" applyNumberFormat="1" applyFont="1" applyFill="1" applyBorder="1" applyAlignment="1">
      <alignment horizontal="center" vertical="center"/>
    </xf>
    <xf numFmtId="168" fontId="67" fillId="5" borderId="21" xfId="1" applyNumberFormat="1" applyFont="1" applyFill="1" applyBorder="1" applyAlignment="1">
      <alignment horizontal="center" vertical="center"/>
    </xf>
    <xf numFmtId="168" fontId="16" fillId="11" borderId="21" xfId="1" applyNumberFormat="1" applyFont="1" applyFill="1" applyBorder="1" applyAlignment="1">
      <alignment horizontal="center" vertical="center"/>
    </xf>
    <xf numFmtId="168" fontId="6" fillId="10" borderId="21" xfId="1" applyNumberFormat="1" applyFont="1" applyFill="1" applyBorder="1" applyAlignment="1">
      <alignment horizontal="center" vertical="center"/>
    </xf>
    <xf numFmtId="168" fontId="20" fillId="10" borderId="21" xfId="1" applyNumberFormat="1" applyFont="1" applyFill="1" applyBorder="1" applyAlignment="1">
      <alignment horizontal="center" vertical="center" wrapText="1"/>
    </xf>
    <xf numFmtId="0" fontId="16" fillId="12" borderId="21" xfId="1" applyNumberFormat="1" applyFont="1" applyFill="1" applyBorder="1" applyAlignment="1">
      <alignment horizontal="center" vertical="center"/>
    </xf>
    <xf numFmtId="168" fontId="18" fillId="10" borderId="21" xfId="1" applyNumberFormat="1" applyFont="1" applyFill="1" applyBorder="1" applyAlignment="1">
      <alignment horizontal="center" vertical="center"/>
    </xf>
    <xf numFmtId="168" fontId="16" fillId="12" borderId="21" xfId="1" applyNumberFormat="1" applyFont="1" applyFill="1" applyBorder="1" applyAlignment="1">
      <alignment horizontal="center" vertical="center"/>
    </xf>
    <xf numFmtId="168" fontId="16" fillId="0" borderId="21" xfId="1" applyNumberFormat="1" applyFont="1" applyBorder="1" applyAlignment="1">
      <alignment horizontal="center" vertical="center"/>
    </xf>
    <xf numFmtId="168" fontId="64" fillId="7" borderId="21" xfId="1" applyNumberFormat="1" applyFont="1" applyFill="1" applyBorder="1" applyAlignment="1">
      <alignment horizontal="center" vertical="center"/>
    </xf>
    <xf numFmtId="166" fontId="16" fillId="10" borderId="21" xfId="6" applyNumberFormat="1" applyFont="1" applyFill="1" applyBorder="1" applyAlignment="1">
      <alignment horizontal="center" vertical="center"/>
    </xf>
    <xf numFmtId="166" fontId="6" fillId="10" borderId="22" xfId="1" applyNumberFormat="1" applyFont="1" applyFill="1" applyBorder="1" applyAlignment="1">
      <alignment horizontal="center" vertical="center"/>
    </xf>
    <xf numFmtId="0" fontId="78" fillId="4" borderId="1" xfId="1" applyFont="1" applyFill="1" applyBorder="1" applyAlignment="1">
      <alignment horizontal="center" vertical="center" wrapText="1"/>
    </xf>
    <xf numFmtId="0" fontId="78" fillId="4" borderId="3" xfId="1" applyFont="1" applyFill="1" applyBorder="1" applyAlignment="1">
      <alignment horizontal="center" vertical="center" wrapText="1"/>
    </xf>
    <xf numFmtId="0" fontId="11" fillId="5" borderId="0" xfId="1" applyFont="1" applyFill="1" applyBorder="1" applyAlignment="1">
      <alignment horizontal="center" vertical="center" wrapText="1"/>
    </xf>
    <xf numFmtId="0" fontId="78" fillId="4" borderId="0" xfId="1" applyFont="1" applyFill="1" applyBorder="1" applyAlignment="1">
      <alignment horizontal="center" vertical="center" wrapText="1"/>
    </xf>
    <xf numFmtId="0" fontId="11" fillId="6" borderId="0" xfId="1" applyFont="1" applyFill="1" applyBorder="1" applyAlignment="1">
      <alignment horizontal="center" vertical="center" wrapText="1"/>
    </xf>
    <xf numFmtId="0" fontId="78" fillId="7" borderId="0" xfId="1" applyFont="1" applyFill="1" applyBorder="1" applyAlignment="1">
      <alignment horizontal="center" vertical="center" wrapText="1"/>
    </xf>
    <xf numFmtId="0" fontId="64" fillId="7" borderId="0" xfId="1" applyFont="1" applyFill="1" applyBorder="1" applyAlignment="1">
      <alignment horizontal="center" vertical="center" wrapText="1"/>
    </xf>
    <xf numFmtId="9" fontId="64" fillId="7" borderId="0" xfId="1" applyNumberFormat="1" applyFont="1" applyFill="1" applyBorder="1" applyAlignment="1">
      <alignment horizontal="center" vertical="center"/>
    </xf>
    <xf numFmtId="0" fontId="82" fillId="0" borderId="62" xfId="0" applyFont="1" applyBorder="1"/>
    <xf numFmtId="0" fontId="41" fillId="6" borderId="63" xfId="1" applyFont="1" applyFill="1" applyBorder="1" applyAlignment="1">
      <alignment horizontal="center" vertical="center" wrapText="1"/>
    </xf>
    <xf numFmtId="0" fontId="41" fillId="6" borderId="16" xfId="1" applyFont="1" applyFill="1" applyBorder="1" applyAlignment="1">
      <alignment horizontal="center" vertical="center" wrapText="1"/>
    </xf>
    <xf numFmtId="0" fontId="41" fillId="6" borderId="61" xfId="1" applyFont="1" applyFill="1" applyBorder="1" applyAlignment="1">
      <alignment horizontal="center" vertical="center" wrapText="1"/>
    </xf>
    <xf numFmtId="0" fontId="23" fillId="0" borderId="25" xfId="1" applyFont="1" applyBorder="1" applyAlignment="1">
      <alignment horizontal="center" vertical="center"/>
    </xf>
    <xf numFmtId="0" fontId="55" fillId="0" borderId="26" xfId="6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10" borderId="12" xfId="1" applyFont="1" applyFill="1" applyBorder="1" applyAlignment="1">
      <alignment horizontal="center" vertical="center"/>
    </xf>
    <xf numFmtId="168" fontId="12" fillId="0" borderId="13" xfId="1" applyNumberFormat="1" applyFont="1" applyBorder="1" applyAlignment="1">
      <alignment horizontal="center" vertical="center"/>
    </xf>
    <xf numFmtId="168" fontId="12" fillId="0" borderId="27" xfId="1" applyNumberFormat="1" applyFont="1" applyBorder="1" applyAlignment="1">
      <alignment horizontal="center" vertical="center"/>
    </xf>
    <xf numFmtId="0" fontId="16" fillId="10" borderId="8" xfId="1" applyFont="1" applyFill="1" applyBorder="1" applyAlignment="1">
      <alignment horizontal="center" vertical="center" wrapText="1"/>
    </xf>
    <xf numFmtId="0" fontId="16" fillId="10" borderId="26" xfId="1" applyFont="1" applyFill="1" applyBorder="1" applyAlignment="1">
      <alignment horizontal="center" vertical="center" wrapText="1"/>
    </xf>
    <xf numFmtId="171" fontId="11" fillId="18" borderId="8" xfId="4" applyNumberFormat="1" applyFont="1" applyFill="1" applyBorder="1" applyAlignment="1" applyProtection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68" fontId="11" fillId="0" borderId="11" xfId="0" applyNumberFormat="1" applyFont="1" applyBorder="1" applyAlignment="1">
      <alignment horizontal="center" vertical="center" wrapText="1"/>
    </xf>
    <xf numFmtId="168" fontId="11" fillId="0" borderId="13" xfId="0" applyNumberFormat="1" applyFont="1" applyBorder="1" applyAlignment="1">
      <alignment horizontal="center" vertical="center" wrapText="1"/>
    </xf>
    <xf numFmtId="168" fontId="11" fillId="0" borderId="4" xfId="1" applyNumberFormat="1" applyFont="1" applyBorder="1" applyAlignment="1">
      <alignment horizontal="center" vertical="center" wrapText="1"/>
    </xf>
    <xf numFmtId="168" fontId="11" fillId="0" borderId="8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6" fillId="0" borderId="20" xfId="0" applyFont="1" applyBorder="1"/>
    <xf numFmtId="0" fontId="20" fillId="0" borderId="58" xfId="1" applyFont="1" applyBorder="1" applyAlignment="1">
      <alignment horizontal="center" vertical="center"/>
    </xf>
    <xf numFmtId="170" fontId="18" fillId="10" borderId="59" xfId="1" applyNumberFormat="1" applyFont="1" applyFill="1" applyBorder="1" applyAlignment="1">
      <alignment horizontal="center"/>
    </xf>
    <xf numFmtId="0" fontId="20" fillId="0" borderId="59" xfId="1" applyFont="1" applyBorder="1" applyAlignment="1">
      <alignment horizontal="center" vertical="center" wrapText="1"/>
    </xf>
    <xf numFmtId="168" fontId="20" fillId="0" borderId="59" xfId="294" applyNumberFormat="1" applyFont="1" applyBorder="1" applyAlignment="1">
      <alignment horizontal="center" vertical="center" wrapText="1"/>
    </xf>
    <xf numFmtId="0" fontId="55" fillId="10" borderId="59" xfId="1" applyFont="1" applyFill="1" applyBorder="1" applyAlignment="1">
      <alignment horizontal="left" vertical="center" wrapText="1"/>
    </xf>
    <xf numFmtId="168" fontId="20" fillId="0" borderId="60" xfId="0" applyNumberFormat="1" applyFont="1" applyBorder="1" applyAlignment="1">
      <alignment horizontal="center" vertical="center" wrapText="1"/>
    </xf>
    <xf numFmtId="168" fontId="20" fillId="0" borderId="14" xfId="0" applyNumberFormat="1" applyFont="1" applyBorder="1" applyAlignment="1">
      <alignment horizontal="center" vertical="center" wrapText="1"/>
    </xf>
    <xf numFmtId="49" fontId="20" fillId="8" borderId="8" xfId="1" applyNumberFormat="1" applyFont="1" applyFill="1" applyBorder="1" applyAlignment="1">
      <alignment horizontal="center" vertical="center" wrapText="1"/>
    </xf>
    <xf numFmtId="172" fontId="20" fillId="8" borderId="8" xfId="1" applyNumberFormat="1" applyFont="1" applyFill="1" applyBorder="1" applyAlignment="1">
      <alignment vertical="center" wrapText="1"/>
    </xf>
    <xf numFmtId="0" fontId="20" fillId="96" borderId="8" xfId="1" applyFont="1" applyFill="1" applyBorder="1" applyAlignment="1">
      <alignment horizontal="center" vertical="center"/>
    </xf>
    <xf numFmtId="166" fontId="16" fillId="5" borderId="8" xfId="1" applyNumberFormat="1" applyFont="1" applyFill="1" applyBorder="1" applyAlignment="1">
      <alignment horizontal="center" vertical="center"/>
    </xf>
    <xf numFmtId="168" fontId="67" fillId="5" borderId="8" xfId="1" applyNumberFormat="1" applyFont="1" applyFill="1" applyBorder="1" applyAlignment="1">
      <alignment horizontal="center" vertical="center"/>
    </xf>
    <xf numFmtId="0" fontId="20" fillId="9" borderId="8" xfId="1" applyFont="1" applyFill="1" applyBorder="1" applyAlignment="1">
      <alignment horizontal="center" vertical="center"/>
    </xf>
    <xf numFmtId="168" fontId="16" fillId="5" borderId="8" xfId="1" applyNumberFormat="1" applyFont="1" applyFill="1" applyBorder="1" applyAlignment="1">
      <alignment horizontal="center" vertical="center"/>
    </xf>
    <xf numFmtId="168" fontId="59" fillId="8" borderId="8" xfId="1" applyNumberFormat="1" applyFont="1" applyFill="1" applyBorder="1" applyAlignment="1">
      <alignment horizontal="center" vertical="center"/>
    </xf>
    <xf numFmtId="168" fontId="16" fillId="11" borderId="8" xfId="1" applyNumberFormat="1" applyFont="1" applyFill="1" applyBorder="1" applyAlignment="1">
      <alignment horizontal="center" vertical="center"/>
    </xf>
    <xf numFmtId="0" fontId="59" fillId="9" borderId="8" xfId="1" applyFont="1" applyFill="1" applyBorder="1" applyAlignment="1">
      <alignment horizontal="center" vertical="center"/>
    </xf>
    <xf numFmtId="168" fontId="6" fillId="2" borderId="8" xfId="1" applyNumberFormat="1" applyFont="1" applyFill="1" applyBorder="1" applyAlignment="1">
      <alignment horizontal="center" vertical="center"/>
    </xf>
    <xf numFmtId="168" fontId="16" fillId="0" borderId="8" xfId="1" applyNumberFormat="1" applyFont="1" applyBorder="1" applyAlignment="1">
      <alignment horizontal="center" vertical="center"/>
    </xf>
    <xf numFmtId="168" fontId="133" fillId="7" borderId="8" xfId="1" applyNumberFormat="1" applyFont="1" applyFill="1" applyBorder="1" applyAlignment="1">
      <alignment horizontal="center" vertical="center"/>
    </xf>
    <xf numFmtId="166" fontId="16" fillId="10" borderId="8" xfId="10" applyNumberFormat="1" applyFont="1" applyFill="1" applyBorder="1" applyAlignment="1">
      <alignment horizontal="center" vertical="center"/>
    </xf>
    <xf numFmtId="166" fontId="18" fillId="10" borderId="8" xfId="1" applyNumberFormat="1" applyFont="1" applyFill="1" applyBorder="1" applyAlignment="1">
      <alignment horizontal="center" vertical="center"/>
    </xf>
    <xf numFmtId="0" fontId="20" fillId="0" borderId="8" xfId="1" applyFont="1" applyBorder="1"/>
    <xf numFmtId="166" fontId="136" fillId="0" borderId="8" xfId="294" applyNumberFormat="1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166" fontId="136" fillId="0" borderId="8" xfId="0" applyNumberFormat="1" applyFont="1" applyBorder="1" applyAlignment="1">
      <alignment horizontal="center" vertical="center"/>
    </xf>
    <xf numFmtId="0" fontId="16" fillId="0" borderId="8" xfId="0" applyFont="1" applyBorder="1"/>
    <xf numFmtId="2" fontId="16" fillId="0" borderId="8" xfId="0" applyNumberFormat="1" applyFont="1" applyBorder="1" applyAlignment="1">
      <alignment horizontal="center" vertical="center"/>
    </xf>
    <xf numFmtId="0" fontId="16" fillId="0" borderId="8" xfId="294" applyFont="1" applyBorder="1"/>
    <xf numFmtId="0" fontId="141" fillId="0" borderId="8" xfId="1" applyFont="1" applyBorder="1" applyAlignment="1">
      <alignment horizontal="left" vertical="center" wrapText="1"/>
    </xf>
    <xf numFmtId="0" fontId="142" fillId="14" borderId="26" xfId="0" applyFont="1" applyFill="1" applyBorder="1" applyAlignment="1">
      <alignment horizontal="left" vertical="center" wrapText="1"/>
    </xf>
    <xf numFmtId="0" fontId="56" fillId="2" borderId="5" xfId="1" applyFont="1" applyFill="1" applyBorder="1" applyAlignment="1">
      <alignment horizontal="center" vertical="center" wrapText="1"/>
    </xf>
    <xf numFmtId="0" fontId="56" fillId="2" borderId="6" xfId="1" applyFont="1" applyFill="1" applyBorder="1" applyAlignment="1">
      <alignment horizontal="center" vertical="center" wrapText="1"/>
    </xf>
    <xf numFmtId="0" fontId="56" fillId="2" borderId="7" xfId="1" applyFont="1" applyFill="1" applyBorder="1" applyAlignment="1">
      <alignment horizontal="center" vertical="center" wrapText="1"/>
    </xf>
    <xf numFmtId="0" fontId="11" fillId="0" borderId="32" xfId="1" applyFont="1" applyBorder="1" applyAlignment="1">
      <alignment horizontal="left" vertical="center" wrapText="1"/>
    </xf>
    <xf numFmtId="0" fontId="11" fillId="0" borderId="33" xfId="1" applyFont="1" applyBorder="1" applyAlignment="1">
      <alignment horizontal="left" vertical="center" wrapText="1"/>
    </xf>
    <xf numFmtId="0" fontId="11" fillId="0" borderId="34" xfId="1" applyFont="1" applyBorder="1" applyAlignment="1">
      <alignment horizontal="left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49" fontId="20" fillId="14" borderId="36" xfId="1" applyNumberFormat="1" applyFont="1" applyFill="1" applyBorder="1" applyAlignment="1">
      <alignment horizontal="center" vertical="center" wrapText="1"/>
    </xf>
    <xf numFmtId="49" fontId="20" fillId="14" borderId="37" xfId="1" applyNumberFormat="1" applyFont="1" applyFill="1" applyBorder="1" applyAlignment="1">
      <alignment horizontal="center" vertical="center" wrapText="1"/>
    </xf>
    <xf numFmtId="49" fontId="20" fillId="14" borderId="38" xfId="1" applyNumberFormat="1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75" fontId="55" fillId="0" borderId="36" xfId="4" applyNumberFormat="1" applyFont="1" applyBorder="1" applyAlignment="1" applyProtection="1">
      <alignment horizontal="center" vertical="center" wrapText="1"/>
    </xf>
    <xf numFmtId="175" fontId="55" fillId="0" borderId="37" xfId="4" applyNumberFormat="1" applyFont="1" applyBorder="1" applyAlignment="1" applyProtection="1">
      <alignment horizontal="center" vertical="center" wrapText="1"/>
    </xf>
    <xf numFmtId="175" fontId="55" fillId="0" borderId="38" xfId="4" applyNumberFormat="1" applyFont="1" applyBorder="1" applyAlignment="1" applyProtection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47" fillId="0" borderId="32" xfId="0" applyFont="1" applyBorder="1" applyAlignment="1">
      <alignment horizontal="left" vertical="center" wrapText="1"/>
    </xf>
    <xf numFmtId="0" fontId="47" fillId="0" borderId="33" xfId="0" applyFont="1" applyBorder="1" applyAlignment="1">
      <alignment horizontal="left" vertical="center" wrapText="1"/>
    </xf>
    <xf numFmtId="0" fontId="47" fillId="0" borderId="34" xfId="0" applyFont="1" applyBorder="1" applyAlignment="1">
      <alignment horizontal="left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3" fillId="14" borderId="8" xfId="0" applyFont="1" applyFill="1" applyBorder="1" applyAlignment="1">
      <alignment horizontal="center" vertical="center" wrapText="1"/>
    </xf>
    <xf numFmtId="49" fontId="20" fillId="10" borderId="23" xfId="1" applyNumberFormat="1" applyFont="1" applyFill="1" applyBorder="1" applyAlignment="1">
      <alignment horizontal="center" vertical="center" wrapText="1"/>
    </xf>
    <xf numFmtId="49" fontId="20" fillId="10" borderId="24" xfId="1" applyNumberFormat="1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30" fillId="10" borderId="1" xfId="12" applyFont="1" applyFill="1" applyBorder="1" applyAlignment="1">
      <alignment horizontal="center" vertical="center" wrapText="1"/>
    </xf>
    <xf numFmtId="0" fontId="30" fillId="10" borderId="3" xfId="12" applyFont="1" applyFill="1" applyBorder="1" applyAlignment="1">
      <alignment horizontal="center" vertical="center" wrapText="1"/>
    </xf>
    <xf numFmtId="0" fontId="41" fillId="0" borderId="8" xfId="9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68" fontId="20" fillId="0" borderId="28" xfId="0" applyNumberFormat="1" applyFont="1" applyBorder="1" applyAlignment="1">
      <alignment horizontal="center" vertical="center" wrapText="1"/>
    </xf>
    <xf numFmtId="168" fontId="20" fillId="0" borderId="29" xfId="0" applyNumberFormat="1" applyFont="1" applyBorder="1" applyAlignment="1">
      <alignment horizontal="center" vertical="center" wrapText="1"/>
    </xf>
    <xf numFmtId="49" fontId="20" fillId="19" borderId="28" xfId="0" applyNumberFormat="1" applyFont="1" applyFill="1" applyBorder="1" applyAlignment="1">
      <alignment horizontal="center" vertical="center" wrapText="1"/>
    </xf>
    <xf numFmtId="49" fontId="20" fillId="19" borderId="29" xfId="0" applyNumberFormat="1" applyFont="1" applyFill="1" applyBorder="1" applyAlignment="1">
      <alignment horizontal="center" vertical="center" wrapText="1"/>
    </xf>
    <xf numFmtId="0" fontId="23" fillId="14" borderId="26" xfId="0" applyFont="1" applyFill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3" fontId="11" fillId="10" borderId="4" xfId="8" applyNumberFormat="1" applyFont="1" applyFill="1" applyBorder="1" applyAlignment="1">
      <alignment horizontal="center" vertical="center" wrapText="1"/>
    </xf>
    <xf numFmtId="173" fontId="11" fillId="10" borderId="8" xfId="8" applyNumberFormat="1" applyFont="1" applyFill="1" applyBorder="1" applyAlignment="1">
      <alignment horizontal="center" vertical="center" wrapText="1"/>
    </xf>
    <xf numFmtId="0" fontId="11" fillId="10" borderId="12" xfId="1" applyFont="1" applyFill="1" applyBorder="1" applyAlignment="1">
      <alignment horizontal="center" vertical="center"/>
    </xf>
    <xf numFmtId="0" fontId="11" fillId="10" borderId="25" xfId="1" applyFont="1" applyFill="1" applyBorder="1" applyAlignment="1">
      <alignment horizontal="center" vertical="center"/>
    </xf>
    <xf numFmtId="168" fontId="12" fillId="0" borderId="13" xfId="1" applyNumberFormat="1" applyFont="1" applyBorder="1" applyAlignment="1">
      <alignment horizontal="center" vertical="center"/>
    </xf>
    <xf numFmtId="168" fontId="12" fillId="0" borderId="27" xfId="1" applyNumberFormat="1" applyFont="1" applyBorder="1" applyAlignment="1">
      <alignment horizontal="center" vertical="center"/>
    </xf>
    <xf numFmtId="0" fontId="11" fillId="0" borderId="8" xfId="1" applyFont="1" applyBorder="1" applyAlignment="1">
      <alignment horizontal="left" vertical="top" wrapText="1"/>
    </xf>
    <xf numFmtId="0" fontId="11" fillId="0" borderId="26" xfId="1" applyFont="1" applyBorder="1" applyAlignment="1">
      <alignment horizontal="left" vertical="top" wrapText="1"/>
    </xf>
    <xf numFmtId="0" fontId="16" fillId="10" borderId="8" xfId="1" applyFont="1" applyFill="1" applyBorder="1" applyAlignment="1">
      <alignment horizontal="center" vertical="center" wrapText="1"/>
    </xf>
    <xf numFmtId="0" fontId="16" fillId="10" borderId="26" xfId="1" applyFont="1" applyFill="1" applyBorder="1" applyAlignment="1">
      <alignment horizontal="center" vertical="center" wrapText="1"/>
    </xf>
    <xf numFmtId="171" fontId="11" fillId="18" borderId="8" xfId="4" applyNumberFormat="1" applyFont="1" applyFill="1" applyBorder="1" applyAlignment="1" applyProtection="1">
      <alignment horizontal="center" vertical="center" wrapText="1"/>
    </xf>
    <xf numFmtId="171" fontId="11" fillId="18" borderId="26" xfId="4" applyNumberFormat="1" applyFont="1" applyFill="1" applyBorder="1" applyAlignment="1" applyProtection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173" fontId="11" fillId="10" borderId="26" xfId="8" applyNumberFormat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42" xfId="1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173" fontId="11" fillId="0" borderId="26" xfId="18" applyNumberFormat="1" applyFont="1" applyFill="1" applyBorder="1" applyAlignment="1">
      <alignment horizontal="center" vertical="center" wrapText="1"/>
    </xf>
    <xf numFmtId="0" fontId="56" fillId="2" borderId="41" xfId="1" applyFont="1" applyFill="1" applyBorder="1" applyAlignment="1">
      <alignment horizontal="center" vertical="center" wrapText="1"/>
    </xf>
    <xf numFmtId="0" fontId="56" fillId="2" borderId="18" xfId="1" applyFont="1" applyFill="1" applyBorder="1" applyAlignment="1">
      <alignment horizontal="center" vertical="center" wrapText="1"/>
    </xf>
    <xf numFmtId="0" fontId="56" fillId="2" borderId="42" xfId="1" applyFont="1" applyFill="1" applyBorder="1" applyAlignment="1">
      <alignment horizontal="center" vertical="center" wrapText="1"/>
    </xf>
    <xf numFmtId="49" fontId="35" fillId="8" borderId="1" xfId="1" applyNumberFormat="1" applyFont="1" applyFill="1" applyBorder="1" applyAlignment="1">
      <alignment horizontal="center" vertical="center" wrapText="1"/>
    </xf>
    <xf numFmtId="49" fontId="35" fillId="8" borderId="3" xfId="1" applyNumberFormat="1" applyFont="1" applyFill="1" applyBorder="1" applyAlignment="1">
      <alignment horizontal="center" vertical="center" wrapText="1"/>
    </xf>
    <xf numFmtId="0" fontId="41" fillId="10" borderId="23" xfId="548" applyFont="1" applyFill="1" applyBorder="1" applyAlignment="1">
      <alignment horizontal="center" vertical="center" wrapText="1"/>
    </xf>
    <xf numFmtId="0" fontId="41" fillId="10" borderId="24" xfId="548" applyFont="1" applyFill="1" applyBorder="1" applyAlignment="1">
      <alignment horizontal="center" vertical="center" wrapText="1"/>
    </xf>
    <xf numFmtId="49" fontId="55" fillId="10" borderId="1" xfId="1" applyNumberFormat="1" applyFont="1" applyFill="1" applyBorder="1" applyAlignment="1">
      <alignment horizontal="center" vertical="center" wrapText="1"/>
    </xf>
    <xf numFmtId="49" fontId="55" fillId="10" borderId="2" xfId="1" applyNumberFormat="1" applyFont="1" applyFill="1" applyBorder="1" applyAlignment="1">
      <alignment horizontal="center" vertical="center" wrapText="1"/>
    </xf>
    <xf numFmtId="49" fontId="55" fillId="10" borderId="3" xfId="1" applyNumberFormat="1" applyFont="1" applyFill="1" applyBorder="1" applyAlignment="1">
      <alignment horizontal="center" vertical="center" wrapText="1"/>
    </xf>
    <xf numFmtId="173" fontId="23" fillId="0" borderId="26" xfId="146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173" fontId="11" fillId="0" borderId="4" xfId="18" applyNumberFormat="1" applyFont="1" applyFill="1" applyBorder="1" applyAlignment="1">
      <alignment horizontal="center" vertical="center" wrapText="1"/>
    </xf>
    <xf numFmtId="173" fontId="11" fillId="0" borderId="8" xfId="18" applyNumberFormat="1" applyFont="1" applyFill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168" fontId="11" fillId="0" borderId="11" xfId="0" applyNumberFormat="1" applyFont="1" applyBorder="1" applyAlignment="1">
      <alignment horizontal="center" vertical="center" wrapText="1"/>
    </xf>
    <xf numFmtId="168" fontId="11" fillId="0" borderId="13" xfId="0" applyNumberFormat="1" applyFont="1" applyBorder="1" applyAlignment="1">
      <alignment horizontal="center" vertical="center" wrapText="1"/>
    </xf>
    <xf numFmtId="0" fontId="59" fillId="0" borderId="4" xfId="13" applyFont="1" applyBorder="1" applyAlignment="1">
      <alignment horizontal="left" vertical="center" wrapText="1"/>
    </xf>
    <xf numFmtId="0" fontId="59" fillId="0" borderId="8" xfId="13" applyFont="1" applyBorder="1" applyAlignment="1">
      <alignment horizontal="left" vertical="center" wrapText="1"/>
    </xf>
    <xf numFmtId="0" fontId="59" fillId="8" borderId="4" xfId="1" applyFont="1" applyFill="1" applyBorder="1" applyAlignment="1">
      <alignment horizontal="center" vertical="center" wrapText="1"/>
    </xf>
    <xf numFmtId="0" fontId="59" fillId="8" borderId="8" xfId="1" applyFont="1" applyFill="1" applyBorder="1" applyAlignment="1">
      <alignment horizontal="center" vertical="center" wrapText="1"/>
    </xf>
    <xf numFmtId="168" fontId="11" fillId="0" borderId="4" xfId="1" applyNumberFormat="1" applyFont="1" applyBorder="1" applyAlignment="1">
      <alignment horizontal="center" vertical="center" wrapText="1"/>
    </xf>
    <xf numFmtId="168" fontId="11" fillId="0" borderId="8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173" fontId="11" fillId="0" borderId="59" xfId="503" applyNumberFormat="1" applyFont="1" applyFill="1" applyBorder="1" applyAlignment="1">
      <alignment horizontal="center" vertical="center" wrapText="1"/>
    </xf>
    <xf numFmtId="49" fontId="20" fillId="8" borderId="1" xfId="1" applyNumberFormat="1" applyFont="1" applyFill="1" applyBorder="1" applyAlignment="1">
      <alignment horizontal="center" vertical="center" wrapText="1"/>
    </xf>
    <xf numFmtId="49" fontId="20" fillId="8" borderId="2" xfId="1" applyNumberFormat="1" applyFont="1" applyFill="1" applyBorder="1" applyAlignment="1">
      <alignment horizontal="center" vertical="center" wrapText="1"/>
    </xf>
    <xf numFmtId="49" fontId="20" fillId="8" borderId="3" xfId="1" applyNumberFormat="1" applyFont="1" applyFill="1" applyBorder="1" applyAlignment="1">
      <alignment horizontal="center" vertical="center" wrapText="1"/>
    </xf>
  </cellXfs>
  <cellStyles count="553">
    <cellStyle name="          _x000d__x000a_386grabber=VGA.3GR_x000d__x000a_" xfId="19" xr:uid="{00000000-0005-0000-0000-000000000000}"/>
    <cellStyle name="_Hoja1" xfId="20" xr:uid="{00000000-0005-0000-0000-000001000000}"/>
    <cellStyle name="_Hoja1_1" xfId="21" xr:uid="{00000000-0005-0000-0000-000002000000}"/>
    <cellStyle name="_Hoja1_1 2" xfId="437" xr:uid="{00000000-0005-0000-0000-000003000000}"/>
    <cellStyle name="_Hoja1_2" xfId="22" xr:uid="{00000000-0005-0000-0000-000004000000}"/>
    <cellStyle name="_Hoja1_2 2" xfId="438" xr:uid="{00000000-0005-0000-0000-000005000000}"/>
    <cellStyle name="_Hoja1_3" xfId="23" xr:uid="{00000000-0005-0000-0000-000006000000}"/>
    <cellStyle name="_Hoja1_4" xfId="24" xr:uid="{00000000-0005-0000-0000-000007000000}"/>
    <cellStyle name="_Hoja1_4 2" xfId="439" xr:uid="{00000000-0005-0000-0000-000008000000}"/>
    <cellStyle name="20% - Énfasis1 2" xfId="25" xr:uid="{00000000-0005-0000-0000-000009000000}"/>
    <cellStyle name="20% - Énfasis1 2 2" xfId="453" xr:uid="{00000000-0005-0000-0000-00000A000000}"/>
    <cellStyle name="20% - Énfasis2 2" xfId="26" xr:uid="{00000000-0005-0000-0000-00000B000000}"/>
    <cellStyle name="20% - Énfasis2 2 2" xfId="454" xr:uid="{00000000-0005-0000-0000-00000C000000}"/>
    <cellStyle name="20% - Énfasis3 2" xfId="27" xr:uid="{00000000-0005-0000-0000-00000D000000}"/>
    <cellStyle name="20% - Énfasis3 2 2" xfId="455" xr:uid="{00000000-0005-0000-0000-00000E000000}"/>
    <cellStyle name="20% - Énfasis4 2" xfId="28" xr:uid="{00000000-0005-0000-0000-00000F000000}"/>
    <cellStyle name="20% - Énfasis4 2 2" xfId="456" xr:uid="{00000000-0005-0000-0000-000010000000}"/>
    <cellStyle name="20% - Énfasis5 2" xfId="29" xr:uid="{00000000-0005-0000-0000-000011000000}"/>
    <cellStyle name="20% - Énfasis5 2 2" xfId="457" xr:uid="{00000000-0005-0000-0000-000012000000}"/>
    <cellStyle name="20% - Énfasis6 2" xfId="30" xr:uid="{00000000-0005-0000-0000-000013000000}"/>
    <cellStyle name="20% - Énfasis6 2 2" xfId="458" xr:uid="{00000000-0005-0000-0000-000014000000}"/>
    <cellStyle name="20% - 强调文字颜色 1" xfId="31" xr:uid="{00000000-0005-0000-0000-000015000000}"/>
    <cellStyle name="20% - 强调文字颜色 1 2" xfId="32" xr:uid="{00000000-0005-0000-0000-000016000000}"/>
    <cellStyle name="20% - 强调文字颜色 2" xfId="33" xr:uid="{00000000-0005-0000-0000-000017000000}"/>
    <cellStyle name="20% - 强调文字颜色 2 2" xfId="34" xr:uid="{00000000-0005-0000-0000-000018000000}"/>
    <cellStyle name="20% - 强调文字颜色 3" xfId="35" xr:uid="{00000000-0005-0000-0000-000019000000}"/>
    <cellStyle name="20% - 强调文字颜色 3 2" xfId="36" xr:uid="{00000000-0005-0000-0000-00001A000000}"/>
    <cellStyle name="20% - 强调文字颜色 4" xfId="37" xr:uid="{00000000-0005-0000-0000-00001B000000}"/>
    <cellStyle name="20% - 强调文字颜色 4 2" xfId="38" xr:uid="{00000000-0005-0000-0000-00001C000000}"/>
    <cellStyle name="20% - 强调文字颜色 5" xfId="39" xr:uid="{00000000-0005-0000-0000-00001D000000}"/>
    <cellStyle name="20% - 强调文字颜色 5 2" xfId="40" xr:uid="{00000000-0005-0000-0000-00001E000000}"/>
    <cellStyle name="20% - 强调文字颜色 6" xfId="41" xr:uid="{00000000-0005-0000-0000-00001F000000}"/>
    <cellStyle name="20% - 强调文字颜色 6 2" xfId="42" xr:uid="{00000000-0005-0000-0000-000020000000}"/>
    <cellStyle name="40% - Énfasis1 2" xfId="43" xr:uid="{00000000-0005-0000-0000-000021000000}"/>
    <cellStyle name="40% - Énfasis1 2 2" xfId="459" xr:uid="{00000000-0005-0000-0000-000022000000}"/>
    <cellStyle name="40% - Énfasis2 2" xfId="44" xr:uid="{00000000-0005-0000-0000-000023000000}"/>
    <cellStyle name="40% - Énfasis2 2 2" xfId="460" xr:uid="{00000000-0005-0000-0000-000024000000}"/>
    <cellStyle name="40% - Énfasis3 2" xfId="45" xr:uid="{00000000-0005-0000-0000-000025000000}"/>
    <cellStyle name="40% - Énfasis3 2 2" xfId="461" xr:uid="{00000000-0005-0000-0000-000026000000}"/>
    <cellStyle name="40% - Énfasis4 2" xfId="46" xr:uid="{00000000-0005-0000-0000-000027000000}"/>
    <cellStyle name="40% - Énfasis4 2 2" xfId="462" xr:uid="{00000000-0005-0000-0000-000028000000}"/>
    <cellStyle name="40% - Énfasis5 2" xfId="47" xr:uid="{00000000-0005-0000-0000-000029000000}"/>
    <cellStyle name="40% - Énfasis5 2 2" xfId="463" xr:uid="{00000000-0005-0000-0000-00002A000000}"/>
    <cellStyle name="40% - Énfasis6 2" xfId="48" xr:uid="{00000000-0005-0000-0000-00002B000000}"/>
    <cellStyle name="40% - Énfasis6 2 2" xfId="464" xr:uid="{00000000-0005-0000-0000-00002C000000}"/>
    <cellStyle name="40% - 强调文字颜色 1" xfId="49" xr:uid="{00000000-0005-0000-0000-00002D000000}"/>
    <cellStyle name="40% - 强调文字颜色 1 2" xfId="50" xr:uid="{00000000-0005-0000-0000-00002E000000}"/>
    <cellStyle name="40% - 强调文字颜色 2" xfId="51" xr:uid="{00000000-0005-0000-0000-00002F000000}"/>
    <cellStyle name="40% - 强调文字颜色 2 2" xfId="52" xr:uid="{00000000-0005-0000-0000-000030000000}"/>
    <cellStyle name="40% - 强调文字颜色 3" xfId="53" xr:uid="{00000000-0005-0000-0000-000031000000}"/>
    <cellStyle name="40% - 强调文字颜色 3 2" xfId="54" xr:uid="{00000000-0005-0000-0000-000032000000}"/>
    <cellStyle name="40% - 强调文字颜色 4" xfId="55" xr:uid="{00000000-0005-0000-0000-000033000000}"/>
    <cellStyle name="40% - 强调文字颜色 4 2" xfId="56" xr:uid="{00000000-0005-0000-0000-000034000000}"/>
    <cellStyle name="40% - 强调文字颜色 5" xfId="57" xr:uid="{00000000-0005-0000-0000-000035000000}"/>
    <cellStyle name="40% - 强调文字颜色 5 2" xfId="58" xr:uid="{00000000-0005-0000-0000-000036000000}"/>
    <cellStyle name="40% - 强调文字颜色 6" xfId="59" xr:uid="{00000000-0005-0000-0000-000037000000}"/>
    <cellStyle name="40% - 强调文字颜色 6 2" xfId="60" xr:uid="{00000000-0005-0000-0000-000038000000}"/>
    <cellStyle name="60% - Énfasis1 2" xfId="61" xr:uid="{00000000-0005-0000-0000-000039000000}"/>
    <cellStyle name="60% - Énfasis1 2 2" xfId="465" xr:uid="{00000000-0005-0000-0000-00003A000000}"/>
    <cellStyle name="60% - Énfasis2 2" xfId="62" xr:uid="{00000000-0005-0000-0000-00003B000000}"/>
    <cellStyle name="60% - Énfasis2 2 2" xfId="466" xr:uid="{00000000-0005-0000-0000-00003C000000}"/>
    <cellStyle name="60% - Énfasis3 2" xfId="63" xr:uid="{00000000-0005-0000-0000-00003D000000}"/>
    <cellStyle name="60% - Énfasis3 2 2" xfId="467" xr:uid="{00000000-0005-0000-0000-00003E000000}"/>
    <cellStyle name="60% - Énfasis4 2" xfId="64" xr:uid="{00000000-0005-0000-0000-00003F000000}"/>
    <cellStyle name="60% - Énfasis4 2 2" xfId="468" xr:uid="{00000000-0005-0000-0000-000040000000}"/>
    <cellStyle name="60% - Énfasis5 2" xfId="65" xr:uid="{00000000-0005-0000-0000-000041000000}"/>
    <cellStyle name="60% - Énfasis5 2 2" xfId="469" xr:uid="{00000000-0005-0000-0000-000042000000}"/>
    <cellStyle name="60% - Énfasis6 2" xfId="66" xr:uid="{00000000-0005-0000-0000-000043000000}"/>
    <cellStyle name="60% - Énfasis6 2 2" xfId="470" xr:uid="{00000000-0005-0000-0000-000044000000}"/>
    <cellStyle name="60% - 强调文字颜色 1" xfId="67" xr:uid="{00000000-0005-0000-0000-000045000000}"/>
    <cellStyle name="60% - 强调文字颜色 1 2" xfId="68" xr:uid="{00000000-0005-0000-0000-000046000000}"/>
    <cellStyle name="60% - 强调文字颜色 2" xfId="69" xr:uid="{00000000-0005-0000-0000-000047000000}"/>
    <cellStyle name="60% - 强调文字颜色 2 2" xfId="70" xr:uid="{00000000-0005-0000-0000-000048000000}"/>
    <cellStyle name="60% - 强调文字颜色 3" xfId="71" xr:uid="{00000000-0005-0000-0000-000049000000}"/>
    <cellStyle name="60% - 强调文字颜色 3 2" xfId="72" xr:uid="{00000000-0005-0000-0000-00004A000000}"/>
    <cellStyle name="60% - 强调文字颜色 4" xfId="73" xr:uid="{00000000-0005-0000-0000-00004B000000}"/>
    <cellStyle name="60% - 强调文字颜色 4 2" xfId="74" xr:uid="{00000000-0005-0000-0000-00004C000000}"/>
    <cellStyle name="60% - 强调文字颜色 5" xfId="75" xr:uid="{00000000-0005-0000-0000-00004D000000}"/>
    <cellStyle name="60% - 强调文字颜色 5 2" xfId="76" xr:uid="{00000000-0005-0000-0000-00004E000000}"/>
    <cellStyle name="60% - 强调文字颜色 6" xfId="77" xr:uid="{00000000-0005-0000-0000-00004F000000}"/>
    <cellStyle name="60% - 强调文字颜色 6 2" xfId="78" xr:uid="{00000000-0005-0000-0000-000050000000}"/>
    <cellStyle name="Buena 2" xfId="79" xr:uid="{00000000-0005-0000-0000-000051000000}"/>
    <cellStyle name="Buena 2 2" xfId="471" xr:uid="{00000000-0005-0000-0000-000052000000}"/>
    <cellStyle name="Cálculo 2" xfId="80" xr:uid="{00000000-0005-0000-0000-000053000000}"/>
    <cellStyle name="Cálculo 2 2" xfId="472" xr:uid="{00000000-0005-0000-0000-000054000000}"/>
    <cellStyle name="Cálculo 2 2 2" xfId="516" xr:uid="{00000000-0005-0000-0000-000055000000}"/>
    <cellStyle name="Cálculo 2 2 3" xfId="541" xr:uid="{00000000-0005-0000-0000-000056000000}"/>
    <cellStyle name="Cálculo 2 3" xfId="507" xr:uid="{00000000-0005-0000-0000-000057000000}"/>
    <cellStyle name="Cálculo 2 4" xfId="506" xr:uid="{00000000-0005-0000-0000-000058000000}"/>
    <cellStyle name="Cancel" xfId="81" xr:uid="{00000000-0005-0000-0000-000059000000}"/>
    <cellStyle name="Celda de comprobación 2" xfId="82" xr:uid="{00000000-0005-0000-0000-00005A000000}"/>
    <cellStyle name="Celda de comprobación 2 2" xfId="473" xr:uid="{00000000-0005-0000-0000-00005B000000}"/>
    <cellStyle name="Celda vinculada 2" xfId="83" xr:uid="{00000000-0005-0000-0000-00005C000000}"/>
    <cellStyle name="Encabezado 4 2" xfId="84" xr:uid="{00000000-0005-0000-0000-00005D000000}"/>
    <cellStyle name="Encabezado 4 2 2" xfId="474" xr:uid="{00000000-0005-0000-0000-00005E000000}"/>
    <cellStyle name="Énfasis1 2" xfId="85" xr:uid="{00000000-0005-0000-0000-00005F000000}"/>
    <cellStyle name="Énfasis1 2 2" xfId="475" xr:uid="{00000000-0005-0000-0000-000060000000}"/>
    <cellStyle name="Énfasis2 2" xfId="86" xr:uid="{00000000-0005-0000-0000-000061000000}"/>
    <cellStyle name="Énfasis2 2 2" xfId="476" xr:uid="{00000000-0005-0000-0000-000062000000}"/>
    <cellStyle name="Énfasis3 2" xfId="87" xr:uid="{00000000-0005-0000-0000-000063000000}"/>
    <cellStyle name="Énfasis3 2 2" xfId="477" xr:uid="{00000000-0005-0000-0000-000064000000}"/>
    <cellStyle name="Énfasis4 2" xfId="88" xr:uid="{00000000-0005-0000-0000-000065000000}"/>
    <cellStyle name="Énfasis4 2 2" xfId="478" xr:uid="{00000000-0005-0000-0000-000066000000}"/>
    <cellStyle name="Énfasis5 2" xfId="89" xr:uid="{00000000-0005-0000-0000-000067000000}"/>
    <cellStyle name="Énfasis5 2 2" xfId="479" xr:uid="{00000000-0005-0000-0000-000068000000}"/>
    <cellStyle name="Énfasis6 2" xfId="90" xr:uid="{00000000-0005-0000-0000-000069000000}"/>
    <cellStyle name="Énfasis6 2 2" xfId="480" xr:uid="{00000000-0005-0000-0000-00006A000000}"/>
    <cellStyle name="Entrada 2" xfId="91" xr:uid="{00000000-0005-0000-0000-00006B000000}"/>
    <cellStyle name="Entrada 2 2" xfId="481" xr:uid="{00000000-0005-0000-0000-00006C000000}"/>
    <cellStyle name="Entrada 2 2 2" xfId="517" xr:uid="{00000000-0005-0000-0000-00006D000000}"/>
    <cellStyle name="Entrada 2 2 3" xfId="542" xr:uid="{00000000-0005-0000-0000-00006E000000}"/>
    <cellStyle name="Entrada 2 3" xfId="508" xr:uid="{00000000-0005-0000-0000-00006F000000}"/>
    <cellStyle name="Entrada 2 4" xfId="536" xr:uid="{00000000-0005-0000-0000-000070000000}"/>
    <cellStyle name="Estilo 1" xfId="92" xr:uid="{00000000-0005-0000-0000-000071000000}"/>
    <cellStyle name="Estilo 1 2" xfId="440" xr:uid="{00000000-0005-0000-0000-000072000000}"/>
    <cellStyle name="Euro" xfId="93" xr:uid="{00000000-0005-0000-0000-000073000000}"/>
    <cellStyle name="Euro 2" xfId="94" xr:uid="{00000000-0005-0000-0000-000074000000}"/>
    <cellStyle name="Euro 2 2" xfId="95" xr:uid="{00000000-0005-0000-0000-000075000000}"/>
    <cellStyle name="Euro 2 2 2" xfId="96" xr:uid="{00000000-0005-0000-0000-000076000000}"/>
    <cellStyle name="Euro 2 2 3" xfId="97" xr:uid="{00000000-0005-0000-0000-000077000000}"/>
    <cellStyle name="Euro 2 2 4" xfId="443" xr:uid="{00000000-0005-0000-0000-000078000000}"/>
    <cellStyle name="Euro 2 3" xfId="98" xr:uid="{00000000-0005-0000-0000-000079000000}"/>
    <cellStyle name="Euro 2 4" xfId="99" xr:uid="{00000000-0005-0000-0000-00007A000000}"/>
    <cellStyle name="Euro 2 4 2" xfId="444" xr:uid="{00000000-0005-0000-0000-00007B000000}"/>
    <cellStyle name="Euro 3" xfId="100" xr:uid="{00000000-0005-0000-0000-00007C000000}"/>
    <cellStyle name="Euro 3 2" xfId="445" xr:uid="{00000000-0005-0000-0000-00007D000000}"/>
    <cellStyle name="Euro 4" xfId="101" xr:uid="{00000000-0005-0000-0000-00007E000000}"/>
    <cellStyle name="Euro 5" xfId="102" xr:uid="{00000000-0005-0000-0000-00007F000000}"/>
    <cellStyle name="Euro 6" xfId="103" xr:uid="{00000000-0005-0000-0000-000080000000}"/>
    <cellStyle name="Euro 7" xfId="482" xr:uid="{00000000-0005-0000-0000-000081000000}"/>
    <cellStyle name="Excel Built-in Explanatory Text" xfId="4" xr:uid="{00000000-0005-0000-0000-000082000000}"/>
    <cellStyle name="Hipervínculo" xfId="552" builtinId="8"/>
    <cellStyle name="Hipervínculo 2" xfId="104" xr:uid="{00000000-0005-0000-0000-000084000000}"/>
    <cellStyle name="Hipervínculo 2 2" xfId="105" xr:uid="{00000000-0005-0000-0000-000085000000}"/>
    <cellStyle name="Hipervínculo 2 2 2" xfId="106" xr:uid="{00000000-0005-0000-0000-000086000000}"/>
    <cellStyle name="Hipervínculo 2 2 2 2" xfId="107" xr:uid="{00000000-0005-0000-0000-000087000000}"/>
    <cellStyle name="Hipervínculo 2 2 2 2 2" xfId="108" xr:uid="{00000000-0005-0000-0000-000088000000}"/>
    <cellStyle name="Hipervínculo 2 2 2 3" xfId="109" xr:uid="{00000000-0005-0000-0000-000089000000}"/>
    <cellStyle name="Hipervínculo 2 2 2 3 2" xfId="110" xr:uid="{00000000-0005-0000-0000-00008A000000}"/>
    <cellStyle name="Hipervínculo 2 2 3" xfId="111" xr:uid="{00000000-0005-0000-0000-00008B000000}"/>
    <cellStyle name="Hipervínculo 2 3" xfId="112" xr:uid="{00000000-0005-0000-0000-00008C000000}"/>
    <cellStyle name="Hipervínculo 2 3 2" xfId="113" xr:uid="{00000000-0005-0000-0000-00008D000000}"/>
    <cellStyle name="Hipervínculo 2 3 2 2" xfId="114" xr:uid="{00000000-0005-0000-0000-00008E000000}"/>
    <cellStyle name="Hipervínculo 2 3 2 2 2" xfId="115" xr:uid="{00000000-0005-0000-0000-00008F000000}"/>
    <cellStyle name="Hipervínculo 2 3 2 3" xfId="116" xr:uid="{00000000-0005-0000-0000-000090000000}"/>
    <cellStyle name="Hipervínculo 2 3 3" xfId="117" xr:uid="{00000000-0005-0000-0000-000091000000}"/>
    <cellStyle name="Hipervínculo 2 4" xfId="118" xr:uid="{00000000-0005-0000-0000-000092000000}"/>
    <cellStyle name="Hipervínculo 2 4 2" xfId="119" xr:uid="{00000000-0005-0000-0000-000093000000}"/>
    <cellStyle name="Hipervínculo 2_Canguros" xfId="120" xr:uid="{00000000-0005-0000-0000-000094000000}"/>
    <cellStyle name="Hipervínculo 3" xfId="121" xr:uid="{00000000-0005-0000-0000-000095000000}"/>
    <cellStyle name="Incorrecto 2" xfId="122" xr:uid="{00000000-0005-0000-0000-000096000000}"/>
    <cellStyle name="Incorrecto 2 2" xfId="483" xr:uid="{00000000-0005-0000-0000-000097000000}"/>
    <cellStyle name="Millares 2" xfId="123" xr:uid="{00000000-0005-0000-0000-000098000000}"/>
    <cellStyle name="Millares 2 2" xfId="124" xr:uid="{00000000-0005-0000-0000-000099000000}"/>
    <cellStyle name="Millares 2 2 10" xfId="522" xr:uid="{00000000-0005-0000-0000-00009A000000}"/>
    <cellStyle name="Millares 2 2 10 2" xfId="546" xr:uid="{00000000-0005-0000-0000-00009B000000}"/>
    <cellStyle name="Millares 2 2 2" xfId="125" xr:uid="{00000000-0005-0000-0000-00009C000000}"/>
    <cellStyle name="Millares 2 2 2 2" xfId="126" xr:uid="{00000000-0005-0000-0000-00009D000000}"/>
    <cellStyle name="Millares 2 2 2 2 2" xfId="127" xr:uid="{00000000-0005-0000-0000-00009E000000}"/>
    <cellStyle name="Millares 2 2 2 2 2 2" xfId="128" xr:uid="{00000000-0005-0000-0000-00009F000000}"/>
    <cellStyle name="Millares 2 2 2 2 2 2 2" xfId="129" xr:uid="{00000000-0005-0000-0000-0000A0000000}"/>
    <cellStyle name="Millares 2 2 2 2 2 3" xfId="130" xr:uid="{00000000-0005-0000-0000-0000A1000000}"/>
    <cellStyle name="Millares 2 2 2 2 3" xfId="131" xr:uid="{00000000-0005-0000-0000-0000A2000000}"/>
    <cellStyle name="Millares 2 2 2 2 3 2" xfId="132" xr:uid="{00000000-0005-0000-0000-0000A3000000}"/>
    <cellStyle name="Millares 2 2 2 2 3 2 2" xfId="447" xr:uid="{00000000-0005-0000-0000-0000A4000000}"/>
    <cellStyle name="Millares 2 2 2 2 3 3" xfId="446" xr:uid="{00000000-0005-0000-0000-0000A5000000}"/>
    <cellStyle name="Millares 2 2 2 2 4" xfId="133" xr:uid="{00000000-0005-0000-0000-0000A6000000}"/>
    <cellStyle name="Millares 2 2 2 2 5" xfId="134" xr:uid="{00000000-0005-0000-0000-0000A7000000}"/>
    <cellStyle name="Millares 2 2 2 3" xfId="135" xr:uid="{00000000-0005-0000-0000-0000A8000000}"/>
    <cellStyle name="Millares 2 2 2 3 2" xfId="136" xr:uid="{00000000-0005-0000-0000-0000A9000000}"/>
    <cellStyle name="Millares 2 2 2 3 2 2" xfId="137" xr:uid="{00000000-0005-0000-0000-0000AA000000}"/>
    <cellStyle name="Millares 2 2 2 3 3" xfId="138" xr:uid="{00000000-0005-0000-0000-0000AB000000}"/>
    <cellStyle name="Millares 2 2 2 3 3 2" xfId="139" xr:uid="{00000000-0005-0000-0000-0000AC000000}"/>
    <cellStyle name="Millares 2 2 2 3 4" xfId="140" xr:uid="{00000000-0005-0000-0000-0000AD000000}"/>
    <cellStyle name="Millares 2 2 2 4" xfId="141" xr:uid="{00000000-0005-0000-0000-0000AE000000}"/>
    <cellStyle name="Millares 2 2 2 4 2" xfId="142" xr:uid="{00000000-0005-0000-0000-0000AF000000}"/>
    <cellStyle name="Millares 2 2 2 5" xfId="143" xr:uid="{00000000-0005-0000-0000-0000B0000000}"/>
    <cellStyle name="Millares 2 2 2 6" xfId="144" xr:uid="{00000000-0005-0000-0000-0000B1000000}"/>
    <cellStyle name="Millares 2 2 2 7" xfId="520" xr:uid="{00000000-0005-0000-0000-0000B2000000}"/>
    <cellStyle name="Millares 2 2 3" xfId="145" xr:uid="{00000000-0005-0000-0000-0000B3000000}"/>
    <cellStyle name="Millares 2 2 3 2" xfId="5" xr:uid="{00000000-0005-0000-0000-0000B4000000}"/>
    <cellStyle name="Millares 2 2 3 2 2" xfId="146" xr:uid="{00000000-0005-0000-0000-0000B5000000}"/>
    <cellStyle name="Millares 2 2 3 2 2 2" xfId="147" xr:uid="{00000000-0005-0000-0000-0000B6000000}"/>
    <cellStyle name="Millares 2 2 3 2 2 2 2" xfId="148" xr:uid="{00000000-0005-0000-0000-0000B7000000}"/>
    <cellStyle name="Millares 2 2 3 2 2 2 2 2 2 2" xfId="501" xr:uid="{00000000-0005-0000-0000-0000B8000000}"/>
    <cellStyle name="Millares 2 2 3 2 2 2 2 2 2 2 2" xfId="8" xr:uid="{00000000-0005-0000-0000-0000B9000000}"/>
    <cellStyle name="Millares 2 2 3 2 2 2 2 2 2 2 2 2" xfId="503" xr:uid="{00000000-0005-0000-0000-0000BA000000}"/>
    <cellStyle name="Millares 2 2 3 2 2 2 2 2 3 2" xfId="441" xr:uid="{00000000-0005-0000-0000-0000BB000000}"/>
    <cellStyle name="Millares 2 2 3 2 2 2 2 4" xfId="505" xr:uid="{00000000-0005-0000-0000-0000BC000000}"/>
    <cellStyle name="Millares 2 2 3 2 2 3" xfId="149" xr:uid="{00000000-0005-0000-0000-0000BD000000}"/>
    <cellStyle name="Millares 2 2 3 2 2 4" xfId="150" xr:uid="{00000000-0005-0000-0000-0000BE000000}"/>
    <cellStyle name="Millares 2 2 3 2 3" xfId="151" xr:uid="{00000000-0005-0000-0000-0000BF000000}"/>
    <cellStyle name="Millares 2 2 3 2 3 2" xfId="152" xr:uid="{00000000-0005-0000-0000-0000C0000000}"/>
    <cellStyle name="Millares 2 2 3 2 4" xfId="153" xr:uid="{00000000-0005-0000-0000-0000C1000000}"/>
    <cellStyle name="Millares 2 2 3 3" xfId="154" xr:uid="{00000000-0005-0000-0000-0000C2000000}"/>
    <cellStyle name="Millares 2 2 3 3 2" xfId="155" xr:uid="{00000000-0005-0000-0000-0000C3000000}"/>
    <cellStyle name="Millares 2 2 3 3 2 2" xfId="156" xr:uid="{00000000-0005-0000-0000-0000C4000000}"/>
    <cellStyle name="Millares 2 2 3 3 3" xfId="157" xr:uid="{00000000-0005-0000-0000-0000C5000000}"/>
    <cellStyle name="Millares 2 2 3 3 4" xfId="158" xr:uid="{00000000-0005-0000-0000-0000C6000000}"/>
    <cellStyle name="Millares 2 2 3 4" xfId="159" xr:uid="{00000000-0005-0000-0000-0000C7000000}"/>
    <cellStyle name="Millares 2 2 3 4 2" xfId="160" xr:uid="{00000000-0005-0000-0000-0000C8000000}"/>
    <cellStyle name="Millares 2 2 3 4 2 2 2 2 2" xfId="499" xr:uid="{00000000-0005-0000-0000-0000C9000000}"/>
    <cellStyle name="Millares 2 2 3 4 3" xfId="18" xr:uid="{00000000-0005-0000-0000-0000CA000000}"/>
    <cellStyle name="Millares 2 2 3 5" xfId="161" xr:uid="{00000000-0005-0000-0000-0000CB000000}"/>
    <cellStyle name="Millares 2 2 3 6" xfId="162" xr:uid="{00000000-0005-0000-0000-0000CC000000}"/>
    <cellStyle name="Millares 2 2 3 7" xfId="163" xr:uid="{00000000-0005-0000-0000-0000CD000000}"/>
    <cellStyle name="Millares 2 2 4" xfId="164" xr:uid="{00000000-0005-0000-0000-0000CE000000}"/>
    <cellStyle name="Millares 2 2 4 2" xfId="165" xr:uid="{00000000-0005-0000-0000-0000CF000000}"/>
    <cellStyle name="Millares 2 2 4 2 2" xfId="166" xr:uid="{00000000-0005-0000-0000-0000D0000000}"/>
    <cellStyle name="Millares 2 2 4 2 2 2" xfId="167" xr:uid="{00000000-0005-0000-0000-0000D1000000}"/>
    <cellStyle name="Millares 2 2 4 2 3" xfId="168" xr:uid="{00000000-0005-0000-0000-0000D2000000}"/>
    <cellStyle name="Millares 2 2 4 3" xfId="169" xr:uid="{00000000-0005-0000-0000-0000D3000000}"/>
    <cellStyle name="Millares 2 2 4 3 2" xfId="170" xr:uid="{00000000-0005-0000-0000-0000D4000000}"/>
    <cellStyle name="Millares 2 2 4 4" xfId="171" xr:uid="{00000000-0005-0000-0000-0000D5000000}"/>
    <cellStyle name="Millares 2 2 4 5" xfId="172" xr:uid="{00000000-0005-0000-0000-0000D6000000}"/>
    <cellStyle name="Millares 2 2 4 6" xfId="173" xr:uid="{00000000-0005-0000-0000-0000D7000000}"/>
    <cellStyle name="Millares 2 2 4 7" xfId="174" xr:uid="{00000000-0005-0000-0000-0000D8000000}"/>
    <cellStyle name="Millares 2 2 5" xfId="175" xr:uid="{00000000-0005-0000-0000-0000D9000000}"/>
    <cellStyle name="Millares 2 2 5 2" xfId="176" xr:uid="{00000000-0005-0000-0000-0000DA000000}"/>
    <cellStyle name="Millares 2 2 5 2 2" xfId="177" xr:uid="{00000000-0005-0000-0000-0000DB000000}"/>
    <cellStyle name="Millares 2 2 5 3" xfId="178" xr:uid="{00000000-0005-0000-0000-0000DC000000}"/>
    <cellStyle name="Millares 2 2 5 4" xfId="179" xr:uid="{00000000-0005-0000-0000-0000DD000000}"/>
    <cellStyle name="Millares 2 2 6" xfId="180" xr:uid="{00000000-0005-0000-0000-0000DE000000}"/>
    <cellStyle name="Millares 2 2 6 2" xfId="181" xr:uid="{00000000-0005-0000-0000-0000DF000000}"/>
    <cellStyle name="Millares 2 2 6 2 2" xfId="182" xr:uid="{00000000-0005-0000-0000-0000E0000000}"/>
    <cellStyle name="Millares 2 2 6 3" xfId="183" xr:uid="{00000000-0005-0000-0000-0000E1000000}"/>
    <cellStyle name="Millares 2 2 6 3 2" xfId="184" xr:uid="{00000000-0005-0000-0000-0000E2000000}"/>
    <cellStyle name="Millares 2 2 6 4" xfId="185" xr:uid="{00000000-0005-0000-0000-0000E3000000}"/>
    <cellStyle name="Millares 2 2 7" xfId="186" xr:uid="{00000000-0005-0000-0000-0000E4000000}"/>
    <cellStyle name="Millares 2 2 7 2" xfId="187" xr:uid="{00000000-0005-0000-0000-0000E5000000}"/>
    <cellStyle name="Millares 2 2 8" xfId="188" xr:uid="{00000000-0005-0000-0000-0000E6000000}"/>
    <cellStyle name="Millares 2 2 8 2" xfId="189" xr:uid="{00000000-0005-0000-0000-0000E7000000}"/>
    <cellStyle name="Millares 2 2 8 3" xfId="190" xr:uid="{00000000-0005-0000-0000-0000E8000000}"/>
    <cellStyle name="Millares 2 2 9" xfId="191" xr:uid="{00000000-0005-0000-0000-0000E9000000}"/>
    <cellStyle name="Millares 2 2_13.02 (2)" xfId="192" xr:uid="{00000000-0005-0000-0000-0000EA000000}"/>
    <cellStyle name="Millares 2 3" xfId="193" xr:uid="{00000000-0005-0000-0000-0000EB000000}"/>
    <cellStyle name="Millares 2 3 2" xfId="194" xr:uid="{00000000-0005-0000-0000-0000EC000000}"/>
    <cellStyle name="Millares 2 3 2 2" xfId="195" xr:uid="{00000000-0005-0000-0000-0000ED000000}"/>
    <cellStyle name="Millares 2 3 2 2 2" xfId="196" xr:uid="{00000000-0005-0000-0000-0000EE000000}"/>
    <cellStyle name="Millares 2 3 2 2 2 2" xfId="197" xr:uid="{00000000-0005-0000-0000-0000EF000000}"/>
    <cellStyle name="Millares 2 3 2 2 2 2 2" xfId="198" xr:uid="{00000000-0005-0000-0000-0000F0000000}"/>
    <cellStyle name="Millares 2 3 2 2 2 3" xfId="199" xr:uid="{00000000-0005-0000-0000-0000F1000000}"/>
    <cellStyle name="Millares 2 3 2 2 2 4" xfId="535" xr:uid="{00000000-0005-0000-0000-0000F2000000}"/>
    <cellStyle name="Millares 2 3 2 2 3" xfId="200" xr:uid="{00000000-0005-0000-0000-0000F3000000}"/>
    <cellStyle name="Millares 2 3 2 2 3 2" xfId="201" xr:uid="{00000000-0005-0000-0000-0000F4000000}"/>
    <cellStyle name="Millares 2 3 2 2 4" xfId="202" xr:uid="{00000000-0005-0000-0000-0000F5000000}"/>
    <cellStyle name="Millares 2 3 2 2 5" xfId="529" xr:uid="{00000000-0005-0000-0000-0000F6000000}"/>
    <cellStyle name="Millares 2 3 2 3" xfId="203" xr:uid="{00000000-0005-0000-0000-0000F7000000}"/>
    <cellStyle name="Millares 2 3 2 3 2" xfId="204" xr:uid="{00000000-0005-0000-0000-0000F8000000}"/>
    <cellStyle name="Millares 2 3 2 3 2 2" xfId="205" xr:uid="{00000000-0005-0000-0000-0000F9000000}"/>
    <cellStyle name="Millares 2 3 2 3 3" xfId="206" xr:uid="{00000000-0005-0000-0000-0000FA000000}"/>
    <cellStyle name="Millares 2 3 2 3 3 2" xfId="207" xr:uid="{00000000-0005-0000-0000-0000FB000000}"/>
    <cellStyle name="Millares 2 3 2 3 4" xfId="208" xr:uid="{00000000-0005-0000-0000-0000FC000000}"/>
    <cellStyle name="Millares 2 3 2 3 5" xfId="532" xr:uid="{00000000-0005-0000-0000-0000FD000000}"/>
    <cellStyle name="Millares 2 3 2 4" xfId="209" xr:uid="{00000000-0005-0000-0000-0000FE000000}"/>
    <cellStyle name="Millares 2 3 2 4 2" xfId="210" xr:uid="{00000000-0005-0000-0000-0000FF000000}"/>
    <cellStyle name="Millares 2 3 2 5" xfId="211" xr:uid="{00000000-0005-0000-0000-000000010000}"/>
    <cellStyle name="Millares 2 3 2 6" xfId="212" xr:uid="{00000000-0005-0000-0000-000001010000}"/>
    <cellStyle name="Millares 2 3 2 7" xfId="525" xr:uid="{00000000-0005-0000-0000-000002010000}"/>
    <cellStyle name="Millares 2 3 3" xfId="213" xr:uid="{00000000-0005-0000-0000-000003010000}"/>
    <cellStyle name="Millares 2 3 3 2" xfId="214" xr:uid="{00000000-0005-0000-0000-000004010000}"/>
    <cellStyle name="Millares 2 3 3 2 2" xfId="215" xr:uid="{00000000-0005-0000-0000-000005010000}"/>
    <cellStyle name="Millares 2 3 3 2 2 2" xfId="216" xr:uid="{00000000-0005-0000-0000-000006010000}"/>
    <cellStyle name="Millares 2 3 3 2 3" xfId="217" xr:uid="{00000000-0005-0000-0000-000007010000}"/>
    <cellStyle name="Millares 2 3 3 2 4" xfId="533" xr:uid="{00000000-0005-0000-0000-000008010000}"/>
    <cellStyle name="Millares 2 3 3 3" xfId="218" xr:uid="{00000000-0005-0000-0000-000009010000}"/>
    <cellStyle name="Millares 2 3 3 3 2" xfId="219" xr:uid="{00000000-0005-0000-0000-00000A010000}"/>
    <cellStyle name="Millares 2 3 3 3 2 2" xfId="449" xr:uid="{00000000-0005-0000-0000-00000B010000}"/>
    <cellStyle name="Millares 2 3 3 3 3" xfId="448" xr:uid="{00000000-0005-0000-0000-00000C010000}"/>
    <cellStyle name="Millares 2 3 3 4" xfId="220" xr:uid="{00000000-0005-0000-0000-00000D010000}"/>
    <cellStyle name="Millares 2 3 3 5" xfId="221" xr:uid="{00000000-0005-0000-0000-00000E010000}"/>
    <cellStyle name="Millares 2 3 3 6" xfId="222" xr:uid="{00000000-0005-0000-0000-00000F010000}"/>
    <cellStyle name="Millares 2 3 3 7" xfId="223" xr:uid="{00000000-0005-0000-0000-000010010000}"/>
    <cellStyle name="Millares 2 3 3 8" xfId="527" xr:uid="{00000000-0005-0000-0000-000011010000}"/>
    <cellStyle name="Millares 2 3 4" xfId="224" xr:uid="{00000000-0005-0000-0000-000012010000}"/>
    <cellStyle name="Millares 2 3 4 2" xfId="225" xr:uid="{00000000-0005-0000-0000-000013010000}"/>
    <cellStyle name="Millares 2 3 4 2 2" xfId="226" xr:uid="{00000000-0005-0000-0000-000014010000}"/>
    <cellStyle name="Millares 2 3 4 3" xfId="227" xr:uid="{00000000-0005-0000-0000-000015010000}"/>
    <cellStyle name="Millares 2 3 4 3 2" xfId="228" xr:uid="{00000000-0005-0000-0000-000016010000}"/>
    <cellStyle name="Millares 2 3 4 4" xfId="229" xr:uid="{00000000-0005-0000-0000-000017010000}"/>
    <cellStyle name="Millares 2 3 4 5" xfId="530" xr:uid="{00000000-0005-0000-0000-000018010000}"/>
    <cellStyle name="Millares 2 3 5" xfId="230" xr:uid="{00000000-0005-0000-0000-000019010000}"/>
    <cellStyle name="Millares 2 3 5 2" xfId="231" xr:uid="{00000000-0005-0000-0000-00001A010000}"/>
    <cellStyle name="Millares 2 3 5 3" xfId="232" xr:uid="{00000000-0005-0000-0000-00001B010000}"/>
    <cellStyle name="Millares 2 3 6" xfId="233" xr:uid="{00000000-0005-0000-0000-00001C010000}"/>
    <cellStyle name="Millares 2 3 6 2" xfId="234" xr:uid="{00000000-0005-0000-0000-00001D010000}"/>
    <cellStyle name="Millares 2 3 7" xfId="235" xr:uid="{00000000-0005-0000-0000-00001E010000}"/>
    <cellStyle name="Millares 2 3 8" xfId="519" xr:uid="{00000000-0005-0000-0000-00001F010000}"/>
    <cellStyle name="Millares 2 3_13.02 (2)" xfId="236" xr:uid="{00000000-0005-0000-0000-000020010000}"/>
    <cellStyle name="Millares 2 4" xfId="237" xr:uid="{00000000-0005-0000-0000-000021010000}"/>
    <cellStyle name="Millares 2 4 2" xfId="238" xr:uid="{00000000-0005-0000-0000-000022010000}"/>
    <cellStyle name="Millares 2 4 2 2" xfId="534" xr:uid="{00000000-0005-0000-0000-000023010000}"/>
    <cellStyle name="Millares 2 4 2 3" xfId="528" xr:uid="{00000000-0005-0000-0000-000024010000}"/>
    <cellStyle name="Millares 2 4 3" xfId="239" xr:uid="{00000000-0005-0000-0000-000025010000}"/>
    <cellStyle name="Millares 2 4 3 2" xfId="450" xr:uid="{00000000-0005-0000-0000-000026010000}"/>
    <cellStyle name="Millares 2 4 3 3" xfId="531" xr:uid="{00000000-0005-0000-0000-000027010000}"/>
    <cellStyle name="Millares 2 4 4" xfId="526" xr:uid="{00000000-0005-0000-0000-000028010000}"/>
    <cellStyle name="Millares 2 5" xfId="240" xr:uid="{00000000-0005-0000-0000-000029010000}"/>
    <cellStyle name="Millares 2 5 2" xfId="515" xr:uid="{00000000-0005-0000-0000-00002A010000}"/>
    <cellStyle name="Millares 2 6" xfId="484" xr:uid="{00000000-0005-0000-0000-00002B010000}"/>
    <cellStyle name="Millares 2 6 2" xfId="523" xr:uid="{00000000-0005-0000-0000-00002C010000}"/>
    <cellStyle name="Millares 2 7" xfId="509" xr:uid="{00000000-0005-0000-0000-00002D010000}"/>
    <cellStyle name="Millares 2 8" xfId="537" xr:uid="{00000000-0005-0000-0000-00002E010000}"/>
    <cellStyle name="Millares 3" xfId="241" xr:uid="{00000000-0005-0000-0000-00002F010000}"/>
    <cellStyle name="Millares 3 2" xfId="242" xr:uid="{00000000-0005-0000-0000-000030010000}"/>
    <cellStyle name="Millares 3 2 2" xfId="243" xr:uid="{00000000-0005-0000-0000-000031010000}"/>
    <cellStyle name="Millares 3 2 2 2" xfId="244" xr:uid="{00000000-0005-0000-0000-000032010000}"/>
    <cellStyle name="Millares 3 3" xfId="245" xr:uid="{00000000-0005-0000-0000-000033010000}"/>
    <cellStyle name="Millares 3 4" xfId="246" xr:uid="{00000000-0005-0000-0000-000034010000}"/>
    <cellStyle name="Millares 3 5" xfId="451" xr:uid="{00000000-0005-0000-0000-000035010000}"/>
    <cellStyle name="Millares 3 6" xfId="485" xr:uid="{00000000-0005-0000-0000-000036010000}"/>
    <cellStyle name="Millares 4" xfId="247" xr:uid="{00000000-0005-0000-0000-000037010000}"/>
    <cellStyle name="Millares 4 2" xfId="248" xr:uid="{00000000-0005-0000-0000-000038010000}"/>
    <cellStyle name="Millares 4 2 2" xfId="249" xr:uid="{00000000-0005-0000-0000-000039010000}"/>
    <cellStyle name="Millares 4 3" xfId="250" xr:uid="{00000000-0005-0000-0000-00003A010000}"/>
    <cellStyle name="Millares 4 4" xfId="251" xr:uid="{00000000-0005-0000-0000-00003B010000}"/>
    <cellStyle name="Millares 5" xfId="252" xr:uid="{00000000-0005-0000-0000-00003C010000}"/>
    <cellStyle name="Millares 6" xfId="498" xr:uid="{00000000-0005-0000-0000-00003D010000}"/>
    <cellStyle name="Moneda" xfId="11" builtinId="4"/>
    <cellStyle name="Moneda 2" xfId="253" xr:uid="{00000000-0005-0000-0000-00003F010000}"/>
    <cellStyle name="Moneda 2 2" xfId="254" xr:uid="{00000000-0005-0000-0000-000040010000}"/>
    <cellStyle name="Moneda 3" xfId="255" xr:uid="{00000000-0005-0000-0000-000041010000}"/>
    <cellStyle name="Moneda 3 2" xfId="256" xr:uid="{00000000-0005-0000-0000-000042010000}"/>
    <cellStyle name="Moneda 3 2 2" xfId="257" xr:uid="{00000000-0005-0000-0000-000043010000}"/>
    <cellStyle name="Moneda 3 2 2 2" xfId="17" xr:uid="{00000000-0005-0000-0000-000044010000}"/>
    <cellStyle name="Moneda 3 2 2 2 2" xfId="258" xr:uid="{00000000-0005-0000-0000-000045010000}"/>
    <cellStyle name="Moneda 3 2 2 3" xfId="259" xr:uid="{00000000-0005-0000-0000-000046010000}"/>
    <cellStyle name="Moneda 3 2 3" xfId="260" xr:uid="{00000000-0005-0000-0000-000047010000}"/>
    <cellStyle name="Moneda 3 2 3 2" xfId="261" xr:uid="{00000000-0005-0000-0000-000048010000}"/>
    <cellStyle name="Moneda 3 2 4" xfId="262" xr:uid="{00000000-0005-0000-0000-000049010000}"/>
    <cellStyle name="Moneda 3 2 5" xfId="263" xr:uid="{00000000-0005-0000-0000-00004A010000}"/>
    <cellStyle name="Moneda 3 3" xfId="264" xr:uid="{00000000-0005-0000-0000-00004B010000}"/>
    <cellStyle name="Moneda 3 3 2" xfId="265" xr:uid="{00000000-0005-0000-0000-00004C010000}"/>
    <cellStyle name="Moneda 3 3 2 2" xfId="266" xr:uid="{00000000-0005-0000-0000-00004D010000}"/>
    <cellStyle name="Moneda 3 3 3" xfId="267" xr:uid="{00000000-0005-0000-0000-00004E010000}"/>
    <cellStyle name="Moneda 3 3 3 2" xfId="268" xr:uid="{00000000-0005-0000-0000-00004F010000}"/>
    <cellStyle name="Moneda 3 3 4" xfId="269" xr:uid="{00000000-0005-0000-0000-000050010000}"/>
    <cellStyle name="Moneda 3 4" xfId="270" xr:uid="{00000000-0005-0000-0000-000051010000}"/>
    <cellStyle name="Moneda 3 4 2" xfId="271" xr:uid="{00000000-0005-0000-0000-000052010000}"/>
    <cellStyle name="Moneda 3 5" xfId="272" xr:uid="{00000000-0005-0000-0000-000053010000}"/>
    <cellStyle name="Moneda 3 6" xfId="273" xr:uid="{00000000-0005-0000-0000-000054010000}"/>
    <cellStyle name="Moneda 4" xfId="274" xr:uid="{00000000-0005-0000-0000-000055010000}"/>
    <cellStyle name="Moneda 4 2" xfId="275" xr:uid="{00000000-0005-0000-0000-000056010000}"/>
    <cellStyle name="Moneda 6" xfId="504" xr:uid="{00000000-0005-0000-0000-000057010000}"/>
    <cellStyle name="Neutral 2" xfId="276" xr:uid="{00000000-0005-0000-0000-000058010000}"/>
    <cellStyle name="Neutral 2 2" xfId="486" xr:uid="{00000000-0005-0000-0000-000059010000}"/>
    <cellStyle name="Normal" xfId="0" builtinId="0"/>
    <cellStyle name="Normal 10" xfId="277" xr:uid="{00000000-0005-0000-0000-00005B010000}"/>
    <cellStyle name="Normal 10 2" xfId="2" xr:uid="{00000000-0005-0000-0000-00005C010000}"/>
    <cellStyle name="Normal 10 2 2" xfId="278" xr:uid="{00000000-0005-0000-0000-00005D010000}"/>
    <cellStyle name="Normal 10 2 3" xfId="279" xr:uid="{00000000-0005-0000-0000-00005E010000}"/>
    <cellStyle name="Normal 10 3" xfId="280" xr:uid="{00000000-0005-0000-0000-00005F010000}"/>
    <cellStyle name="Normal 10 3 2 3" xfId="452" xr:uid="{00000000-0005-0000-0000-000060010000}"/>
    <cellStyle name="Normal 11" xfId="281" xr:uid="{00000000-0005-0000-0000-000061010000}"/>
    <cellStyle name="Normal 11 2" xfId="282" xr:uid="{00000000-0005-0000-0000-000062010000}"/>
    <cellStyle name="Normal 11 3" xfId="283" xr:uid="{00000000-0005-0000-0000-000063010000}"/>
    <cellStyle name="Normal 12" xfId="284" xr:uid="{00000000-0005-0000-0000-000064010000}"/>
    <cellStyle name="Normal 13" xfId="285" xr:uid="{00000000-0005-0000-0000-000065010000}"/>
    <cellStyle name="Normal 14" xfId="286" xr:uid="{00000000-0005-0000-0000-000066010000}"/>
    <cellStyle name="Normal 15" xfId="436" xr:uid="{00000000-0005-0000-0000-000067010000}"/>
    <cellStyle name="Normal 16" xfId="3" xr:uid="{00000000-0005-0000-0000-000068010000}"/>
    <cellStyle name="Normal 16 2" xfId="551" xr:uid="{00000000-0005-0000-0000-000069010000}"/>
    <cellStyle name="Normal 17" xfId="500" xr:uid="{00000000-0005-0000-0000-00006A010000}"/>
    <cellStyle name="Normal 19" xfId="548" xr:uid="{00000000-0005-0000-0000-00006B010000}"/>
    <cellStyle name="Normal 2" xfId="287" xr:uid="{00000000-0005-0000-0000-00006C010000}"/>
    <cellStyle name="Normal 2 10" xfId="15" xr:uid="{00000000-0005-0000-0000-00006D010000}"/>
    <cellStyle name="Normal 2 2" xfId="1" xr:uid="{00000000-0005-0000-0000-00006E010000}"/>
    <cellStyle name="Normal 2 2 2" xfId="16" xr:uid="{00000000-0005-0000-0000-00006F010000}"/>
    <cellStyle name="Normal 2 2 3" xfId="288" xr:uid="{00000000-0005-0000-0000-000070010000}"/>
    <cellStyle name="Normal 2 2 4" xfId="289" xr:uid="{00000000-0005-0000-0000-000071010000}"/>
    <cellStyle name="Normal 2 2 5" xfId="290" xr:uid="{00000000-0005-0000-0000-000072010000}"/>
    <cellStyle name="Normal 2 2 6" xfId="291" xr:uid="{00000000-0005-0000-0000-000073010000}"/>
    <cellStyle name="Normal 2 2 6 2" xfId="547" xr:uid="{00000000-0005-0000-0000-000074010000}"/>
    <cellStyle name="Normal 2 2_PLANTILLA FINAL CON ANALISIS" xfId="292" xr:uid="{00000000-0005-0000-0000-000075010000}"/>
    <cellStyle name="Normal 2 3" xfId="7" xr:uid="{00000000-0005-0000-0000-000076010000}"/>
    <cellStyle name="Normal 2 3 2" xfId="293" xr:uid="{00000000-0005-0000-0000-000077010000}"/>
    <cellStyle name="Normal 2 3 2 2" xfId="294" xr:uid="{00000000-0005-0000-0000-000078010000}"/>
    <cellStyle name="Normal 2 3 2 2 2" xfId="295" xr:uid="{00000000-0005-0000-0000-000079010000}"/>
    <cellStyle name="Normal 2 3 2 2 3" xfId="296" xr:uid="{00000000-0005-0000-0000-00007A010000}"/>
    <cellStyle name="Normal 2 3 2 2 4" xfId="9" xr:uid="{00000000-0005-0000-0000-00007B010000}"/>
    <cellStyle name="Normal 2 3 2 3" xfId="297" xr:uid="{00000000-0005-0000-0000-00007C010000}"/>
    <cellStyle name="Normal 2 3 3" xfId="298" xr:uid="{00000000-0005-0000-0000-00007D010000}"/>
    <cellStyle name="Normal 2 3 3 2" xfId="299" xr:uid="{00000000-0005-0000-0000-00007E010000}"/>
    <cellStyle name="Normal 2 3 3 3" xfId="300" xr:uid="{00000000-0005-0000-0000-00007F010000}"/>
    <cellStyle name="Normal 2 3 4" xfId="301" xr:uid="{00000000-0005-0000-0000-000080010000}"/>
    <cellStyle name="Normal 2 3 5" xfId="302" xr:uid="{00000000-0005-0000-0000-000081010000}"/>
    <cellStyle name="Normal 2 3 6" xfId="303" xr:uid="{00000000-0005-0000-0000-000082010000}"/>
    <cellStyle name="Normal 2 4" xfId="304" xr:uid="{00000000-0005-0000-0000-000083010000}"/>
    <cellStyle name="Normal 2 4 2" xfId="305" xr:uid="{00000000-0005-0000-0000-000084010000}"/>
    <cellStyle name="Normal 2 5" xfId="306" xr:uid="{00000000-0005-0000-0000-000085010000}"/>
    <cellStyle name="Normal 2 6" xfId="307" xr:uid="{00000000-0005-0000-0000-000086010000}"/>
    <cellStyle name="Normal 2 7" xfId="308" xr:uid="{00000000-0005-0000-0000-000087010000}"/>
    <cellStyle name="Normal 2 8" xfId="309" xr:uid="{00000000-0005-0000-0000-000088010000}"/>
    <cellStyle name="Normal 2 9" xfId="310" xr:uid="{00000000-0005-0000-0000-000089010000}"/>
    <cellStyle name="Normal 2_13.02 (2)" xfId="311" xr:uid="{00000000-0005-0000-0000-00008A010000}"/>
    <cellStyle name="Normal 3" xfId="6" xr:uid="{00000000-0005-0000-0000-00008B010000}"/>
    <cellStyle name="Normal 3 2" xfId="312" xr:uid="{00000000-0005-0000-0000-00008C010000}"/>
    <cellStyle name="Normal 3 2 2" xfId="313" xr:uid="{00000000-0005-0000-0000-00008D010000}"/>
    <cellStyle name="Normal 3 2 2 2" xfId="314" xr:uid="{00000000-0005-0000-0000-00008E010000}"/>
    <cellStyle name="Normal 3 2 2 2 2" xfId="315" xr:uid="{00000000-0005-0000-0000-00008F010000}"/>
    <cellStyle name="Normal 3 2 2 2 3" xfId="316" xr:uid="{00000000-0005-0000-0000-000090010000}"/>
    <cellStyle name="Normal 3 2 2 3" xfId="317" xr:uid="{00000000-0005-0000-0000-000091010000}"/>
    <cellStyle name="Normal 3 2 3" xfId="318" xr:uid="{00000000-0005-0000-0000-000092010000}"/>
    <cellStyle name="Normal 3 2 4" xfId="319" xr:uid="{00000000-0005-0000-0000-000093010000}"/>
    <cellStyle name="Normal 3 2 5" xfId="510" xr:uid="{00000000-0005-0000-0000-000094010000}"/>
    <cellStyle name="Normal 3 3" xfId="320" xr:uid="{00000000-0005-0000-0000-000095010000}"/>
    <cellStyle name="Normal 3 3 2" xfId="321" xr:uid="{00000000-0005-0000-0000-000096010000}"/>
    <cellStyle name="Normal 3 3 2 2" xfId="322" xr:uid="{00000000-0005-0000-0000-000097010000}"/>
    <cellStyle name="Normal 3 3 2 3" xfId="323" xr:uid="{00000000-0005-0000-0000-000098010000}"/>
    <cellStyle name="Normal 3 3 2 5" xfId="13" xr:uid="{00000000-0005-0000-0000-000099010000}"/>
    <cellStyle name="Normal 3 3 3" xfId="324" xr:uid="{00000000-0005-0000-0000-00009A010000}"/>
    <cellStyle name="Normal 3 4" xfId="325" xr:uid="{00000000-0005-0000-0000-00009B010000}"/>
    <cellStyle name="Normal 3 4 2" xfId="10" xr:uid="{00000000-0005-0000-0000-00009C010000}"/>
    <cellStyle name="Normal 3 4 2 2" xfId="442" xr:uid="{00000000-0005-0000-0000-00009D010000}"/>
    <cellStyle name="Normal 3 4 2 2 2" xfId="549" xr:uid="{00000000-0005-0000-0000-00009E010000}"/>
    <cellStyle name="Normal 3 4 2 4" xfId="14" xr:uid="{00000000-0005-0000-0000-00009F010000}"/>
    <cellStyle name="Normal 3 4 2 5" xfId="550" xr:uid="{00000000-0005-0000-0000-0000A0010000}"/>
    <cellStyle name="Normal 3 4 3" xfId="326" xr:uid="{00000000-0005-0000-0000-0000A1010000}"/>
    <cellStyle name="Normal 3 5" xfId="487" xr:uid="{00000000-0005-0000-0000-0000A2010000}"/>
    <cellStyle name="Normal 3 6" xfId="327" xr:uid="{00000000-0005-0000-0000-0000A3010000}"/>
    <cellStyle name="Normal 4" xfId="328" xr:uid="{00000000-0005-0000-0000-0000A4010000}"/>
    <cellStyle name="Normal 4 2" xfId="329" xr:uid="{00000000-0005-0000-0000-0000A5010000}"/>
    <cellStyle name="Normal 4 3" xfId="330" xr:uid="{00000000-0005-0000-0000-0000A6010000}"/>
    <cellStyle name="Normal 4 3 2" xfId="331" xr:uid="{00000000-0005-0000-0000-0000A7010000}"/>
    <cellStyle name="Normal 4 3 2 2" xfId="332" xr:uid="{00000000-0005-0000-0000-0000A8010000}"/>
    <cellStyle name="Normal 4 3 2 3" xfId="333" xr:uid="{00000000-0005-0000-0000-0000A9010000}"/>
    <cellStyle name="Normal 4 3 3" xfId="334" xr:uid="{00000000-0005-0000-0000-0000AA010000}"/>
    <cellStyle name="Normal 4 3 4" xfId="514" xr:uid="{00000000-0005-0000-0000-0000AB010000}"/>
    <cellStyle name="Normal 4 4" xfId="335" xr:uid="{00000000-0005-0000-0000-0000AC010000}"/>
    <cellStyle name="Normal 4 5" xfId="488" xr:uid="{00000000-0005-0000-0000-0000AD010000}"/>
    <cellStyle name="Normal 5" xfId="336" xr:uid="{00000000-0005-0000-0000-0000AE010000}"/>
    <cellStyle name="Normal 5 2" xfId="337" xr:uid="{00000000-0005-0000-0000-0000AF010000}"/>
    <cellStyle name="Normal 5 2 2" xfId="338" xr:uid="{00000000-0005-0000-0000-0000B0010000}"/>
    <cellStyle name="Normal 5 3" xfId="339" xr:uid="{00000000-0005-0000-0000-0000B1010000}"/>
    <cellStyle name="Normal 5 3 2" xfId="340" xr:uid="{00000000-0005-0000-0000-0000B2010000}"/>
    <cellStyle name="Normal 5 3 3" xfId="341" xr:uid="{00000000-0005-0000-0000-0000B3010000}"/>
    <cellStyle name="Normal 5 3 4" xfId="342" xr:uid="{00000000-0005-0000-0000-0000B4010000}"/>
    <cellStyle name="Normal 5 3 5" xfId="343" xr:uid="{00000000-0005-0000-0000-0000B5010000}"/>
    <cellStyle name="Normal 5 4" xfId="344" xr:uid="{00000000-0005-0000-0000-0000B6010000}"/>
    <cellStyle name="Normal 5 4 2" xfId="345" xr:uid="{00000000-0005-0000-0000-0000B7010000}"/>
    <cellStyle name="Normal 5 5" xfId="346" xr:uid="{00000000-0005-0000-0000-0000B8010000}"/>
    <cellStyle name="Normal 5 5 2" xfId="347" xr:uid="{00000000-0005-0000-0000-0000B9010000}"/>
    <cellStyle name="Normal 5 6" xfId="348" xr:uid="{00000000-0005-0000-0000-0000BA010000}"/>
    <cellStyle name="Normal 5 7" xfId="349" xr:uid="{00000000-0005-0000-0000-0000BB010000}"/>
    <cellStyle name="Normal 6" xfId="350" xr:uid="{00000000-0005-0000-0000-0000BC010000}"/>
    <cellStyle name="Normal 6 2" xfId="351" xr:uid="{00000000-0005-0000-0000-0000BD010000}"/>
    <cellStyle name="Normal 6 3" xfId="352" xr:uid="{00000000-0005-0000-0000-0000BE010000}"/>
    <cellStyle name="Normal 6 3 2" xfId="353" xr:uid="{00000000-0005-0000-0000-0000BF010000}"/>
    <cellStyle name="Normal 6 3 2 2" xfId="354" xr:uid="{00000000-0005-0000-0000-0000C0010000}"/>
    <cellStyle name="Normal 6 3 3" xfId="355" xr:uid="{00000000-0005-0000-0000-0000C1010000}"/>
    <cellStyle name="Normal 6 3 3 2" xfId="356" xr:uid="{00000000-0005-0000-0000-0000C2010000}"/>
    <cellStyle name="Normal 6 3 4" xfId="357" xr:uid="{00000000-0005-0000-0000-0000C3010000}"/>
    <cellStyle name="Normal 6 4" xfId="358" xr:uid="{00000000-0005-0000-0000-0000C4010000}"/>
    <cellStyle name="Normal 6 5" xfId="359" xr:uid="{00000000-0005-0000-0000-0000C5010000}"/>
    <cellStyle name="Normal 7" xfId="360" xr:uid="{00000000-0005-0000-0000-0000C6010000}"/>
    <cellStyle name="Normal 7 2" xfId="361" xr:uid="{00000000-0005-0000-0000-0000C7010000}"/>
    <cellStyle name="Normal 7 3" xfId="362" xr:uid="{00000000-0005-0000-0000-0000C8010000}"/>
    <cellStyle name="Normal 7 4" xfId="363" xr:uid="{00000000-0005-0000-0000-0000C9010000}"/>
    <cellStyle name="Normal 7 5" xfId="364" xr:uid="{00000000-0005-0000-0000-0000CA010000}"/>
    <cellStyle name="Normal 8" xfId="365" xr:uid="{00000000-0005-0000-0000-0000CB010000}"/>
    <cellStyle name="Normal 8 2" xfId="366" xr:uid="{00000000-0005-0000-0000-0000CC010000}"/>
    <cellStyle name="Normal 8 2 2" xfId="367" xr:uid="{00000000-0005-0000-0000-0000CD010000}"/>
    <cellStyle name="Normal 8 2 3" xfId="368" xr:uid="{00000000-0005-0000-0000-0000CE010000}"/>
    <cellStyle name="Normal 8 3" xfId="369" xr:uid="{00000000-0005-0000-0000-0000CF010000}"/>
    <cellStyle name="Normal 9" xfId="370" xr:uid="{00000000-0005-0000-0000-0000D0010000}"/>
    <cellStyle name="Normal 9 2" xfId="371" xr:uid="{00000000-0005-0000-0000-0000D1010000}"/>
    <cellStyle name="Normal 9 2 2" xfId="372" xr:uid="{00000000-0005-0000-0000-0000D2010000}"/>
    <cellStyle name="Normal 9 2 3" xfId="373" xr:uid="{00000000-0005-0000-0000-0000D3010000}"/>
    <cellStyle name="Normal 9 3" xfId="374" xr:uid="{00000000-0005-0000-0000-0000D4010000}"/>
    <cellStyle name="Normal 9 4" xfId="375" xr:uid="{00000000-0005-0000-0000-0000D5010000}"/>
    <cellStyle name="Normal 9 5" xfId="376" xr:uid="{00000000-0005-0000-0000-0000D6010000}"/>
    <cellStyle name="Normal_STOCK ALMACEN 2009" xfId="12" xr:uid="{00000000-0005-0000-0000-0000D7010000}"/>
    <cellStyle name="Notas 2" xfId="377" xr:uid="{00000000-0005-0000-0000-0000D8010000}"/>
    <cellStyle name="Notas 2 2" xfId="489" xr:uid="{00000000-0005-0000-0000-0000D9010000}"/>
    <cellStyle name="Notas 2 2 2" xfId="518" xr:uid="{00000000-0005-0000-0000-0000DA010000}"/>
    <cellStyle name="Notas 2 2 3" xfId="543" xr:uid="{00000000-0005-0000-0000-0000DB010000}"/>
    <cellStyle name="Notas 2 3" xfId="511" xr:uid="{00000000-0005-0000-0000-0000DC010000}"/>
    <cellStyle name="Notas 2 4" xfId="538" xr:uid="{00000000-0005-0000-0000-0000DD010000}"/>
    <cellStyle name="Porcentaje 2" xfId="490" xr:uid="{00000000-0005-0000-0000-0000DE010000}"/>
    <cellStyle name="Porcentaje 3" xfId="491" xr:uid="{00000000-0005-0000-0000-0000DF010000}"/>
    <cellStyle name="Porcentaje 4" xfId="502" xr:uid="{00000000-0005-0000-0000-0000E0010000}"/>
    <cellStyle name="Porcentual 2" xfId="378" xr:uid="{00000000-0005-0000-0000-0000E1010000}"/>
    <cellStyle name="Porcentual 2 2" xfId="379" xr:uid="{00000000-0005-0000-0000-0000E2010000}"/>
    <cellStyle name="Porcentual 3" xfId="380" xr:uid="{00000000-0005-0000-0000-0000E3010000}"/>
    <cellStyle name="Salida 2" xfId="381" xr:uid="{00000000-0005-0000-0000-0000E4010000}"/>
    <cellStyle name="Salida 2 2" xfId="492" xr:uid="{00000000-0005-0000-0000-0000E5010000}"/>
    <cellStyle name="Salida 2 2 2" xfId="521" xr:uid="{00000000-0005-0000-0000-0000E6010000}"/>
    <cellStyle name="Salida 2 2 3" xfId="544" xr:uid="{00000000-0005-0000-0000-0000E7010000}"/>
    <cellStyle name="Salida 2 3" xfId="512" xr:uid="{00000000-0005-0000-0000-0000E8010000}"/>
    <cellStyle name="Salida 2 4" xfId="539" xr:uid="{00000000-0005-0000-0000-0000E9010000}"/>
    <cellStyle name="Texto de advertencia 2" xfId="382" xr:uid="{00000000-0005-0000-0000-0000EA010000}"/>
    <cellStyle name="Texto explicativo 2" xfId="383" xr:uid="{00000000-0005-0000-0000-0000EB010000}"/>
    <cellStyle name="Título 1 2" xfId="384" xr:uid="{00000000-0005-0000-0000-0000EC010000}"/>
    <cellStyle name="Título 1 2 2" xfId="493" xr:uid="{00000000-0005-0000-0000-0000ED010000}"/>
    <cellStyle name="Título 2 2" xfId="385" xr:uid="{00000000-0005-0000-0000-0000EE010000}"/>
    <cellStyle name="Título 2 2 2" xfId="494" xr:uid="{00000000-0005-0000-0000-0000EF010000}"/>
    <cellStyle name="Título 3 2" xfId="386" xr:uid="{00000000-0005-0000-0000-0000F0010000}"/>
    <cellStyle name="Título 3 2 2" xfId="495" xr:uid="{00000000-0005-0000-0000-0000F1010000}"/>
    <cellStyle name="Título 4" xfId="387" xr:uid="{00000000-0005-0000-0000-0000F2010000}"/>
    <cellStyle name="Título 4 2" xfId="496" xr:uid="{00000000-0005-0000-0000-0000F3010000}"/>
    <cellStyle name="Total 2" xfId="388" xr:uid="{00000000-0005-0000-0000-0000F4010000}"/>
    <cellStyle name="Total 2 2" xfId="497" xr:uid="{00000000-0005-0000-0000-0000F5010000}"/>
    <cellStyle name="Total 2 2 2" xfId="524" xr:uid="{00000000-0005-0000-0000-0000F6010000}"/>
    <cellStyle name="Total 2 2 3" xfId="545" xr:uid="{00000000-0005-0000-0000-0000F7010000}"/>
    <cellStyle name="Total 2 3" xfId="513" xr:uid="{00000000-0005-0000-0000-0000F8010000}"/>
    <cellStyle name="Total 2 4" xfId="540" xr:uid="{00000000-0005-0000-0000-0000F9010000}"/>
    <cellStyle name="好" xfId="389" xr:uid="{00000000-0005-0000-0000-0000FA010000}"/>
    <cellStyle name="好 2" xfId="390" xr:uid="{00000000-0005-0000-0000-0000FB010000}"/>
    <cellStyle name="差" xfId="391" xr:uid="{00000000-0005-0000-0000-0000FC010000}"/>
    <cellStyle name="差 2" xfId="392" xr:uid="{00000000-0005-0000-0000-0000FD010000}"/>
    <cellStyle name="常规_Sheet1" xfId="393" xr:uid="{00000000-0005-0000-0000-0000FE010000}"/>
    <cellStyle name="强调文字颜色 1" xfId="394" xr:uid="{00000000-0005-0000-0000-0000FF010000}"/>
    <cellStyle name="强调文字颜色 1 2" xfId="395" xr:uid="{00000000-0005-0000-0000-000000020000}"/>
    <cellStyle name="强调文字颜色 2" xfId="396" xr:uid="{00000000-0005-0000-0000-000001020000}"/>
    <cellStyle name="强调文字颜色 2 2" xfId="397" xr:uid="{00000000-0005-0000-0000-000002020000}"/>
    <cellStyle name="强调文字颜色 3" xfId="398" xr:uid="{00000000-0005-0000-0000-000003020000}"/>
    <cellStyle name="强调文字颜色 3 2" xfId="399" xr:uid="{00000000-0005-0000-0000-000004020000}"/>
    <cellStyle name="强调文字颜色 4" xfId="400" xr:uid="{00000000-0005-0000-0000-000005020000}"/>
    <cellStyle name="强调文字颜色 4 2" xfId="401" xr:uid="{00000000-0005-0000-0000-000006020000}"/>
    <cellStyle name="强调文字颜色 5" xfId="402" xr:uid="{00000000-0005-0000-0000-000007020000}"/>
    <cellStyle name="强调文字颜色 5 2" xfId="403" xr:uid="{00000000-0005-0000-0000-000008020000}"/>
    <cellStyle name="强调文字颜色 6" xfId="404" xr:uid="{00000000-0005-0000-0000-000009020000}"/>
    <cellStyle name="强调文字颜色 6 2" xfId="405" xr:uid="{00000000-0005-0000-0000-00000A020000}"/>
    <cellStyle name="标题" xfId="406" xr:uid="{00000000-0005-0000-0000-00000B020000}"/>
    <cellStyle name="标题 1" xfId="407" xr:uid="{00000000-0005-0000-0000-00000C020000}"/>
    <cellStyle name="标题 1 2" xfId="408" xr:uid="{00000000-0005-0000-0000-00000D020000}"/>
    <cellStyle name="标题 2" xfId="409" xr:uid="{00000000-0005-0000-0000-00000E020000}"/>
    <cellStyle name="标题 2 2" xfId="410" xr:uid="{00000000-0005-0000-0000-00000F020000}"/>
    <cellStyle name="标题 3" xfId="411" xr:uid="{00000000-0005-0000-0000-000010020000}"/>
    <cellStyle name="标题 3 2" xfId="412" xr:uid="{00000000-0005-0000-0000-000011020000}"/>
    <cellStyle name="标题 4" xfId="413" xr:uid="{00000000-0005-0000-0000-000012020000}"/>
    <cellStyle name="标题 4 2" xfId="414" xr:uid="{00000000-0005-0000-0000-000013020000}"/>
    <cellStyle name="标题 5" xfId="415" xr:uid="{00000000-0005-0000-0000-000014020000}"/>
    <cellStyle name="检查单元格" xfId="416" xr:uid="{00000000-0005-0000-0000-000015020000}"/>
    <cellStyle name="检查单元格 2" xfId="417" xr:uid="{00000000-0005-0000-0000-000016020000}"/>
    <cellStyle name="汇总" xfId="418" xr:uid="{00000000-0005-0000-0000-000017020000}"/>
    <cellStyle name="汇总 2" xfId="419" xr:uid="{00000000-0005-0000-0000-000018020000}"/>
    <cellStyle name="注释" xfId="420" xr:uid="{00000000-0005-0000-0000-000019020000}"/>
    <cellStyle name="注释 2" xfId="421" xr:uid="{00000000-0005-0000-0000-00001A020000}"/>
    <cellStyle name="解释性文本" xfId="422" xr:uid="{00000000-0005-0000-0000-00001B020000}"/>
    <cellStyle name="解释性文本 2" xfId="423" xr:uid="{00000000-0005-0000-0000-00001C020000}"/>
    <cellStyle name="警告文本" xfId="424" xr:uid="{00000000-0005-0000-0000-00001D020000}"/>
    <cellStyle name="警告文本 2" xfId="425" xr:uid="{00000000-0005-0000-0000-00001E020000}"/>
    <cellStyle name="计算" xfId="426" xr:uid="{00000000-0005-0000-0000-00001F020000}"/>
    <cellStyle name="计算 2" xfId="427" xr:uid="{00000000-0005-0000-0000-000020020000}"/>
    <cellStyle name="输入" xfId="428" xr:uid="{00000000-0005-0000-0000-000021020000}"/>
    <cellStyle name="输入 2" xfId="429" xr:uid="{00000000-0005-0000-0000-000022020000}"/>
    <cellStyle name="输出" xfId="430" xr:uid="{00000000-0005-0000-0000-000023020000}"/>
    <cellStyle name="输出 2" xfId="431" xr:uid="{00000000-0005-0000-0000-000024020000}"/>
    <cellStyle name="适中" xfId="432" xr:uid="{00000000-0005-0000-0000-000025020000}"/>
    <cellStyle name="适中 2" xfId="433" xr:uid="{00000000-0005-0000-0000-000026020000}"/>
    <cellStyle name="链接单元格" xfId="434" xr:uid="{00000000-0005-0000-0000-000027020000}"/>
    <cellStyle name="链接单元格 2" xfId="435" xr:uid="{00000000-0005-0000-0000-000028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jpe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jpe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377032</xdr:colOff>
      <xdr:row>2</xdr:row>
      <xdr:rowOff>257969</xdr:rowOff>
    </xdr:from>
    <xdr:ext cx="2637870" cy="3333749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2682" y="1420019"/>
          <a:ext cx="2637870" cy="3333749"/>
        </a:xfrm>
        <a:prstGeom prst="rect">
          <a:avLst/>
        </a:prstGeom>
      </xdr:spPr>
    </xdr:pic>
    <xdr:clientData/>
  </xdr:oneCellAnchor>
  <xdr:oneCellAnchor>
    <xdr:from>
      <xdr:col>4</xdr:col>
      <xdr:colOff>754063</xdr:colOff>
      <xdr:row>5</xdr:row>
      <xdr:rowOff>138907</xdr:rowOff>
    </xdr:from>
    <xdr:ext cx="1789984" cy="2262188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9713" y="6482557"/>
          <a:ext cx="1789984" cy="2262188"/>
        </a:xfrm>
        <a:prstGeom prst="rect">
          <a:avLst/>
        </a:prstGeom>
      </xdr:spPr>
    </xdr:pic>
    <xdr:clientData/>
  </xdr:oneCellAnchor>
  <xdr:oneCellAnchor>
    <xdr:from>
      <xdr:col>4</xdr:col>
      <xdr:colOff>754063</xdr:colOff>
      <xdr:row>6</xdr:row>
      <xdr:rowOff>59531</xdr:rowOff>
    </xdr:from>
    <xdr:ext cx="1885156" cy="2386273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9713" y="9108281"/>
          <a:ext cx="1885156" cy="2386273"/>
        </a:xfrm>
        <a:prstGeom prst="rect">
          <a:avLst/>
        </a:prstGeom>
      </xdr:spPr>
    </xdr:pic>
    <xdr:clientData/>
  </xdr:oneCellAnchor>
  <xdr:twoCellAnchor editAs="oneCell">
    <xdr:from>
      <xdr:col>4</xdr:col>
      <xdr:colOff>119063</xdr:colOff>
      <xdr:row>7</xdr:row>
      <xdr:rowOff>436562</xdr:rowOff>
    </xdr:from>
    <xdr:to>
      <xdr:col>4</xdr:col>
      <xdr:colOff>3335709</xdr:colOff>
      <xdr:row>7</xdr:row>
      <xdr:rowOff>4623593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14713" y="12447587"/>
          <a:ext cx="3216646" cy="4187031"/>
        </a:xfrm>
        <a:prstGeom prst="rect">
          <a:avLst/>
        </a:prstGeom>
      </xdr:spPr>
    </xdr:pic>
    <xdr:clientData/>
  </xdr:twoCellAnchor>
  <xdr:twoCellAnchor editAs="oneCell">
    <xdr:from>
      <xdr:col>4</xdr:col>
      <xdr:colOff>1316902</xdr:colOff>
      <xdr:row>9</xdr:row>
      <xdr:rowOff>528566</xdr:rowOff>
    </xdr:from>
    <xdr:to>
      <xdr:col>4</xdr:col>
      <xdr:colOff>3174999</xdr:colOff>
      <xdr:row>10</xdr:row>
      <xdr:rowOff>2226651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6447" y="18106521"/>
          <a:ext cx="1858097" cy="2737176"/>
        </a:xfrm>
        <a:prstGeom prst="rect">
          <a:avLst/>
        </a:prstGeom>
      </xdr:spPr>
    </xdr:pic>
    <xdr:clientData/>
  </xdr:twoCellAnchor>
  <xdr:twoCellAnchor editAs="oneCell">
    <xdr:from>
      <xdr:col>4</xdr:col>
      <xdr:colOff>941677</xdr:colOff>
      <xdr:row>14</xdr:row>
      <xdr:rowOff>708964</xdr:rowOff>
    </xdr:from>
    <xdr:to>
      <xdr:col>4</xdr:col>
      <xdr:colOff>2826833</xdr:colOff>
      <xdr:row>14</xdr:row>
      <xdr:rowOff>2626592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1222" y="26022373"/>
          <a:ext cx="1885156" cy="1917628"/>
        </a:xfrm>
        <a:prstGeom prst="rect">
          <a:avLst/>
        </a:prstGeom>
      </xdr:spPr>
    </xdr:pic>
    <xdr:clientData/>
  </xdr:twoCellAnchor>
  <xdr:twoCellAnchor editAs="oneCell">
    <xdr:from>
      <xdr:col>4</xdr:col>
      <xdr:colOff>853281</xdr:colOff>
      <xdr:row>13</xdr:row>
      <xdr:rowOff>79375</xdr:rowOff>
    </xdr:from>
    <xdr:to>
      <xdr:col>4</xdr:col>
      <xdr:colOff>2478538</xdr:colOff>
      <xdr:row>13</xdr:row>
      <xdr:rowOff>2294659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12826" y="22694034"/>
          <a:ext cx="1625257" cy="2215284"/>
        </a:xfrm>
        <a:prstGeom prst="rect">
          <a:avLst/>
        </a:prstGeom>
      </xdr:spPr>
    </xdr:pic>
    <xdr:clientData/>
  </xdr:twoCellAnchor>
  <xdr:twoCellAnchor editAs="oneCell">
    <xdr:from>
      <xdr:col>4</xdr:col>
      <xdr:colOff>972344</xdr:colOff>
      <xdr:row>18</xdr:row>
      <xdr:rowOff>138905</xdr:rowOff>
    </xdr:from>
    <xdr:to>
      <xdr:col>4</xdr:col>
      <xdr:colOff>2507040</xdr:colOff>
      <xdr:row>18</xdr:row>
      <xdr:rowOff>2453409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31889" y="29911746"/>
          <a:ext cx="1534696" cy="2314504"/>
        </a:xfrm>
        <a:prstGeom prst="rect">
          <a:avLst/>
        </a:prstGeom>
      </xdr:spPr>
    </xdr:pic>
    <xdr:clientData/>
  </xdr:twoCellAnchor>
  <xdr:twoCellAnchor editAs="oneCell">
    <xdr:from>
      <xdr:col>11</xdr:col>
      <xdr:colOff>337343</xdr:colOff>
      <xdr:row>19</xdr:row>
      <xdr:rowOff>744516</xdr:rowOff>
    </xdr:from>
    <xdr:to>
      <xdr:col>12</xdr:col>
      <xdr:colOff>620247</xdr:colOff>
      <xdr:row>19</xdr:row>
      <xdr:rowOff>1973653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89729" y="33216107"/>
          <a:ext cx="1047790" cy="1229137"/>
        </a:xfrm>
        <a:prstGeom prst="rect">
          <a:avLst/>
        </a:prstGeom>
      </xdr:spPr>
    </xdr:pic>
    <xdr:clientData/>
  </xdr:twoCellAnchor>
  <xdr:twoCellAnchor editAs="oneCell">
    <xdr:from>
      <xdr:col>4</xdr:col>
      <xdr:colOff>416719</xdr:colOff>
      <xdr:row>19</xdr:row>
      <xdr:rowOff>178594</xdr:rowOff>
    </xdr:from>
    <xdr:to>
      <xdr:col>4</xdr:col>
      <xdr:colOff>1616719</xdr:colOff>
      <xdr:row>19</xdr:row>
      <xdr:rowOff>1940499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12369" y="32058769"/>
          <a:ext cx="1200000" cy="17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1726406</xdr:colOff>
      <xdr:row>19</xdr:row>
      <xdr:rowOff>257969</xdr:rowOff>
    </xdr:from>
    <xdr:to>
      <xdr:col>4</xdr:col>
      <xdr:colOff>3069263</xdr:colOff>
      <xdr:row>19</xdr:row>
      <xdr:rowOff>1962731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22056" y="32138144"/>
          <a:ext cx="1342857" cy="17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2480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254375" y="13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6249650" y="1169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31</xdr:row>
      <xdr:rowOff>0</xdr:rowOff>
    </xdr:from>
    <xdr:to>
      <xdr:col>4</xdr:col>
      <xdr:colOff>304800</xdr:colOff>
      <xdr:row>31</xdr:row>
      <xdr:rowOff>304800</xdr:rowOff>
    </xdr:to>
    <xdr:sp macro="" textlink="">
      <xdr:nvSpPr>
        <xdr:cNvPr id="5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428875" y="1169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31</xdr:row>
      <xdr:rowOff>304800</xdr:rowOff>
    </xdr:to>
    <xdr:sp macro="" textlink="">
      <xdr:nvSpPr>
        <xdr:cNvPr id="7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6249650" y="1169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11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9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11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1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11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2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11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404363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404363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5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404363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6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404363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7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404363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636198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636198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2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636198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636198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2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636198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1301150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1301150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29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1301150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0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2839528" y="1301150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31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5096226" y="1301150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64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0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1864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9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64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20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1864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22805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22805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37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22805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38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22805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39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22805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2963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2963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4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2963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2963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4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2963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0409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0409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50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10409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1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0409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52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5008679" y="104094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1870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5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1870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5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1870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56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1870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9856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9856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60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29856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1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9856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62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29856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324369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324369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027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324369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028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324369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029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324369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76398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76398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03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276398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103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76398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31</xdr:row>
      <xdr:rowOff>0</xdr:rowOff>
    </xdr:from>
    <xdr:ext cx="304800" cy="304800"/>
    <xdr:sp macro="" textlink="">
      <xdr:nvSpPr>
        <xdr:cNvPr id="103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5326591" y="276398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114301</xdr:rowOff>
    </xdr:to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2752725" y="46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114301</xdr:rowOff>
    </xdr:to>
    <xdr:sp macro="" textlink="">
      <xdr:nvSpPr>
        <xdr:cNvPr id="1039" name="AutoShape 3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2752725" y="46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114301</xdr:rowOff>
    </xdr:to>
    <xdr:sp macro="" textlink="">
      <xdr:nvSpPr>
        <xdr:cNvPr id="1040" name="AutoShape 4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667500" y="46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848591</xdr:colOff>
      <xdr:row>31</xdr:row>
      <xdr:rowOff>121226</xdr:rowOff>
    </xdr:from>
    <xdr:to>
      <xdr:col>4</xdr:col>
      <xdr:colOff>2372804</xdr:colOff>
      <xdr:row>31</xdr:row>
      <xdr:rowOff>2093176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229590"/>
          <a:ext cx="1524213" cy="1971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304800</xdr:colOff>
      <xdr:row>41</xdr:row>
      <xdr:rowOff>114299</xdr:rowOff>
    </xdr:to>
    <xdr:sp macro="" textlink="">
      <xdr:nvSpPr>
        <xdr:cNvPr id="1047" name="AutoShape 5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9077325" y="108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290912</xdr:colOff>
      <xdr:row>32</xdr:row>
      <xdr:rowOff>360513</xdr:rowOff>
    </xdr:from>
    <xdr:to>
      <xdr:col>4</xdr:col>
      <xdr:colOff>2688016</xdr:colOff>
      <xdr:row>32</xdr:row>
      <xdr:rowOff>3166057</xdr:rowOff>
    </xdr:to>
    <xdr:pic>
      <xdr:nvPicPr>
        <xdr:cNvPr id="1048" name="Imagen 1047" descr="BUZO POLAR CUELLO ALTO CON CIERRE - FADI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2" b="25238"/>
        <a:stretch/>
      </xdr:blipFill>
      <xdr:spPr bwMode="auto">
        <a:xfrm>
          <a:off x="3041088" y="3808295"/>
          <a:ext cx="2397104" cy="2805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432954</xdr:colOff>
      <xdr:row>34</xdr:row>
      <xdr:rowOff>450272</xdr:rowOff>
    </xdr:from>
    <xdr:to>
      <xdr:col>4</xdr:col>
      <xdr:colOff>2604957</xdr:colOff>
      <xdr:row>34</xdr:row>
      <xdr:rowOff>2993802</xdr:rowOff>
    </xdr:to>
    <xdr:pic>
      <xdr:nvPicPr>
        <xdr:cNvPr id="1049" name="Imagen 1048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3863" y="7031181"/>
          <a:ext cx="2172003" cy="2543530"/>
        </a:xfrm>
        <a:prstGeom prst="rect">
          <a:avLst/>
        </a:prstGeom>
      </xdr:spPr>
    </xdr:pic>
    <xdr:clientData/>
  </xdr:twoCellAnchor>
  <xdr:oneCellAnchor>
    <xdr:from>
      <xdr:col>4</xdr:col>
      <xdr:colOff>432954</xdr:colOff>
      <xdr:row>33</xdr:row>
      <xdr:rowOff>450272</xdr:rowOff>
    </xdr:from>
    <xdr:ext cx="2172003" cy="2543530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3298" y="10892053"/>
          <a:ext cx="2172003" cy="254353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74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75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76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78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79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80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8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8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8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88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89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90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9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9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9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97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98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99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02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3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04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07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08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09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12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3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14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16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7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18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21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2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23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26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7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28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31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23</xdr:row>
      <xdr:rowOff>0</xdr:rowOff>
    </xdr:from>
    <xdr:ext cx="304800" cy="304800"/>
    <xdr:sp macro="" textlink="">
      <xdr:nvSpPr>
        <xdr:cNvPr id="132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2770909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</xdr:row>
      <xdr:rowOff>0</xdr:rowOff>
    </xdr:from>
    <xdr:ext cx="304800" cy="304800"/>
    <xdr:sp macro="" textlink="">
      <xdr:nvSpPr>
        <xdr:cNvPr id="133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22513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603662</xdr:colOff>
      <xdr:row>23</xdr:row>
      <xdr:rowOff>148441</xdr:rowOff>
    </xdr:from>
    <xdr:ext cx="1872837" cy="2422982"/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305" y="1454727"/>
          <a:ext cx="1872837" cy="2422982"/>
        </a:xfrm>
        <a:prstGeom prst="rect">
          <a:avLst/>
        </a:prstGeom>
      </xdr:spPr>
    </xdr:pic>
    <xdr:clientData/>
  </xdr:oneCellAnchor>
  <xdr:oneCellAnchor>
    <xdr:from>
      <xdr:col>4</xdr:col>
      <xdr:colOff>290912</xdr:colOff>
      <xdr:row>24</xdr:row>
      <xdr:rowOff>360513</xdr:rowOff>
    </xdr:from>
    <xdr:ext cx="2397104" cy="2805544"/>
    <xdr:pic>
      <xdr:nvPicPr>
        <xdr:cNvPr id="135" name="Imagen 134" descr="BUZO POLAR CUELLO ALTO CON CIERRE - FADI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2" b="25238"/>
        <a:stretch/>
      </xdr:blipFill>
      <xdr:spPr bwMode="auto">
        <a:xfrm>
          <a:off x="3061821" y="5157649"/>
          <a:ext cx="2397104" cy="2805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242454</xdr:colOff>
      <xdr:row>26</xdr:row>
      <xdr:rowOff>314200</xdr:rowOff>
    </xdr:from>
    <xdr:ext cx="2659830" cy="3114800"/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91097" y="12016343"/>
          <a:ext cx="2659830" cy="3114800"/>
        </a:xfrm>
        <a:prstGeom prst="rect">
          <a:avLst/>
        </a:prstGeom>
      </xdr:spPr>
    </xdr:pic>
    <xdr:clientData/>
  </xdr:oneCellAnchor>
  <xdr:oneCellAnchor>
    <xdr:from>
      <xdr:col>4</xdr:col>
      <xdr:colOff>432954</xdr:colOff>
      <xdr:row>25</xdr:row>
      <xdr:rowOff>450272</xdr:rowOff>
    </xdr:from>
    <xdr:ext cx="2172003" cy="2543530"/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3863" y="9213272"/>
          <a:ext cx="2172003" cy="254353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8" name="AutoShape 2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40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1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42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44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5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46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48" name="AutoShape 2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49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0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1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2" name="AutoShape 2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4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5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6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58" name="AutoShape 2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59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60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1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62" name="AutoShape 2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6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68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69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70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72" name="AutoShape 2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73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74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75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76" name="AutoShape 2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78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79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80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82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83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84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86" name="AutoShape 2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87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88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89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0" name="AutoShape 2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92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3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94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6" name="AutoShape 2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97" name="AutoShape 100" descr="blob:https://web.whatsapp.com/57efbeef-905e-4354-bb19-5411158c3c00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198" name="AutoShape 123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2748643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20</xdr:row>
      <xdr:rowOff>0</xdr:rowOff>
    </xdr:from>
    <xdr:ext cx="304800" cy="304800"/>
    <xdr:sp macro="" textlink="">
      <xdr:nvSpPr>
        <xdr:cNvPr id="199" name="AutoShape 124" descr="blob:https://web.whatsapp.com/3128d7ff-0f5e-4a90-9082-51b391af965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6029214" y="18777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478198</xdr:colOff>
      <xdr:row>16</xdr:row>
      <xdr:rowOff>854982</xdr:rowOff>
    </xdr:from>
    <xdr:ext cx="2190750" cy="2397098"/>
    <xdr:pic>
      <xdr:nvPicPr>
        <xdr:cNvPr id="202" name="Imagen 201" descr="diseño de polos, gorras publicitarias, polos publicitarios, polos pique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4573" y="2156732"/>
          <a:ext cx="2190750" cy="2397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272143</xdr:colOff>
      <xdr:row>17</xdr:row>
      <xdr:rowOff>435430</xdr:rowOff>
    </xdr:from>
    <xdr:to>
      <xdr:col>4</xdr:col>
      <xdr:colOff>2832342</xdr:colOff>
      <xdr:row>17</xdr:row>
      <xdr:rowOff>3592286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0786" y="5728609"/>
          <a:ext cx="2560199" cy="3156856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10</xdr:row>
      <xdr:rowOff>666750</xdr:rowOff>
    </xdr:from>
    <xdr:to>
      <xdr:col>4</xdr:col>
      <xdr:colOff>2724484</xdr:colOff>
      <xdr:row>10</xdr:row>
      <xdr:rowOff>3762807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79750" y="5953125"/>
          <a:ext cx="2391109" cy="3096057"/>
        </a:xfrm>
        <a:prstGeom prst="rect">
          <a:avLst/>
        </a:prstGeom>
      </xdr:spPr>
    </xdr:pic>
    <xdr:clientData/>
  </xdr:twoCellAnchor>
  <xdr:twoCellAnchor editAs="oneCell">
    <xdr:from>
      <xdr:col>4</xdr:col>
      <xdr:colOff>325175</xdr:colOff>
      <xdr:row>9</xdr:row>
      <xdr:rowOff>95250</xdr:rowOff>
    </xdr:from>
    <xdr:to>
      <xdr:col>4</xdr:col>
      <xdr:colOff>2581628</xdr:colOff>
      <xdr:row>9</xdr:row>
      <xdr:rowOff>3708966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71550" y="1397000"/>
          <a:ext cx="2256453" cy="3613716"/>
        </a:xfrm>
        <a:prstGeom prst="rect">
          <a:avLst/>
        </a:prstGeom>
      </xdr:spPr>
    </xdr:pic>
    <xdr:clientData/>
  </xdr:twoCellAnchor>
  <xdr:twoCellAnchor editAs="oneCell">
    <xdr:from>
      <xdr:col>4</xdr:col>
      <xdr:colOff>203976</xdr:colOff>
      <xdr:row>18</xdr:row>
      <xdr:rowOff>797667</xdr:rowOff>
    </xdr:from>
    <xdr:to>
      <xdr:col>4</xdr:col>
      <xdr:colOff>2968626</xdr:colOff>
      <xdr:row>18</xdr:row>
      <xdr:rowOff>2503203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50351" y="19800042"/>
          <a:ext cx="2764650" cy="1705536"/>
        </a:xfrm>
        <a:prstGeom prst="rect">
          <a:avLst/>
        </a:prstGeom>
      </xdr:spPr>
    </xdr:pic>
    <xdr:clientData/>
  </xdr:twoCellAnchor>
  <xdr:oneCellAnchor>
    <xdr:from>
      <xdr:col>4</xdr:col>
      <xdr:colOff>308585</xdr:colOff>
      <xdr:row>11</xdr:row>
      <xdr:rowOff>1131042</xdr:rowOff>
    </xdr:from>
    <xdr:ext cx="2644165" cy="1631208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54960" y="11100542"/>
          <a:ext cx="2644165" cy="1631208"/>
        </a:xfrm>
        <a:prstGeom prst="rect">
          <a:avLst/>
        </a:prstGeom>
      </xdr:spPr>
    </xdr:pic>
    <xdr:clientData/>
  </xdr:oneCellAnchor>
  <xdr:twoCellAnchor editAs="oneCell">
    <xdr:from>
      <xdr:col>4</xdr:col>
      <xdr:colOff>555624</xdr:colOff>
      <xdr:row>12</xdr:row>
      <xdr:rowOff>142875</xdr:rowOff>
    </xdr:from>
    <xdr:to>
      <xdr:col>4</xdr:col>
      <xdr:colOff>2545627</xdr:colOff>
      <xdr:row>12</xdr:row>
      <xdr:rowOff>2349501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697" t="3226" b="-1"/>
        <a:stretch/>
      </xdr:blipFill>
      <xdr:spPr>
        <a:xfrm>
          <a:off x="3301999" y="14954250"/>
          <a:ext cx="1990003" cy="2206626"/>
        </a:xfrm>
        <a:prstGeom prst="rect">
          <a:avLst/>
        </a:prstGeom>
      </xdr:spPr>
    </xdr:pic>
    <xdr:clientData/>
  </xdr:twoCellAnchor>
  <xdr:twoCellAnchor editAs="oneCell">
    <xdr:from>
      <xdr:col>4</xdr:col>
      <xdr:colOff>1333499</xdr:colOff>
      <xdr:row>12</xdr:row>
      <xdr:rowOff>2454056</xdr:rowOff>
    </xdr:from>
    <xdr:to>
      <xdr:col>4</xdr:col>
      <xdr:colOff>3067550</xdr:colOff>
      <xdr:row>12</xdr:row>
      <xdr:rowOff>4270900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79874" y="17265431"/>
          <a:ext cx="1734051" cy="1816844"/>
        </a:xfrm>
        <a:prstGeom prst="rect">
          <a:avLst/>
        </a:prstGeom>
      </xdr:spPr>
    </xdr:pic>
    <xdr:clientData/>
  </xdr:twoCellAnchor>
  <xdr:oneCellAnchor>
    <xdr:from>
      <xdr:col>4</xdr:col>
      <xdr:colOff>288741</xdr:colOff>
      <xdr:row>4</xdr:row>
      <xdr:rowOff>3234480</xdr:rowOff>
    </xdr:from>
    <xdr:ext cx="2644165" cy="1631208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7179" y="4345730"/>
          <a:ext cx="2644165" cy="1631208"/>
        </a:xfrm>
        <a:prstGeom prst="rect">
          <a:avLst/>
        </a:prstGeom>
      </xdr:spPr>
    </xdr:pic>
    <xdr:clientData/>
  </xdr:oneCellAnchor>
  <xdr:twoCellAnchor editAs="oneCell">
    <xdr:from>
      <xdr:col>8</xdr:col>
      <xdr:colOff>68522</xdr:colOff>
      <xdr:row>4</xdr:row>
      <xdr:rowOff>2328163</xdr:rowOff>
    </xdr:from>
    <xdr:to>
      <xdr:col>8</xdr:col>
      <xdr:colOff>1885155</xdr:colOff>
      <xdr:row>5</xdr:row>
      <xdr:rowOff>1529395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13165"/>
        <a:stretch/>
      </xdr:blipFill>
      <xdr:spPr>
        <a:xfrm>
          <a:off x="9395833" y="3640097"/>
          <a:ext cx="1816633" cy="4395053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34" name="AutoShape 1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40" name="AutoShape 1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54" name="AutoShape 10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65" name="AutoShape 1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66" name="AutoShape 10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67" name="AutoShape 1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63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69" name="AutoShape 10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70" name="AutoShape 1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30" name="AutoShape 10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36" name="AutoShape 11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37" name="AutoShape 10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42" name="AutoShape 11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43" name="AutoShape 10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44" name="AutoShape 11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45" name="AutoShape 10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46" name="AutoShape 11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0" name="AutoShape 10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1" name="AutoShape 11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3" name="AutoShape 10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12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4" name="AutoShape 11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12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5" name="AutoShape 10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12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6" name="AutoShape 11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12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7" name="AutoShape 10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12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1058" name="AutoShape 11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3295650" y="12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767868</xdr:colOff>
      <xdr:row>14</xdr:row>
      <xdr:rowOff>238987</xdr:rowOff>
    </xdr:from>
    <xdr:ext cx="1885156" cy="2386273"/>
    <xdr:pic>
      <xdr:nvPicPr>
        <xdr:cNvPr id="228" name="Imagen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0593" y="1543912"/>
          <a:ext cx="1885156" cy="2386273"/>
        </a:xfrm>
        <a:prstGeom prst="rect">
          <a:avLst/>
        </a:prstGeom>
      </xdr:spPr>
    </xdr:pic>
    <xdr:clientData/>
  </xdr:oneCellAnchor>
  <xdr:twoCellAnchor editAs="oneCell">
    <xdr:from>
      <xdr:col>4</xdr:col>
      <xdr:colOff>437282</xdr:colOff>
      <xdr:row>15</xdr:row>
      <xdr:rowOff>1077178</xdr:rowOff>
    </xdr:from>
    <xdr:to>
      <xdr:col>4</xdr:col>
      <xdr:colOff>2824633</xdr:colOff>
      <xdr:row>15</xdr:row>
      <xdr:rowOff>4121442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1809" y="5350556"/>
          <a:ext cx="2387351" cy="3044264"/>
        </a:xfrm>
        <a:prstGeom prst="rect">
          <a:avLst/>
        </a:prstGeom>
      </xdr:spPr>
    </xdr:pic>
    <xdr:clientData/>
  </xdr:twoCellAnchor>
  <xdr:twoCellAnchor editAs="oneCell">
    <xdr:from>
      <xdr:col>4</xdr:col>
      <xdr:colOff>209087</xdr:colOff>
      <xdr:row>10</xdr:row>
      <xdr:rowOff>213227</xdr:rowOff>
    </xdr:from>
    <xdr:to>
      <xdr:col>4</xdr:col>
      <xdr:colOff>3046250</xdr:colOff>
      <xdr:row>10</xdr:row>
      <xdr:rowOff>2253475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0428" y="1514203"/>
          <a:ext cx="2837163" cy="2040248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9</xdr:row>
      <xdr:rowOff>666751</xdr:rowOff>
    </xdr:from>
    <xdr:to>
      <xdr:col>4</xdr:col>
      <xdr:colOff>2724484</xdr:colOff>
      <xdr:row>9</xdr:row>
      <xdr:rowOff>4065549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4716" y="6172666"/>
          <a:ext cx="2391109" cy="3398798"/>
        </a:xfrm>
        <a:prstGeom prst="rect">
          <a:avLst/>
        </a:prstGeom>
      </xdr:spPr>
    </xdr:pic>
    <xdr:clientData/>
  </xdr:twoCellAnchor>
  <xdr:twoCellAnchor editAs="oneCell">
    <xdr:from>
      <xdr:col>4</xdr:col>
      <xdr:colOff>325175</xdr:colOff>
      <xdr:row>8</xdr:row>
      <xdr:rowOff>95250</xdr:rowOff>
    </xdr:from>
    <xdr:to>
      <xdr:col>4</xdr:col>
      <xdr:colOff>2581628</xdr:colOff>
      <xdr:row>8</xdr:row>
      <xdr:rowOff>3763536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6516" y="1396226"/>
          <a:ext cx="2256453" cy="3668286"/>
        </a:xfrm>
        <a:prstGeom prst="rect">
          <a:avLst/>
        </a:prstGeom>
      </xdr:spPr>
    </xdr:pic>
    <xdr:clientData/>
  </xdr:twoCellAnchor>
  <xdr:oneCellAnchor>
    <xdr:from>
      <xdr:col>4</xdr:col>
      <xdr:colOff>213786</xdr:colOff>
      <xdr:row>3</xdr:row>
      <xdr:rowOff>831273</xdr:rowOff>
    </xdr:from>
    <xdr:ext cx="2852039" cy="3636817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4695" y="2147455"/>
          <a:ext cx="2852039" cy="363681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1108364</xdr:colOff>
      <xdr:row>2</xdr:row>
      <xdr:rowOff>155863</xdr:rowOff>
    </xdr:from>
    <xdr:ext cx="2003699" cy="2580409"/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539" y="927388"/>
          <a:ext cx="2003699" cy="2580409"/>
        </a:xfrm>
        <a:prstGeom prst="rect">
          <a:avLst/>
        </a:prstGeom>
      </xdr:spPr>
    </xdr:pic>
    <xdr:clientData/>
  </xdr:oneCellAnchor>
  <xdr:oneCellAnchor>
    <xdr:from>
      <xdr:col>4</xdr:col>
      <xdr:colOff>603199</xdr:colOff>
      <xdr:row>2</xdr:row>
      <xdr:rowOff>2964347</xdr:rowOff>
    </xdr:from>
    <xdr:ext cx="3085574" cy="1921067"/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237907" y="3282639"/>
          <a:ext cx="1921067" cy="30855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979331</xdr:colOff>
      <xdr:row>8</xdr:row>
      <xdr:rowOff>108256</xdr:rowOff>
    </xdr:from>
    <xdr:to>
      <xdr:col>4</xdr:col>
      <xdr:colOff>2616021</xdr:colOff>
      <xdr:row>8</xdr:row>
      <xdr:rowOff>2884035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141" y="6453784"/>
          <a:ext cx="1636690" cy="2775779"/>
        </a:xfrm>
        <a:prstGeom prst="rect">
          <a:avLst/>
        </a:prstGeom>
      </xdr:spPr>
    </xdr:pic>
    <xdr:clientData/>
  </xdr:twoCellAnchor>
  <xdr:twoCellAnchor editAs="oneCell">
    <xdr:from>
      <xdr:col>4</xdr:col>
      <xdr:colOff>603696</xdr:colOff>
      <xdr:row>6</xdr:row>
      <xdr:rowOff>65892</xdr:rowOff>
    </xdr:from>
    <xdr:to>
      <xdr:col>4</xdr:col>
      <xdr:colOff>3367287</xdr:colOff>
      <xdr:row>7</xdr:row>
      <xdr:rowOff>3627874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9506" y="1286702"/>
          <a:ext cx="2763591" cy="4433989"/>
        </a:xfrm>
        <a:prstGeom prst="rect">
          <a:avLst/>
        </a:prstGeom>
      </xdr:spPr>
    </xdr:pic>
    <xdr:clientData/>
  </xdr:twoCellAnchor>
  <xdr:twoCellAnchor editAs="oneCell">
    <xdr:from>
      <xdr:col>4</xdr:col>
      <xdr:colOff>516947</xdr:colOff>
      <xdr:row>2</xdr:row>
      <xdr:rowOff>209550</xdr:rowOff>
    </xdr:from>
    <xdr:to>
      <xdr:col>4</xdr:col>
      <xdr:colOff>2998693</xdr:colOff>
      <xdr:row>2</xdr:row>
      <xdr:rowOff>4933950</xdr:rowOff>
    </xdr:to>
    <xdr:pic>
      <xdr:nvPicPr>
        <xdr:cNvPr id="8" name="Imagen 30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1097" y="1238250"/>
          <a:ext cx="2481746" cy="472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asa.com.pe/comercial/324-303-cooler-yeti-31-qt-c-ruedas-y-asa-telescopica.html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20"/>
  <sheetViews>
    <sheetView zoomScale="66" zoomScaleNormal="66" workbookViewId="0">
      <selection activeCell="I3" sqref="I3"/>
    </sheetView>
  </sheetViews>
  <sheetFormatPr baseColWidth="10" defaultColWidth="11.42578125" defaultRowHeight="20.25"/>
  <cols>
    <col min="1" max="1" width="11.42578125" style="256"/>
    <col min="2" max="2" width="11.5703125" style="256" bestFit="1" customWidth="1"/>
    <col min="3" max="4" width="11.42578125" style="256"/>
    <col min="5" max="5" width="55.28515625" style="256" customWidth="1"/>
    <col min="6" max="6" width="9.42578125" style="256" bestFit="1" customWidth="1"/>
    <col min="7" max="7" width="13.85546875" style="256" bestFit="1" customWidth="1"/>
    <col min="8" max="8" width="11.42578125" style="256"/>
    <col min="9" max="9" width="64.42578125" style="256" customWidth="1"/>
    <col min="10" max="10" width="20" style="256" bestFit="1" customWidth="1"/>
    <col min="11" max="11" width="18.140625" style="256" bestFit="1" customWidth="1"/>
    <col min="12" max="15" width="11.42578125" style="256"/>
    <col min="16" max="16" width="13.7109375" style="256" bestFit="1" customWidth="1"/>
    <col min="17" max="17" width="11.5703125" style="256" bestFit="1" customWidth="1"/>
    <col min="18" max="18" width="13.7109375" style="256" bestFit="1" customWidth="1"/>
    <col min="19" max="19" width="18.140625" style="256" bestFit="1" customWidth="1"/>
    <col min="20" max="20" width="13.7109375" style="256" bestFit="1" customWidth="1"/>
    <col min="21" max="21" width="11.5703125" style="256" bestFit="1" customWidth="1"/>
    <col min="22" max="22" width="13.7109375" style="256" bestFit="1" customWidth="1"/>
    <col min="23" max="23" width="15.5703125" style="256" bestFit="1" customWidth="1"/>
    <col min="24" max="24" width="19.85546875" style="256" bestFit="1" customWidth="1"/>
    <col min="25" max="25" width="11.42578125" style="256"/>
    <col min="26" max="26" width="12" style="256" bestFit="1" customWidth="1"/>
    <col min="27" max="29" width="11.5703125" style="256" bestFit="1" customWidth="1"/>
    <col min="30" max="30" width="12" style="256" bestFit="1" customWidth="1"/>
    <col min="31" max="31" width="13.7109375" style="256" bestFit="1" customWidth="1"/>
    <col min="32" max="32" width="17.28515625" style="256" bestFit="1" customWidth="1"/>
    <col min="33" max="33" width="19.85546875" style="256" bestFit="1" customWidth="1"/>
    <col min="34" max="35" width="13.7109375" style="256" bestFit="1" customWidth="1"/>
    <col min="36" max="36" width="15.5703125" style="256" bestFit="1" customWidth="1"/>
    <col min="37" max="37" width="11.42578125" style="256"/>
    <col min="38" max="38" width="19.85546875" style="256" bestFit="1" customWidth="1"/>
    <col min="39" max="39" width="18.140625" style="256" bestFit="1" customWidth="1"/>
    <col min="40" max="41" width="15.5703125" style="256" bestFit="1" customWidth="1"/>
    <col min="42" max="43" width="18.140625" style="256" bestFit="1" customWidth="1"/>
    <col min="44" max="44" width="11.42578125" style="256"/>
    <col min="45" max="46" width="11.5703125" style="256" bestFit="1" customWidth="1"/>
    <col min="47" max="16384" width="11.42578125" style="256"/>
  </cols>
  <sheetData>
    <row r="1" spans="1:123" ht="21" thickBot="1">
      <c r="B1" s="535" t="s">
        <v>0</v>
      </c>
      <c r="C1" s="536"/>
      <c r="D1" s="536"/>
      <c r="E1" s="536"/>
      <c r="F1" s="536"/>
      <c r="G1" s="536"/>
      <c r="H1" s="536"/>
      <c r="I1" s="536"/>
      <c r="J1" s="537"/>
      <c r="L1" s="538" t="s">
        <v>1</v>
      </c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40"/>
      <c r="AC1" s="354"/>
      <c r="AD1" s="354"/>
      <c r="AE1" s="354"/>
      <c r="AF1" s="354"/>
      <c r="AG1" s="354"/>
      <c r="AH1" s="354"/>
      <c r="AI1" s="354"/>
      <c r="AJ1" s="354"/>
    </row>
    <row r="2" spans="1:123" ht="81.75" thickBot="1">
      <c r="A2" s="354"/>
      <c r="B2" s="356" t="s">
        <v>2</v>
      </c>
      <c r="C2" s="357" t="s">
        <v>3</v>
      </c>
      <c r="D2" s="357" t="s">
        <v>4</v>
      </c>
      <c r="E2" s="357" t="s">
        <v>5</v>
      </c>
      <c r="F2" s="357" t="s">
        <v>6</v>
      </c>
      <c r="G2" s="357" t="s">
        <v>7</v>
      </c>
      <c r="H2" s="357" t="s">
        <v>8</v>
      </c>
      <c r="I2" s="357" t="s">
        <v>9</v>
      </c>
      <c r="J2" s="308" t="s">
        <v>10</v>
      </c>
      <c r="L2" s="358" t="s">
        <v>11</v>
      </c>
      <c r="M2" s="359" t="s">
        <v>12</v>
      </c>
      <c r="N2" s="359" t="s">
        <v>13</v>
      </c>
      <c r="O2" s="360" t="s">
        <v>14</v>
      </c>
      <c r="P2" s="361" t="s">
        <v>15</v>
      </c>
      <c r="Q2" s="362" t="s">
        <v>16</v>
      </c>
      <c r="R2" s="362" t="s">
        <v>17</v>
      </c>
      <c r="S2" s="362" t="s">
        <v>18</v>
      </c>
      <c r="T2" s="362" t="s">
        <v>19</v>
      </c>
      <c r="U2" s="363" t="s">
        <v>20</v>
      </c>
      <c r="V2" s="364" t="s">
        <v>21</v>
      </c>
      <c r="W2" s="358" t="s">
        <v>22</v>
      </c>
      <c r="X2" s="360" t="s">
        <v>23</v>
      </c>
      <c r="Y2" s="365" t="s">
        <v>24</v>
      </c>
      <c r="Z2" s="366" t="s">
        <v>25</v>
      </c>
      <c r="AA2" s="366" t="s">
        <v>26</v>
      </c>
      <c r="AB2" s="366" t="s">
        <v>27</v>
      </c>
      <c r="AC2" s="366" t="s">
        <v>28</v>
      </c>
      <c r="AD2" s="367" t="s">
        <v>29</v>
      </c>
      <c r="AE2" s="358" t="s">
        <v>30</v>
      </c>
      <c r="AF2" s="358" t="s">
        <v>31</v>
      </c>
      <c r="AG2" s="368" t="s">
        <v>19</v>
      </c>
      <c r="AH2" s="369" t="s">
        <v>32</v>
      </c>
      <c r="AI2" s="369" t="s">
        <v>33</v>
      </c>
      <c r="AJ2" s="370" t="s">
        <v>34</v>
      </c>
      <c r="AK2" s="355"/>
      <c r="AL2" s="354"/>
      <c r="AM2" s="354"/>
      <c r="AN2" s="354"/>
      <c r="AO2" s="354"/>
      <c r="AP2" s="354"/>
      <c r="AQ2" s="354"/>
      <c r="AR2" s="354"/>
      <c r="AS2" s="354"/>
      <c r="AT2" s="354"/>
      <c r="AU2" s="354"/>
      <c r="AV2" s="354"/>
      <c r="AW2" s="354"/>
      <c r="AX2" s="354"/>
      <c r="AY2" s="354"/>
      <c r="AZ2" s="354"/>
      <c r="BA2" s="354"/>
      <c r="BB2" s="354"/>
      <c r="BC2" s="354"/>
      <c r="BD2" s="354"/>
      <c r="BE2" s="354"/>
      <c r="BF2" s="354"/>
      <c r="BG2" s="354"/>
      <c r="BH2" s="354"/>
      <c r="BI2" s="354"/>
      <c r="BJ2" s="354"/>
      <c r="BK2" s="354"/>
      <c r="BL2" s="354"/>
      <c r="BM2" s="354"/>
      <c r="BN2" s="354"/>
      <c r="BO2" s="354"/>
      <c r="BP2" s="354"/>
      <c r="BQ2" s="354"/>
      <c r="BR2" s="354"/>
      <c r="BS2" s="354"/>
      <c r="BT2" s="354"/>
      <c r="BU2" s="354"/>
      <c r="BV2" s="354"/>
      <c r="BW2" s="354"/>
      <c r="BX2" s="354"/>
      <c r="BY2" s="354"/>
      <c r="BZ2" s="354"/>
      <c r="CA2" s="354"/>
      <c r="CB2" s="354"/>
      <c r="CC2" s="354"/>
      <c r="CD2" s="354"/>
      <c r="CE2" s="354"/>
      <c r="CF2" s="354"/>
      <c r="CG2" s="354"/>
      <c r="CH2" s="354"/>
      <c r="CI2" s="354"/>
      <c r="CJ2" s="354"/>
      <c r="CK2" s="354"/>
      <c r="CL2" s="354"/>
      <c r="CM2" s="354"/>
      <c r="CN2" s="354"/>
      <c r="CO2" s="354"/>
      <c r="CP2" s="354"/>
      <c r="CQ2" s="354"/>
      <c r="CR2" s="354"/>
      <c r="CS2" s="354"/>
      <c r="CT2" s="354"/>
      <c r="CU2" s="354"/>
      <c r="CV2" s="354"/>
      <c r="CW2" s="354"/>
      <c r="CX2" s="354"/>
      <c r="CY2" s="354"/>
      <c r="CZ2" s="354"/>
      <c r="DA2" s="354"/>
      <c r="DB2" s="354"/>
      <c r="DC2" s="354"/>
      <c r="DD2" s="354"/>
      <c r="DE2" s="354"/>
      <c r="DF2" s="354"/>
      <c r="DG2" s="354"/>
      <c r="DH2" s="354"/>
      <c r="DI2" s="354"/>
      <c r="DJ2" s="354"/>
      <c r="DK2" s="354"/>
      <c r="DL2" s="354"/>
      <c r="DM2" s="354"/>
      <c r="DN2" s="354"/>
      <c r="DO2" s="354"/>
      <c r="DP2" s="354"/>
      <c r="DQ2" s="354"/>
      <c r="DR2" s="354"/>
      <c r="DS2" s="354"/>
    </row>
    <row r="3" spans="1:123" ht="350.25" customHeight="1" thickBot="1">
      <c r="B3" s="377">
        <v>1</v>
      </c>
      <c r="C3" s="541" t="s">
        <v>35</v>
      </c>
      <c r="D3" s="542"/>
      <c r="E3" s="375" t="s">
        <v>36</v>
      </c>
      <c r="F3" s="502">
        <v>162</v>
      </c>
      <c r="G3" s="371">
        <f>AJ3</f>
        <v>70.804310914043214</v>
      </c>
      <c r="H3" s="372" t="s">
        <v>37</v>
      </c>
      <c r="I3" s="376" t="s">
        <v>38</v>
      </c>
      <c r="J3" s="373">
        <f>F3*70.8</f>
        <v>11469.6</v>
      </c>
      <c r="K3" s="297">
        <f>58+58+7</f>
        <v>123</v>
      </c>
      <c r="L3" s="257" t="s">
        <v>39</v>
      </c>
      <c r="M3" s="543" t="s">
        <v>40</v>
      </c>
      <c r="N3" s="544"/>
      <c r="O3" s="545"/>
      <c r="P3" s="258">
        <f>(((55*123)+(25*58)+(9*62)+(5*65))/160)/1.18</f>
        <v>48.188559322033896</v>
      </c>
      <c r="Q3" s="259">
        <v>20.67</v>
      </c>
      <c r="R3" s="260">
        <f>P3*Q3/100</f>
        <v>9.9605752118644073</v>
      </c>
      <c r="S3" s="261">
        <f>R3*U3</f>
        <v>1613.6131843220339</v>
      </c>
      <c r="T3" s="262">
        <f>P3+R3</f>
        <v>58.149134533898305</v>
      </c>
      <c r="U3" s="263">
        <v>162</v>
      </c>
      <c r="V3" s="264">
        <f>P3*1</f>
        <v>48.188559322033896</v>
      </c>
      <c r="W3" s="265">
        <v>120</v>
      </c>
      <c r="X3" s="266">
        <f>U3*T3+V3+W3</f>
        <v>9588.3483538135588</v>
      </c>
      <c r="Y3" s="267"/>
      <c r="Z3" s="268">
        <v>0</v>
      </c>
      <c r="AA3" s="269">
        <v>1</v>
      </c>
      <c r="AB3" s="270">
        <v>1</v>
      </c>
      <c r="AC3" s="270">
        <v>1</v>
      </c>
      <c r="AD3" s="271">
        <f>Z3*AA3*AB3*AC3</f>
        <v>0</v>
      </c>
      <c r="AE3" s="180">
        <f>12*3</f>
        <v>36</v>
      </c>
      <c r="AF3" s="272">
        <f>1%*(X3+AD3+AE3)</f>
        <v>96.243483538135592</v>
      </c>
      <c r="AG3" s="273">
        <f>X3+AD3+AF3+AE3</f>
        <v>9720.5918373516943</v>
      </c>
      <c r="AH3" s="274">
        <f>AG3/U3</f>
        <v>60.003653316985769</v>
      </c>
      <c r="AI3" s="275">
        <f>AH3*0.18</f>
        <v>10.800657597057437</v>
      </c>
      <c r="AJ3" s="276">
        <f>AH3+AI3</f>
        <v>70.804310914043214</v>
      </c>
    </row>
    <row r="4" spans="1:123" ht="21" thickBot="1">
      <c r="B4" s="535" t="s">
        <v>41</v>
      </c>
      <c r="C4" s="536"/>
      <c r="D4" s="536"/>
      <c r="E4" s="536"/>
      <c r="F4" s="536"/>
      <c r="G4" s="536"/>
      <c r="H4" s="536"/>
      <c r="I4" s="536"/>
      <c r="J4" s="537"/>
      <c r="L4" s="538" t="s">
        <v>1</v>
      </c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40"/>
      <c r="AC4" s="354"/>
      <c r="AD4" s="354"/>
      <c r="AE4" s="354"/>
      <c r="AF4" s="354"/>
      <c r="AG4" s="354"/>
      <c r="AH4" s="354"/>
      <c r="AI4" s="354"/>
      <c r="AJ4" s="354"/>
    </row>
    <row r="5" spans="1:123" ht="81.75" thickBot="1">
      <c r="A5" s="354"/>
      <c r="B5" s="356" t="s">
        <v>2</v>
      </c>
      <c r="C5" s="357" t="s">
        <v>3</v>
      </c>
      <c r="D5" s="357" t="s">
        <v>4</v>
      </c>
      <c r="E5" s="357" t="s">
        <v>5</v>
      </c>
      <c r="F5" s="357" t="s">
        <v>6</v>
      </c>
      <c r="G5" s="357" t="s">
        <v>42</v>
      </c>
      <c r="H5" s="357" t="s">
        <v>8</v>
      </c>
      <c r="I5" s="357" t="s">
        <v>9</v>
      </c>
      <c r="J5" s="308" t="s">
        <v>43</v>
      </c>
      <c r="L5" s="358" t="s">
        <v>11</v>
      </c>
      <c r="M5" s="359" t="s">
        <v>12</v>
      </c>
      <c r="N5" s="359" t="s">
        <v>13</v>
      </c>
      <c r="O5" s="360" t="s">
        <v>14</v>
      </c>
      <c r="P5" s="361" t="s">
        <v>15</v>
      </c>
      <c r="Q5" s="362" t="s">
        <v>16</v>
      </c>
      <c r="R5" s="362" t="s">
        <v>17</v>
      </c>
      <c r="S5" s="362" t="s">
        <v>18</v>
      </c>
      <c r="T5" s="362" t="s">
        <v>19</v>
      </c>
      <c r="U5" s="363" t="s">
        <v>20</v>
      </c>
      <c r="V5" s="364" t="s">
        <v>21</v>
      </c>
      <c r="W5" s="358" t="s">
        <v>22</v>
      </c>
      <c r="X5" s="360" t="s">
        <v>23</v>
      </c>
      <c r="Y5" s="365" t="s">
        <v>24</v>
      </c>
      <c r="Z5" s="366" t="s">
        <v>25</v>
      </c>
      <c r="AA5" s="366" t="s">
        <v>26</v>
      </c>
      <c r="AB5" s="366" t="s">
        <v>27</v>
      </c>
      <c r="AC5" s="366" t="s">
        <v>28</v>
      </c>
      <c r="AD5" s="367" t="s">
        <v>29</v>
      </c>
      <c r="AE5" s="358" t="s">
        <v>30</v>
      </c>
      <c r="AF5" s="358" t="s">
        <v>31</v>
      </c>
      <c r="AG5" s="368" t="s">
        <v>19</v>
      </c>
      <c r="AH5" s="369" t="s">
        <v>32</v>
      </c>
      <c r="AI5" s="369" t="s">
        <v>33</v>
      </c>
      <c r="AJ5" s="370" t="s">
        <v>34</v>
      </c>
      <c r="AK5" s="355"/>
      <c r="AL5" s="354"/>
      <c r="AM5" s="354"/>
      <c r="AN5" s="354"/>
      <c r="AO5" s="354"/>
      <c r="AP5" s="354"/>
      <c r="AQ5" s="354"/>
      <c r="AR5" s="354"/>
      <c r="AS5" s="354"/>
      <c r="AT5" s="354"/>
      <c r="AU5" s="354"/>
      <c r="AV5" s="354"/>
      <c r="AW5" s="354"/>
      <c r="AX5" s="354"/>
      <c r="AY5" s="354"/>
      <c r="AZ5" s="354"/>
      <c r="BA5" s="354"/>
      <c r="BB5" s="354"/>
      <c r="BC5" s="354"/>
      <c r="BD5" s="354"/>
      <c r="BE5" s="354"/>
      <c r="BF5" s="354"/>
      <c r="BG5" s="354"/>
      <c r="BH5" s="354"/>
      <c r="BI5" s="354"/>
      <c r="BJ5" s="354"/>
      <c r="BK5" s="354"/>
      <c r="BL5" s="354"/>
      <c r="BM5" s="354"/>
      <c r="BN5" s="354"/>
      <c r="BO5" s="354"/>
      <c r="BP5" s="354"/>
      <c r="BQ5" s="354"/>
      <c r="BR5" s="354"/>
      <c r="BS5" s="354"/>
      <c r="BT5" s="354"/>
      <c r="BU5" s="354"/>
      <c r="BV5" s="354"/>
      <c r="BW5" s="354"/>
      <c r="BX5" s="354"/>
      <c r="BY5" s="354"/>
      <c r="BZ5" s="354"/>
      <c r="CA5" s="354"/>
      <c r="CB5" s="354"/>
      <c r="CC5" s="354"/>
      <c r="CD5" s="354"/>
      <c r="CE5" s="354"/>
      <c r="CF5" s="354"/>
      <c r="CG5" s="354"/>
      <c r="CH5" s="354"/>
      <c r="CI5" s="354"/>
      <c r="CJ5" s="354"/>
      <c r="CK5" s="354"/>
      <c r="CL5" s="354"/>
      <c r="CM5" s="354"/>
      <c r="CN5" s="354"/>
      <c r="CO5" s="354"/>
      <c r="CP5" s="354"/>
      <c r="CQ5" s="354"/>
      <c r="CR5" s="354"/>
      <c r="CS5" s="354"/>
      <c r="CT5" s="354"/>
      <c r="CU5" s="354"/>
      <c r="CV5" s="354"/>
      <c r="CW5" s="354"/>
      <c r="CX5" s="354"/>
      <c r="CY5" s="354"/>
      <c r="CZ5" s="354"/>
      <c r="DA5" s="354"/>
      <c r="DB5" s="354"/>
      <c r="DC5" s="354"/>
      <c r="DD5" s="354"/>
      <c r="DE5" s="354"/>
      <c r="DF5" s="354"/>
      <c r="DG5" s="354"/>
      <c r="DH5" s="354"/>
      <c r="DI5" s="354"/>
      <c r="DJ5" s="354"/>
      <c r="DK5" s="354"/>
      <c r="DL5" s="354"/>
      <c r="DM5" s="354"/>
      <c r="DN5" s="354"/>
      <c r="DO5" s="354"/>
      <c r="DP5" s="354"/>
      <c r="DQ5" s="354"/>
      <c r="DR5" s="354"/>
      <c r="DS5" s="354"/>
    </row>
    <row r="6" spans="1:123" ht="213" customHeight="1" thickBot="1">
      <c r="B6" s="377">
        <v>1</v>
      </c>
      <c r="C6" s="541" t="s">
        <v>35</v>
      </c>
      <c r="D6" s="542"/>
      <c r="E6" s="375" t="s">
        <v>36</v>
      </c>
      <c r="F6" s="502">
        <v>160</v>
      </c>
      <c r="G6" s="371">
        <f t="shared" ref="G6:G8" si="0">AH6</f>
        <v>59.353766949152529</v>
      </c>
      <c r="H6" s="372" t="s">
        <v>44</v>
      </c>
      <c r="I6" s="376" t="s">
        <v>45</v>
      </c>
      <c r="J6" s="373">
        <f>F6*59.35</f>
        <v>9496</v>
      </c>
      <c r="K6" s="380">
        <f>J6+290</f>
        <v>9786</v>
      </c>
      <c r="L6" s="257" t="s">
        <v>39</v>
      </c>
      <c r="M6" s="543" t="s">
        <v>46</v>
      </c>
      <c r="N6" s="544"/>
      <c r="O6" s="545"/>
      <c r="P6" s="258">
        <f>55/1.18</f>
        <v>46.610169491525426</v>
      </c>
      <c r="Q6" s="259">
        <v>23.58</v>
      </c>
      <c r="R6" s="260">
        <f>P6*Q6/100</f>
        <v>10.990677966101693</v>
      </c>
      <c r="S6" s="261">
        <f>R6*U6</f>
        <v>1758.5084745762708</v>
      </c>
      <c r="T6" s="262">
        <f>P6+R6</f>
        <v>57.600847457627118</v>
      </c>
      <c r="U6" s="263">
        <v>160</v>
      </c>
      <c r="V6" s="264">
        <f>P6*2</f>
        <v>93.220338983050851</v>
      </c>
      <c r="W6" s="265">
        <v>120</v>
      </c>
      <c r="X6" s="266">
        <f>U6*T6+V6+W6</f>
        <v>9429.3559322033889</v>
      </c>
      <c r="Y6" s="267" t="s">
        <v>47</v>
      </c>
      <c r="Z6" s="268">
        <v>0</v>
      </c>
      <c r="AA6" s="269">
        <v>1</v>
      </c>
      <c r="AB6" s="270">
        <v>1</v>
      </c>
      <c r="AC6" s="270">
        <v>1</v>
      </c>
      <c r="AD6" s="271">
        <f>Z6*AA6*AB6*AC6</f>
        <v>0</v>
      </c>
      <c r="AE6" s="180">
        <f>2.5*8</f>
        <v>20</v>
      </c>
      <c r="AF6" s="272">
        <f>0.5%*(X6+AD6+AE6)</f>
        <v>47.246779661016944</v>
      </c>
      <c r="AG6" s="273">
        <f>X6+AD6+AF6+AE6</f>
        <v>9496.6027118644051</v>
      </c>
      <c r="AH6" s="274">
        <f>AG6/U6</f>
        <v>59.353766949152529</v>
      </c>
      <c r="AI6" s="275">
        <f>AH6*0.18</f>
        <v>10.683678050847455</v>
      </c>
      <c r="AJ6" s="276">
        <f>AH6+AI6</f>
        <v>70.037444999999991</v>
      </c>
    </row>
    <row r="7" spans="1:123" ht="233.25" customHeight="1" thickBot="1">
      <c r="A7" s="277"/>
      <c r="B7" s="374">
        <v>2</v>
      </c>
      <c r="C7" s="546" t="s">
        <v>48</v>
      </c>
      <c r="D7" s="547"/>
      <c r="E7" s="378" t="s">
        <v>36</v>
      </c>
      <c r="F7" s="502">
        <v>160</v>
      </c>
      <c r="G7" s="371">
        <f t="shared" si="0"/>
        <v>80.888681249999991</v>
      </c>
      <c r="H7" s="372" t="s">
        <v>44</v>
      </c>
      <c r="I7" s="379" t="s">
        <v>49</v>
      </c>
      <c r="J7" s="373">
        <f>F7*80.89</f>
        <v>12942.4</v>
      </c>
      <c r="K7" s="278">
        <f>(25*5)+90+(15*5)</f>
        <v>290</v>
      </c>
      <c r="L7" s="279" t="s">
        <v>50</v>
      </c>
      <c r="M7" s="548" t="s">
        <v>51</v>
      </c>
      <c r="N7" s="549"/>
      <c r="O7" s="550"/>
      <c r="P7" s="280">
        <v>65</v>
      </c>
      <c r="Q7" s="259">
        <v>20.7</v>
      </c>
      <c r="R7" s="281">
        <f t="shared" ref="R7" si="1">P7*Q7/100</f>
        <v>13.455</v>
      </c>
      <c r="S7" s="282">
        <f t="shared" ref="S7" si="2">R7*U7</f>
        <v>2152.8000000000002</v>
      </c>
      <c r="T7" s="283">
        <f t="shared" ref="T7" si="3">P7+R7</f>
        <v>78.454999999999998</v>
      </c>
      <c r="U7" s="284">
        <v>160</v>
      </c>
      <c r="V7" s="264">
        <f>P7*1</f>
        <v>65</v>
      </c>
      <c r="W7" s="265">
        <v>180</v>
      </c>
      <c r="X7" s="285">
        <f t="shared" ref="X7" si="4">U7*T7+V7+W7</f>
        <v>12797.8</v>
      </c>
      <c r="Y7" s="286" t="s">
        <v>52</v>
      </c>
      <c r="Z7" s="268">
        <v>0</v>
      </c>
      <c r="AA7" s="287">
        <v>1</v>
      </c>
      <c r="AB7" s="287">
        <v>1</v>
      </c>
      <c r="AC7" s="270">
        <v>1</v>
      </c>
      <c r="AD7" s="181">
        <f t="shared" ref="AD7" si="5">Z7*AA7*AB7*AC7</f>
        <v>0</v>
      </c>
      <c r="AE7" s="180">
        <f>2.5*32</f>
        <v>80</v>
      </c>
      <c r="AF7" s="272">
        <f t="shared" ref="AF7:AF8" si="6">0.5%*(X7+AD7+AE7)</f>
        <v>64.388999999999996</v>
      </c>
      <c r="AG7" s="288">
        <f t="shared" ref="AG7" si="7">X7+AD7+AF7+AE7</f>
        <v>12942.188999999998</v>
      </c>
      <c r="AH7" s="289">
        <f t="shared" ref="AH7" si="8">AG7/U7</f>
        <v>80.888681249999991</v>
      </c>
      <c r="AI7" s="280">
        <f t="shared" ref="AI7" si="9">AH7*0.18</f>
        <v>14.559962624999997</v>
      </c>
      <c r="AJ7" s="290">
        <f t="shared" ref="AJ7" si="10">AH7+AI7</f>
        <v>95.448643874999988</v>
      </c>
      <c r="AL7" s="291">
        <f t="shared" ref="AL7" si="11">AJ7*U7</f>
        <v>15271.783019999999</v>
      </c>
      <c r="AM7" s="292">
        <f t="shared" ref="AM7" si="12">(AJ7-(AJ7/1.18))*U7</f>
        <v>2329.5940199999995</v>
      </c>
      <c r="AN7" s="292">
        <f t="shared" ref="AN7" si="13">(AJ7-(AJ7/1.02))*U7</f>
        <v>299.44672588235335</v>
      </c>
      <c r="AO7" s="292">
        <f t="shared" ref="AO7" si="14">(AJ7-(AJ7/1.05))*U7</f>
        <v>727.22776285714417</v>
      </c>
      <c r="AP7" s="292">
        <f t="shared" ref="AP7" si="15">R7*U7</f>
        <v>2152.8000000000002</v>
      </c>
      <c r="AQ7" s="293">
        <f t="shared" ref="AQ7" si="16">AP7-AO7-AN7</f>
        <v>1126.1255112605027</v>
      </c>
      <c r="AR7" s="294"/>
      <c r="AS7" s="295">
        <f t="shared" ref="AS7" si="17">AP7*100/(AL7-AM7-AP7)</f>
        <v>19.952937094028218</v>
      </c>
      <c r="AT7" s="295">
        <f t="shared" ref="AT7" si="18">AQ7*100/(AL7-AM7-AP7-AN7-AO7)</f>
        <v>11.534963047025579</v>
      </c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  <c r="CO7" s="296"/>
      <c r="CP7" s="296"/>
      <c r="CQ7" s="296"/>
      <c r="CR7" s="296"/>
      <c r="CS7" s="296"/>
      <c r="CT7" s="296"/>
      <c r="CU7" s="296"/>
      <c r="CV7" s="296"/>
      <c r="CW7" s="296"/>
      <c r="CX7" s="296"/>
      <c r="CY7" s="296"/>
      <c r="CZ7" s="296"/>
      <c r="DA7" s="296"/>
      <c r="DB7" s="296"/>
      <c r="DC7" s="296"/>
      <c r="DD7" s="296"/>
      <c r="DE7" s="296"/>
      <c r="DF7" s="296"/>
      <c r="DG7" s="296"/>
      <c r="DH7" s="296"/>
      <c r="DI7" s="296"/>
      <c r="DJ7" s="296"/>
      <c r="DK7" s="296"/>
      <c r="DL7" s="296"/>
      <c r="DM7" s="296"/>
      <c r="DN7" s="296"/>
      <c r="DO7" s="296"/>
      <c r="DP7" s="296"/>
      <c r="DQ7" s="296"/>
      <c r="DR7" s="296"/>
      <c r="DS7" s="296"/>
    </row>
    <row r="8" spans="1:123" ht="396.75" customHeight="1" thickBot="1">
      <c r="B8" s="377">
        <v>3</v>
      </c>
      <c r="C8" s="541" t="s">
        <v>53</v>
      </c>
      <c r="D8" s="542"/>
      <c r="E8" s="375" t="s">
        <v>36</v>
      </c>
      <c r="F8" s="502">
        <v>160</v>
      </c>
      <c r="G8" s="371">
        <f t="shared" si="0"/>
        <v>81.891371027542377</v>
      </c>
      <c r="H8" s="372" t="s">
        <v>44</v>
      </c>
      <c r="I8" s="376" t="s">
        <v>54</v>
      </c>
      <c r="J8" s="373">
        <f>F8*81.89</f>
        <v>13102.4</v>
      </c>
      <c r="K8" s="297">
        <f>160/7</f>
        <v>22.857142857142858</v>
      </c>
      <c r="L8" s="257" t="s">
        <v>39</v>
      </c>
      <c r="M8" s="543"/>
      <c r="N8" s="544"/>
      <c r="O8" s="545"/>
      <c r="P8" s="258">
        <f>78/1.18</f>
        <v>66.101694915254242</v>
      </c>
      <c r="Q8" s="259">
        <v>20.399999999999999</v>
      </c>
      <c r="R8" s="260">
        <f>P8*Q8/100</f>
        <v>13.484745762711864</v>
      </c>
      <c r="S8" s="261">
        <f>R8*U8</f>
        <v>2157.5593220338983</v>
      </c>
      <c r="T8" s="262">
        <f>P8+R8</f>
        <v>79.58644067796611</v>
      </c>
      <c r="U8" s="263">
        <v>160</v>
      </c>
      <c r="V8" s="264">
        <f>P8*1</f>
        <v>66.101694915254242</v>
      </c>
      <c r="W8" s="265">
        <v>180</v>
      </c>
      <c r="X8" s="266">
        <f>U8*T8+V8+W8</f>
        <v>12979.932203389832</v>
      </c>
      <c r="Y8" s="267" t="s">
        <v>47</v>
      </c>
      <c r="Z8" s="268">
        <v>0</v>
      </c>
      <c r="AA8" s="269">
        <v>1</v>
      </c>
      <c r="AB8" s="270">
        <v>1</v>
      </c>
      <c r="AC8" s="270">
        <v>1</v>
      </c>
      <c r="AD8" s="271">
        <f>Z8*AA8*AB8*AC8</f>
        <v>0</v>
      </c>
      <c r="AE8" s="180">
        <f>2.5*23</f>
        <v>57.5</v>
      </c>
      <c r="AF8" s="272">
        <f t="shared" si="6"/>
        <v>65.187161016949162</v>
      </c>
      <c r="AG8" s="273">
        <f>X8+AD8+AF8+AE8</f>
        <v>13102.619364406781</v>
      </c>
      <c r="AH8" s="274">
        <f>AG8/U8</f>
        <v>81.891371027542377</v>
      </c>
      <c r="AI8" s="275">
        <f>AH8*0.18</f>
        <v>14.740446784957626</v>
      </c>
      <c r="AJ8" s="276">
        <f>AH8+AI8</f>
        <v>96.631817812500003</v>
      </c>
    </row>
    <row r="9" spans="1:123" ht="21" thickBot="1">
      <c r="B9" s="535" t="s">
        <v>55</v>
      </c>
      <c r="C9" s="536"/>
      <c r="D9" s="536"/>
      <c r="E9" s="536"/>
      <c r="F9" s="536"/>
      <c r="G9" s="536"/>
      <c r="H9" s="536"/>
      <c r="I9" s="536"/>
      <c r="J9" s="537"/>
      <c r="L9" s="538" t="s">
        <v>1</v>
      </c>
      <c r="M9" s="539"/>
      <c r="N9" s="539"/>
      <c r="O9" s="539"/>
      <c r="P9" s="539"/>
      <c r="Q9" s="539"/>
      <c r="R9" s="539"/>
      <c r="S9" s="539"/>
      <c r="T9" s="539"/>
      <c r="U9" s="539"/>
      <c r="V9" s="539"/>
      <c r="W9" s="539"/>
      <c r="X9" s="539"/>
      <c r="Y9" s="539"/>
      <c r="Z9" s="539"/>
      <c r="AA9" s="539"/>
      <c r="AB9" s="540"/>
      <c r="AC9" s="354"/>
      <c r="AD9" s="354"/>
      <c r="AE9" s="354"/>
      <c r="AF9" s="354"/>
      <c r="AG9" s="354"/>
      <c r="AH9" s="354"/>
      <c r="AI9" s="354"/>
      <c r="AJ9" s="354"/>
    </row>
    <row r="10" spans="1:123" ht="81.75" thickBot="1">
      <c r="A10" s="354"/>
      <c r="B10" s="356" t="s">
        <v>2</v>
      </c>
      <c r="C10" s="357" t="s">
        <v>3</v>
      </c>
      <c r="D10" s="357" t="s">
        <v>4</v>
      </c>
      <c r="E10" s="357" t="s">
        <v>5</v>
      </c>
      <c r="F10" s="357" t="s">
        <v>6</v>
      </c>
      <c r="G10" s="357" t="s">
        <v>42</v>
      </c>
      <c r="H10" s="357" t="s">
        <v>8</v>
      </c>
      <c r="I10" s="357" t="s">
        <v>9</v>
      </c>
      <c r="J10" s="308" t="s">
        <v>43</v>
      </c>
      <c r="L10" s="358" t="s">
        <v>11</v>
      </c>
      <c r="M10" s="359" t="s">
        <v>12</v>
      </c>
      <c r="N10" s="359" t="s">
        <v>13</v>
      </c>
      <c r="O10" s="360" t="s">
        <v>14</v>
      </c>
      <c r="P10" s="361" t="s">
        <v>15</v>
      </c>
      <c r="Q10" s="362" t="s">
        <v>16</v>
      </c>
      <c r="R10" s="362" t="s">
        <v>17</v>
      </c>
      <c r="S10" s="362" t="s">
        <v>18</v>
      </c>
      <c r="T10" s="362" t="s">
        <v>19</v>
      </c>
      <c r="U10" s="363" t="s">
        <v>20</v>
      </c>
      <c r="V10" s="364" t="s">
        <v>21</v>
      </c>
      <c r="W10" s="358" t="s">
        <v>22</v>
      </c>
      <c r="X10" s="360" t="s">
        <v>23</v>
      </c>
      <c r="Y10" s="365" t="s">
        <v>24</v>
      </c>
      <c r="Z10" s="366" t="s">
        <v>25</v>
      </c>
      <c r="AA10" s="366" t="s">
        <v>26</v>
      </c>
      <c r="AB10" s="366" t="s">
        <v>27</v>
      </c>
      <c r="AC10" s="366" t="s">
        <v>28</v>
      </c>
      <c r="AD10" s="367" t="s">
        <v>29</v>
      </c>
      <c r="AE10" s="358" t="s">
        <v>30</v>
      </c>
      <c r="AF10" s="358" t="s">
        <v>31</v>
      </c>
      <c r="AG10" s="368" t="s">
        <v>19</v>
      </c>
      <c r="AH10" s="369" t="s">
        <v>32</v>
      </c>
      <c r="AI10" s="369" t="s">
        <v>33</v>
      </c>
      <c r="AJ10" s="370" t="s">
        <v>34</v>
      </c>
      <c r="AK10" s="355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354"/>
      <c r="BD10" s="354"/>
      <c r="BE10" s="354"/>
      <c r="BF10" s="354"/>
      <c r="BG10" s="354"/>
      <c r="BH10" s="354"/>
      <c r="BI10" s="354"/>
      <c r="BJ10" s="354"/>
      <c r="BK10" s="354"/>
      <c r="BL10" s="354"/>
      <c r="BM10" s="354"/>
      <c r="BN10" s="354"/>
      <c r="BO10" s="354"/>
      <c r="BP10" s="354"/>
      <c r="BQ10" s="354"/>
      <c r="BR10" s="354"/>
      <c r="BS10" s="354"/>
      <c r="BT10" s="354"/>
      <c r="BU10" s="354"/>
      <c r="BV10" s="354"/>
      <c r="BW10" s="354"/>
      <c r="BX10" s="354"/>
      <c r="BY10" s="354"/>
      <c r="BZ10" s="354"/>
      <c r="CA10" s="354"/>
      <c r="CB10" s="354"/>
      <c r="CC10" s="354"/>
      <c r="CD10" s="354"/>
      <c r="CE10" s="354"/>
      <c r="CF10" s="354"/>
      <c r="CG10" s="354"/>
      <c r="CH10" s="354"/>
      <c r="CI10" s="354"/>
      <c r="CJ10" s="354"/>
      <c r="CK10" s="354"/>
      <c r="CL10" s="354"/>
      <c r="CM10" s="354"/>
      <c r="CN10" s="354"/>
      <c r="CO10" s="354"/>
      <c r="CP10" s="354"/>
      <c r="CQ10" s="354"/>
      <c r="CR10" s="354"/>
      <c r="CS10" s="354"/>
      <c r="CT10" s="354"/>
      <c r="CU10" s="354"/>
      <c r="CV10" s="354"/>
      <c r="CW10" s="354"/>
      <c r="CX10" s="354"/>
      <c r="CY10" s="354"/>
      <c r="CZ10" s="354"/>
      <c r="DA10" s="354"/>
      <c r="DB10" s="354"/>
      <c r="DC10" s="354"/>
      <c r="DD10" s="354"/>
      <c r="DE10" s="354"/>
      <c r="DF10" s="354"/>
      <c r="DG10" s="354"/>
      <c r="DH10" s="354"/>
      <c r="DI10" s="354"/>
      <c r="DJ10" s="354"/>
      <c r="DK10" s="354"/>
      <c r="DL10" s="354"/>
      <c r="DM10" s="354"/>
      <c r="DN10" s="354"/>
      <c r="DO10" s="354"/>
      <c r="DP10" s="354"/>
      <c r="DQ10" s="354"/>
      <c r="DR10" s="354"/>
      <c r="DS10" s="354"/>
    </row>
    <row r="11" spans="1:123" ht="213" customHeight="1" thickBot="1">
      <c r="B11" s="377">
        <v>1</v>
      </c>
      <c r="C11" s="541" t="s">
        <v>56</v>
      </c>
      <c r="D11" s="542"/>
      <c r="E11" s="375" t="s">
        <v>36</v>
      </c>
      <c r="F11" s="502">
        <v>160</v>
      </c>
      <c r="G11" s="371">
        <f t="shared" ref="G11" si="19">AH11</f>
        <v>60.253156779661012</v>
      </c>
      <c r="H11" s="372" t="s">
        <v>44</v>
      </c>
      <c r="I11" s="376" t="s">
        <v>57</v>
      </c>
      <c r="J11" s="373">
        <f>F11*60.25</f>
        <v>9640</v>
      </c>
      <c r="K11" s="297"/>
      <c r="L11" s="257" t="s">
        <v>39</v>
      </c>
      <c r="M11" s="543" t="s">
        <v>46</v>
      </c>
      <c r="N11" s="544"/>
      <c r="O11" s="545"/>
      <c r="P11" s="258">
        <f>55/1.18</f>
        <v>46.610169491525426</v>
      </c>
      <c r="Q11" s="259">
        <v>25.5</v>
      </c>
      <c r="R11" s="260">
        <f>P11*Q11/100</f>
        <v>11.885593220338983</v>
      </c>
      <c r="S11" s="261">
        <f>R11*U11</f>
        <v>1901.6949152542372</v>
      </c>
      <c r="T11" s="262">
        <f>P11+R11</f>
        <v>58.495762711864408</v>
      </c>
      <c r="U11" s="263">
        <v>160</v>
      </c>
      <c r="V11" s="264">
        <f>P11*2</f>
        <v>93.220338983050851</v>
      </c>
      <c r="W11" s="265">
        <v>120</v>
      </c>
      <c r="X11" s="266">
        <f>U11*T11+V11+W11</f>
        <v>9572.5423728813548</v>
      </c>
      <c r="Y11" s="267" t="s">
        <v>47</v>
      </c>
      <c r="Z11" s="268">
        <v>0</v>
      </c>
      <c r="AA11" s="269">
        <v>1</v>
      </c>
      <c r="AB11" s="270">
        <v>1</v>
      </c>
      <c r="AC11" s="270">
        <v>1</v>
      </c>
      <c r="AD11" s="271">
        <f>Z11*AA11*AB11*AC11</f>
        <v>0</v>
      </c>
      <c r="AE11" s="180">
        <f>2.5*8</f>
        <v>20</v>
      </c>
      <c r="AF11" s="272">
        <f>0.5%*(X11+AD11+AE11)</f>
        <v>47.962711864406778</v>
      </c>
      <c r="AG11" s="273">
        <f>X11+AD11+AF11+AE11</f>
        <v>9640.5050847457624</v>
      </c>
      <c r="AH11" s="274">
        <f>AG11/U11</f>
        <v>60.253156779661012</v>
      </c>
      <c r="AI11" s="275">
        <f>AH11*0.18</f>
        <v>10.845568220338981</v>
      </c>
      <c r="AJ11" s="276">
        <f>AH11+AI11</f>
        <v>71.098724999999988</v>
      </c>
    </row>
    <row r="12" spans="1:123" ht="21" thickBot="1">
      <c r="B12" s="535" t="s">
        <v>55</v>
      </c>
      <c r="C12" s="536"/>
      <c r="D12" s="536"/>
      <c r="E12" s="536"/>
      <c r="F12" s="536"/>
      <c r="G12" s="536"/>
      <c r="H12" s="536"/>
      <c r="I12" s="536"/>
      <c r="J12" s="537"/>
      <c r="L12" s="538" t="s">
        <v>1</v>
      </c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40"/>
      <c r="AC12" s="354"/>
      <c r="AD12" s="354"/>
      <c r="AE12" s="354"/>
      <c r="AF12" s="354"/>
      <c r="AG12" s="354"/>
      <c r="AH12" s="354"/>
      <c r="AI12" s="354"/>
      <c r="AJ12" s="354"/>
    </row>
    <row r="13" spans="1:123" ht="81.75" thickBot="1">
      <c r="A13" s="354"/>
      <c r="B13" s="356" t="s">
        <v>2</v>
      </c>
      <c r="C13" s="357" t="s">
        <v>3</v>
      </c>
      <c r="D13" s="357" t="s">
        <v>4</v>
      </c>
      <c r="E13" s="357" t="s">
        <v>5</v>
      </c>
      <c r="F13" s="357" t="s">
        <v>6</v>
      </c>
      <c r="G13" s="357" t="s">
        <v>42</v>
      </c>
      <c r="H13" s="357" t="s">
        <v>8</v>
      </c>
      <c r="I13" s="357" t="s">
        <v>9</v>
      </c>
      <c r="J13" s="308" t="s">
        <v>43</v>
      </c>
      <c r="L13" s="358" t="s">
        <v>11</v>
      </c>
      <c r="M13" s="359" t="s">
        <v>12</v>
      </c>
      <c r="N13" s="359" t="s">
        <v>13</v>
      </c>
      <c r="O13" s="360" t="s">
        <v>14</v>
      </c>
      <c r="P13" s="361" t="s">
        <v>15</v>
      </c>
      <c r="Q13" s="362" t="s">
        <v>16</v>
      </c>
      <c r="R13" s="362" t="s">
        <v>17</v>
      </c>
      <c r="S13" s="362" t="s">
        <v>18</v>
      </c>
      <c r="T13" s="362" t="s">
        <v>19</v>
      </c>
      <c r="U13" s="363" t="s">
        <v>20</v>
      </c>
      <c r="V13" s="364" t="s">
        <v>21</v>
      </c>
      <c r="W13" s="358" t="s">
        <v>22</v>
      </c>
      <c r="X13" s="360" t="s">
        <v>23</v>
      </c>
      <c r="Y13" s="365" t="s">
        <v>24</v>
      </c>
      <c r="Z13" s="366" t="s">
        <v>25</v>
      </c>
      <c r="AA13" s="366" t="s">
        <v>26</v>
      </c>
      <c r="AB13" s="366" t="s">
        <v>27</v>
      </c>
      <c r="AC13" s="366" t="s">
        <v>28</v>
      </c>
      <c r="AD13" s="367" t="s">
        <v>29</v>
      </c>
      <c r="AE13" s="358" t="s">
        <v>30</v>
      </c>
      <c r="AF13" s="358" t="s">
        <v>31</v>
      </c>
      <c r="AG13" s="368" t="s">
        <v>19</v>
      </c>
      <c r="AH13" s="369" t="s">
        <v>32</v>
      </c>
      <c r="AI13" s="369" t="s">
        <v>33</v>
      </c>
      <c r="AJ13" s="370" t="s">
        <v>34</v>
      </c>
      <c r="AK13" s="355"/>
      <c r="AL13" s="354"/>
      <c r="AM13" s="354"/>
      <c r="AN13" s="354"/>
      <c r="AO13" s="354"/>
      <c r="AP13" s="354"/>
      <c r="AQ13" s="354"/>
      <c r="AR13" s="354"/>
      <c r="AS13" s="354"/>
      <c r="AT13" s="354"/>
      <c r="AU13" s="354"/>
      <c r="AV13" s="354"/>
      <c r="AW13" s="354"/>
      <c r="AX13" s="354"/>
      <c r="AY13" s="354"/>
      <c r="AZ13" s="354"/>
      <c r="BA13" s="354"/>
      <c r="BB13" s="354"/>
      <c r="BC13" s="354"/>
      <c r="BD13" s="354"/>
      <c r="BE13" s="354"/>
      <c r="BF13" s="354"/>
      <c r="BG13" s="354"/>
      <c r="BH13" s="354"/>
      <c r="BI13" s="354"/>
      <c r="BJ13" s="354"/>
      <c r="BK13" s="354"/>
      <c r="BL13" s="354"/>
      <c r="BM13" s="354"/>
      <c r="BN13" s="354"/>
      <c r="BO13" s="354"/>
      <c r="BP13" s="354"/>
      <c r="BQ13" s="354"/>
      <c r="BR13" s="354"/>
      <c r="BS13" s="354"/>
      <c r="BT13" s="354"/>
      <c r="BU13" s="354"/>
      <c r="BV13" s="354"/>
      <c r="BW13" s="354"/>
      <c r="BX13" s="354"/>
      <c r="BY13" s="354"/>
      <c r="BZ13" s="354"/>
      <c r="CA13" s="354"/>
      <c r="CB13" s="354"/>
      <c r="CC13" s="354"/>
      <c r="CD13" s="354"/>
      <c r="CE13" s="354"/>
      <c r="CF13" s="354"/>
      <c r="CG13" s="354"/>
      <c r="CH13" s="354"/>
      <c r="CI13" s="354"/>
      <c r="CJ13" s="354"/>
      <c r="CK13" s="354"/>
      <c r="CL13" s="354"/>
      <c r="CM13" s="354"/>
      <c r="CN13" s="354"/>
      <c r="CO13" s="354"/>
      <c r="CP13" s="354"/>
      <c r="CQ13" s="354"/>
      <c r="CR13" s="354"/>
      <c r="CS13" s="354"/>
      <c r="CT13" s="354"/>
      <c r="CU13" s="354"/>
      <c r="CV13" s="354"/>
      <c r="CW13" s="354"/>
      <c r="CX13" s="354"/>
      <c r="CY13" s="354"/>
      <c r="CZ13" s="354"/>
      <c r="DA13" s="354"/>
      <c r="DB13" s="354"/>
      <c r="DC13" s="354"/>
      <c r="DD13" s="354"/>
      <c r="DE13" s="354"/>
      <c r="DF13" s="354"/>
      <c r="DG13" s="354"/>
      <c r="DH13" s="354"/>
      <c r="DI13" s="354"/>
      <c r="DJ13" s="354"/>
      <c r="DK13" s="354"/>
      <c r="DL13" s="354"/>
      <c r="DM13" s="354"/>
      <c r="DN13" s="354"/>
      <c r="DO13" s="354"/>
      <c r="DP13" s="354"/>
      <c r="DQ13" s="354"/>
      <c r="DR13" s="354"/>
      <c r="DS13" s="354"/>
    </row>
    <row r="14" spans="1:123" ht="213" customHeight="1" thickBot="1">
      <c r="B14" s="377">
        <v>1</v>
      </c>
      <c r="C14" s="541" t="s">
        <v>56</v>
      </c>
      <c r="D14" s="542"/>
      <c r="E14" s="375" t="s">
        <v>36</v>
      </c>
      <c r="F14" s="502">
        <v>160</v>
      </c>
      <c r="G14" s="371">
        <f t="shared" ref="G14:G15" si="20">AH14</f>
        <v>60.253156779661012</v>
      </c>
      <c r="H14" s="372" t="s">
        <v>44</v>
      </c>
      <c r="I14" s="376" t="s">
        <v>58</v>
      </c>
      <c r="J14" s="373">
        <f>F14*60.25</f>
        <v>9640</v>
      </c>
      <c r="K14" s="297"/>
      <c r="L14" s="257" t="s">
        <v>39</v>
      </c>
      <c r="M14" s="543" t="s">
        <v>46</v>
      </c>
      <c r="N14" s="544"/>
      <c r="O14" s="545"/>
      <c r="P14" s="258">
        <f>55/1.18</f>
        <v>46.610169491525426</v>
      </c>
      <c r="Q14" s="259">
        <v>25.5</v>
      </c>
      <c r="R14" s="260">
        <f>P14*Q14/100</f>
        <v>11.885593220338983</v>
      </c>
      <c r="S14" s="261">
        <f>R14*U14</f>
        <v>1901.6949152542372</v>
      </c>
      <c r="T14" s="262">
        <f>P14+R14</f>
        <v>58.495762711864408</v>
      </c>
      <c r="U14" s="263">
        <v>160</v>
      </c>
      <c r="V14" s="264">
        <f>P14*2</f>
        <v>93.220338983050851</v>
      </c>
      <c r="W14" s="265">
        <v>120</v>
      </c>
      <c r="X14" s="266">
        <f>U14*T14+V14+W14</f>
        <v>9572.5423728813548</v>
      </c>
      <c r="Y14" s="267" t="s">
        <v>47</v>
      </c>
      <c r="Z14" s="268">
        <v>0</v>
      </c>
      <c r="AA14" s="269">
        <v>1</v>
      </c>
      <c r="AB14" s="270">
        <v>1</v>
      </c>
      <c r="AC14" s="270">
        <v>1</v>
      </c>
      <c r="AD14" s="271">
        <f>Z14*AA14*AB14*AC14</f>
        <v>0</v>
      </c>
      <c r="AE14" s="180">
        <f>2.5*8</f>
        <v>20</v>
      </c>
      <c r="AF14" s="272">
        <f>0.5%*(X14+AD14+AE14)</f>
        <v>47.962711864406778</v>
      </c>
      <c r="AG14" s="273">
        <f>X14+AD14+AF14+AE14</f>
        <v>9640.5050847457624</v>
      </c>
      <c r="AH14" s="274">
        <f>AG14/U14</f>
        <v>60.253156779661012</v>
      </c>
      <c r="AI14" s="275">
        <f>AH14*0.18</f>
        <v>10.845568220338981</v>
      </c>
      <c r="AJ14" s="276">
        <f>AH14+AI14</f>
        <v>71.098724999999988</v>
      </c>
    </row>
    <row r="15" spans="1:123" ht="233.25" customHeight="1" thickBot="1">
      <c r="A15" s="277"/>
      <c r="B15" s="374">
        <v>2</v>
      </c>
      <c r="C15" s="546" t="s">
        <v>48</v>
      </c>
      <c r="D15" s="547"/>
      <c r="E15" s="378" t="s">
        <v>36</v>
      </c>
      <c r="F15" s="502">
        <v>160</v>
      </c>
      <c r="G15" s="371">
        <f t="shared" si="20"/>
        <v>83.75117250000001</v>
      </c>
      <c r="H15" s="372" t="s">
        <v>44</v>
      </c>
      <c r="I15" s="379" t="s">
        <v>49</v>
      </c>
      <c r="J15" s="373">
        <f>F15*83.75</f>
        <v>13400</v>
      </c>
      <c r="K15" s="278"/>
      <c r="L15" s="279" t="s">
        <v>50</v>
      </c>
      <c r="M15" s="548" t="s">
        <v>51</v>
      </c>
      <c r="N15" s="549"/>
      <c r="O15" s="550"/>
      <c r="P15" s="280">
        <v>65</v>
      </c>
      <c r="Q15" s="259">
        <v>25.13</v>
      </c>
      <c r="R15" s="281">
        <f t="shared" ref="R15" si="21">P15*Q15/100</f>
        <v>16.334500000000002</v>
      </c>
      <c r="S15" s="282">
        <f t="shared" ref="S15" si="22">R15*U15</f>
        <v>2613.5200000000004</v>
      </c>
      <c r="T15" s="283">
        <f t="shared" ref="T15" si="23">P15+R15</f>
        <v>81.334500000000006</v>
      </c>
      <c r="U15" s="284">
        <v>160</v>
      </c>
      <c r="V15" s="264">
        <f>P15*1</f>
        <v>65</v>
      </c>
      <c r="W15" s="265">
        <v>180</v>
      </c>
      <c r="X15" s="285">
        <f t="shared" ref="X15" si="24">U15*T15+V15+W15</f>
        <v>13258.52</v>
      </c>
      <c r="Y15" s="286" t="s">
        <v>52</v>
      </c>
      <c r="Z15" s="268">
        <v>0</v>
      </c>
      <c r="AA15" s="287">
        <v>1</v>
      </c>
      <c r="AB15" s="287">
        <v>1</v>
      </c>
      <c r="AC15" s="270">
        <v>1</v>
      </c>
      <c r="AD15" s="181">
        <f t="shared" ref="AD15" si="25">Z15*AA15*AB15*AC15</f>
        <v>0</v>
      </c>
      <c r="AE15" s="180">
        <f>2.5*30</f>
        <v>75</v>
      </c>
      <c r="AF15" s="272">
        <f>0.5%*(X15+AD15+AE15)</f>
        <v>66.667600000000007</v>
      </c>
      <c r="AG15" s="288">
        <f t="shared" ref="AG15" si="26">X15+AD15+AF15+AE15</f>
        <v>13400.187600000001</v>
      </c>
      <c r="AH15" s="289">
        <f t="shared" ref="AH15" si="27">AG15/U15</f>
        <v>83.75117250000001</v>
      </c>
      <c r="AI15" s="280">
        <f t="shared" ref="AI15" si="28">AH15*0.18</f>
        <v>15.075211050000002</v>
      </c>
      <c r="AJ15" s="290">
        <f t="shared" ref="AJ15" si="29">AH15+AI15</f>
        <v>98.826383550000017</v>
      </c>
      <c r="AL15" s="291">
        <f t="shared" ref="AL15" si="30">AJ15*U15</f>
        <v>15812.221368000002</v>
      </c>
      <c r="AM15" s="292">
        <f t="shared" ref="AM15" si="31">(AJ15-(AJ15/1.18))*U15</f>
        <v>2412.0337679999989</v>
      </c>
      <c r="AN15" s="292">
        <f t="shared" ref="AN15" si="32">(AJ15-(AJ15/1.02))*U15</f>
        <v>310.04355623529364</v>
      </c>
      <c r="AO15" s="292">
        <f t="shared" ref="AO15" si="33">(AJ15-(AJ15/1.05))*U15</f>
        <v>752.96292228571474</v>
      </c>
      <c r="AP15" s="292">
        <f t="shared" ref="AP15" si="34">R15*U15</f>
        <v>2613.5200000000004</v>
      </c>
      <c r="AQ15" s="293">
        <f t="shared" ref="AQ15" si="35">AP15-AO15-AN15</f>
        <v>1550.5135214789921</v>
      </c>
      <c r="AR15" s="294"/>
      <c r="AS15" s="295">
        <f t="shared" ref="AS15" si="36">AP15*100/(AL15-AM15-AP15)</f>
        <v>24.229169720590999</v>
      </c>
      <c r="AT15" s="295">
        <f t="shared" ref="AT15" si="37">AQ15*100/(AL15-AM15-AP15-AN15-AO15)</f>
        <v>15.94577908576019</v>
      </c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  <c r="CO15" s="296"/>
      <c r="CP15" s="296"/>
      <c r="CQ15" s="296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6"/>
      <c r="DH15" s="296"/>
      <c r="DI15" s="296"/>
      <c r="DJ15" s="296"/>
      <c r="DK15" s="296"/>
      <c r="DL15" s="296"/>
      <c r="DM15" s="296"/>
      <c r="DN15" s="296"/>
      <c r="DO15" s="296"/>
      <c r="DP15" s="296"/>
      <c r="DQ15" s="296"/>
      <c r="DR15" s="296"/>
      <c r="DS15" s="296"/>
    </row>
    <row r="16" spans="1:123" ht="21" thickBot="1"/>
    <row r="17" spans="1:123" ht="21" thickBot="1">
      <c r="B17" s="535" t="s">
        <v>55</v>
      </c>
      <c r="C17" s="536"/>
      <c r="D17" s="536"/>
      <c r="E17" s="536"/>
      <c r="F17" s="536"/>
      <c r="G17" s="536"/>
      <c r="H17" s="536"/>
      <c r="I17" s="536"/>
      <c r="J17" s="537"/>
      <c r="L17" s="538" t="s">
        <v>1</v>
      </c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40"/>
      <c r="AC17" s="354"/>
      <c r="AD17" s="354"/>
      <c r="AE17" s="354"/>
      <c r="AF17" s="354"/>
      <c r="AG17" s="354"/>
      <c r="AH17" s="354"/>
      <c r="AI17" s="354"/>
      <c r="AJ17" s="354"/>
    </row>
    <row r="18" spans="1:123" ht="81.75" thickBot="1">
      <c r="A18" s="354"/>
      <c r="B18" s="356" t="s">
        <v>2</v>
      </c>
      <c r="C18" s="357" t="s">
        <v>3</v>
      </c>
      <c r="D18" s="357" t="s">
        <v>4</v>
      </c>
      <c r="E18" s="357" t="s">
        <v>5</v>
      </c>
      <c r="F18" s="357" t="s">
        <v>6</v>
      </c>
      <c r="G18" s="357" t="s">
        <v>42</v>
      </c>
      <c r="H18" s="357" t="s">
        <v>8</v>
      </c>
      <c r="I18" s="357" t="s">
        <v>9</v>
      </c>
      <c r="J18" s="308" t="s">
        <v>43</v>
      </c>
      <c r="L18" s="358" t="s">
        <v>11</v>
      </c>
      <c r="M18" s="359" t="s">
        <v>12</v>
      </c>
      <c r="N18" s="359" t="s">
        <v>13</v>
      </c>
      <c r="O18" s="360" t="s">
        <v>14</v>
      </c>
      <c r="P18" s="361" t="s">
        <v>15</v>
      </c>
      <c r="Q18" s="362" t="s">
        <v>16</v>
      </c>
      <c r="R18" s="362" t="s">
        <v>17</v>
      </c>
      <c r="S18" s="362" t="s">
        <v>18</v>
      </c>
      <c r="T18" s="362" t="s">
        <v>19</v>
      </c>
      <c r="U18" s="363" t="s">
        <v>20</v>
      </c>
      <c r="V18" s="364" t="s">
        <v>21</v>
      </c>
      <c r="W18" s="358" t="s">
        <v>22</v>
      </c>
      <c r="X18" s="360" t="s">
        <v>23</v>
      </c>
      <c r="Y18" s="365" t="s">
        <v>24</v>
      </c>
      <c r="Z18" s="366" t="s">
        <v>25</v>
      </c>
      <c r="AA18" s="366" t="s">
        <v>26</v>
      </c>
      <c r="AB18" s="366" t="s">
        <v>27</v>
      </c>
      <c r="AC18" s="366" t="s">
        <v>28</v>
      </c>
      <c r="AD18" s="367" t="s">
        <v>29</v>
      </c>
      <c r="AE18" s="358" t="s">
        <v>30</v>
      </c>
      <c r="AF18" s="358" t="s">
        <v>31</v>
      </c>
      <c r="AG18" s="368" t="s">
        <v>19</v>
      </c>
      <c r="AH18" s="369" t="s">
        <v>32</v>
      </c>
      <c r="AI18" s="369" t="s">
        <v>33</v>
      </c>
      <c r="AJ18" s="370" t="s">
        <v>34</v>
      </c>
      <c r="AK18" s="355"/>
      <c r="AL18" s="354"/>
      <c r="AM18" s="354"/>
      <c r="AN18" s="354"/>
      <c r="AO18" s="354"/>
      <c r="AP18" s="354"/>
      <c r="AQ18" s="354"/>
      <c r="AR18" s="354"/>
      <c r="AS18" s="354"/>
      <c r="AT18" s="354"/>
      <c r="AU18" s="354"/>
      <c r="AV18" s="354"/>
      <c r="AW18" s="354"/>
      <c r="AX18" s="354"/>
      <c r="AY18" s="354"/>
      <c r="AZ18" s="354"/>
      <c r="BA18" s="354"/>
      <c r="BB18" s="354"/>
      <c r="BC18" s="354"/>
      <c r="BD18" s="354"/>
      <c r="BE18" s="354"/>
      <c r="BF18" s="354"/>
      <c r="BG18" s="354"/>
      <c r="BH18" s="354"/>
      <c r="BI18" s="354"/>
      <c r="BJ18" s="354"/>
      <c r="BK18" s="354"/>
      <c r="BL18" s="354"/>
      <c r="BM18" s="354"/>
      <c r="BN18" s="354"/>
      <c r="BO18" s="354"/>
      <c r="BP18" s="354"/>
      <c r="BQ18" s="354"/>
      <c r="BR18" s="354"/>
      <c r="BS18" s="354"/>
      <c r="BT18" s="354"/>
      <c r="BU18" s="354"/>
      <c r="BV18" s="354"/>
      <c r="BW18" s="354"/>
      <c r="BX18" s="354"/>
      <c r="BY18" s="354"/>
      <c r="BZ18" s="354"/>
      <c r="CA18" s="354"/>
      <c r="CB18" s="354"/>
      <c r="CC18" s="354"/>
      <c r="CD18" s="354"/>
      <c r="CE18" s="354"/>
      <c r="CF18" s="354"/>
      <c r="CG18" s="354"/>
      <c r="CH18" s="354"/>
      <c r="CI18" s="354"/>
      <c r="CJ18" s="354"/>
      <c r="CK18" s="354"/>
      <c r="CL18" s="354"/>
      <c r="CM18" s="354"/>
      <c r="CN18" s="354"/>
      <c r="CO18" s="354"/>
      <c r="CP18" s="354"/>
      <c r="CQ18" s="354"/>
      <c r="CR18" s="354"/>
      <c r="CS18" s="354"/>
      <c r="CT18" s="354"/>
      <c r="CU18" s="354"/>
      <c r="CV18" s="354"/>
      <c r="CW18" s="354"/>
      <c r="CX18" s="354"/>
      <c r="CY18" s="354"/>
      <c r="CZ18" s="354"/>
      <c r="DA18" s="354"/>
      <c r="DB18" s="354"/>
      <c r="DC18" s="354"/>
      <c r="DD18" s="354"/>
      <c r="DE18" s="354"/>
      <c r="DF18" s="354"/>
      <c r="DG18" s="354"/>
      <c r="DH18" s="354"/>
      <c r="DI18" s="354"/>
      <c r="DJ18" s="354"/>
      <c r="DK18" s="354"/>
      <c r="DL18" s="354"/>
      <c r="DM18" s="354"/>
      <c r="DN18" s="354"/>
      <c r="DO18" s="354"/>
      <c r="DP18" s="354"/>
      <c r="DQ18" s="354"/>
      <c r="DR18" s="354"/>
      <c r="DS18" s="354"/>
    </row>
    <row r="19" spans="1:123" ht="213" customHeight="1" thickBot="1">
      <c r="B19" s="377">
        <v>1</v>
      </c>
      <c r="C19" s="541" t="s">
        <v>59</v>
      </c>
      <c r="D19" s="542"/>
      <c r="E19" s="375" t="s">
        <v>36</v>
      </c>
      <c r="F19" s="502">
        <v>160</v>
      </c>
      <c r="G19" s="371">
        <f t="shared" ref="G19:G20" si="38">AH19</f>
        <v>65.352296080508467</v>
      </c>
      <c r="H19" s="372" t="s">
        <v>44</v>
      </c>
      <c r="I19" s="376" t="s">
        <v>60</v>
      </c>
      <c r="J19" s="373">
        <f>F19*65.35</f>
        <v>10456</v>
      </c>
      <c r="K19" s="297"/>
      <c r="L19" s="257" t="s">
        <v>39</v>
      </c>
      <c r="M19" s="543" t="s">
        <v>46</v>
      </c>
      <c r="N19" s="544"/>
      <c r="O19" s="545"/>
      <c r="P19" s="258">
        <f>60/1.18</f>
        <v>50.847457627118644</v>
      </c>
      <c r="Q19" s="259">
        <v>25</v>
      </c>
      <c r="R19" s="260">
        <f>P19*Q19/100</f>
        <v>12.711864406779661</v>
      </c>
      <c r="S19" s="261">
        <f>R19*U19</f>
        <v>2033.8983050847457</v>
      </c>
      <c r="T19" s="262">
        <f>P19+R19</f>
        <v>63.559322033898304</v>
      </c>
      <c r="U19" s="263">
        <v>160</v>
      </c>
      <c r="V19" s="264">
        <f>P19*1</f>
        <v>50.847457627118644</v>
      </c>
      <c r="W19" s="265">
        <v>120</v>
      </c>
      <c r="X19" s="266">
        <f>U19*T19+V19+W19</f>
        <v>10340.338983050848</v>
      </c>
      <c r="Y19" s="267" t="s">
        <v>47</v>
      </c>
      <c r="Z19" s="268">
        <v>0</v>
      </c>
      <c r="AA19" s="269">
        <v>1</v>
      </c>
      <c r="AB19" s="270">
        <v>1</v>
      </c>
      <c r="AC19" s="270">
        <v>1</v>
      </c>
      <c r="AD19" s="271">
        <f>Z19*AA19*AB19*AC19</f>
        <v>0</v>
      </c>
      <c r="AE19" s="180">
        <f>2.5*5</f>
        <v>12.5</v>
      </c>
      <c r="AF19" s="272">
        <f>1%*(X19+AD19+AE19)</f>
        <v>103.52838983050847</v>
      </c>
      <c r="AG19" s="273">
        <f>X19+AD19+AF19+AE19</f>
        <v>10456.367372881356</v>
      </c>
      <c r="AH19" s="274">
        <f>AG19/U19</f>
        <v>65.352296080508467</v>
      </c>
      <c r="AI19" s="275">
        <f>AH19*0.18</f>
        <v>11.763413294491524</v>
      </c>
      <c r="AJ19" s="276">
        <f>AH19+AI19</f>
        <v>77.115709374999994</v>
      </c>
    </row>
    <row r="20" spans="1:123" ht="188.25" customHeight="1" thickBot="1">
      <c r="A20" s="277"/>
      <c r="B20" s="374">
        <v>2</v>
      </c>
      <c r="C20" s="546" t="s">
        <v>48</v>
      </c>
      <c r="D20" s="547"/>
      <c r="E20" s="378" t="s">
        <v>36</v>
      </c>
      <c r="F20" s="502">
        <v>160</v>
      </c>
      <c r="G20" s="371">
        <f t="shared" si="38"/>
        <v>96.298364406779655</v>
      </c>
      <c r="H20" s="372" t="s">
        <v>44</v>
      </c>
      <c r="I20" s="379" t="s">
        <v>49</v>
      </c>
      <c r="J20" s="373">
        <f>F20*98.19</f>
        <v>15710.4</v>
      </c>
      <c r="K20" s="278"/>
      <c r="L20" s="279" t="s">
        <v>61</v>
      </c>
      <c r="M20" s="548" t="s">
        <v>51</v>
      </c>
      <c r="N20" s="549"/>
      <c r="O20" s="550"/>
      <c r="P20" s="280">
        <f>90/1.18</f>
        <v>76.271186440677965</v>
      </c>
      <c r="Q20" s="259">
        <v>22.58</v>
      </c>
      <c r="R20" s="281">
        <f t="shared" ref="R20" si="39">P20*Q20/100</f>
        <v>17.222033898305082</v>
      </c>
      <c r="S20" s="282">
        <f t="shared" ref="S20" si="40">R20*U20</f>
        <v>2755.5254237288132</v>
      </c>
      <c r="T20" s="283">
        <f t="shared" ref="T20" si="41">P20+R20</f>
        <v>93.493220338983051</v>
      </c>
      <c r="U20" s="284">
        <v>160</v>
      </c>
      <c r="V20" s="264">
        <f>P20*1</f>
        <v>76.271186440677965</v>
      </c>
      <c r="W20" s="265">
        <v>180</v>
      </c>
      <c r="X20" s="285">
        <f t="shared" ref="X20" si="42">U20*T20+V20+W20</f>
        <v>15215.186440677966</v>
      </c>
      <c r="Y20" s="286" t="s">
        <v>52</v>
      </c>
      <c r="Z20" s="268">
        <v>0</v>
      </c>
      <c r="AA20" s="287">
        <v>1</v>
      </c>
      <c r="AB20" s="287">
        <v>1</v>
      </c>
      <c r="AC20" s="270">
        <v>1</v>
      </c>
      <c r="AD20" s="181">
        <f t="shared" ref="AD20" si="43">Z20*AA20*AB20*AC20</f>
        <v>0</v>
      </c>
      <c r="AE20" s="180">
        <f>2.5*16</f>
        <v>40</v>
      </c>
      <c r="AF20" s="272">
        <f>1%*(X20+AD20+AE20)</f>
        <v>152.55186440677966</v>
      </c>
      <c r="AG20" s="288">
        <f t="shared" ref="AG20" si="44">X20+AD20+AF20+AE20</f>
        <v>15407.738305084746</v>
      </c>
      <c r="AH20" s="289">
        <f t="shared" ref="AH20" si="45">AG20/U20</f>
        <v>96.298364406779655</v>
      </c>
      <c r="AI20" s="280">
        <f t="shared" ref="AI20" si="46">AH20*0.18</f>
        <v>17.333705593220337</v>
      </c>
      <c r="AJ20" s="290">
        <f t="shared" ref="AJ20" si="47">AH20+AI20</f>
        <v>113.63207</v>
      </c>
      <c r="AL20" s="291">
        <f t="shared" ref="AL20" si="48">AJ20*U20</f>
        <v>18181.1312</v>
      </c>
      <c r="AM20" s="292">
        <f t="shared" ref="AM20" si="49">(AJ20-(AJ20/1.18))*U20</f>
        <v>2773.3928949152528</v>
      </c>
      <c r="AN20" s="292">
        <f t="shared" ref="AN20" si="50">(AJ20-(AJ20/1.02))*U20</f>
        <v>356.49276862745182</v>
      </c>
      <c r="AO20" s="292">
        <f t="shared" ref="AO20" si="51">(AJ20-(AJ20/1.05))*U20</f>
        <v>865.76815238095378</v>
      </c>
      <c r="AP20" s="292">
        <f t="shared" ref="AP20" si="52">R20*U20</f>
        <v>2755.5254237288132</v>
      </c>
      <c r="AQ20" s="293">
        <f t="shared" ref="AQ20" si="53">AP20-AO20-AN20</f>
        <v>1533.2645027204076</v>
      </c>
      <c r="AR20" s="294"/>
      <c r="AS20" s="295">
        <f t="shared" ref="AS20" si="54">AP20*100/(AL20-AM20-AP20)</f>
        <v>21.778999844282609</v>
      </c>
      <c r="AT20" s="295">
        <f t="shared" ref="AT20" si="55">AQ20*100/(AL20-AM20-AP20-AN20-AO20)</f>
        <v>13.414443980513358</v>
      </c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  <c r="CO20" s="296"/>
      <c r="CP20" s="296"/>
      <c r="CQ20" s="296"/>
      <c r="CR20" s="296"/>
      <c r="CS20" s="296"/>
      <c r="CT20" s="296"/>
      <c r="CU20" s="296"/>
      <c r="CV20" s="296"/>
      <c r="CW20" s="296"/>
      <c r="CX20" s="296"/>
      <c r="CY20" s="296"/>
      <c r="CZ20" s="296"/>
      <c r="DA20" s="296"/>
      <c r="DB20" s="296"/>
      <c r="DC20" s="296"/>
      <c r="DD20" s="296"/>
      <c r="DE20" s="296"/>
      <c r="DF20" s="296"/>
      <c r="DG20" s="296"/>
      <c r="DH20" s="296"/>
      <c r="DI20" s="296"/>
      <c r="DJ20" s="296"/>
      <c r="DK20" s="296"/>
      <c r="DL20" s="296"/>
      <c r="DM20" s="296"/>
      <c r="DN20" s="296"/>
      <c r="DO20" s="296"/>
      <c r="DP20" s="296"/>
      <c r="DQ20" s="296"/>
      <c r="DR20" s="296"/>
      <c r="DS20" s="296"/>
    </row>
  </sheetData>
  <mergeCells count="28">
    <mergeCell ref="C11:D11"/>
    <mergeCell ref="M11:O11"/>
    <mergeCell ref="M20:O20"/>
    <mergeCell ref="C20:D20"/>
    <mergeCell ref="M19:O19"/>
    <mergeCell ref="L17:AB17"/>
    <mergeCell ref="B17:J17"/>
    <mergeCell ref="C19:D19"/>
    <mergeCell ref="B12:J12"/>
    <mergeCell ref="L12:AB12"/>
    <mergeCell ref="C14:D14"/>
    <mergeCell ref="M14:O14"/>
    <mergeCell ref="C15:D15"/>
    <mergeCell ref="M15:O15"/>
    <mergeCell ref="B1:J1"/>
    <mergeCell ref="L1:AB1"/>
    <mergeCell ref="B9:J9"/>
    <mergeCell ref="L9:AB9"/>
    <mergeCell ref="C8:D8"/>
    <mergeCell ref="M8:O8"/>
    <mergeCell ref="B4:J4"/>
    <mergeCell ref="L4:AB4"/>
    <mergeCell ref="C6:D6"/>
    <mergeCell ref="M6:O6"/>
    <mergeCell ref="C7:D7"/>
    <mergeCell ref="M7:O7"/>
    <mergeCell ref="C3:D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G40"/>
  <sheetViews>
    <sheetView tabSelected="1" zoomScale="53" zoomScaleNormal="53" workbookViewId="0">
      <selection activeCell="J4" sqref="J4"/>
    </sheetView>
  </sheetViews>
  <sheetFormatPr baseColWidth="10" defaultColWidth="11.42578125" defaultRowHeight="15"/>
  <cols>
    <col min="1" max="1" width="7.42578125" customWidth="1"/>
    <col min="2" max="2" width="4.28515625" customWidth="1"/>
    <col min="3" max="3" width="10.42578125" customWidth="1"/>
    <col min="4" max="4" width="19.140625" customWidth="1"/>
    <col min="5" max="5" width="47.140625" style="18" customWidth="1"/>
    <col min="6" max="6" width="11.5703125" customWidth="1"/>
    <col min="7" max="7" width="20.7109375" customWidth="1"/>
    <col min="8" max="8" width="18.85546875" customWidth="1"/>
    <col min="9" max="9" width="79.5703125" customWidth="1"/>
    <col min="10" max="10" width="21.140625" customWidth="1"/>
    <col min="11" max="11" width="31.42578125" customWidth="1"/>
    <col min="12" max="12" width="22.7109375" style="17" customWidth="1"/>
    <col min="13" max="13" width="20.85546875" bestFit="1" customWidth="1"/>
    <col min="15" max="15" width="21.7109375" customWidth="1"/>
    <col min="16" max="16" width="16.140625" customWidth="1"/>
    <col min="17" max="17" width="11.5703125" bestFit="1" customWidth="1"/>
    <col min="18" max="18" width="16.140625" customWidth="1"/>
    <col min="19" max="19" width="21.85546875" customWidth="1"/>
    <col min="20" max="20" width="19" customWidth="1"/>
    <col min="21" max="21" width="11.5703125" bestFit="1" customWidth="1"/>
    <col min="22" max="22" width="16" customWidth="1"/>
    <col min="23" max="23" width="17.28515625" bestFit="1" customWidth="1"/>
    <col min="24" max="24" width="21.7109375" customWidth="1"/>
    <col min="25" max="25" width="15.140625" customWidth="1"/>
    <col min="26" max="26" width="18.42578125" customWidth="1"/>
    <col min="27" max="29" width="11.5703125" bestFit="1" customWidth="1"/>
    <col min="30" max="30" width="17.42578125" customWidth="1"/>
    <col min="31" max="31" width="19.5703125" customWidth="1"/>
    <col min="32" max="32" width="14.7109375" customWidth="1"/>
    <col min="33" max="33" width="22.85546875" customWidth="1"/>
    <col min="34" max="34" width="17.140625" customWidth="1"/>
    <col min="35" max="35" width="18.28515625" customWidth="1"/>
    <col min="36" max="36" width="16" customWidth="1"/>
  </cols>
  <sheetData>
    <row r="2" spans="1:56" ht="15.75" thickBot="1"/>
    <row r="3" spans="1:56" ht="40.5" customHeight="1" thickBot="1">
      <c r="B3" s="551" t="s">
        <v>62</v>
      </c>
      <c r="C3" s="552"/>
      <c r="D3" s="552"/>
      <c r="E3" s="552"/>
      <c r="F3" s="552"/>
      <c r="G3" s="552"/>
      <c r="H3" s="552"/>
      <c r="I3" s="552"/>
      <c r="J3" s="553"/>
      <c r="K3" s="255" t="s">
        <v>63</v>
      </c>
      <c r="L3" s="554" t="s">
        <v>1</v>
      </c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6"/>
      <c r="AC3" s="1"/>
      <c r="AD3" s="1"/>
      <c r="AE3" s="1"/>
      <c r="AF3" s="1"/>
      <c r="AG3" s="1"/>
      <c r="AH3" s="1"/>
      <c r="AI3" s="1"/>
      <c r="AJ3" s="1"/>
    </row>
    <row r="4" spans="1:56" s="1" customFormat="1" ht="46.5" customHeight="1" thickBot="1">
      <c r="B4" s="250" t="s">
        <v>2</v>
      </c>
      <c r="C4" s="251" t="s">
        <v>3</v>
      </c>
      <c r="D4" s="251" t="s">
        <v>4</v>
      </c>
      <c r="E4" s="251" t="s">
        <v>5</v>
      </c>
      <c r="F4" s="251" t="s">
        <v>6</v>
      </c>
      <c r="G4" s="251" t="s">
        <v>42</v>
      </c>
      <c r="H4" s="251" t="s">
        <v>8</v>
      </c>
      <c r="I4" s="251" t="s">
        <v>9</v>
      </c>
      <c r="J4" s="252" t="s">
        <v>43</v>
      </c>
      <c r="K4" s="114" t="s">
        <v>64</v>
      </c>
      <c r="L4" s="2" t="s">
        <v>11</v>
      </c>
      <c r="M4" s="3" t="s">
        <v>12</v>
      </c>
      <c r="N4" s="3" t="s">
        <v>13</v>
      </c>
      <c r="O4" s="4" t="s">
        <v>14</v>
      </c>
      <c r="P4" s="5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7" t="s">
        <v>20</v>
      </c>
      <c r="V4" s="8" t="s">
        <v>21</v>
      </c>
      <c r="W4" s="2" t="s">
        <v>22</v>
      </c>
      <c r="X4" s="4" t="s">
        <v>23</v>
      </c>
      <c r="Y4" s="9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1" t="s">
        <v>29</v>
      </c>
      <c r="AE4" s="12" t="s">
        <v>30</v>
      </c>
      <c r="AF4" s="12" t="s">
        <v>31</v>
      </c>
      <c r="AG4" s="13" t="s">
        <v>19</v>
      </c>
      <c r="AH4" s="14" t="s">
        <v>32</v>
      </c>
      <c r="AI4" s="14" t="s">
        <v>33</v>
      </c>
      <c r="AJ4" s="15" t="s">
        <v>34</v>
      </c>
      <c r="AK4" s="16"/>
    </row>
    <row r="5" spans="1:56" s="50" customFormat="1" ht="409.5" customHeight="1" thickBot="1">
      <c r="B5" s="582">
        <v>1</v>
      </c>
      <c r="C5" s="581" t="s">
        <v>65</v>
      </c>
      <c r="D5" s="581"/>
      <c r="E5" s="594"/>
      <c r="F5" s="592">
        <v>122</v>
      </c>
      <c r="G5" s="590">
        <f>66.4</f>
        <v>66.400000000000006</v>
      </c>
      <c r="H5" s="588" t="s">
        <v>66</v>
      </c>
      <c r="I5" s="586" t="s">
        <v>67</v>
      </c>
      <c r="J5" s="584">
        <f>F5*G5</f>
        <v>8100.8000000000011</v>
      </c>
      <c r="K5" s="249">
        <f>59.39+5.5+((5.5*22)+(9*7.5)+(10*5))/122</f>
        <v>66.844918032786879</v>
      </c>
      <c r="L5" s="195" t="s">
        <v>68</v>
      </c>
      <c r="M5" s="557" t="s">
        <v>69</v>
      </c>
      <c r="N5" s="558"/>
      <c r="O5" s="559"/>
      <c r="P5" s="216">
        <f>50/1.16</f>
        <v>43.103448275862071</v>
      </c>
      <c r="Q5" s="217">
        <v>30</v>
      </c>
      <c r="R5" s="218">
        <f>P5*Q5/100</f>
        <v>12.931034482758621</v>
      </c>
      <c r="S5" s="219">
        <f>R5*U5</f>
        <v>1577.5862068965519</v>
      </c>
      <c r="T5" s="220">
        <f>P5+R5</f>
        <v>56.03448275862069</v>
      </c>
      <c r="U5" s="221">
        <v>122</v>
      </c>
      <c r="V5" s="222">
        <f>P5*1</f>
        <v>43.103448275862071</v>
      </c>
      <c r="W5" s="223">
        <v>140</v>
      </c>
      <c r="X5" s="224">
        <f>U5*T5+V5+W5</f>
        <v>7019.310344827587</v>
      </c>
      <c r="Y5" s="225" t="s">
        <v>70</v>
      </c>
      <c r="Z5" s="226">
        <v>0</v>
      </c>
      <c r="AA5" s="227">
        <v>1</v>
      </c>
      <c r="AB5" s="227">
        <v>1</v>
      </c>
      <c r="AC5" s="227">
        <v>1</v>
      </c>
      <c r="AD5" s="228">
        <f>Z5</f>
        <v>0</v>
      </c>
      <c r="AE5" s="229">
        <v>180</v>
      </c>
      <c r="AF5" s="230">
        <f>0.5%*(X5+AD5+AE5)</f>
        <v>35.996551724137937</v>
      </c>
      <c r="AG5" s="231">
        <f>X5+AD5+AF5+AE5</f>
        <v>7235.306896551725</v>
      </c>
      <c r="AH5" s="232">
        <f>AG5/U5</f>
        <v>59.305794234030536</v>
      </c>
      <c r="AI5" s="233">
        <f>AH5*18%</f>
        <v>10.675042962125495</v>
      </c>
      <c r="AJ5" s="205">
        <f>AH5+AI5</f>
        <v>69.980837196156031</v>
      </c>
      <c r="AK5" s="44"/>
      <c r="AL5" s="70"/>
      <c r="AM5" s="71"/>
      <c r="AN5" s="71"/>
      <c r="AO5" s="71"/>
      <c r="AP5" s="71"/>
      <c r="AQ5" s="72"/>
      <c r="AR5" s="73"/>
      <c r="AS5" s="74"/>
      <c r="AT5" s="74"/>
      <c r="AU5" s="75"/>
    </row>
    <row r="6" spans="1:56" ht="205.5" customHeight="1" thickBot="1">
      <c r="B6" s="583"/>
      <c r="C6" s="596"/>
      <c r="D6" s="596"/>
      <c r="E6" s="595"/>
      <c r="F6" s="593"/>
      <c r="G6" s="591"/>
      <c r="H6" s="589"/>
      <c r="I6" s="587"/>
      <c r="J6" s="585"/>
      <c r="K6" s="253">
        <f>59.39+5.05+((5.5*22)+(9*7.5)+(10*5))/122</f>
        <v>66.394918032786876</v>
      </c>
      <c r="L6" s="17">
        <f>J5*1.18</f>
        <v>9558.9440000000013</v>
      </c>
      <c r="M6" s="254">
        <f>K6-L6</f>
        <v>-9492.5490819672141</v>
      </c>
    </row>
    <row r="7" spans="1:56" ht="15.75" thickBot="1"/>
    <row r="8" spans="1:56" ht="40.5" customHeight="1" thickBot="1">
      <c r="B8" s="560" t="s">
        <v>71</v>
      </c>
      <c r="C8" s="561"/>
      <c r="D8" s="561"/>
      <c r="E8" s="561"/>
      <c r="F8" s="561"/>
      <c r="G8" s="561"/>
      <c r="H8" s="561"/>
      <c r="I8" s="561"/>
      <c r="J8" s="562"/>
      <c r="K8" s="141"/>
      <c r="L8" s="554" t="s">
        <v>1</v>
      </c>
      <c r="M8" s="555"/>
      <c r="N8" s="555"/>
      <c r="O8" s="555"/>
      <c r="P8" s="555"/>
      <c r="Q8" s="555"/>
      <c r="R8" s="555"/>
      <c r="S8" s="555"/>
      <c r="T8" s="555"/>
      <c r="U8" s="555"/>
      <c r="V8" s="555"/>
      <c r="W8" s="555"/>
      <c r="X8" s="555"/>
      <c r="Y8" s="555"/>
      <c r="Z8" s="555"/>
      <c r="AA8" s="555"/>
      <c r="AB8" s="556"/>
      <c r="AC8" s="1"/>
      <c r="AD8" s="1"/>
      <c r="AE8" s="1"/>
      <c r="AF8" s="1"/>
      <c r="AG8" s="1"/>
      <c r="AH8" s="1"/>
      <c r="AI8" s="1"/>
      <c r="AJ8" s="1"/>
    </row>
    <row r="9" spans="1:56" s="1" customFormat="1" ht="46.5" customHeight="1" thickBot="1">
      <c r="B9" s="19" t="s">
        <v>2</v>
      </c>
      <c r="C9" s="20" t="s">
        <v>3</v>
      </c>
      <c r="D9" s="20" t="s">
        <v>4</v>
      </c>
      <c r="E9" s="20" t="s">
        <v>5</v>
      </c>
      <c r="F9" s="20" t="s">
        <v>6</v>
      </c>
      <c r="G9" s="20" t="s">
        <v>42</v>
      </c>
      <c r="H9" s="21" t="s">
        <v>8</v>
      </c>
      <c r="I9" s="20" t="s">
        <v>9</v>
      </c>
      <c r="J9" s="22" t="s">
        <v>43</v>
      </c>
      <c r="K9" s="114" t="s">
        <v>64</v>
      </c>
      <c r="L9" s="2" t="s">
        <v>11</v>
      </c>
      <c r="M9" s="3" t="s">
        <v>12</v>
      </c>
      <c r="N9" s="3" t="s">
        <v>13</v>
      </c>
      <c r="O9" s="4" t="s">
        <v>14</v>
      </c>
      <c r="P9" s="5" t="s">
        <v>15</v>
      </c>
      <c r="Q9" s="6" t="s">
        <v>16</v>
      </c>
      <c r="R9" s="6" t="s">
        <v>17</v>
      </c>
      <c r="S9" s="6" t="s">
        <v>18</v>
      </c>
      <c r="T9" s="6" t="s">
        <v>19</v>
      </c>
      <c r="U9" s="7" t="s">
        <v>20</v>
      </c>
      <c r="V9" s="8" t="s">
        <v>21</v>
      </c>
      <c r="W9" s="2" t="s">
        <v>22</v>
      </c>
      <c r="X9" s="4" t="s">
        <v>23</v>
      </c>
      <c r="Y9" s="9" t="s">
        <v>24</v>
      </c>
      <c r="Z9" s="10" t="s">
        <v>25</v>
      </c>
      <c r="AA9" s="10" t="s">
        <v>26</v>
      </c>
      <c r="AB9" s="10" t="s">
        <v>27</v>
      </c>
      <c r="AC9" s="10" t="s">
        <v>28</v>
      </c>
      <c r="AD9" s="11" t="s">
        <v>29</v>
      </c>
      <c r="AE9" s="12" t="s">
        <v>30</v>
      </c>
      <c r="AF9" s="12" t="s">
        <v>31</v>
      </c>
      <c r="AG9" s="13" t="s">
        <v>19</v>
      </c>
      <c r="AH9" s="14" t="s">
        <v>32</v>
      </c>
      <c r="AI9" s="14" t="s">
        <v>33</v>
      </c>
      <c r="AJ9" s="15" t="s">
        <v>34</v>
      </c>
      <c r="AK9" s="16"/>
    </row>
    <row r="10" spans="1:56" ht="330.75" customHeight="1">
      <c r="A10" s="187" t="s">
        <v>72</v>
      </c>
      <c r="B10" s="207">
        <v>1</v>
      </c>
      <c r="C10" s="579" t="s">
        <v>73</v>
      </c>
      <c r="D10" s="579"/>
      <c r="E10" s="208" t="s">
        <v>74</v>
      </c>
      <c r="F10" s="209">
        <v>122</v>
      </c>
      <c r="G10" s="210">
        <v>32.590000000000003</v>
      </c>
      <c r="H10" s="211" t="s">
        <v>75</v>
      </c>
      <c r="I10" s="212" t="s">
        <v>76</v>
      </c>
      <c r="J10" s="213">
        <f>F10*G10</f>
        <v>3975.9800000000005</v>
      </c>
      <c r="K10" s="165"/>
      <c r="L10" s="573" t="s">
        <v>77</v>
      </c>
      <c r="M10" s="574"/>
      <c r="N10" s="575" t="s">
        <v>78</v>
      </c>
      <c r="O10" s="576"/>
      <c r="P10" s="166">
        <f>26.9/1.16</f>
        <v>23.189655172413794</v>
      </c>
      <c r="Q10" s="167">
        <v>30</v>
      </c>
      <c r="R10" s="168">
        <f t="shared" ref="R10:R11" si="0">P10*Q10/100</f>
        <v>6.9568965517241388</v>
      </c>
      <c r="S10" s="169">
        <f t="shared" ref="S10:S11" si="1">R10*U10</f>
        <v>848.74137931034488</v>
      </c>
      <c r="T10" s="170">
        <f t="shared" ref="T10:T11" si="2">P10+R10</f>
        <v>30.146551724137932</v>
      </c>
      <c r="U10" s="171">
        <f>F10</f>
        <v>122</v>
      </c>
      <c r="V10" s="172">
        <f t="shared" ref="V10:V11" si="3">P10*1</f>
        <v>23.189655172413794</v>
      </c>
      <c r="W10" s="173">
        <v>120</v>
      </c>
      <c r="X10" s="174">
        <f t="shared" ref="X10:X11" si="4">U10*T10+V10+W10</f>
        <v>3821.0689655172418</v>
      </c>
      <c r="Y10" s="175"/>
      <c r="Z10" s="176">
        <v>0</v>
      </c>
      <c r="AA10" s="177">
        <v>1</v>
      </c>
      <c r="AB10" s="177">
        <v>1</v>
      </c>
      <c r="AC10" s="178">
        <v>1</v>
      </c>
      <c r="AD10" s="179">
        <f t="shared" ref="AD10:AD11" si="5">Z10*AA10*AB10*AC10</f>
        <v>0</v>
      </c>
      <c r="AE10" s="180">
        <v>110</v>
      </c>
      <c r="AF10" s="181">
        <f t="shared" ref="AF10:AF11" si="6">0.5%*(X10+AD10+AE10)</f>
        <v>19.655344827586209</v>
      </c>
      <c r="AG10" s="182">
        <f t="shared" ref="AG10:AG11" si="7">X10+AD10+AF10+AE10</f>
        <v>3950.7243103448282</v>
      </c>
      <c r="AH10" s="183">
        <f t="shared" ref="AH10:AH11" si="8">AG10/U10</f>
        <v>32.382986150367444</v>
      </c>
      <c r="AI10" s="184">
        <f t="shared" ref="AI10:AI11" si="9">AH10*18%</f>
        <v>5.82893750706614</v>
      </c>
      <c r="AJ10" s="185">
        <f t="shared" ref="AJ10:AJ11" si="10">AH10+AI10</f>
        <v>38.211923657433587</v>
      </c>
      <c r="AK10" s="186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</row>
    <row r="11" spans="1:56" ht="351" customHeight="1" thickBot="1">
      <c r="A11" s="187"/>
      <c r="B11" s="188">
        <v>2</v>
      </c>
      <c r="C11" s="572" t="s">
        <v>79</v>
      </c>
      <c r="D11" s="572"/>
      <c r="E11" s="189" t="s">
        <v>74</v>
      </c>
      <c r="F11" s="497">
        <v>122</v>
      </c>
      <c r="G11" s="496">
        <v>41.5</v>
      </c>
      <c r="H11" s="164" t="s">
        <v>75</v>
      </c>
      <c r="I11" s="190" t="s">
        <v>80</v>
      </c>
      <c r="J11" s="214">
        <f>F11*G11</f>
        <v>5063</v>
      </c>
      <c r="K11" s="165"/>
      <c r="L11" s="573" t="s">
        <v>81</v>
      </c>
      <c r="M11" s="574"/>
      <c r="N11" s="575" t="s">
        <v>82</v>
      </c>
      <c r="O11" s="576"/>
      <c r="P11" s="166">
        <f>34.5/1.16</f>
        <v>29.741379310344829</v>
      </c>
      <c r="Q11" s="167">
        <v>30</v>
      </c>
      <c r="R11" s="168">
        <f t="shared" si="0"/>
        <v>8.9224137931034484</v>
      </c>
      <c r="S11" s="169">
        <f t="shared" si="1"/>
        <v>1088.5344827586207</v>
      </c>
      <c r="T11" s="170">
        <f t="shared" si="2"/>
        <v>38.663793103448278</v>
      </c>
      <c r="U11" s="171">
        <f>F11</f>
        <v>122</v>
      </c>
      <c r="V11" s="172">
        <f t="shared" si="3"/>
        <v>29.741379310344829</v>
      </c>
      <c r="W11" s="173">
        <v>140</v>
      </c>
      <c r="X11" s="174">
        <f t="shared" si="4"/>
        <v>4886.7241379310353</v>
      </c>
      <c r="Y11" s="175"/>
      <c r="Z11" s="176">
        <v>0</v>
      </c>
      <c r="AA11" s="177">
        <v>1</v>
      </c>
      <c r="AB11" s="177">
        <v>1</v>
      </c>
      <c r="AC11" s="178">
        <v>1</v>
      </c>
      <c r="AD11" s="179">
        <f t="shared" si="5"/>
        <v>0</v>
      </c>
      <c r="AE11" s="180">
        <v>150</v>
      </c>
      <c r="AF11" s="181">
        <f t="shared" si="6"/>
        <v>25.183620689655179</v>
      </c>
      <c r="AG11" s="182">
        <f t="shared" si="7"/>
        <v>5061.9077586206904</v>
      </c>
      <c r="AH11" s="183">
        <f t="shared" si="8"/>
        <v>41.491047201808939</v>
      </c>
      <c r="AI11" s="184">
        <f t="shared" si="9"/>
        <v>7.4683884963256091</v>
      </c>
      <c r="AJ11" s="185">
        <f t="shared" si="10"/>
        <v>48.959435698134548</v>
      </c>
      <c r="AK11" s="186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</row>
    <row r="12" spans="1:56" s="50" customFormat="1" ht="381.75" customHeight="1">
      <c r="B12" s="491">
        <v>3</v>
      </c>
      <c r="C12" s="581" t="s">
        <v>65</v>
      </c>
      <c r="D12" s="581"/>
      <c r="E12" s="206"/>
      <c r="F12" s="497">
        <v>120</v>
      </c>
      <c r="G12" s="496">
        <v>59.39</v>
      </c>
      <c r="H12" s="494" t="s">
        <v>66</v>
      </c>
      <c r="I12" s="533" t="s">
        <v>83</v>
      </c>
      <c r="J12" s="492">
        <f>F12*G12</f>
        <v>7126.8</v>
      </c>
      <c r="K12" s="194"/>
      <c r="L12" s="195" t="s">
        <v>68</v>
      </c>
      <c r="M12" s="557" t="s">
        <v>84</v>
      </c>
      <c r="N12" s="558"/>
      <c r="O12" s="559"/>
      <c r="P12" s="216">
        <f>50/1.16</f>
        <v>43.103448275862071</v>
      </c>
      <c r="Q12" s="217">
        <v>30</v>
      </c>
      <c r="R12" s="218">
        <f>P12*Q12/100</f>
        <v>12.931034482758621</v>
      </c>
      <c r="S12" s="219">
        <f>R12*U12</f>
        <v>1577.5862068965519</v>
      </c>
      <c r="T12" s="220">
        <f>P12+R12</f>
        <v>56.03448275862069</v>
      </c>
      <c r="U12" s="221">
        <v>122</v>
      </c>
      <c r="V12" s="222">
        <f>P12*1</f>
        <v>43.103448275862071</v>
      </c>
      <c r="W12" s="223">
        <v>140</v>
      </c>
      <c r="X12" s="224">
        <f>U12*T12+V12+W12</f>
        <v>7019.310344827587</v>
      </c>
      <c r="Y12" s="225" t="s">
        <v>70</v>
      </c>
      <c r="Z12" s="226">
        <v>0</v>
      </c>
      <c r="AA12" s="227">
        <v>1</v>
      </c>
      <c r="AB12" s="227">
        <v>1</v>
      </c>
      <c r="AC12" s="227">
        <v>1</v>
      </c>
      <c r="AD12" s="228">
        <f>Z12</f>
        <v>0</v>
      </c>
      <c r="AE12" s="229">
        <v>180</v>
      </c>
      <c r="AF12" s="230">
        <f>0.5%*(X12+AD12+AE12)</f>
        <v>35.996551724137937</v>
      </c>
      <c r="AG12" s="231">
        <f>X12+AD12+AF12+AE12</f>
        <v>7235.306896551725</v>
      </c>
      <c r="AH12" s="232">
        <f>AG12/U12</f>
        <v>59.305794234030536</v>
      </c>
      <c r="AI12" s="233">
        <f>AH12*18%</f>
        <v>10.675042962125495</v>
      </c>
      <c r="AJ12" s="205">
        <f>AH12+AI12</f>
        <v>69.980837196156031</v>
      </c>
      <c r="AK12" s="44"/>
      <c r="AL12" s="70"/>
      <c r="AM12" s="71"/>
      <c r="AN12" s="71"/>
      <c r="AO12" s="71"/>
      <c r="AP12" s="71"/>
      <c r="AQ12" s="72"/>
      <c r="AR12" s="73"/>
      <c r="AS12" s="74"/>
      <c r="AT12" s="74"/>
      <c r="AU12" s="75"/>
    </row>
    <row r="13" spans="1:56" s="95" customFormat="1" ht="348" customHeight="1">
      <c r="A13" s="140"/>
      <c r="B13" s="108">
        <v>4</v>
      </c>
      <c r="C13" s="577" t="s">
        <v>85</v>
      </c>
      <c r="D13" s="577"/>
      <c r="E13" s="109"/>
      <c r="F13" s="110">
        <v>120</v>
      </c>
      <c r="G13" s="215">
        <v>67.489999999999995</v>
      </c>
      <c r="H13" s="495" t="s">
        <v>66</v>
      </c>
      <c r="I13" s="534" t="s">
        <v>86</v>
      </c>
      <c r="J13" s="493">
        <f>F13*G13</f>
        <v>8098.7999999999993</v>
      </c>
      <c r="K13" s="142">
        <f>G13*1.18</f>
        <v>79.638199999999983</v>
      </c>
      <c r="L13" s="57" t="s">
        <v>87</v>
      </c>
      <c r="M13" s="564" t="s">
        <v>88</v>
      </c>
      <c r="N13" s="565"/>
      <c r="O13" s="81"/>
      <c r="P13" s="234">
        <f>58/1.18</f>
        <v>49.152542372881356</v>
      </c>
      <c r="Q13" s="217">
        <v>30</v>
      </c>
      <c r="R13" s="235">
        <f t="shared" ref="R13" si="11">P13*Q13/100</f>
        <v>14.745762711864407</v>
      </c>
      <c r="S13" s="236">
        <f t="shared" ref="S13" si="12">R13*U13</f>
        <v>1798.9830508474577</v>
      </c>
      <c r="T13" s="236">
        <f t="shared" ref="T13" si="13">P13+R13</f>
        <v>63.898305084745765</v>
      </c>
      <c r="U13" s="237">
        <v>122</v>
      </c>
      <c r="V13" s="222">
        <f>P13*1</f>
        <v>49.152542372881356</v>
      </c>
      <c r="W13" s="238">
        <v>140</v>
      </c>
      <c r="X13" s="239">
        <f t="shared" ref="X13" si="14">U13*T13+V13+W13</f>
        <v>7984.7457627118647</v>
      </c>
      <c r="Y13" s="240" t="s">
        <v>89</v>
      </c>
      <c r="Z13" s="241">
        <v>0</v>
      </c>
      <c r="AA13" s="242">
        <v>1</v>
      </c>
      <c r="AB13" s="242">
        <v>1</v>
      </c>
      <c r="AC13" s="242">
        <v>1</v>
      </c>
      <c r="AD13" s="243">
        <f t="shared" ref="AD13" si="15">Z13*AA13*AB13*AC13</f>
        <v>0</v>
      </c>
      <c r="AE13" s="244">
        <v>200</v>
      </c>
      <c r="AF13" s="245">
        <f t="shared" ref="AF13" si="16">0.5%*(X13+AD13+AE13)</f>
        <v>40.923728813559322</v>
      </c>
      <c r="AG13" s="246">
        <f t="shared" ref="AG13" si="17">X13+AD13+AF13+AE13</f>
        <v>8225.6694915254229</v>
      </c>
      <c r="AH13" s="247">
        <f t="shared" ref="AH13" si="18">AG13/U13</f>
        <v>67.423520422339536</v>
      </c>
      <c r="AI13" s="248">
        <f t="shared" ref="AI13" si="19">AH13*18%</f>
        <v>12.136233676021115</v>
      </c>
      <c r="AJ13" s="85">
        <f t="shared" ref="AJ13" si="20">AH13+AI13</f>
        <v>79.559754098360656</v>
      </c>
      <c r="AK13" s="90"/>
      <c r="AL13" s="91">
        <f t="shared" ref="AL13" si="21">AJ13*U13</f>
        <v>9706.2900000000009</v>
      </c>
      <c r="AM13" s="92">
        <f t="shared" ref="AM13" si="22">(AJ13-(AJ13/1.18))*U13</f>
        <v>1480.620508474575</v>
      </c>
      <c r="AN13" s="92">
        <f t="shared" ref="AN13" si="23">(AJ13-(AJ13/1.02))*U13</f>
        <v>190.31941176470653</v>
      </c>
      <c r="AO13" s="92">
        <f t="shared" ref="AO13" si="24">(AJ13-(AJ13/1.05))*U13</f>
        <v>462.20428571428533</v>
      </c>
      <c r="AP13" s="92">
        <f t="shared" ref="AP13" si="25">R13*U13</f>
        <v>1798.9830508474577</v>
      </c>
      <c r="AQ13" s="93">
        <f t="shared" ref="AQ13" si="26">AP13-AO13-AN13</f>
        <v>1146.4593533684658</v>
      </c>
      <c r="AR13" s="90"/>
      <c r="AS13" s="94">
        <f t="shared" ref="AS13" si="27">AP13*100/(AL13-AM13-AP13)</f>
        <v>27.99238872867241</v>
      </c>
      <c r="AT13" s="94">
        <f t="shared" ref="AT13" si="28">AQ13*100/(AL13-AM13-AP13-AN13-AO13)</f>
        <v>19.854988582003653</v>
      </c>
    </row>
    <row r="14" spans="1:56" ht="15.75" thickBot="1"/>
    <row r="15" spans="1:56" ht="40.5" customHeight="1" thickBot="1">
      <c r="B15" s="560" t="s">
        <v>90</v>
      </c>
      <c r="C15" s="561"/>
      <c r="D15" s="561"/>
      <c r="E15" s="561"/>
      <c r="F15" s="561"/>
      <c r="G15" s="561"/>
      <c r="H15" s="561"/>
      <c r="I15" s="561"/>
      <c r="J15" s="562"/>
      <c r="K15" s="141"/>
      <c r="L15" s="554" t="s">
        <v>1</v>
      </c>
      <c r="M15" s="555"/>
      <c r="N15" s="555"/>
      <c r="O15" s="555"/>
      <c r="P15" s="555"/>
      <c r="Q15" s="555"/>
      <c r="R15" s="555"/>
      <c r="S15" s="555"/>
      <c r="T15" s="555"/>
      <c r="U15" s="555"/>
      <c r="V15" s="555"/>
      <c r="W15" s="555"/>
      <c r="X15" s="555"/>
      <c r="Y15" s="555"/>
      <c r="Z15" s="555"/>
      <c r="AA15" s="555"/>
      <c r="AB15" s="556"/>
      <c r="AC15" s="1"/>
      <c r="AD15" s="1"/>
      <c r="AE15" s="1"/>
      <c r="AF15" s="1"/>
      <c r="AG15" s="1"/>
      <c r="AH15" s="1"/>
      <c r="AI15" s="1"/>
      <c r="AJ15" s="1"/>
    </row>
    <row r="16" spans="1:56" s="1" customFormat="1" ht="46.5" customHeight="1">
      <c r="B16" s="19" t="s">
        <v>2</v>
      </c>
      <c r="C16" s="20" t="s">
        <v>3</v>
      </c>
      <c r="D16" s="20" t="s">
        <v>4</v>
      </c>
      <c r="E16" s="20" t="s">
        <v>5</v>
      </c>
      <c r="F16" s="20" t="s">
        <v>6</v>
      </c>
      <c r="G16" s="20" t="s">
        <v>42</v>
      </c>
      <c r="H16" s="21" t="s">
        <v>8</v>
      </c>
      <c r="I16" s="20" t="s">
        <v>9</v>
      </c>
      <c r="J16" s="22" t="s">
        <v>43</v>
      </c>
      <c r="K16" s="114" t="s">
        <v>64</v>
      </c>
      <c r="L16" s="2" t="s">
        <v>11</v>
      </c>
      <c r="M16" s="3" t="s">
        <v>12</v>
      </c>
      <c r="N16" s="3" t="s">
        <v>13</v>
      </c>
      <c r="O16" s="4" t="s">
        <v>14</v>
      </c>
      <c r="P16" s="5" t="s">
        <v>15</v>
      </c>
      <c r="Q16" s="6" t="s">
        <v>16</v>
      </c>
      <c r="R16" s="6" t="s">
        <v>17</v>
      </c>
      <c r="S16" s="6" t="s">
        <v>18</v>
      </c>
      <c r="T16" s="6" t="s">
        <v>19</v>
      </c>
      <c r="U16" s="7" t="s">
        <v>20</v>
      </c>
      <c r="V16" s="8" t="s">
        <v>21</v>
      </c>
      <c r="W16" s="2" t="s">
        <v>22</v>
      </c>
      <c r="X16" s="4" t="s">
        <v>23</v>
      </c>
      <c r="Y16" s="9" t="s">
        <v>24</v>
      </c>
      <c r="Z16" s="10" t="s">
        <v>25</v>
      </c>
      <c r="AA16" s="10" t="s">
        <v>26</v>
      </c>
      <c r="AB16" s="10" t="s">
        <v>27</v>
      </c>
      <c r="AC16" s="10" t="s">
        <v>28</v>
      </c>
      <c r="AD16" s="11" t="s">
        <v>29</v>
      </c>
      <c r="AE16" s="12" t="s">
        <v>30</v>
      </c>
      <c r="AF16" s="12" t="s">
        <v>31</v>
      </c>
      <c r="AG16" s="13" t="s">
        <v>19</v>
      </c>
      <c r="AH16" s="14" t="s">
        <v>32</v>
      </c>
      <c r="AI16" s="14" t="s">
        <v>33</v>
      </c>
      <c r="AJ16" s="15" t="s">
        <v>34</v>
      </c>
      <c r="AK16" s="16"/>
    </row>
    <row r="17" spans="1:59" ht="314.25" customHeight="1">
      <c r="A17" s="163"/>
      <c r="B17" s="188">
        <v>1</v>
      </c>
      <c r="C17" s="572" t="s">
        <v>73</v>
      </c>
      <c r="D17" s="572"/>
      <c r="E17" s="189" t="s">
        <v>74</v>
      </c>
      <c r="F17" s="497">
        <v>122</v>
      </c>
      <c r="G17" s="496">
        <v>31.59</v>
      </c>
      <c r="H17" s="164" t="s">
        <v>91</v>
      </c>
      <c r="I17" s="190" t="s">
        <v>92</v>
      </c>
      <c r="J17" s="160">
        <f>F17*G17</f>
        <v>3853.98</v>
      </c>
      <c r="K17" s="165"/>
      <c r="L17" s="573" t="s">
        <v>77</v>
      </c>
      <c r="M17" s="574"/>
      <c r="N17" s="575" t="s">
        <v>78</v>
      </c>
      <c r="O17" s="576"/>
      <c r="P17" s="166">
        <f>26.5/1.16</f>
        <v>22.844827586206897</v>
      </c>
      <c r="Q17" s="167">
        <v>30</v>
      </c>
      <c r="R17" s="168">
        <f t="shared" ref="R17" si="29">P17*Q17/100</f>
        <v>6.8534482758620685</v>
      </c>
      <c r="S17" s="169">
        <f t="shared" ref="S17" si="30">R17*U17</f>
        <v>836.12068965517233</v>
      </c>
      <c r="T17" s="170">
        <f t="shared" ref="T17" si="31">P17+R17</f>
        <v>29.698275862068964</v>
      </c>
      <c r="U17" s="171">
        <f>F17</f>
        <v>122</v>
      </c>
      <c r="V17" s="172">
        <f t="shared" ref="V17" si="32">P17*1</f>
        <v>22.844827586206897</v>
      </c>
      <c r="W17" s="173">
        <v>70</v>
      </c>
      <c r="X17" s="174">
        <f t="shared" ref="X17" si="33">U17*T17+V17+W17</f>
        <v>3716.0344827586205</v>
      </c>
      <c r="Y17" s="175"/>
      <c r="Z17" s="176">
        <v>0</v>
      </c>
      <c r="AA17" s="177">
        <v>1</v>
      </c>
      <c r="AB17" s="177">
        <v>1</v>
      </c>
      <c r="AC17" s="178">
        <v>1</v>
      </c>
      <c r="AD17" s="179">
        <f t="shared" ref="AD17" si="34">Z17*AA17*AB17*AC17</f>
        <v>0</v>
      </c>
      <c r="AE17" s="180">
        <v>110</v>
      </c>
      <c r="AF17" s="181">
        <f t="shared" ref="AF17" si="35">0.5%*(X17+AD17+AE17)</f>
        <v>19.130172413793101</v>
      </c>
      <c r="AG17" s="182">
        <f t="shared" ref="AG17" si="36">X17+AD17+AF17+AE17</f>
        <v>3845.1646551724134</v>
      </c>
      <c r="AH17" s="183">
        <f t="shared" ref="AH17" si="37">AG17/U17</f>
        <v>31.517743075183716</v>
      </c>
      <c r="AI17" s="184">
        <f t="shared" ref="AI17" si="38">AH17*18%</f>
        <v>5.6731937535330683</v>
      </c>
      <c r="AJ17" s="185">
        <f t="shared" ref="AJ17" si="39">AH17+AI17</f>
        <v>37.190936828716787</v>
      </c>
      <c r="AK17" s="186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</row>
    <row r="18" spans="1:59" ht="312" customHeight="1" thickBot="1">
      <c r="A18" s="163"/>
      <c r="B18" s="188">
        <v>2</v>
      </c>
      <c r="C18" s="572" t="s">
        <v>79</v>
      </c>
      <c r="D18" s="572"/>
      <c r="E18" s="189" t="s">
        <v>74</v>
      </c>
      <c r="F18" s="497">
        <v>122</v>
      </c>
      <c r="G18" s="496">
        <v>40.29</v>
      </c>
      <c r="H18" s="164" t="s">
        <v>91</v>
      </c>
      <c r="I18" s="190" t="s">
        <v>93</v>
      </c>
      <c r="J18" s="160">
        <f>F18*G18</f>
        <v>4915.38</v>
      </c>
      <c r="K18" s="165"/>
      <c r="L18" s="573" t="s">
        <v>81</v>
      </c>
      <c r="M18" s="574"/>
      <c r="N18" s="575" t="s">
        <v>82</v>
      </c>
      <c r="O18" s="576"/>
      <c r="P18" s="166">
        <f>34/1.17</f>
        <v>29.059829059829063</v>
      </c>
      <c r="Q18" s="167">
        <v>30</v>
      </c>
      <c r="R18" s="168">
        <f t="shared" ref="R18:R20" si="40">P18*Q18/100</f>
        <v>8.717948717948719</v>
      </c>
      <c r="S18" s="169">
        <f t="shared" ref="S18:S20" si="41">R18*U18</f>
        <v>1063.5897435897436</v>
      </c>
      <c r="T18" s="170">
        <f t="shared" ref="T18:T20" si="42">P18+R18</f>
        <v>37.777777777777786</v>
      </c>
      <c r="U18" s="171">
        <f>F18</f>
        <v>122</v>
      </c>
      <c r="V18" s="172">
        <f t="shared" ref="V18" si="43">P18*1</f>
        <v>29.059829059829063</v>
      </c>
      <c r="W18" s="173">
        <v>90</v>
      </c>
      <c r="X18" s="174">
        <f t="shared" ref="X18:X20" si="44">U18*T18+V18+W18</f>
        <v>4727.9487179487187</v>
      </c>
      <c r="Y18" s="175"/>
      <c r="Z18" s="176">
        <v>0</v>
      </c>
      <c r="AA18" s="177">
        <v>1</v>
      </c>
      <c r="AB18" s="177">
        <v>1</v>
      </c>
      <c r="AC18" s="178">
        <v>1</v>
      </c>
      <c r="AD18" s="179">
        <f t="shared" ref="AD18:AD20" si="45">Z18*AA18*AB18*AC18</f>
        <v>0</v>
      </c>
      <c r="AE18" s="180">
        <v>150</v>
      </c>
      <c r="AF18" s="181">
        <f t="shared" ref="AF18:AF20" si="46">0.5%*(X18+AD18+AE18)</f>
        <v>24.389743589743595</v>
      </c>
      <c r="AG18" s="182">
        <f t="shared" ref="AG18:AG20" si="47">X18+AD18+AF18+AE18</f>
        <v>4902.3384615384621</v>
      </c>
      <c r="AH18" s="183">
        <f t="shared" ref="AH18:AH20" si="48">AG18/U18</f>
        <v>40.183102143757885</v>
      </c>
      <c r="AI18" s="184">
        <f t="shared" ref="AI18:AI20" si="49">AH18*18%</f>
        <v>7.2329583858764188</v>
      </c>
      <c r="AJ18" s="185">
        <f t="shared" ref="AJ18:AJ20" si="50">AH18+AI18</f>
        <v>47.416060529634308</v>
      </c>
      <c r="AK18" s="186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</row>
    <row r="19" spans="1:59" s="50" customFormat="1" ht="309" customHeight="1" thickBot="1">
      <c r="B19" s="191">
        <v>1</v>
      </c>
      <c r="C19" s="580" t="s">
        <v>65</v>
      </c>
      <c r="D19" s="580"/>
      <c r="E19" s="192"/>
      <c r="F19" s="497">
        <v>120</v>
      </c>
      <c r="G19" s="496">
        <f>AH19</f>
        <v>53.93692006512007</v>
      </c>
      <c r="H19" s="494" t="s">
        <v>66</v>
      </c>
      <c r="I19" s="193" t="s">
        <v>94</v>
      </c>
      <c r="J19" s="160"/>
      <c r="K19" s="194"/>
      <c r="L19" s="195" t="s">
        <v>68</v>
      </c>
      <c r="M19" s="557" t="s">
        <v>95</v>
      </c>
      <c r="N19" s="558"/>
      <c r="O19" s="559"/>
      <c r="P19" s="58">
        <f>48.5/1.17</f>
        <v>41.452991452991455</v>
      </c>
      <c r="Q19" s="59">
        <v>28</v>
      </c>
      <c r="R19" s="196">
        <f>P19*Q19/100</f>
        <v>11.606837606837608</v>
      </c>
      <c r="S19" s="197">
        <f>R19*U19</f>
        <v>12187.179487179488</v>
      </c>
      <c r="T19" s="198">
        <f>P19+R19</f>
        <v>53.059829059829063</v>
      </c>
      <c r="U19" s="199">
        <v>1050</v>
      </c>
      <c r="V19" s="63">
        <f>P19*5</f>
        <v>207.26495726495727</v>
      </c>
      <c r="W19" s="200">
        <v>140</v>
      </c>
      <c r="X19" s="174">
        <f>U19*T19+V19+W19</f>
        <v>56060.085470085476</v>
      </c>
      <c r="Y19" s="64" t="s">
        <v>70</v>
      </c>
      <c r="Z19" s="65">
        <v>0</v>
      </c>
      <c r="AA19" s="66">
        <v>1</v>
      </c>
      <c r="AB19" s="66">
        <v>1</v>
      </c>
      <c r="AC19" s="66">
        <v>1</v>
      </c>
      <c r="AD19" s="201">
        <f>Z19</f>
        <v>0</v>
      </c>
      <c r="AE19" s="202">
        <v>180</v>
      </c>
      <c r="AF19" s="203">
        <f>0.7%*(X19+AD19+AE19)</f>
        <v>393.68059829059831</v>
      </c>
      <c r="AG19" s="182">
        <f>X19+AD19+AF19+AE19</f>
        <v>56633.766068376077</v>
      </c>
      <c r="AH19" s="204">
        <f>AG19/U19</f>
        <v>53.93692006512007</v>
      </c>
      <c r="AI19" s="184">
        <f>AH19*18%</f>
        <v>9.7086456117216127</v>
      </c>
      <c r="AJ19" s="205">
        <f>AH19+AI19</f>
        <v>63.645565676841684</v>
      </c>
      <c r="AK19" s="44"/>
      <c r="AL19" s="70"/>
      <c r="AM19" s="71"/>
      <c r="AN19" s="71"/>
      <c r="AO19" s="71"/>
      <c r="AP19" s="71"/>
      <c r="AQ19" s="72"/>
      <c r="AR19" s="73"/>
      <c r="AS19" s="74"/>
      <c r="AT19" s="74"/>
      <c r="AU19" s="75"/>
    </row>
    <row r="20" spans="1:59" s="95" customFormat="1" ht="301.5" customHeight="1" thickBot="1">
      <c r="A20" s="96"/>
      <c r="B20" s="158">
        <v>4</v>
      </c>
      <c r="C20" s="563" t="s">
        <v>85</v>
      </c>
      <c r="D20" s="563"/>
      <c r="E20" s="77"/>
      <c r="F20" s="78">
        <v>120</v>
      </c>
      <c r="G20" s="160">
        <v>61.85</v>
      </c>
      <c r="H20" s="494" t="s">
        <v>66</v>
      </c>
      <c r="I20" s="100" t="s">
        <v>96</v>
      </c>
      <c r="J20" s="156">
        <f>F20*G20</f>
        <v>7422</v>
      </c>
      <c r="K20" s="142">
        <f>G20*1.18</f>
        <v>72.983000000000004</v>
      </c>
      <c r="L20" s="57" t="s">
        <v>87</v>
      </c>
      <c r="M20" s="564" t="s">
        <v>88</v>
      </c>
      <c r="N20" s="565"/>
      <c r="O20" s="81"/>
      <c r="P20" s="82">
        <v>46</v>
      </c>
      <c r="Q20" s="59">
        <v>28</v>
      </c>
      <c r="R20" s="83">
        <f t="shared" si="40"/>
        <v>12.88</v>
      </c>
      <c r="S20" s="84">
        <f t="shared" si="41"/>
        <v>1545.6000000000001</v>
      </c>
      <c r="T20" s="84">
        <f t="shared" si="42"/>
        <v>58.88</v>
      </c>
      <c r="U20" s="27">
        <v>120</v>
      </c>
      <c r="V20" s="63">
        <f>P20*1</f>
        <v>46</v>
      </c>
      <c r="W20" s="32">
        <v>80</v>
      </c>
      <c r="X20" s="33">
        <f t="shared" si="44"/>
        <v>7191.6</v>
      </c>
      <c r="Y20" s="86" t="s">
        <v>89</v>
      </c>
      <c r="Z20" s="87">
        <v>0</v>
      </c>
      <c r="AA20" s="88">
        <v>1</v>
      </c>
      <c r="AB20" s="88">
        <v>1</v>
      </c>
      <c r="AC20" s="88">
        <v>1</v>
      </c>
      <c r="AD20" s="85">
        <f t="shared" si="45"/>
        <v>0</v>
      </c>
      <c r="AE20" s="38">
        <v>180</v>
      </c>
      <c r="AF20" s="39">
        <f t="shared" si="46"/>
        <v>36.858000000000004</v>
      </c>
      <c r="AG20" s="40">
        <f t="shared" si="47"/>
        <v>7408.4580000000005</v>
      </c>
      <c r="AH20" s="41">
        <f t="shared" si="48"/>
        <v>61.737150000000007</v>
      </c>
      <c r="AI20" s="89">
        <f t="shared" si="49"/>
        <v>11.112687000000001</v>
      </c>
      <c r="AJ20" s="85">
        <f t="shared" si="50"/>
        <v>72.849837000000008</v>
      </c>
      <c r="AK20" s="90"/>
      <c r="AL20" s="91">
        <f t="shared" ref="AL20" si="51">AJ20*U20</f>
        <v>8741.9804400000012</v>
      </c>
      <c r="AM20" s="92">
        <f t="shared" ref="AM20" si="52">(AJ20-(AJ20/1.18))*U20</f>
        <v>1333.5224400000002</v>
      </c>
      <c r="AN20" s="92">
        <f t="shared" ref="AN20" si="53">(AJ20-(AJ20/1.02))*U20</f>
        <v>171.41138117647074</v>
      </c>
      <c r="AO20" s="92">
        <f t="shared" ref="AO20" si="54">(AJ20-(AJ20/1.05))*U20</f>
        <v>416.28478285714323</v>
      </c>
      <c r="AP20" s="92">
        <f t="shared" ref="AP20" si="55">R20*U20</f>
        <v>1545.6000000000001</v>
      </c>
      <c r="AQ20" s="93">
        <f t="shared" ref="AQ20" si="56">AP20-AO20-AN20</f>
        <v>957.90383596638617</v>
      </c>
      <c r="AR20" s="90"/>
      <c r="AS20" s="94">
        <f t="shared" ref="AS20" si="57">AP20*100/(AL20-AM20-AP20)</f>
        <v>26.362569245238415</v>
      </c>
      <c r="AT20" s="94">
        <f t="shared" ref="AT20" si="58">AQ20*100/(AL20-AM20-AP20-AN20-AO20)</f>
        <v>18.158757318786645</v>
      </c>
    </row>
    <row r="21" spans="1:59" ht="15.75" thickBot="1"/>
    <row r="22" spans="1:59" ht="40.5" customHeight="1" thickBot="1">
      <c r="B22" s="560" t="s">
        <v>97</v>
      </c>
      <c r="C22" s="561"/>
      <c r="D22" s="561"/>
      <c r="E22" s="561"/>
      <c r="F22" s="561"/>
      <c r="G22" s="561"/>
      <c r="H22" s="561"/>
      <c r="I22" s="561"/>
      <c r="J22" s="562"/>
      <c r="K22" s="141" t="s">
        <v>98</v>
      </c>
      <c r="L22" s="554" t="s">
        <v>1</v>
      </c>
      <c r="M22" s="555"/>
      <c r="N22" s="555"/>
      <c r="O22" s="555"/>
      <c r="P22" s="555"/>
      <c r="Q22" s="555"/>
      <c r="R22" s="555"/>
      <c r="S22" s="555"/>
      <c r="T22" s="555"/>
      <c r="U22" s="555"/>
      <c r="V22" s="555"/>
      <c r="W22" s="555"/>
      <c r="X22" s="555"/>
      <c r="Y22" s="555"/>
      <c r="Z22" s="555"/>
      <c r="AA22" s="555"/>
      <c r="AB22" s="556"/>
      <c r="AC22" s="1"/>
      <c r="AD22" s="1"/>
      <c r="AE22" s="1"/>
      <c r="AF22" s="1"/>
      <c r="AG22" s="1"/>
      <c r="AH22" s="1"/>
      <c r="AI22" s="1"/>
      <c r="AJ22" s="1"/>
    </row>
    <row r="23" spans="1:59" s="1" customFormat="1" ht="46.5" customHeight="1" thickBot="1">
      <c r="B23" s="19" t="s">
        <v>2</v>
      </c>
      <c r="C23" s="20" t="s">
        <v>3</v>
      </c>
      <c r="D23" s="20" t="s">
        <v>4</v>
      </c>
      <c r="E23" s="20" t="s">
        <v>5</v>
      </c>
      <c r="F23" s="20" t="s">
        <v>6</v>
      </c>
      <c r="G23" s="20" t="s">
        <v>42</v>
      </c>
      <c r="H23" s="21" t="s">
        <v>8</v>
      </c>
      <c r="I23" s="20" t="s">
        <v>9</v>
      </c>
      <c r="J23" s="22" t="s">
        <v>43</v>
      </c>
      <c r="K23" s="114" t="s">
        <v>64</v>
      </c>
      <c r="L23" s="2" t="s">
        <v>11</v>
      </c>
      <c r="M23" s="3" t="s">
        <v>12</v>
      </c>
      <c r="N23" s="3" t="s">
        <v>13</v>
      </c>
      <c r="O23" s="4" t="s">
        <v>14</v>
      </c>
      <c r="P23" s="5" t="s">
        <v>15</v>
      </c>
      <c r="Q23" s="6" t="s">
        <v>16</v>
      </c>
      <c r="R23" s="6" t="s">
        <v>17</v>
      </c>
      <c r="S23" s="6" t="s">
        <v>18</v>
      </c>
      <c r="T23" s="6" t="s">
        <v>19</v>
      </c>
      <c r="U23" s="7" t="s">
        <v>20</v>
      </c>
      <c r="V23" s="8" t="s">
        <v>21</v>
      </c>
      <c r="W23" s="2" t="s">
        <v>22</v>
      </c>
      <c r="X23" s="4" t="s">
        <v>23</v>
      </c>
      <c r="Y23" s="9" t="s">
        <v>24</v>
      </c>
      <c r="Z23" s="10" t="s">
        <v>25</v>
      </c>
      <c r="AA23" s="10" t="s">
        <v>26</v>
      </c>
      <c r="AB23" s="10" t="s">
        <v>27</v>
      </c>
      <c r="AC23" s="10" t="s">
        <v>28</v>
      </c>
      <c r="AD23" s="11" t="s">
        <v>29</v>
      </c>
      <c r="AE23" s="12" t="s">
        <v>30</v>
      </c>
      <c r="AF23" s="12" t="s">
        <v>31</v>
      </c>
      <c r="AG23" s="13" t="s">
        <v>19</v>
      </c>
      <c r="AH23" s="14" t="s">
        <v>32</v>
      </c>
      <c r="AI23" s="14" t="s">
        <v>33</v>
      </c>
      <c r="AJ23" s="15" t="s">
        <v>34</v>
      </c>
      <c r="AK23" s="16"/>
    </row>
    <row r="24" spans="1:59" s="1" customFormat="1" ht="221.25" customHeight="1" thickBot="1">
      <c r="A24" s="98"/>
      <c r="B24" s="153">
        <v>1</v>
      </c>
      <c r="C24" s="566" t="s">
        <v>99</v>
      </c>
      <c r="D24" s="566"/>
      <c r="E24" s="154"/>
      <c r="F24" s="161">
        <v>120</v>
      </c>
      <c r="G24" s="160">
        <v>12.09</v>
      </c>
      <c r="H24" s="494" t="s">
        <v>66</v>
      </c>
      <c r="I24" s="155" t="s">
        <v>100</v>
      </c>
      <c r="J24" s="156">
        <f>F24*G24</f>
        <v>1450.8</v>
      </c>
      <c r="K24" s="159" t="s">
        <v>101</v>
      </c>
      <c r="L24" s="24" t="s">
        <v>102</v>
      </c>
      <c r="M24" s="567" t="s">
        <v>103</v>
      </c>
      <c r="N24" s="568"/>
      <c r="O24" s="25"/>
      <c r="P24" s="26">
        <v>8</v>
      </c>
      <c r="Q24" s="27">
        <v>40</v>
      </c>
      <c r="R24" s="28">
        <f>P24*Q24/100</f>
        <v>3.2</v>
      </c>
      <c r="S24" s="29">
        <f>R24*U24</f>
        <v>384</v>
      </c>
      <c r="T24" s="30">
        <f>P24+R24</f>
        <v>11.2</v>
      </c>
      <c r="U24" s="27">
        <v>120</v>
      </c>
      <c r="V24" s="31">
        <f>P24</f>
        <v>8</v>
      </c>
      <c r="W24" s="32">
        <v>60</v>
      </c>
      <c r="X24" s="33">
        <f>U24*T24+V24+W24</f>
        <v>1412</v>
      </c>
      <c r="Y24" s="34" t="s">
        <v>104</v>
      </c>
      <c r="Z24" s="35">
        <v>0</v>
      </c>
      <c r="AA24" s="36">
        <v>1</v>
      </c>
      <c r="AB24" s="36">
        <v>1</v>
      </c>
      <c r="AC24" s="36">
        <v>1</v>
      </c>
      <c r="AD24" s="37">
        <f>Z24*AA24*AB24*AC24</f>
        <v>0</v>
      </c>
      <c r="AE24" s="38">
        <v>15</v>
      </c>
      <c r="AF24" s="39">
        <f>0.5%*(X24+AD24+AE24)</f>
        <v>7.1349999999999998</v>
      </c>
      <c r="AG24" s="40">
        <f>X24+AD24+AF24+AE24</f>
        <v>1434.135</v>
      </c>
      <c r="AH24" s="41">
        <f>AG24/U24</f>
        <v>11.951124999999999</v>
      </c>
      <c r="AI24" s="42">
        <f>AH24*18%</f>
        <v>2.1512024999999997</v>
      </c>
      <c r="AJ24" s="43">
        <f>AH24+AI24</f>
        <v>14.102327499999999</v>
      </c>
      <c r="AK24" s="44"/>
      <c r="AL24" s="45">
        <f>AJ24*U24</f>
        <v>1692.2792999999999</v>
      </c>
      <c r="AM24" s="46">
        <f>(AJ24-(AJ24/1.18))*U24</f>
        <v>258.14430000000004</v>
      </c>
      <c r="AN24" s="46">
        <f>(AJ24-(AJ24/1.02))*U24</f>
        <v>33.181947058823553</v>
      </c>
      <c r="AO24" s="46">
        <f>(AJ24-(AJ24/1.05))*U24</f>
        <v>80.584728571428599</v>
      </c>
      <c r="AP24" s="46">
        <f>R24*U24</f>
        <v>384</v>
      </c>
      <c r="AQ24" s="47">
        <f>AP24-AO24-AN24</f>
        <v>270.23332436974783</v>
      </c>
      <c r="AR24" s="48"/>
      <c r="AS24" s="49">
        <f>AP24*100/(AL24-AM24-AP24)</f>
        <v>36.566727135082644</v>
      </c>
      <c r="AT24" s="49">
        <f>AQ24*100/(AL24-AM24-AP24-AN24-AO24)</f>
        <v>28.859725103541592</v>
      </c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</row>
    <row r="25" spans="1:59" s="50" customFormat="1" ht="289.5" customHeight="1" thickBot="1">
      <c r="A25" s="97"/>
      <c r="B25" s="157">
        <v>2</v>
      </c>
      <c r="C25" s="569" t="s">
        <v>105</v>
      </c>
      <c r="D25" s="569"/>
      <c r="E25" s="52"/>
      <c r="F25" s="53">
        <v>120</v>
      </c>
      <c r="G25" s="160">
        <v>46.39</v>
      </c>
      <c r="H25" s="494" t="s">
        <v>66</v>
      </c>
      <c r="I25" s="55" t="s">
        <v>106</v>
      </c>
      <c r="J25" s="156">
        <f>F25*G25</f>
        <v>5566.8</v>
      </c>
      <c r="K25" s="143">
        <f>G25*1.18</f>
        <v>54.740199999999994</v>
      </c>
      <c r="L25" s="57" t="s">
        <v>87</v>
      </c>
      <c r="M25" s="570" t="s">
        <v>107</v>
      </c>
      <c r="N25" s="571"/>
      <c r="P25" s="58">
        <f>38/1.17</f>
        <v>32.478632478632484</v>
      </c>
      <c r="Q25" s="59">
        <v>34</v>
      </c>
      <c r="R25" s="60">
        <f>P25*Q25/100</f>
        <v>11.042735042735044</v>
      </c>
      <c r="S25" s="61">
        <f>R25*U25</f>
        <v>1325.1282051282053</v>
      </c>
      <c r="T25" s="62">
        <f>P25+R25</f>
        <v>43.52136752136753</v>
      </c>
      <c r="U25" s="27">
        <v>120</v>
      </c>
      <c r="V25" s="63">
        <f>P25*1</f>
        <v>32.478632478632484</v>
      </c>
      <c r="W25" s="32">
        <v>100</v>
      </c>
      <c r="X25" s="33">
        <f t="shared" ref="X25:X27" si="59">U25*T25+V25+W25</f>
        <v>5355.0427350427362</v>
      </c>
      <c r="Y25" s="64" t="s">
        <v>108</v>
      </c>
      <c r="Z25" s="65">
        <v>0</v>
      </c>
      <c r="AA25" s="66">
        <v>1</v>
      </c>
      <c r="AB25" s="66">
        <v>1</v>
      </c>
      <c r="AC25" s="66">
        <v>1</v>
      </c>
      <c r="AD25" s="67">
        <f>Z25*AA25*AB25*AC25</f>
        <v>0</v>
      </c>
      <c r="AE25" s="38">
        <v>180</v>
      </c>
      <c r="AF25" s="39">
        <f t="shared" ref="AF25:AF27" si="60">0.5%*(X25+AD25+AE25)</f>
        <v>27.675213675213683</v>
      </c>
      <c r="AG25" s="40">
        <f t="shared" ref="AG25:AG27" si="61">X25+AD25+AF25+AE25</f>
        <v>5562.7179487179501</v>
      </c>
      <c r="AH25" s="41">
        <f t="shared" ref="AH25:AH27" si="62">AG25/U25</f>
        <v>46.35598290598292</v>
      </c>
      <c r="AI25" s="68">
        <f>AH25*18%</f>
        <v>8.3440769230769245</v>
      </c>
      <c r="AJ25" s="69">
        <f>AH25+AI25</f>
        <v>54.700059829059846</v>
      </c>
      <c r="AK25" s="44"/>
      <c r="AL25" s="70">
        <f>AJ25*U25</f>
        <v>6564.0071794871819</v>
      </c>
      <c r="AM25" s="71">
        <f>(AJ25-(AJ25/1.18))*U25</f>
        <v>1001.2892307692312</v>
      </c>
      <c r="AN25" s="71">
        <f>(AJ25-(AJ25/1.02))*U25</f>
        <v>128.70602312719996</v>
      </c>
      <c r="AO25" s="71">
        <f>(AJ25-(AJ25/1.05))*U25</f>
        <v>312.57177045177059</v>
      </c>
      <c r="AP25" s="71">
        <f>R25*U25</f>
        <v>1325.1282051282053</v>
      </c>
      <c r="AQ25" s="72">
        <f>AP25-AO25-AN25</f>
        <v>883.85041154923476</v>
      </c>
      <c r="AR25" s="73"/>
      <c r="AS25" s="74">
        <f>AP25*100/(AL25-AM25-AP25)</f>
        <v>31.270799801532064</v>
      </c>
      <c r="AT25" s="74">
        <f>AQ25*100/(AL25-AM25-AP25-AN25-AO25)</f>
        <v>23.281817279181336</v>
      </c>
      <c r="AU25" s="75"/>
    </row>
    <row r="26" spans="1:59" s="95" customFormat="1" ht="304.5" customHeight="1" thickBot="1">
      <c r="A26" s="96"/>
      <c r="B26" s="158">
        <v>3</v>
      </c>
      <c r="C26" s="563" t="s">
        <v>109</v>
      </c>
      <c r="D26" s="563"/>
      <c r="E26" s="77"/>
      <c r="F26" s="78">
        <v>120</v>
      </c>
      <c r="G26" s="160">
        <v>48.99</v>
      </c>
      <c r="H26" s="494" t="s">
        <v>66</v>
      </c>
      <c r="I26" s="100" t="s">
        <v>110</v>
      </c>
      <c r="J26" s="156">
        <f>F26*G26</f>
        <v>5878.8</v>
      </c>
      <c r="K26" s="143">
        <f>G26*1.18</f>
        <v>57.808199999999999</v>
      </c>
      <c r="L26" s="80" t="s">
        <v>111</v>
      </c>
      <c r="M26" s="564" t="s">
        <v>112</v>
      </c>
      <c r="N26" s="565"/>
      <c r="O26" s="81"/>
      <c r="P26" s="82">
        <v>36</v>
      </c>
      <c r="Q26" s="59">
        <v>28</v>
      </c>
      <c r="R26" s="83">
        <f t="shared" ref="R26:R27" si="63">P26*Q26/100</f>
        <v>10.08</v>
      </c>
      <c r="S26" s="84">
        <f t="shared" ref="S26:S27" si="64">R26*U26</f>
        <v>1209.5999999999999</v>
      </c>
      <c r="T26" s="84">
        <f t="shared" ref="T26:T27" si="65">P26+R26</f>
        <v>46.08</v>
      </c>
      <c r="U26" s="27">
        <v>120</v>
      </c>
      <c r="V26" s="63">
        <f>P26*1</f>
        <v>36</v>
      </c>
      <c r="W26" s="32">
        <v>100</v>
      </c>
      <c r="X26" s="33">
        <f t="shared" si="59"/>
        <v>5665.5999999999995</v>
      </c>
      <c r="Y26" s="86" t="s">
        <v>89</v>
      </c>
      <c r="Z26" s="87">
        <v>0</v>
      </c>
      <c r="AA26" s="88">
        <v>1</v>
      </c>
      <c r="AB26" s="88">
        <v>1</v>
      </c>
      <c r="AC26" s="88">
        <v>1</v>
      </c>
      <c r="AD26" s="85">
        <f t="shared" ref="AD26:AD27" si="66">Z26*AA26*AB26*AC26</f>
        <v>0</v>
      </c>
      <c r="AE26" s="38">
        <v>180</v>
      </c>
      <c r="AF26" s="39">
        <f t="shared" si="60"/>
        <v>29.227999999999998</v>
      </c>
      <c r="AG26" s="40">
        <f t="shared" si="61"/>
        <v>5874.8279999999995</v>
      </c>
      <c r="AH26" s="41">
        <f t="shared" si="62"/>
        <v>48.956899999999997</v>
      </c>
      <c r="AI26" s="89">
        <f t="shared" ref="AI26:AI27" si="67">AH26*18%</f>
        <v>8.8122419999999995</v>
      </c>
      <c r="AJ26" s="85">
        <f t="shared" ref="AJ26:AJ27" si="68">AH26+AI26</f>
        <v>57.769141999999995</v>
      </c>
      <c r="AK26" s="90"/>
      <c r="AL26" s="91">
        <f t="shared" ref="AL26:AL27" si="69">AJ26*U26</f>
        <v>6932.2970399999995</v>
      </c>
      <c r="AM26" s="92">
        <f t="shared" ref="AM26:AM27" si="70">(AJ26-(AJ26/1.18))*U26</f>
        <v>1057.4690399999997</v>
      </c>
      <c r="AN26" s="92">
        <f t="shared" ref="AN26:AN27" si="71">(AJ26-(AJ26/1.02))*U26</f>
        <v>135.92739294117621</v>
      </c>
      <c r="AO26" s="92">
        <f t="shared" ref="AO26:AO27" si="72">(AJ26-(AJ26/1.05))*U26</f>
        <v>330.10938285714332</v>
      </c>
      <c r="AP26" s="92">
        <f t="shared" ref="AP26:AP27" si="73">R26*U26</f>
        <v>1209.5999999999999</v>
      </c>
      <c r="AQ26" s="93">
        <f t="shared" ref="AQ26:AQ27" si="74">AP26-AO26-AN26</f>
        <v>743.56322420168033</v>
      </c>
      <c r="AR26" s="90"/>
      <c r="AS26" s="94">
        <f t="shared" ref="AS26:AS27" si="75">AP26*100/(AL26-AM26-AP26)</f>
        <v>25.927993229912879</v>
      </c>
      <c r="AT26" s="94">
        <f t="shared" ref="AT26:AT27" si="76">AQ26*100/(AL26-AM26-AP26-AN26-AO26)</f>
        <v>17.707296107788977</v>
      </c>
    </row>
    <row r="27" spans="1:59" s="95" customFormat="1" ht="301.5" customHeight="1" thickBot="1">
      <c r="A27" s="96"/>
      <c r="B27" s="158">
        <v>4</v>
      </c>
      <c r="C27" s="563" t="s">
        <v>85</v>
      </c>
      <c r="D27" s="563"/>
      <c r="E27" s="77"/>
      <c r="F27" s="78">
        <v>120</v>
      </c>
      <c r="G27" s="160">
        <v>61.85</v>
      </c>
      <c r="H27" s="494" t="s">
        <v>66</v>
      </c>
      <c r="I27" s="100" t="s">
        <v>96</v>
      </c>
      <c r="J27" s="156">
        <f>F27*G27</f>
        <v>7422</v>
      </c>
      <c r="K27" s="142">
        <f>G27*1.18</f>
        <v>72.983000000000004</v>
      </c>
      <c r="L27" s="57" t="s">
        <v>87</v>
      </c>
      <c r="M27" s="564" t="s">
        <v>88</v>
      </c>
      <c r="N27" s="565"/>
      <c r="O27" s="81"/>
      <c r="P27" s="82">
        <v>46</v>
      </c>
      <c r="Q27" s="59">
        <v>28</v>
      </c>
      <c r="R27" s="83">
        <f t="shared" si="63"/>
        <v>12.88</v>
      </c>
      <c r="S27" s="84">
        <f t="shared" si="64"/>
        <v>1545.6000000000001</v>
      </c>
      <c r="T27" s="84">
        <f t="shared" si="65"/>
        <v>58.88</v>
      </c>
      <c r="U27" s="27">
        <v>120</v>
      </c>
      <c r="V27" s="63">
        <f>P27*1</f>
        <v>46</v>
      </c>
      <c r="W27" s="32">
        <v>80</v>
      </c>
      <c r="X27" s="33">
        <f t="shared" si="59"/>
        <v>7191.6</v>
      </c>
      <c r="Y27" s="86" t="s">
        <v>89</v>
      </c>
      <c r="Z27" s="87">
        <v>0</v>
      </c>
      <c r="AA27" s="88">
        <v>1</v>
      </c>
      <c r="AB27" s="88">
        <v>1</v>
      </c>
      <c r="AC27" s="88">
        <v>1</v>
      </c>
      <c r="AD27" s="85">
        <f t="shared" si="66"/>
        <v>0</v>
      </c>
      <c r="AE27" s="38">
        <v>180</v>
      </c>
      <c r="AF27" s="39">
        <f t="shared" si="60"/>
        <v>36.858000000000004</v>
      </c>
      <c r="AG27" s="40">
        <f t="shared" si="61"/>
        <v>7408.4580000000005</v>
      </c>
      <c r="AH27" s="41">
        <f t="shared" si="62"/>
        <v>61.737150000000007</v>
      </c>
      <c r="AI27" s="89">
        <f t="shared" si="67"/>
        <v>11.112687000000001</v>
      </c>
      <c r="AJ27" s="85">
        <f t="shared" si="68"/>
        <v>72.849837000000008</v>
      </c>
      <c r="AK27" s="90"/>
      <c r="AL27" s="91">
        <f t="shared" si="69"/>
        <v>8741.9804400000012</v>
      </c>
      <c r="AM27" s="92">
        <f t="shared" si="70"/>
        <v>1333.5224400000002</v>
      </c>
      <c r="AN27" s="92">
        <f t="shared" si="71"/>
        <v>171.41138117647074</v>
      </c>
      <c r="AO27" s="92">
        <f t="shared" si="72"/>
        <v>416.28478285714323</v>
      </c>
      <c r="AP27" s="92">
        <f t="shared" si="73"/>
        <v>1545.6000000000001</v>
      </c>
      <c r="AQ27" s="93">
        <f t="shared" si="74"/>
        <v>957.90383596638617</v>
      </c>
      <c r="AR27" s="90"/>
      <c r="AS27" s="94">
        <f t="shared" si="75"/>
        <v>26.362569245238415</v>
      </c>
      <c r="AT27" s="94">
        <f t="shared" si="76"/>
        <v>18.158757318786645</v>
      </c>
    </row>
    <row r="28" spans="1:59" s="140" customFormat="1" ht="23.25">
      <c r="A28" s="96"/>
      <c r="B28" s="162" t="s">
        <v>113</v>
      </c>
      <c r="C28" s="144"/>
      <c r="D28" s="144"/>
      <c r="E28" s="145"/>
      <c r="F28" s="146"/>
      <c r="G28" s="147"/>
      <c r="H28" s="148"/>
      <c r="I28" s="149"/>
      <c r="J28" s="150"/>
      <c r="K28" s="79"/>
      <c r="L28" s="115"/>
      <c r="M28" s="116"/>
      <c r="N28" s="116"/>
      <c r="O28" s="117"/>
      <c r="P28" s="118"/>
      <c r="Q28" s="119"/>
      <c r="R28" s="120"/>
      <c r="S28" s="121"/>
      <c r="T28" s="121"/>
      <c r="U28" s="122"/>
      <c r="V28" s="123"/>
      <c r="W28" s="124"/>
      <c r="X28" s="125"/>
      <c r="Y28" s="126"/>
      <c r="Z28" s="127"/>
      <c r="AA28" s="128"/>
      <c r="AB28" s="128"/>
      <c r="AC28" s="128"/>
      <c r="AD28" s="129"/>
      <c r="AE28" s="130"/>
      <c r="AF28" s="131"/>
      <c r="AG28" s="132"/>
      <c r="AH28" s="133"/>
      <c r="AI28" s="134"/>
      <c r="AJ28" s="129"/>
      <c r="AK28" s="135"/>
      <c r="AL28" s="136"/>
      <c r="AM28" s="137"/>
      <c r="AN28" s="137"/>
      <c r="AO28" s="137"/>
      <c r="AP28" s="137"/>
      <c r="AQ28" s="138"/>
      <c r="AR28" s="135"/>
      <c r="AS28" s="139"/>
      <c r="AT28" s="139"/>
    </row>
    <row r="29" spans="1:59" ht="15.75" thickBot="1">
      <c r="B29" s="151"/>
      <c r="C29" s="151"/>
      <c r="D29" s="151"/>
      <c r="E29" s="152"/>
      <c r="F29" s="151"/>
      <c r="G29" s="151"/>
      <c r="H29" s="151"/>
      <c r="I29" s="151"/>
      <c r="J29" s="151"/>
    </row>
    <row r="30" spans="1:59" ht="24.75" customHeight="1" thickBot="1">
      <c r="B30" s="560" t="s">
        <v>114</v>
      </c>
      <c r="C30" s="561"/>
      <c r="D30" s="561"/>
      <c r="E30" s="561"/>
      <c r="F30" s="561"/>
      <c r="G30" s="561"/>
      <c r="H30" s="561"/>
      <c r="I30" s="561"/>
      <c r="J30" s="562"/>
      <c r="L30" s="554" t="s">
        <v>1</v>
      </c>
      <c r="M30" s="555"/>
      <c r="N30" s="555"/>
      <c r="O30" s="555"/>
      <c r="P30" s="555"/>
      <c r="Q30" s="555"/>
      <c r="R30" s="555"/>
      <c r="S30" s="555"/>
      <c r="T30" s="555"/>
      <c r="U30" s="555"/>
      <c r="V30" s="555"/>
      <c r="W30" s="555"/>
      <c r="X30" s="555"/>
      <c r="Y30" s="555"/>
      <c r="Z30" s="555"/>
      <c r="AA30" s="555"/>
      <c r="AB30" s="556"/>
      <c r="AC30" s="1"/>
      <c r="AD30" s="1"/>
      <c r="AE30" s="1"/>
      <c r="AF30" s="1"/>
      <c r="AG30" s="1"/>
      <c r="AH30" s="1"/>
      <c r="AI30" s="1"/>
      <c r="AJ30" s="1"/>
    </row>
    <row r="31" spans="1:59" s="1" customFormat="1" ht="46.5" customHeight="1" thickBot="1">
      <c r="B31" s="19" t="s">
        <v>2</v>
      </c>
      <c r="C31" s="20" t="s">
        <v>3</v>
      </c>
      <c r="D31" s="20" t="s">
        <v>4</v>
      </c>
      <c r="E31" s="20" t="s">
        <v>5</v>
      </c>
      <c r="F31" s="20" t="s">
        <v>6</v>
      </c>
      <c r="G31" s="20" t="s">
        <v>42</v>
      </c>
      <c r="H31" s="21" t="s">
        <v>8</v>
      </c>
      <c r="I31" s="20" t="s">
        <v>9</v>
      </c>
      <c r="J31" s="22" t="s">
        <v>43</v>
      </c>
      <c r="K31" s="114" t="s">
        <v>64</v>
      </c>
      <c r="L31" s="2" t="s">
        <v>11</v>
      </c>
      <c r="M31" s="3" t="s">
        <v>12</v>
      </c>
      <c r="N31" s="3" t="s">
        <v>13</v>
      </c>
      <c r="O31" s="4" t="s">
        <v>14</v>
      </c>
      <c r="P31" s="5" t="s">
        <v>15</v>
      </c>
      <c r="Q31" s="6" t="s">
        <v>16</v>
      </c>
      <c r="R31" s="6" t="s">
        <v>17</v>
      </c>
      <c r="S31" s="6" t="s">
        <v>18</v>
      </c>
      <c r="T31" s="6" t="s">
        <v>19</v>
      </c>
      <c r="U31" s="7" t="s">
        <v>20</v>
      </c>
      <c r="V31" s="8" t="s">
        <v>21</v>
      </c>
      <c r="W31" s="2" t="s">
        <v>22</v>
      </c>
      <c r="X31" s="4" t="s">
        <v>23</v>
      </c>
      <c r="Y31" s="9" t="s">
        <v>24</v>
      </c>
      <c r="Z31" s="10" t="s">
        <v>25</v>
      </c>
      <c r="AA31" s="10" t="s">
        <v>26</v>
      </c>
      <c r="AB31" s="10" t="s">
        <v>27</v>
      </c>
      <c r="AC31" s="10" t="s">
        <v>28</v>
      </c>
      <c r="AD31" s="11" t="s">
        <v>29</v>
      </c>
      <c r="AE31" s="12" t="s">
        <v>30</v>
      </c>
      <c r="AF31" s="12" t="s">
        <v>31</v>
      </c>
      <c r="AG31" s="13" t="s">
        <v>19</v>
      </c>
      <c r="AH31" s="14" t="s">
        <v>32</v>
      </c>
      <c r="AI31" s="14" t="s">
        <v>33</v>
      </c>
      <c r="AJ31" s="15" t="s">
        <v>34</v>
      </c>
      <c r="AK31" s="16"/>
    </row>
    <row r="32" spans="1:59" s="1" customFormat="1" ht="201" customHeight="1" thickBot="1">
      <c r="A32" s="98"/>
      <c r="B32" s="101">
        <v>1</v>
      </c>
      <c r="C32" s="578" t="s">
        <v>99</v>
      </c>
      <c r="D32" s="578"/>
      <c r="E32" s="102"/>
      <c r="F32" s="103">
        <v>120</v>
      </c>
      <c r="G32" s="104">
        <v>12.49</v>
      </c>
      <c r="H32" s="105" t="s">
        <v>115</v>
      </c>
      <c r="I32" s="106" t="s">
        <v>116</v>
      </c>
      <c r="J32" s="107">
        <f>F32*G32</f>
        <v>1498.8</v>
      </c>
      <c r="K32" s="23"/>
      <c r="L32" s="24" t="s">
        <v>102</v>
      </c>
      <c r="M32" s="567" t="s">
        <v>103</v>
      </c>
      <c r="N32" s="568"/>
      <c r="O32" s="25"/>
      <c r="P32" s="26">
        <v>8</v>
      </c>
      <c r="Q32" s="27">
        <v>40</v>
      </c>
      <c r="R32" s="28">
        <f>P32*Q32/100</f>
        <v>3.2</v>
      </c>
      <c r="S32" s="29">
        <f>R32*U32</f>
        <v>384</v>
      </c>
      <c r="T32" s="30">
        <f>P32+R32</f>
        <v>11.2</v>
      </c>
      <c r="U32" s="27">
        <v>120</v>
      </c>
      <c r="V32" s="31">
        <f>P32</f>
        <v>8</v>
      </c>
      <c r="W32" s="32">
        <v>70</v>
      </c>
      <c r="X32" s="33">
        <f>U32*T32+V32+W32</f>
        <v>1422</v>
      </c>
      <c r="Y32" s="34" t="s">
        <v>104</v>
      </c>
      <c r="Z32" s="35">
        <v>0</v>
      </c>
      <c r="AA32" s="36">
        <v>1</v>
      </c>
      <c r="AB32" s="36">
        <v>1</v>
      </c>
      <c r="AC32" s="36">
        <v>1</v>
      </c>
      <c r="AD32" s="37">
        <f>Z32*AA32*AB32*AC32</f>
        <v>0</v>
      </c>
      <c r="AE32" s="38">
        <v>30</v>
      </c>
      <c r="AF32" s="39">
        <f>0.5%*(X32+AD32+AE32)</f>
        <v>7.26</v>
      </c>
      <c r="AG32" s="40">
        <f>X32+AD32+AF32+AE32</f>
        <v>1459.26</v>
      </c>
      <c r="AH32" s="41">
        <f>AG32/U32</f>
        <v>12.160500000000001</v>
      </c>
      <c r="AI32" s="42">
        <f>AH32*18%</f>
        <v>2.1888900000000002</v>
      </c>
      <c r="AJ32" s="43">
        <f>AH32+AI32</f>
        <v>14.349390000000001</v>
      </c>
      <c r="AK32" s="44"/>
      <c r="AL32" s="45">
        <f>AJ32*U32</f>
        <v>1721.9268000000002</v>
      </c>
      <c r="AM32" s="46">
        <f>(AJ32-(AJ32/1.18))*U32</f>
        <v>262.66679999999985</v>
      </c>
      <c r="AN32" s="46">
        <f>(AJ32-(AJ32/1.02))*U32</f>
        <v>33.763270588235343</v>
      </c>
      <c r="AO32" s="46">
        <f>(AJ32-(AJ32/1.05))*U32</f>
        <v>81.996514285714284</v>
      </c>
      <c r="AP32" s="46">
        <f>R32*U32</f>
        <v>384</v>
      </c>
      <c r="AQ32" s="47">
        <f>AP32-AO32-AN32</f>
        <v>268.24021512605037</v>
      </c>
      <c r="AR32" s="48"/>
      <c r="AS32" s="49">
        <f>AP32*100/(AL32-AM32-AP32)</f>
        <v>35.71229284080129</v>
      </c>
      <c r="AT32" s="49">
        <f>AQ32*100/(AL32-AM32-AP32-AN32-AO32)</f>
        <v>27.95624335433957</v>
      </c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</row>
    <row r="33" spans="1:47" s="50" customFormat="1" ht="312.75" customHeight="1" thickBot="1">
      <c r="A33" s="97"/>
      <c r="B33" s="51">
        <v>2</v>
      </c>
      <c r="C33" s="569" t="s">
        <v>105</v>
      </c>
      <c r="D33" s="569"/>
      <c r="E33" s="52"/>
      <c r="F33" s="53">
        <v>120</v>
      </c>
      <c r="G33" s="99">
        <v>54.99</v>
      </c>
      <c r="H33" s="54" t="s">
        <v>117</v>
      </c>
      <c r="I33" s="55" t="s">
        <v>106</v>
      </c>
      <c r="J33" s="492">
        <f>F33*G33</f>
        <v>6598.8</v>
      </c>
      <c r="K33" s="56"/>
      <c r="L33" s="57" t="s">
        <v>87</v>
      </c>
      <c r="M33" s="570" t="s">
        <v>107</v>
      </c>
      <c r="N33" s="571"/>
      <c r="P33" s="58">
        <v>40</v>
      </c>
      <c r="Q33" s="59">
        <v>30</v>
      </c>
      <c r="R33" s="60">
        <f>P33*Q33/100</f>
        <v>12</v>
      </c>
      <c r="S33" s="61">
        <f>R33*U33</f>
        <v>1440</v>
      </c>
      <c r="T33" s="62">
        <f>P33+R33</f>
        <v>52</v>
      </c>
      <c r="U33" s="27">
        <v>120</v>
      </c>
      <c r="V33" s="63">
        <f>P33*1</f>
        <v>40</v>
      </c>
      <c r="W33" s="32">
        <v>100</v>
      </c>
      <c r="X33" s="33">
        <f t="shared" ref="X33:X35" si="77">U33*T33+V33+W33</f>
        <v>6380</v>
      </c>
      <c r="Y33" s="64" t="s">
        <v>108</v>
      </c>
      <c r="Z33" s="65">
        <v>0</v>
      </c>
      <c r="AA33" s="66">
        <v>1</v>
      </c>
      <c r="AB33" s="66">
        <v>1</v>
      </c>
      <c r="AC33" s="66">
        <v>1</v>
      </c>
      <c r="AD33" s="67">
        <f>Z33*AA33*AB33*AC33</f>
        <v>0</v>
      </c>
      <c r="AE33" s="38">
        <v>180</v>
      </c>
      <c r="AF33" s="39">
        <f t="shared" ref="AF33:AF35" si="78">0.5%*(X33+AD33+AE33)</f>
        <v>32.799999999999997</v>
      </c>
      <c r="AG33" s="40">
        <f t="shared" ref="AG33:AG35" si="79">X33+AD33+AF33+AE33</f>
        <v>6592.8</v>
      </c>
      <c r="AH33" s="41">
        <f t="shared" ref="AH33:AH35" si="80">AG33/U33</f>
        <v>54.940000000000005</v>
      </c>
      <c r="AI33" s="68">
        <f>AH33*18%</f>
        <v>9.8892000000000007</v>
      </c>
      <c r="AJ33" s="69">
        <f>AH33+AI33</f>
        <v>64.8292</v>
      </c>
      <c r="AK33" s="44"/>
      <c r="AL33" s="70">
        <f>AJ33*U33</f>
        <v>7779.5039999999999</v>
      </c>
      <c r="AM33" s="71">
        <f>(AJ33-(AJ33/1.18))*U33</f>
        <v>1186.7039999999995</v>
      </c>
      <c r="AN33" s="71">
        <f>(AJ33-(AJ33/1.02))*U33</f>
        <v>152.53929411764744</v>
      </c>
      <c r="AO33" s="71">
        <f>(AJ33-(AJ33/1.05))*U33</f>
        <v>370.45257142857139</v>
      </c>
      <c r="AP33" s="71">
        <f>R33*U33</f>
        <v>1440</v>
      </c>
      <c r="AQ33" s="72">
        <f>AP33-AO33-AN33</f>
        <v>917.00813445378117</v>
      </c>
      <c r="AR33" s="73"/>
      <c r="AS33" s="74">
        <f>AP33*100/(AL33-AM33-AP33)</f>
        <v>27.945971122496506</v>
      </c>
      <c r="AT33" s="74">
        <f>AQ33*100/(AL33-AM33-AP33-AN33-AO33)</f>
        <v>19.806612019829817</v>
      </c>
      <c r="AU33" s="75"/>
    </row>
    <row r="34" spans="1:47" s="95" customFormat="1" ht="304.5" customHeight="1" thickBot="1">
      <c r="A34" s="96"/>
      <c r="B34" s="76">
        <v>3</v>
      </c>
      <c r="C34" s="563" t="s">
        <v>109</v>
      </c>
      <c r="D34" s="563"/>
      <c r="E34" s="77"/>
      <c r="F34" s="78">
        <v>120</v>
      </c>
      <c r="G34" s="99">
        <v>51.99</v>
      </c>
      <c r="H34" s="54" t="s">
        <v>117</v>
      </c>
      <c r="I34" s="100" t="s">
        <v>110</v>
      </c>
      <c r="J34" s="492">
        <f>F34*G34</f>
        <v>6238.8</v>
      </c>
      <c r="K34" s="79"/>
      <c r="L34" s="80" t="s">
        <v>111</v>
      </c>
      <c r="M34" s="564" t="s">
        <v>112</v>
      </c>
      <c r="N34" s="565"/>
      <c r="O34" s="81"/>
      <c r="P34" s="82">
        <v>37.5</v>
      </c>
      <c r="Q34" s="59">
        <v>30</v>
      </c>
      <c r="R34" s="83">
        <f t="shared" ref="R34" si="81">P34*Q34/100</f>
        <v>11.25</v>
      </c>
      <c r="S34" s="84">
        <f t="shared" ref="S34" si="82">R34*U34</f>
        <v>1350</v>
      </c>
      <c r="T34" s="84">
        <f t="shared" ref="T34" si="83">P34+R34</f>
        <v>48.75</v>
      </c>
      <c r="U34" s="27">
        <v>120</v>
      </c>
      <c r="V34" s="63">
        <f>P34*1</f>
        <v>37.5</v>
      </c>
      <c r="W34" s="32">
        <v>100</v>
      </c>
      <c r="X34" s="33">
        <f t="shared" ref="X34" si="84">U34*T34+V34+W34</f>
        <v>5987.5</v>
      </c>
      <c r="Y34" s="86" t="s">
        <v>89</v>
      </c>
      <c r="Z34" s="87">
        <v>0</v>
      </c>
      <c r="AA34" s="88">
        <v>1</v>
      </c>
      <c r="AB34" s="88">
        <v>1</v>
      </c>
      <c r="AC34" s="88">
        <v>1</v>
      </c>
      <c r="AD34" s="85">
        <f t="shared" ref="AD34" si="85">Z34*AA34*AB34*AC34</f>
        <v>0</v>
      </c>
      <c r="AE34" s="38">
        <v>180</v>
      </c>
      <c r="AF34" s="39">
        <f t="shared" si="78"/>
        <v>30.837500000000002</v>
      </c>
      <c r="AG34" s="40">
        <f t="shared" ref="AG34" si="86">X34+AD34+AF34+AE34</f>
        <v>6198.3374999999996</v>
      </c>
      <c r="AH34" s="41">
        <f t="shared" ref="AH34" si="87">AG34/U34</f>
        <v>51.652812499999996</v>
      </c>
      <c r="AI34" s="89">
        <f t="shared" ref="AI34" si="88">AH34*18%</f>
        <v>9.2975062499999996</v>
      </c>
      <c r="AJ34" s="85">
        <f t="shared" ref="AJ34" si="89">AH34+AI34</f>
        <v>60.950318749999994</v>
      </c>
      <c r="AK34" s="90"/>
      <c r="AL34" s="91">
        <f t="shared" ref="AL34" si="90">AJ34*U34</f>
        <v>7314.0382499999996</v>
      </c>
      <c r="AM34" s="92">
        <f t="shared" ref="AM34" si="91">(AJ34-(AJ34/1.18))*U34</f>
        <v>1115.7007499999997</v>
      </c>
      <c r="AN34" s="92">
        <f t="shared" ref="AN34" si="92">(AJ34-(AJ34/1.02))*U34</f>
        <v>143.41251470588219</v>
      </c>
      <c r="AO34" s="92">
        <f t="shared" ref="AO34" si="93">(AJ34-(AJ34/1.05))*U34</f>
        <v>348.28753571428592</v>
      </c>
      <c r="AP34" s="92">
        <f t="shared" ref="AP34" si="94">R34*U34</f>
        <v>1350</v>
      </c>
      <c r="AQ34" s="93">
        <f t="shared" ref="AQ34" si="95">AP34-AO34-AN34</f>
        <v>858.29994957983195</v>
      </c>
      <c r="AR34" s="90"/>
      <c r="AS34" s="94">
        <f t="shared" ref="AS34" si="96">AP34*100/(AL34-AM34-AP34)</f>
        <v>27.84459621468184</v>
      </c>
      <c r="AT34" s="94">
        <f t="shared" ref="AT34" si="97">AQ34*100/(AL34-AM34-AP34-AN34-AO34)</f>
        <v>19.70097258523564</v>
      </c>
    </row>
    <row r="35" spans="1:47" s="95" customFormat="1" ht="321.75" customHeight="1" thickBot="1">
      <c r="A35" s="96"/>
      <c r="B35" s="108">
        <v>4</v>
      </c>
      <c r="C35" s="577" t="s">
        <v>85</v>
      </c>
      <c r="D35" s="577"/>
      <c r="E35" s="109"/>
      <c r="F35" s="110">
        <v>120</v>
      </c>
      <c r="G35" s="111">
        <v>68.89</v>
      </c>
      <c r="H35" s="112" t="s">
        <v>117</v>
      </c>
      <c r="I35" s="113" t="s">
        <v>96</v>
      </c>
      <c r="J35" s="493">
        <f>F35*G35</f>
        <v>8266.7999999999993</v>
      </c>
      <c r="K35" s="79"/>
      <c r="L35" s="57" t="s">
        <v>87</v>
      </c>
      <c r="M35" s="564" t="s">
        <v>88</v>
      </c>
      <c r="N35" s="565"/>
      <c r="O35" s="81"/>
      <c r="P35" s="82">
        <f>58/1.15</f>
        <v>50.434782608695656</v>
      </c>
      <c r="Q35" s="59">
        <v>30</v>
      </c>
      <c r="R35" s="83">
        <f t="shared" ref="R35" si="98">P35*Q35/100</f>
        <v>15.130434782608697</v>
      </c>
      <c r="S35" s="84">
        <f t="shared" ref="S35" si="99">R35*U35</f>
        <v>1815.6521739130437</v>
      </c>
      <c r="T35" s="84">
        <f t="shared" ref="T35" si="100">P35+R35</f>
        <v>65.565217391304358</v>
      </c>
      <c r="U35" s="27">
        <v>120</v>
      </c>
      <c r="V35" s="63">
        <f>P35*1</f>
        <v>50.434782608695656</v>
      </c>
      <c r="W35" s="32">
        <v>100</v>
      </c>
      <c r="X35" s="33">
        <f t="shared" si="77"/>
        <v>8018.2608695652189</v>
      </c>
      <c r="Y35" s="86" t="s">
        <v>89</v>
      </c>
      <c r="Z35" s="87">
        <v>0</v>
      </c>
      <c r="AA35" s="88">
        <v>1</v>
      </c>
      <c r="AB35" s="88">
        <v>1</v>
      </c>
      <c r="AC35" s="88">
        <v>1</v>
      </c>
      <c r="AD35" s="85">
        <f t="shared" ref="AD35" si="101">Z35*AA35*AB35*AC35</f>
        <v>0</v>
      </c>
      <c r="AE35" s="38">
        <v>180</v>
      </c>
      <c r="AF35" s="39">
        <f t="shared" si="78"/>
        <v>40.991304347826102</v>
      </c>
      <c r="AG35" s="40">
        <f t="shared" si="79"/>
        <v>8239.2521739130461</v>
      </c>
      <c r="AH35" s="41">
        <f t="shared" si="80"/>
        <v>68.660434782608718</v>
      </c>
      <c r="AI35" s="89">
        <f t="shared" ref="AI35" si="102">AH35*18%</f>
        <v>12.358878260869568</v>
      </c>
      <c r="AJ35" s="85">
        <f t="shared" ref="AJ35" si="103">AH35+AI35</f>
        <v>81.019313043478292</v>
      </c>
      <c r="AK35" s="90"/>
      <c r="AL35" s="91">
        <f t="shared" ref="AL35" si="104">AJ35*U35</f>
        <v>9722.3175652173959</v>
      </c>
      <c r="AM35" s="92">
        <f t="shared" ref="AM35" si="105">(AJ35-(AJ35/1.18))*U35</f>
        <v>1483.065391304347</v>
      </c>
      <c r="AN35" s="92">
        <f t="shared" ref="AN35" si="106">(AJ35-(AJ35/1.02))*U35</f>
        <v>190.63367774936125</v>
      </c>
      <c r="AO35" s="92">
        <f t="shared" ref="AO35" si="107">(AJ35-(AJ35/1.05))*U35</f>
        <v>462.96750310558991</v>
      </c>
      <c r="AP35" s="92">
        <f t="shared" ref="AP35" si="108">R35*U35</f>
        <v>1815.6521739130437</v>
      </c>
      <c r="AQ35" s="93">
        <f t="shared" ref="AQ35" si="109">AP35-AO35-AN35</f>
        <v>1162.0509930580924</v>
      </c>
      <c r="AR35" s="90"/>
      <c r="AS35" s="94">
        <f t="shared" ref="AS35" si="110">AP35*100/(AL35-AM35-AP35)</f>
        <v>28.265336787985586</v>
      </c>
      <c r="AT35" s="94">
        <f t="shared" ref="AT35" si="111">AQ35*100/(AL35-AM35-AP35-AN35-AO35)</f>
        <v>20.139536063722705</v>
      </c>
    </row>
    <row r="40" spans="1:47">
      <c r="E40"/>
    </row>
  </sheetData>
  <mergeCells count="55">
    <mergeCell ref="B5:B6"/>
    <mergeCell ref="C18:D18"/>
    <mergeCell ref="L18:M18"/>
    <mergeCell ref="N18:O18"/>
    <mergeCell ref="J5:J6"/>
    <mergeCell ref="I5:I6"/>
    <mergeCell ref="H5:H6"/>
    <mergeCell ref="G5:G6"/>
    <mergeCell ref="F5:F6"/>
    <mergeCell ref="E5:E6"/>
    <mergeCell ref="C5:D6"/>
    <mergeCell ref="M12:O12"/>
    <mergeCell ref="C13:D13"/>
    <mergeCell ref="M13:N13"/>
    <mergeCell ref="B15:J15"/>
    <mergeCell ref="L15:AB15"/>
    <mergeCell ref="C26:D26"/>
    <mergeCell ref="M26:N26"/>
    <mergeCell ref="B8:J8"/>
    <mergeCell ref="L8:AB8"/>
    <mergeCell ref="C10:D10"/>
    <mergeCell ref="L10:M10"/>
    <mergeCell ref="N10:O10"/>
    <mergeCell ref="C11:D11"/>
    <mergeCell ref="L11:M11"/>
    <mergeCell ref="N11:O11"/>
    <mergeCell ref="C20:D20"/>
    <mergeCell ref="M20:N20"/>
    <mergeCell ref="C19:D19"/>
    <mergeCell ref="M19:O19"/>
    <mergeCell ref="C12:D12"/>
    <mergeCell ref="M33:N33"/>
    <mergeCell ref="C35:D35"/>
    <mergeCell ref="M35:N35"/>
    <mergeCell ref="M32:N32"/>
    <mergeCell ref="C32:D32"/>
    <mergeCell ref="C33:D33"/>
    <mergeCell ref="C34:D34"/>
    <mergeCell ref="M34:N34"/>
    <mergeCell ref="B3:J3"/>
    <mergeCell ref="L3:AB3"/>
    <mergeCell ref="M5:O5"/>
    <mergeCell ref="B30:J30"/>
    <mergeCell ref="L30:AB30"/>
    <mergeCell ref="C27:D27"/>
    <mergeCell ref="M27:N27"/>
    <mergeCell ref="B22:J22"/>
    <mergeCell ref="L22:AB22"/>
    <mergeCell ref="C24:D24"/>
    <mergeCell ref="M24:N24"/>
    <mergeCell ref="C25:D25"/>
    <mergeCell ref="M25:N25"/>
    <mergeCell ref="C17:D17"/>
    <mergeCell ref="L17:M17"/>
    <mergeCell ref="N17:O17"/>
  </mergeCells>
  <phoneticPr fontId="17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18"/>
  <sheetViews>
    <sheetView topLeftCell="A16" zoomScale="55" zoomScaleNormal="55" workbookViewId="0">
      <selection activeCell="A11" sqref="A11"/>
    </sheetView>
  </sheetViews>
  <sheetFormatPr baseColWidth="10" defaultColWidth="11.42578125" defaultRowHeight="15"/>
  <cols>
    <col min="1" max="1" width="7.42578125" customWidth="1"/>
    <col min="2" max="2" width="4.28515625" customWidth="1"/>
    <col min="3" max="3" width="10.42578125" customWidth="1"/>
    <col min="4" max="4" width="19.140625" customWidth="1"/>
    <col min="5" max="5" width="47.140625" style="18" customWidth="1"/>
    <col min="6" max="6" width="11.5703125" customWidth="1"/>
    <col min="7" max="7" width="20.7109375" customWidth="1"/>
    <col min="8" max="8" width="18.85546875" customWidth="1"/>
    <col min="9" max="9" width="82.7109375" customWidth="1"/>
    <col min="10" max="10" width="28.140625" customWidth="1"/>
    <col min="11" max="11" width="31.42578125" customWidth="1"/>
    <col min="12" max="12" width="22.7109375" style="17" customWidth="1"/>
    <col min="13" max="13" width="20.85546875" bestFit="1" customWidth="1"/>
    <col min="15" max="15" width="21.7109375" customWidth="1"/>
    <col min="16" max="16" width="19.7109375" bestFit="1" customWidth="1"/>
    <col min="17" max="17" width="11.5703125" bestFit="1" customWidth="1"/>
    <col min="18" max="18" width="16.140625" customWidth="1"/>
    <col min="19" max="19" width="27.28515625" customWidth="1"/>
    <col min="20" max="20" width="19" customWidth="1"/>
    <col min="21" max="21" width="11.5703125" bestFit="1" customWidth="1"/>
    <col min="22" max="22" width="18.5703125" bestFit="1" customWidth="1"/>
    <col min="23" max="23" width="17.28515625" bestFit="1" customWidth="1"/>
    <col min="24" max="24" width="21.7109375" customWidth="1"/>
    <col min="25" max="25" width="15.140625" customWidth="1"/>
    <col min="26" max="26" width="18.42578125" customWidth="1"/>
    <col min="27" max="29" width="11.5703125" bestFit="1" customWidth="1"/>
    <col min="30" max="30" width="17.42578125" customWidth="1"/>
    <col min="31" max="31" width="19.5703125" customWidth="1"/>
    <col min="32" max="32" width="22" customWidth="1"/>
    <col min="33" max="33" width="22.85546875" customWidth="1"/>
    <col min="34" max="34" width="18.5703125" bestFit="1" customWidth="1"/>
    <col min="35" max="35" width="18.28515625" customWidth="1"/>
    <col min="36" max="36" width="16" customWidth="1"/>
  </cols>
  <sheetData>
    <row r="1" spans="1:123" ht="15.75" thickBot="1"/>
    <row r="2" spans="1:123" ht="40.5" customHeight="1" thickBot="1">
      <c r="B2" s="597" t="s">
        <v>118</v>
      </c>
      <c r="C2" s="598"/>
      <c r="D2" s="598"/>
      <c r="E2" s="598"/>
      <c r="F2" s="598"/>
      <c r="G2" s="598"/>
      <c r="H2" s="598"/>
      <c r="I2" s="598"/>
      <c r="J2" s="599"/>
      <c r="K2" s="413" t="s">
        <v>119</v>
      </c>
      <c r="L2" s="554" t="s">
        <v>1</v>
      </c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6"/>
      <c r="AC2" s="1"/>
      <c r="AD2" s="1"/>
      <c r="AE2" s="1"/>
      <c r="AF2" s="1"/>
      <c r="AG2" s="1"/>
      <c r="AH2" s="1"/>
      <c r="AI2" s="1"/>
      <c r="AJ2" s="1"/>
    </row>
    <row r="3" spans="1:123" s="1" customFormat="1" ht="46.5" customHeight="1" thickBot="1">
      <c r="B3" s="356" t="s">
        <v>2</v>
      </c>
      <c r="C3" s="357" t="s">
        <v>3</v>
      </c>
      <c r="D3" s="357" t="s">
        <v>4</v>
      </c>
      <c r="E3" s="357" t="s">
        <v>5</v>
      </c>
      <c r="F3" s="357" t="s">
        <v>6</v>
      </c>
      <c r="G3" s="357" t="s">
        <v>42</v>
      </c>
      <c r="H3" s="357" t="s">
        <v>8</v>
      </c>
      <c r="I3" s="357" t="s">
        <v>9</v>
      </c>
      <c r="J3" s="308" t="s">
        <v>120</v>
      </c>
      <c r="K3" s="114" t="s">
        <v>64</v>
      </c>
      <c r="L3" s="2" t="s">
        <v>11</v>
      </c>
      <c r="M3" s="3" t="s">
        <v>12</v>
      </c>
      <c r="N3" s="3" t="s">
        <v>13</v>
      </c>
      <c r="O3" s="4" t="s">
        <v>14</v>
      </c>
      <c r="P3" s="5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7" t="s">
        <v>20</v>
      </c>
      <c r="V3" s="8" t="s">
        <v>21</v>
      </c>
      <c r="W3" s="2" t="s">
        <v>22</v>
      </c>
      <c r="X3" s="4" t="s">
        <v>23</v>
      </c>
      <c r="Y3" s="9" t="s">
        <v>24</v>
      </c>
      <c r="Z3" s="10" t="s">
        <v>25</v>
      </c>
      <c r="AA3" s="10" t="s">
        <v>26</v>
      </c>
      <c r="AB3" s="10" t="s">
        <v>27</v>
      </c>
      <c r="AC3" s="10" t="s">
        <v>28</v>
      </c>
      <c r="AD3" s="11" t="s">
        <v>29</v>
      </c>
      <c r="AE3" s="12" t="s">
        <v>30</v>
      </c>
      <c r="AF3" s="12" t="s">
        <v>31</v>
      </c>
      <c r="AG3" s="13" t="s">
        <v>19</v>
      </c>
      <c r="AH3" s="14" t="s">
        <v>32</v>
      </c>
      <c r="AI3" s="14" t="s">
        <v>33</v>
      </c>
      <c r="AJ3" s="15" t="s">
        <v>34</v>
      </c>
      <c r="AK3" s="16"/>
    </row>
    <row r="4" spans="1:123" s="256" customFormat="1" ht="409.5" customHeight="1" thickBot="1">
      <c r="B4" s="406">
        <v>1</v>
      </c>
      <c r="C4" s="602" t="s">
        <v>53</v>
      </c>
      <c r="D4" s="602"/>
      <c r="E4" s="407" t="s">
        <v>36</v>
      </c>
      <c r="F4" s="408">
        <v>164</v>
      </c>
      <c r="G4" s="409">
        <v>89.9</v>
      </c>
      <c r="H4" s="410" t="s">
        <v>121</v>
      </c>
      <c r="I4" s="411" t="s">
        <v>122</v>
      </c>
      <c r="J4" s="412">
        <f>F4*G4</f>
        <v>14743.6</v>
      </c>
      <c r="K4" s="380" t="s">
        <v>123</v>
      </c>
      <c r="L4" s="257" t="s">
        <v>39</v>
      </c>
      <c r="M4" s="543" t="s">
        <v>124</v>
      </c>
      <c r="N4" s="544"/>
      <c r="O4" s="545"/>
      <c r="P4" s="258">
        <f>(78+((10*14)/164))/1.16</f>
        <v>67.97729184188394</v>
      </c>
      <c r="Q4" s="259">
        <v>25</v>
      </c>
      <c r="R4" s="260">
        <f>P4*Q4/100</f>
        <v>16.994322960470985</v>
      </c>
      <c r="S4" s="261">
        <f>R4*U4</f>
        <v>2787.0689655172414</v>
      </c>
      <c r="T4" s="262">
        <f>P4+R4</f>
        <v>84.971614802354921</v>
      </c>
      <c r="U4" s="263">
        <f>F4</f>
        <v>164</v>
      </c>
      <c r="V4" s="264">
        <f>P4*2</f>
        <v>135.95458368376788</v>
      </c>
      <c r="W4" s="265">
        <v>180</v>
      </c>
      <c r="X4" s="266">
        <f>U4*T4+V4+W4</f>
        <v>14251.299411269974</v>
      </c>
      <c r="Y4" s="267" t="s">
        <v>47</v>
      </c>
      <c r="Z4" s="268">
        <v>0</v>
      </c>
      <c r="AA4" s="269">
        <v>1</v>
      </c>
      <c r="AB4" s="270">
        <v>1</v>
      </c>
      <c r="AC4" s="270">
        <v>1</v>
      </c>
      <c r="AD4" s="271">
        <f>Z4*AA4*AB4*AC4</f>
        <v>0</v>
      </c>
      <c r="AE4" s="180">
        <f>2.5*25</f>
        <v>62.5</v>
      </c>
      <c r="AF4" s="272">
        <f>1%*(X4+AD4+AE4)</f>
        <v>143.13799411269974</v>
      </c>
      <c r="AG4" s="273">
        <f>X4+AD4+AF4+AE4</f>
        <v>14456.937405382674</v>
      </c>
      <c r="AH4" s="274">
        <f>AG4/U4</f>
        <v>88.152057349894349</v>
      </c>
      <c r="AI4" s="275">
        <f>AH4*0.18</f>
        <v>15.867370322980982</v>
      </c>
      <c r="AJ4" s="276">
        <f>AH4+AI4</f>
        <v>104.01942767287534</v>
      </c>
    </row>
    <row r="5" spans="1:123" s="382" customFormat="1" ht="28.5" customHeight="1">
      <c r="B5" s="405" t="s">
        <v>125</v>
      </c>
      <c r="C5" s="383"/>
      <c r="D5" s="383"/>
      <c r="E5" s="384"/>
      <c r="F5" s="385"/>
      <c r="G5" s="381"/>
      <c r="H5" s="386"/>
      <c r="I5" s="149"/>
      <c r="J5" s="387"/>
      <c r="K5" s="388">
        <f>G4*1.18</f>
        <v>106.08200000000001</v>
      </c>
      <c r="L5" s="116"/>
      <c r="M5" s="116"/>
      <c r="N5" s="116"/>
      <c r="O5" s="116"/>
      <c r="P5" s="389"/>
      <c r="Q5" s="390"/>
      <c r="R5" s="389"/>
      <c r="S5" s="391"/>
      <c r="T5" s="392"/>
      <c r="U5" s="393"/>
      <c r="V5" s="394"/>
      <c r="W5" s="395"/>
      <c r="X5" s="396"/>
      <c r="Y5" s="397"/>
      <c r="Z5" s="398"/>
      <c r="AA5" s="399"/>
      <c r="AB5" s="399"/>
      <c r="AC5" s="399"/>
      <c r="AD5" s="400"/>
      <c r="AE5" s="398"/>
      <c r="AF5" s="401"/>
      <c r="AG5" s="398"/>
      <c r="AH5" s="402"/>
      <c r="AI5" s="403"/>
      <c r="AJ5" s="404"/>
    </row>
    <row r="6" spans="1:123" ht="30.75" customHeight="1" thickBot="1">
      <c r="E6"/>
      <c r="L6"/>
    </row>
    <row r="7" spans="1:123" ht="40.5" customHeight="1" thickBot="1">
      <c r="B7" s="604" t="s">
        <v>126</v>
      </c>
      <c r="C7" s="605"/>
      <c r="D7" s="605"/>
      <c r="E7" s="605"/>
      <c r="F7" s="605"/>
      <c r="G7" s="605"/>
      <c r="H7" s="605"/>
      <c r="I7" s="605"/>
      <c r="J7" s="606"/>
      <c r="K7" s="255"/>
      <c r="L7" s="554" t="s">
        <v>1</v>
      </c>
      <c r="M7" s="555"/>
      <c r="N7" s="555"/>
      <c r="O7" s="555"/>
      <c r="P7" s="555"/>
      <c r="Q7" s="555"/>
      <c r="R7" s="555"/>
      <c r="S7" s="555"/>
      <c r="T7" s="555"/>
      <c r="U7" s="555"/>
      <c r="V7" s="555"/>
      <c r="W7" s="555"/>
      <c r="X7" s="555"/>
      <c r="Y7" s="555"/>
      <c r="Z7" s="555"/>
      <c r="AA7" s="555"/>
      <c r="AB7" s="556"/>
      <c r="AC7" s="1"/>
      <c r="AD7" s="1"/>
      <c r="AE7" s="1"/>
      <c r="AF7" s="1"/>
      <c r="AG7" s="1"/>
      <c r="AH7" s="1"/>
      <c r="AI7" s="1"/>
      <c r="AJ7" s="1"/>
    </row>
    <row r="8" spans="1:123" s="1" customFormat="1" ht="46.5" customHeight="1" thickBot="1">
      <c r="B8" s="340" t="s">
        <v>2</v>
      </c>
      <c r="C8" s="341" t="s">
        <v>3</v>
      </c>
      <c r="D8" s="341" t="s">
        <v>4</v>
      </c>
      <c r="E8" s="341" t="s">
        <v>5</v>
      </c>
      <c r="F8" s="341" t="s">
        <v>6</v>
      </c>
      <c r="G8" s="341" t="s">
        <v>42</v>
      </c>
      <c r="H8" s="341" t="s">
        <v>8</v>
      </c>
      <c r="I8" s="341" t="s">
        <v>9</v>
      </c>
      <c r="J8" s="336" t="s">
        <v>43</v>
      </c>
      <c r="K8" s="114" t="s">
        <v>64</v>
      </c>
      <c r="L8" s="2" t="s">
        <v>11</v>
      </c>
      <c r="M8" s="3" t="s">
        <v>12</v>
      </c>
      <c r="N8" s="3" t="s">
        <v>13</v>
      </c>
      <c r="O8" s="4" t="s">
        <v>14</v>
      </c>
      <c r="P8" s="5" t="s">
        <v>15</v>
      </c>
      <c r="Q8" s="6" t="s">
        <v>16</v>
      </c>
      <c r="R8" s="6" t="s">
        <v>17</v>
      </c>
      <c r="S8" s="6" t="s">
        <v>18</v>
      </c>
      <c r="T8" s="6" t="s">
        <v>19</v>
      </c>
      <c r="U8" s="7" t="s">
        <v>20</v>
      </c>
      <c r="V8" s="8" t="s">
        <v>21</v>
      </c>
      <c r="W8" s="2" t="s">
        <v>22</v>
      </c>
      <c r="X8" s="4" t="s">
        <v>23</v>
      </c>
      <c r="Y8" s="9" t="s">
        <v>24</v>
      </c>
      <c r="Z8" s="10" t="s">
        <v>25</v>
      </c>
      <c r="AA8" s="10" t="s">
        <v>26</v>
      </c>
      <c r="AB8" s="10" t="s">
        <v>27</v>
      </c>
      <c r="AC8" s="10" t="s">
        <v>28</v>
      </c>
      <c r="AD8" s="11" t="s">
        <v>29</v>
      </c>
      <c r="AE8" s="12" t="s">
        <v>30</v>
      </c>
      <c r="AF8" s="12" t="s">
        <v>31</v>
      </c>
      <c r="AG8" s="13" t="s">
        <v>19</v>
      </c>
      <c r="AH8" s="14" t="s">
        <v>32</v>
      </c>
      <c r="AI8" s="14" t="s">
        <v>33</v>
      </c>
      <c r="AJ8" s="15" t="s">
        <v>34</v>
      </c>
      <c r="AK8" s="16"/>
    </row>
    <row r="9" spans="1:123" ht="330.75" customHeight="1">
      <c r="A9" s="349"/>
      <c r="B9" s="350">
        <v>1</v>
      </c>
      <c r="C9" s="579" t="s">
        <v>73</v>
      </c>
      <c r="D9" s="579"/>
      <c r="E9" s="342" t="s">
        <v>74</v>
      </c>
      <c r="F9" s="490">
        <v>161</v>
      </c>
      <c r="G9" s="500">
        <v>32.450000000000003</v>
      </c>
      <c r="H9" s="211" t="s">
        <v>75</v>
      </c>
      <c r="I9" s="212" t="s">
        <v>127</v>
      </c>
      <c r="J9" s="498">
        <f>F9*G9</f>
        <v>5224.4500000000007</v>
      </c>
      <c r="K9" s="346">
        <v>32.590000000000003</v>
      </c>
      <c r="L9" s="573" t="s">
        <v>77</v>
      </c>
      <c r="M9" s="574"/>
      <c r="N9" s="575" t="s">
        <v>78</v>
      </c>
      <c r="O9" s="576"/>
      <c r="P9" s="166">
        <f>26.9/1.16</f>
        <v>23.189655172413794</v>
      </c>
      <c r="Q9" s="167">
        <v>30</v>
      </c>
      <c r="R9" s="168">
        <f t="shared" ref="R9:R10" si="0">P9*Q9/100</f>
        <v>6.9568965517241388</v>
      </c>
      <c r="S9" s="169">
        <f t="shared" ref="S9:S10" si="1">R9*U9</f>
        <v>1120.0603448275863</v>
      </c>
      <c r="T9" s="170">
        <f t="shared" ref="T9:T10" si="2">P9+R9</f>
        <v>30.146551724137932</v>
      </c>
      <c r="U9" s="171">
        <f>F9</f>
        <v>161</v>
      </c>
      <c r="V9" s="172">
        <f>P9*2</f>
        <v>46.379310344827587</v>
      </c>
      <c r="W9" s="173">
        <v>120</v>
      </c>
      <c r="X9" s="174">
        <f t="shared" ref="X9:X10" si="3">U9*T9+V9+W9</f>
        <v>5019.9741379310353</v>
      </c>
      <c r="Y9" s="175"/>
      <c r="Z9" s="176">
        <v>0</v>
      </c>
      <c r="AA9" s="177">
        <v>1</v>
      </c>
      <c r="AB9" s="177">
        <v>1</v>
      </c>
      <c r="AC9" s="178">
        <v>1</v>
      </c>
      <c r="AD9" s="179">
        <f t="shared" ref="AD9:AD10" si="4">Z9*AA9*AB9*AC9</f>
        <v>0</v>
      </c>
      <c r="AE9" s="180">
        <v>150</v>
      </c>
      <c r="AF9" s="181">
        <f t="shared" ref="AF9:AF11" si="5">0.5%*(X9+AD9+AE9)</f>
        <v>25.849870689655177</v>
      </c>
      <c r="AG9" s="182">
        <f t="shared" ref="AG9:AG10" si="6">X9+AD9+AF9+AE9</f>
        <v>5195.8240086206906</v>
      </c>
      <c r="AH9" s="183">
        <f t="shared" ref="AH9:AH10" si="7">AG9/U9</f>
        <v>32.272198811308634</v>
      </c>
      <c r="AI9" s="184">
        <f t="shared" ref="AI9:AI10" si="8">AH9*18%</f>
        <v>5.8089957860355543</v>
      </c>
      <c r="AJ9" s="185">
        <f t="shared" ref="AJ9:AJ10" si="9">AH9+AI9</f>
        <v>38.081194597344187</v>
      </c>
      <c r="AK9" s="186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</row>
    <row r="10" spans="1:123" ht="351" customHeight="1">
      <c r="A10" s="351"/>
      <c r="B10" s="348">
        <v>2</v>
      </c>
      <c r="C10" s="572" t="s">
        <v>79</v>
      </c>
      <c r="D10" s="572"/>
      <c r="E10" s="343" t="s">
        <v>74</v>
      </c>
      <c r="F10" s="489">
        <v>161</v>
      </c>
      <c r="G10" s="501">
        <v>40.950000000000003</v>
      </c>
      <c r="H10" s="164" t="s">
        <v>75</v>
      </c>
      <c r="I10" s="190" t="s">
        <v>128</v>
      </c>
      <c r="J10" s="499">
        <f>F10*G10</f>
        <v>6592.9500000000007</v>
      </c>
      <c r="K10" s="347">
        <v>41.5</v>
      </c>
      <c r="L10" s="573" t="s">
        <v>81</v>
      </c>
      <c r="M10" s="574"/>
      <c r="N10" s="575" t="s">
        <v>82</v>
      </c>
      <c r="O10" s="576"/>
      <c r="P10" s="166">
        <f>34.5/1.16</f>
        <v>29.741379310344829</v>
      </c>
      <c r="Q10" s="167">
        <v>30</v>
      </c>
      <c r="R10" s="168">
        <f t="shared" si="0"/>
        <v>8.9224137931034484</v>
      </c>
      <c r="S10" s="169">
        <f t="shared" si="1"/>
        <v>1436.5086206896551</v>
      </c>
      <c r="T10" s="170">
        <f t="shared" si="2"/>
        <v>38.663793103448278</v>
      </c>
      <c r="U10" s="171">
        <f>F10</f>
        <v>161</v>
      </c>
      <c r="V10" s="172">
        <f>P10*2</f>
        <v>59.482758620689658</v>
      </c>
      <c r="W10" s="173">
        <v>120</v>
      </c>
      <c r="X10" s="174">
        <f t="shared" si="3"/>
        <v>6404.3534482758623</v>
      </c>
      <c r="Y10" s="175"/>
      <c r="Z10" s="176">
        <v>0</v>
      </c>
      <c r="AA10" s="177">
        <v>1</v>
      </c>
      <c r="AB10" s="177">
        <v>1</v>
      </c>
      <c r="AC10" s="178">
        <v>1</v>
      </c>
      <c r="AD10" s="179">
        <f t="shared" si="4"/>
        <v>0</v>
      </c>
      <c r="AE10" s="180">
        <v>155</v>
      </c>
      <c r="AF10" s="181">
        <f t="shared" si="5"/>
        <v>32.796767241379314</v>
      </c>
      <c r="AG10" s="182">
        <f t="shared" si="6"/>
        <v>6592.150215517242</v>
      </c>
      <c r="AH10" s="183">
        <f t="shared" si="7"/>
        <v>40.945032394517028</v>
      </c>
      <c r="AI10" s="184">
        <f t="shared" si="8"/>
        <v>7.3701058310130652</v>
      </c>
      <c r="AJ10" s="185">
        <f t="shared" si="9"/>
        <v>48.315138225530092</v>
      </c>
      <c r="AK10" s="186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</row>
    <row r="11" spans="1:123" s="318" customFormat="1" ht="246" customHeight="1" thickBot="1">
      <c r="A11" s="352"/>
      <c r="B11" s="353">
        <v>3</v>
      </c>
      <c r="C11" s="603" t="s">
        <v>129</v>
      </c>
      <c r="D11" s="603"/>
      <c r="E11" s="337" t="s">
        <v>130</v>
      </c>
      <c r="F11" s="313">
        <v>161</v>
      </c>
      <c r="G11" s="344">
        <v>30.95</v>
      </c>
      <c r="H11" s="338" t="s">
        <v>131</v>
      </c>
      <c r="I11" s="339" t="s">
        <v>132</v>
      </c>
      <c r="J11" s="345">
        <f>F11*G11</f>
        <v>4982.95</v>
      </c>
      <c r="K11" s="319"/>
      <c r="L11" s="320" t="s">
        <v>133</v>
      </c>
      <c r="M11" s="320"/>
      <c r="N11" s="607" t="s">
        <v>134</v>
      </c>
      <c r="O11" s="608"/>
      <c r="P11" s="321">
        <v>22</v>
      </c>
      <c r="Q11" s="322">
        <v>30</v>
      </c>
      <c r="R11" s="323">
        <f t="shared" ref="R11" si="10">P11*Q11/100</f>
        <v>6.6</v>
      </c>
      <c r="S11" s="324">
        <f t="shared" ref="S11" si="11">R11*U11</f>
        <v>1062.5999999999999</v>
      </c>
      <c r="T11" s="325">
        <f t="shared" ref="T11" si="12">P11+R11</f>
        <v>28.6</v>
      </c>
      <c r="U11" s="322">
        <v>161</v>
      </c>
      <c r="V11" s="172">
        <f>P11*2</f>
        <v>44</v>
      </c>
      <c r="W11" s="32">
        <v>140</v>
      </c>
      <c r="X11" s="326">
        <f t="shared" ref="X11" si="13">U11*T11+V11+W11</f>
        <v>4788.6000000000004</v>
      </c>
      <c r="Y11" s="327" t="s">
        <v>135</v>
      </c>
      <c r="Z11" s="328">
        <v>0</v>
      </c>
      <c r="AA11" s="329">
        <v>1</v>
      </c>
      <c r="AB11" s="329">
        <v>1</v>
      </c>
      <c r="AC11" s="329">
        <v>1</v>
      </c>
      <c r="AD11" s="330">
        <f t="shared" ref="AD11" si="14">Z11*AA11*AB11*AC11</f>
        <v>0</v>
      </c>
      <c r="AE11" s="331">
        <v>170</v>
      </c>
      <c r="AF11" s="181">
        <f t="shared" si="5"/>
        <v>24.793000000000003</v>
      </c>
      <c r="AG11" s="332">
        <f t="shared" ref="AG11" si="15">X11+AD11+AF11+AE11</f>
        <v>4983.393</v>
      </c>
      <c r="AH11" s="333">
        <f t="shared" ref="AH11" si="16">AG11/U11</f>
        <v>30.952751552795032</v>
      </c>
      <c r="AI11" s="334">
        <f t="shared" ref="AI11" si="17">AH11*18%</f>
        <v>5.5714952795031056</v>
      </c>
      <c r="AJ11" s="335">
        <f t="shared" ref="AJ11" si="18">AH11+AI11</f>
        <v>36.52424683229814</v>
      </c>
    </row>
    <row r="12" spans="1:123" ht="15.75" thickBot="1"/>
    <row r="13" spans="1:123" ht="40.5" customHeight="1" thickBot="1">
      <c r="B13" s="597" t="s">
        <v>136</v>
      </c>
      <c r="C13" s="598"/>
      <c r="D13" s="598"/>
      <c r="E13" s="598"/>
      <c r="F13" s="598"/>
      <c r="G13" s="598"/>
      <c r="H13" s="598"/>
      <c r="I13" s="598"/>
      <c r="J13" s="599"/>
      <c r="K13" s="255"/>
      <c r="L13" s="554" t="s">
        <v>1</v>
      </c>
      <c r="M13" s="555"/>
      <c r="N13" s="555"/>
      <c r="O13" s="555"/>
      <c r="P13" s="555"/>
      <c r="Q13" s="555"/>
      <c r="R13" s="555"/>
      <c r="S13" s="555"/>
      <c r="T13" s="555"/>
      <c r="U13" s="555"/>
      <c r="V13" s="555"/>
      <c r="W13" s="555"/>
      <c r="X13" s="555"/>
      <c r="Y13" s="555"/>
      <c r="Z13" s="555"/>
      <c r="AA13" s="555"/>
      <c r="AB13" s="556"/>
      <c r="AC13" s="1"/>
      <c r="AD13" s="1"/>
      <c r="AE13" s="1"/>
      <c r="AF13" s="1"/>
      <c r="AG13" s="1"/>
      <c r="AH13" s="1"/>
      <c r="AI13" s="1"/>
      <c r="AJ13" s="1"/>
    </row>
    <row r="14" spans="1:123" s="1" customFormat="1" ht="46.5" customHeight="1" thickBot="1">
      <c r="B14" s="306" t="s">
        <v>2</v>
      </c>
      <c r="C14" s="307" t="s">
        <v>3</v>
      </c>
      <c r="D14" s="307" t="s">
        <v>4</v>
      </c>
      <c r="E14" s="307" t="s">
        <v>5</v>
      </c>
      <c r="F14" s="307" t="s">
        <v>6</v>
      </c>
      <c r="G14" s="307" t="s">
        <v>42</v>
      </c>
      <c r="H14" s="307" t="s">
        <v>8</v>
      </c>
      <c r="I14" s="307" t="s">
        <v>9</v>
      </c>
      <c r="J14" s="308" t="s">
        <v>43</v>
      </c>
      <c r="K14" s="114" t="s">
        <v>64</v>
      </c>
      <c r="L14" s="2" t="s">
        <v>11</v>
      </c>
      <c r="M14" s="3" t="s">
        <v>12</v>
      </c>
      <c r="N14" s="3" t="s">
        <v>13</v>
      </c>
      <c r="O14" s="4" t="s">
        <v>14</v>
      </c>
      <c r="P14" s="5" t="s">
        <v>15</v>
      </c>
      <c r="Q14" s="6" t="s">
        <v>16</v>
      </c>
      <c r="R14" s="6" t="s">
        <v>17</v>
      </c>
      <c r="S14" s="6" t="s">
        <v>18</v>
      </c>
      <c r="T14" s="6" t="s">
        <v>19</v>
      </c>
      <c r="U14" s="7" t="s">
        <v>20</v>
      </c>
      <c r="V14" s="8" t="s">
        <v>21</v>
      </c>
      <c r="W14" s="2" t="s">
        <v>22</v>
      </c>
      <c r="X14" s="4" t="s">
        <v>23</v>
      </c>
      <c r="Y14" s="9" t="s">
        <v>24</v>
      </c>
      <c r="Z14" s="10" t="s">
        <v>25</v>
      </c>
      <c r="AA14" s="10" t="s">
        <v>26</v>
      </c>
      <c r="AB14" s="10" t="s">
        <v>27</v>
      </c>
      <c r="AC14" s="10" t="s">
        <v>28</v>
      </c>
      <c r="AD14" s="11" t="s">
        <v>29</v>
      </c>
      <c r="AE14" s="12" t="s">
        <v>30</v>
      </c>
      <c r="AF14" s="12" t="s">
        <v>31</v>
      </c>
      <c r="AG14" s="13" t="s">
        <v>19</v>
      </c>
      <c r="AH14" s="14" t="s">
        <v>32</v>
      </c>
      <c r="AI14" s="14" t="s">
        <v>33</v>
      </c>
      <c r="AJ14" s="15" t="s">
        <v>34</v>
      </c>
      <c r="AK14" s="16"/>
    </row>
    <row r="15" spans="1:123" s="256" customFormat="1" ht="233.25" customHeight="1" thickBot="1">
      <c r="A15" s="277"/>
      <c r="B15" s="309">
        <v>1</v>
      </c>
      <c r="C15" s="600" t="s">
        <v>48</v>
      </c>
      <c r="D15" s="600"/>
      <c r="E15" s="301" t="s">
        <v>36</v>
      </c>
      <c r="F15" s="302">
        <v>160</v>
      </c>
      <c r="G15" s="303">
        <f t="shared" ref="G15:G16" si="19">AH15</f>
        <v>77.686674999999994</v>
      </c>
      <c r="H15" s="304" t="s">
        <v>137</v>
      </c>
      <c r="I15" s="305" t="s">
        <v>138</v>
      </c>
      <c r="J15" s="310">
        <f>F15*77.69</f>
        <v>12430.4</v>
      </c>
      <c r="K15" s="278">
        <v>80.89</v>
      </c>
      <c r="L15" s="279" t="s">
        <v>50</v>
      </c>
      <c r="M15" s="548" t="s">
        <v>139</v>
      </c>
      <c r="N15" s="549"/>
      <c r="O15" s="550"/>
      <c r="P15" s="280">
        <v>58.5</v>
      </c>
      <c r="Q15" s="259">
        <v>28</v>
      </c>
      <c r="R15" s="281">
        <f t="shared" ref="R15" si="20">P15*Q15/100</f>
        <v>16.38</v>
      </c>
      <c r="S15" s="282">
        <f t="shared" ref="S15" si="21">R15*U15</f>
        <v>2620.7999999999997</v>
      </c>
      <c r="T15" s="283">
        <f t="shared" ref="T15" si="22">P15+R15</f>
        <v>74.88</v>
      </c>
      <c r="U15" s="284">
        <v>160</v>
      </c>
      <c r="V15" s="264">
        <f>P15*1</f>
        <v>58.5</v>
      </c>
      <c r="W15" s="265">
        <v>180</v>
      </c>
      <c r="X15" s="285">
        <f t="shared" ref="X15" si="23">U15*T15+V15+W15</f>
        <v>12219.3</v>
      </c>
      <c r="Y15" s="286" t="s">
        <v>52</v>
      </c>
      <c r="Z15" s="268">
        <v>0</v>
      </c>
      <c r="AA15" s="287">
        <v>1</v>
      </c>
      <c r="AB15" s="287">
        <v>1</v>
      </c>
      <c r="AC15" s="270">
        <v>1</v>
      </c>
      <c r="AD15" s="181">
        <f t="shared" ref="AD15" si="24">Z15*AA15*AB15*AC15</f>
        <v>0</v>
      </c>
      <c r="AE15" s="180">
        <f>2.5*35</f>
        <v>87.5</v>
      </c>
      <c r="AF15" s="272">
        <f>1%*(X15+AD15+AE15)</f>
        <v>123.068</v>
      </c>
      <c r="AG15" s="288">
        <f t="shared" ref="AG15" si="25">X15+AD15+AF15+AE15</f>
        <v>12429.867999999999</v>
      </c>
      <c r="AH15" s="289">
        <f t="shared" ref="AH15" si="26">AG15/U15</f>
        <v>77.686674999999994</v>
      </c>
      <c r="AI15" s="280">
        <f t="shared" ref="AI15" si="27">AH15*0.18</f>
        <v>13.983601499999999</v>
      </c>
      <c r="AJ15" s="290">
        <f t="shared" ref="AJ15" si="28">AH15+AI15</f>
        <v>91.6702765</v>
      </c>
      <c r="AL15" s="291">
        <f t="shared" ref="AL15" si="29">AJ15*U15</f>
        <v>14667.24424</v>
      </c>
      <c r="AM15" s="292">
        <f t="shared" ref="AM15" si="30">(AJ15-(AJ15/1.18))*U15</f>
        <v>2237.3762399999987</v>
      </c>
      <c r="AN15" s="292">
        <f t="shared" ref="AN15" si="31">(AJ15-(AJ15/1.02))*U15</f>
        <v>287.59302431372589</v>
      </c>
      <c r="AO15" s="292">
        <f t="shared" ref="AO15" si="32">(AJ15-(AJ15/1.05))*U15</f>
        <v>698.44020190476158</v>
      </c>
      <c r="AP15" s="292">
        <f t="shared" ref="AP15" si="33">R15*U15</f>
        <v>2620.7999999999997</v>
      </c>
      <c r="AQ15" s="293">
        <f t="shared" ref="AQ15" si="34">AP15-AO15-AN15</f>
        <v>1634.7667737815123</v>
      </c>
      <c r="AR15" s="294"/>
      <c r="AS15" s="295">
        <f t="shared" ref="AS15" si="35">AP15*100/(AL15-AM15-AP15)</f>
        <v>26.718134689248753</v>
      </c>
      <c r="AT15" s="295">
        <f t="shared" ref="AT15" si="36">AQ15*100/(AL15-AM15-AP15-AN15-AO15)</f>
        <v>18.528395452315078</v>
      </c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  <c r="CO15" s="296"/>
      <c r="CP15" s="296"/>
      <c r="CQ15" s="296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6"/>
      <c r="DH15" s="296"/>
      <c r="DI15" s="296"/>
      <c r="DJ15" s="296"/>
      <c r="DK15" s="296"/>
      <c r="DL15" s="296"/>
      <c r="DM15" s="296"/>
      <c r="DN15" s="296"/>
      <c r="DO15" s="296"/>
      <c r="DP15" s="296"/>
      <c r="DQ15" s="296"/>
      <c r="DR15" s="296"/>
      <c r="DS15" s="296"/>
    </row>
    <row r="16" spans="1:123" s="256" customFormat="1" ht="396.75" customHeight="1" thickBot="1">
      <c r="B16" s="311">
        <v>2</v>
      </c>
      <c r="C16" s="601" t="s">
        <v>53</v>
      </c>
      <c r="D16" s="601"/>
      <c r="E16" s="312" t="s">
        <v>36</v>
      </c>
      <c r="F16" s="313">
        <v>160</v>
      </c>
      <c r="G16" s="314">
        <f t="shared" si="19"/>
        <v>85.401438029661023</v>
      </c>
      <c r="H16" s="315" t="s">
        <v>137</v>
      </c>
      <c r="I16" s="316" t="s">
        <v>140</v>
      </c>
      <c r="J16" s="317">
        <f>F16*85.4</f>
        <v>13664</v>
      </c>
      <c r="K16" s="297">
        <v>81.89</v>
      </c>
      <c r="L16" s="257" t="s">
        <v>39</v>
      </c>
      <c r="M16" s="543" t="s">
        <v>141</v>
      </c>
      <c r="N16" s="544"/>
      <c r="O16" s="545"/>
      <c r="P16" s="258">
        <f>78/1.18</f>
        <v>66.101694915254242</v>
      </c>
      <c r="Q16" s="259">
        <v>25</v>
      </c>
      <c r="R16" s="260">
        <f>P16*Q16/100</f>
        <v>16.525423728813561</v>
      </c>
      <c r="S16" s="261">
        <f>R16*U16</f>
        <v>2644.0677966101698</v>
      </c>
      <c r="T16" s="262">
        <f>P16+R16</f>
        <v>82.627118644067806</v>
      </c>
      <c r="U16" s="263">
        <v>160</v>
      </c>
      <c r="V16" s="264">
        <f>P16*1</f>
        <v>66.101694915254242</v>
      </c>
      <c r="W16" s="265">
        <v>180</v>
      </c>
      <c r="X16" s="266">
        <f>U16*T16+V16+W16</f>
        <v>13466.440677966104</v>
      </c>
      <c r="Y16" s="267" t="s">
        <v>47</v>
      </c>
      <c r="Z16" s="268">
        <v>0</v>
      </c>
      <c r="AA16" s="269">
        <v>1</v>
      </c>
      <c r="AB16" s="270">
        <v>1</v>
      </c>
      <c r="AC16" s="270">
        <v>1</v>
      </c>
      <c r="AD16" s="271">
        <f>Z16*AA16*AB16*AC16</f>
        <v>0</v>
      </c>
      <c r="AE16" s="180">
        <f>2.5*25</f>
        <v>62.5</v>
      </c>
      <c r="AF16" s="272">
        <f>1%*(X16+AD16+AE16)</f>
        <v>135.28940677966105</v>
      </c>
      <c r="AG16" s="273">
        <f>X16+AD16+AF16+AE16</f>
        <v>13664.230084745765</v>
      </c>
      <c r="AH16" s="274">
        <f>AG16/U16</f>
        <v>85.401438029661023</v>
      </c>
      <c r="AI16" s="275">
        <f>AH16*0.18</f>
        <v>15.372258845338983</v>
      </c>
      <c r="AJ16" s="276">
        <f>AH16+AI16</f>
        <v>100.77369687500001</v>
      </c>
    </row>
    <row r="17" spans="7:11" ht="23.25">
      <c r="G17" s="300">
        <f>SUM(G15:G16)</f>
        <v>163.08811302966103</v>
      </c>
      <c r="K17" s="299">
        <f>SUM(K15:K16)</f>
        <v>162.78</v>
      </c>
    </row>
    <row r="18" spans="7:11" ht="15.75">
      <c r="K18" s="298">
        <f>160/8</f>
        <v>20</v>
      </c>
    </row>
  </sheetData>
  <mergeCells count="20">
    <mergeCell ref="C4:D4"/>
    <mergeCell ref="M4:O4"/>
    <mergeCell ref="B2:J2"/>
    <mergeCell ref="L2:AB2"/>
    <mergeCell ref="C11:D11"/>
    <mergeCell ref="B7:J7"/>
    <mergeCell ref="L7:AB7"/>
    <mergeCell ref="C9:D9"/>
    <mergeCell ref="L9:M9"/>
    <mergeCell ref="N9:O9"/>
    <mergeCell ref="C10:D10"/>
    <mergeCell ref="L10:M10"/>
    <mergeCell ref="N10:O10"/>
    <mergeCell ref="N11:O11"/>
    <mergeCell ref="B13:J13"/>
    <mergeCell ref="L13:AB13"/>
    <mergeCell ref="C15:D15"/>
    <mergeCell ref="M15:O15"/>
    <mergeCell ref="C16:D16"/>
    <mergeCell ref="M16:O1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"/>
  <sheetViews>
    <sheetView zoomScale="55" zoomScaleNormal="55" workbookViewId="0"/>
  </sheetViews>
  <sheetFormatPr baseColWidth="10" defaultColWidth="11.42578125" defaultRowHeight="21"/>
  <cols>
    <col min="1" max="1" width="3.140625" style="424" customWidth="1"/>
    <col min="2" max="2" width="8.42578125" style="424" customWidth="1"/>
    <col min="3" max="3" width="19.5703125" style="424" customWidth="1"/>
    <col min="4" max="4" width="23.42578125" style="424" customWidth="1"/>
    <col min="5" max="5" width="65.28515625" style="424" customWidth="1"/>
    <col min="6" max="6" width="18" style="424" customWidth="1"/>
    <col min="7" max="7" width="20.85546875" style="424" customWidth="1"/>
    <col min="8" max="8" width="17.5703125" style="424" customWidth="1"/>
    <col min="9" max="9" width="96.42578125" style="445" customWidth="1"/>
    <col min="10" max="10" width="30.85546875" style="446" customWidth="1"/>
    <col min="11" max="11" width="34.28515625" style="424" customWidth="1"/>
    <col min="12" max="12" width="25.85546875" style="424" customWidth="1"/>
    <col min="13" max="13" width="15.28515625" style="424" customWidth="1"/>
    <col min="14" max="14" width="21.85546875" style="424" customWidth="1"/>
    <col min="15" max="15" width="49.85546875" style="424" customWidth="1"/>
    <col min="16" max="16" width="16" style="424" customWidth="1"/>
    <col min="17" max="17" width="11.5703125" style="424" bestFit="1" customWidth="1"/>
    <col min="18" max="18" width="16.5703125" style="424" customWidth="1"/>
    <col min="19" max="19" width="32.28515625" style="424" customWidth="1"/>
    <col min="20" max="20" width="17.42578125" style="424" customWidth="1"/>
    <col min="21" max="21" width="19.42578125" style="424" customWidth="1"/>
    <col min="22" max="22" width="22.42578125" style="424" customWidth="1"/>
    <col min="23" max="23" width="17" style="424" customWidth="1"/>
    <col min="24" max="24" width="27.5703125" style="424" customWidth="1"/>
    <col min="25" max="25" width="26" style="424" customWidth="1"/>
    <col min="26" max="26" width="21.5703125" style="424" customWidth="1"/>
    <col min="27" max="27" width="12.28515625" style="424" bestFit="1" customWidth="1"/>
    <col min="28" max="28" width="12.5703125" style="424" bestFit="1" customWidth="1"/>
    <col min="29" max="29" width="14.42578125" style="424" bestFit="1" customWidth="1"/>
    <col min="30" max="30" width="17.42578125" style="424" customWidth="1"/>
    <col min="31" max="31" width="18.85546875" style="424" customWidth="1"/>
    <col min="32" max="32" width="21.140625" style="424" customWidth="1"/>
    <col min="33" max="33" width="21.28515625" style="424" customWidth="1"/>
    <col min="34" max="34" width="18.5703125" style="424" customWidth="1"/>
    <col min="35" max="35" width="16" style="424" customWidth="1"/>
    <col min="36" max="36" width="18.5703125" style="424" customWidth="1"/>
    <col min="37" max="37" width="14.7109375" style="424" bestFit="1" customWidth="1"/>
    <col min="38" max="16384" width="11.42578125" style="424"/>
  </cols>
  <sheetData>
    <row r="1" spans="1:36" s="419" customFormat="1" ht="31.5" customHeight="1" thickBot="1">
      <c r="A1" s="414"/>
      <c r="B1" s="560" t="s">
        <v>142</v>
      </c>
      <c r="C1" s="561"/>
      <c r="D1" s="561"/>
      <c r="E1" s="561"/>
      <c r="F1" s="561"/>
      <c r="G1" s="561"/>
      <c r="H1" s="561"/>
      <c r="I1" s="561"/>
      <c r="J1" s="562"/>
      <c r="K1" s="415"/>
      <c r="L1" s="415"/>
      <c r="M1" s="416"/>
      <c r="N1" s="415"/>
      <c r="O1" s="417"/>
      <c r="P1" s="415"/>
      <c r="Q1" s="415"/>
      <c r="R1" s="415"/>
      <c r="S1" s="415"/>
      <c r="T1" s="415"/>
      <c r="U1" s="415"/>
      <c r="V1" s="415" t="s">
        <v>143</v>
      </c>
      <c r="W1" s="415"/>
      <c r="X1" s="415" t="s">
        <v>144</v>
      </c>
      <c r="Y1" s="415"/>
      <c r="Z1" s="418"/>
      <c r="AA1" s="415"/>
      <c r="AB1" s="415"/>
      <c r="AC1" s="415"/>
      <c r="AD1" s="415"/>
      <c r="AE1" s="415"/>
      <c r="AF1" s="415"/>
      <c r="AG1" s="415" t="s">
        <v>145</v>
      </c>
      <c r="AH1" s="415"/>
      <c r="AI1" s="415"/>
      <c r="AJ1" s="415"/>
    </row>
    <row r="2" spans="1:36" ht="48.75" customHeight="1" thickBot="1">
      <c r="A2" s="420"/>
      <c r="B2" s="455" t="s">
        <v>146</v>
      </c>
      <c r="C2" s="456" t="s">
        <v>3</v>
      </c>
      <c r="D2" s="456" t="s">
        <v>4</v>
      </c>
      <c r="E2" s="456" t="s">
        <v>5</v>
      </c>
      <c r="F2" s="456" t="s">
        <v>147</v>
      </c>
      <c r="G2" s="456" t="s">
        <v>148</v>
      </c>
      <c r="H2" s="456" t="s">
        <v>8</v>
      </c>
      <c r="I2" s="456" t="s">
        <v>9</v>
      </c>
      <c r="J2" s="457" t="s">
        <v>149</v>
      </c>
      <c r="K2" s="421"/>
      <c r="L2" s="422" t="s">
        <v>11</v>
      </c>
      <c r="M2" s="422" t="s">
        <v>12</v>
      </c>
      <c r="N2" s="422" t="s">
        <v>13</v>
      </c>
      <c r="O2" s="422" t="s">
        <v>14</v>
      </c>
      <c r="P2" s="423" t="s">
        <v>15</v>
      </c>
      <c r="Q2" s="362" t="s">
        <v>16</v>
      </c>
      <c r="R2" s="362" t="s">
        <v>17</v>
      </c>
      <c r="S2" s="362" t="s">
        <v>18</v>
      </c>
      <c r="T2" s="362" t="s">
        <v>19</v>
      </c>
      <c r="U2" s="362" t="s">
        <v>20</v>
      </c>
      <c r="V2" s="364" t="s">
        <v>21</v>
      </c>
      <c r="W2" s="358" t="s">
        <v>22</v>
      </c>
      <c r="X2" s="360" t="s">
        <v>23</v>
      </c>
      <c r="Y2" s="365" t="s">
        <v>24</v>
      </c>
      <c r="Z2" s="366" t="s">
        <v>25</v>
      </c>
      <c r="AA2" s="366" t="s">
        <v>26</v>
      </c>
      <c r="AB2" s="366" t="s">
        <v>27</v>
      </c>
      <c r="AC2" s="366" t="s">
        <v>28</v>
      </c>
      <c r="AD2" s="367" t="s">
        <v>29</v>
      </c>
      <c r="AE2" s="358" t="s">
        <v>30</v>
      </c>
      <c r="AF2" s="358" t="s">
        <v>31</v>
      </c>
      <c r="AG2" s="368" t="s">
        <v>19</v>
      </c>
      <c r="AH2" s="369" t="s">
        <v>32</v>
      </c>
      <c r="AI2" s="369" t="s">
        <v>33</v>
      </c>
      <c r="AJ2" s="370" t="s">
        <v>34</v>
      </c>
    </row>
    <row r="3" spans="1:36" s="420" customFormat="1" ht="409.5" customHeight="1" thickBot="1">
      <c r="A3" s="425"/>
      <c r="B3" s="448">
        <v>1</v>
      </c>
      <c r="C3" s="609" t="s">
        <v>150</v>
      </c>
      <c r="D3" s="610"/>
      <c r="E3" s="449"/>
      <c r="F3" s="450">
        <v>100</v>
      </c>
      <c r="G3" s="451">
        <v>15.99</v>
      </c>
      <c r="H3" s="452" t="s">
        <v>151</v>
      </c>
      <c r="I3" s="453" t="s">
        <v>152</v>
      </c>
      <c r="J3" s="454">
        <f t="shared" ref="J3" si="0">F3*G3</f>
        <v>1599</v>
      </c>
      <c r="K3" s="426"/>
      <c r="L3" s="427" t="s">
        <v>153</v>
      </c>
      <c r="M3" s="611" t="s">
        <v>154</v>
      </c>
      <c r="N3" s="612"/>
      <c r="O3" s="613"/>
      <c r="P3" s="428">
        <v>10.5</v>
      </c>
      <c r="Q3" s="429">
        <v>32</v>
      </c>
      <c r="R3" s="430">
        <f>P3*Q3/100</f>
        <v>3.36</v>
      </c>
      <c r="S3" s="431">
        <f>R3*U3</f>
        <v>336</v>
      </c>
      <c r="T3" s="432">
        <f>P3+R3</f>
        <v>13.86</v>
      </c>
      <c r="U3" s="433">
        <f>F3</f>
        <v>100</v>
      </c>
      <c r="V3" s="434">
        <v>50</v>
      </c>
      <c r="W3" s="435">
        <v>90</v>
      </c>
      <c r="X3" s="436">
        <f>U3*T3+V3+W3</f>
        <v>1526</v>
      </c>
      <c r="Y3" s="437" t="s">
        <v>155</v>
      </c>
      <c r="Z3" s="438">
        <v>40</v>
      </c>
      <c r="AA3" s="439">
        <v>1</v>
      </c>
      <c r="AB3" s="439">
        <v>1</v>
      </c>
      <c r="AC3" s="439">
        <v>1</v>
      </c>
      <c r="AD3" s="440">
        <f>Z3*AA3*AB3*AC3</f>
        <v>40</v>
      </c>
      <c r="AE3" s="441">
        <v>12</v>
      </c>
      <c r="AF3" s="442">
        <f>0.8%*(X3+AD3+AE3)</f>
        <v>12.624000000000001</v>
      </c>
      <c r="AG3" s="273">
        <f>X3+AD3+AF3+AE3</f>
        <v>1590.624</v>
      </c>
      <c r="AH3" s="447">
        <f>AG3/U3</f>
        <v>15.90624</v>
      </c>
      <c r="AI3" s="443">
        <f>AH3*18%</f>
        <v>2.8631232</v>
      </c>
      <c r="AJ3" s="444">
        <f>AH3+AI3</f>
        <v>18.769363200000001</v>
      </c>
    </row>
  </sheetData>
  <mergeCells count="3">
    <mergeCell ref="B1:J1"/>
    <mergeCell ref="C3:D3"/>
    <mergeCell ref="M3:O3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9"/>
  <sheetViews>
    <sheetView zoomScale="50" zoomScaleNormal="50" workbookViewId="0">
      <selection activeCell="G3" sqref="G3"/>
    </sheetView>
  </sheetViews>
  <sheetFormatPr baseColWidth="10" defaultColWidth="11.42578125" defaultRowHeight="15"/>
  <cols>
    <col min="2" max="2" width="5.42578125" customWidth="1"/>
    <col min="4" max="4" width="12.5703125" customWidth="1"/>
    <col min="5" max="5" width="56.42578125" customWidth="1"/>
    <col min="7" max="7" width="22.5703125" customWidth="1"/>
    <col min="8" max="8" width="16.28515625" customWidth="1"/>
    <col min="9" max="9" width="99.140625" customWidth="1"/>
    <col min="10" max="10" width="24.85546875" customWidth="1"/>
    <col min="12" max="12" width="19.85546875" customWidth="1"/>
    <col min="13" max="13" width="13.85546875" customWidth="1"/>
    <col min="16" max="16" width="19.28515625" customWidth="1"/>
    <col min="18" max="18" width="13.5703125" bestFit="1" customWidth="1"/>
    <col min="19" max="19" width="18" bestFit="1" customWidth="1"/>
    <col min="20" max="20" width="15.28515625" bestFit="1" customWidth="1"/>
    <col min="22" max="22" width="24.85546875" customWidth="1"/>
    <col min="23" max="23" width="15.28515625" bestFit="1" customWidth="1"/>
    <col min="24" max="24" width="19.7109375" bestFit="1" customWidth="1"/>
    <col min="25" max="25" width="15.5703125" bestFit="1" customWidth="1"/>
    <col min="26" max="26" width="13.85546875" bestFit="1" customWidth="1"/>
    <col min="30" max="30" width="14" customWidth="1"/>
    <col min="31" max="31" width="13.85546875" bestFit="1" customWidth="1"/>
    <col min="32" max="32" width="20.85546875" customWidth="1"/>
    <col min="34" max="34" width="15.28515625" bestFit="1" customWidth="1"/>
  </cols>
  <sheetData>
    <row r="1" spans="1:256" s="419" customFormat="1" ht="31.5" customHeight="1" thickBot="1">
      <c r="A1" s="414"/>
      <c r="B1" s="560" t="s">
        <v>156</v>
      </c>
      <c r="C1" s="561"/>
      <c r="D1" s="561"/>
      <c r="E1" s="561"/>
      <c r="F1" s="561"/>
      <c r="G1" s="561"/>
      <c r="H1" s="561"/>
      <c r="I1" s="561"/>
      <c r="J1" s="562"/>
      <c r="K1" s="415"/>
      <c r="L1" s="415"/>
      <c r="M1" s="416"/>
      <c r="N1" s="415"/>
      <c r="O1" s="417"/>
      <c r="P1" s="415"/>
      <c r="Q1" s="415"/>
      <c r="R1" s="415"/>
      <c r="S1" s="415"/>
      <c r="T1" s="415"/>
      <c r="U1" s="415"/>
      <c r="V1" s="415" t="s">
        <v>143</v>
      </c>
      <c r="W1" s="415"/>
      <c r="X1" s="415" t="s">
        <v>144</v>
      </c>
      <c r="Y1" s="415"/>
      <c r="Z1" s="418"/>
      <c r="AA1" s="415"/>
      <c r="AB1" s="415"/>
      <c r="AC1" s="415"/>
      <c r="AD1" s="415"/>
      <c r="AE1" s="415"/>
      <c r="AF1" s="415"/>
      <c r="AG1" s="415"/>
      <c r="AH1" s="415"/>
      <c r="AI1" s="415"/>
      <c r="AJ1" s="415"/>
    </row>
    <row r="2" spans="1:256" s="424" customFormat="1" ht="48.75" customHeight="1">
      <c r="A2" s="420"/>
      <c r="B2" s="484" t="s">
        <v>146</v>
      </c>
      <c r="C2" s="485" t="s">
        <v>3</v>
      </c>
      <c r="D2" s="485" t="s">
        <v>4</v>
      </c>
      <c r="E2" s="485" t="s">
        <v>5</v>
      </c>
      <c r="F2" s="485" t="s">
        <v>147</v>
      </c>
      <c r="G2" s="485" t="s">
        <v>148</v>
      </c>
      <c r="H2" s="485" t="s">
        <v>8</v>
      </c>
      <c r="I2" s="485" t="s">
        <v>9</v>
      </c>
      <c r="J2" s="486" t="s">
        <v>149</v>
      </c>
      <c r="K2" s="421"/>
      <c r="L2" s="422" t="s">
        <v>11</v>
      </c>
      <c r="M2" s="422" t="s">
        <v>12</v>
      </c>
      <c r="N2" s="422" t="s">
        <v>13</v>
      </c>
      <c r="O2" s="422" t="s">
        <v>14</v>
      </c>
      <c r="P2" s="423" t="s">
        <v>15</v>
      </c>
      <c r="Q2" s="362" t="s">
        <v>16</v>
      </c>
      <c r="R2" s="362" t="s">
        <v>17</v>
      </c>
      <c r="S2" s="362" t="s">
        <v>18</v>
      </c>
      <c r="T2" s="362" t="s">
        <v>19</v>
      </c>
      <c r="U2" s="362" t="s">
        <v>20</v>
      </c>
      <c r="V2" s="364" t="s">
        <v>21</v>
      </c>
      <c r="W2" s="358" t="s">
        <v>22</v>
      </c>
      <c r="X2" s="360" t="s">
        <v>23</v>
      </c>
      <c r="Y2" s="365" t="s">
        <v>24</v>
      </c>
      <c r="Z2" s="366" t="s">
        <v>25</v>
      </c>
      <c r="AA2" s="366" t="s">
        <v>26</v>
      </c>
      <c r="AB2" s="366" t="s">
        <v>27</v>
      </c>
      <c r="AC2" s="366" t="s">
        <v>28</v>
      </c>
      <c r="AD2" s="367" t="s">
        <v>29</v>
      </c>
      <c r="AE2" s="358" t="s">
        <v>30</v>
      </c>
      <c r="AF2" s="358" t="s">
        <v>31</v>
      </c>
      <c r="AG2" s="368" t="s">
        <v>19</v>
      </c>
      <c r="AH2" s="369" t="s">
        <v>32</v>
      </c>
      <c r="AI2" s="369" t="s">
        <v>33</v>
      </c>
      <c r="AJ2" s="370" t="s">
        <v>34</v>
      </c>
    </row>
    <row r="3" spans="1:256" s="530" customFormat="1" ht="408.75" customHeight="1" thickBot="1">
      <c r="A3" s="503"/>
      <c r="B3" s="504">
        <v>1</v>
      </c>
      <c r="C3" s="631" t="s">
        <v>157</v>
      </c>
      <c r="D3" s="631"/>
      <c r="E3" s="505"/>
      <c r="F3" s="506">
        <v>178</v>
      </c>
      <c r="G3" s="507">
        <f>AH3</f>
        <v>100.59222851123596</v>
      </c>
      <c r="H3" s="506" t="s">
        <v>158</v>
      </c>
      <c r="I3" s="508" t="s">
        <v>159</v>
      </c>
      <c r="J3" s="509">
        <f>F3*100.59</f>
        <v>17905.02</v>
      </c>
      <c r="K3" s="510"/>
      <c r="L3" s="511" t="s">
        <v>160</v>
      </c>
      <c r="M3" s="632" t="s">
        <v>161</v>
      </c>
      <c r="N3" s="633"/>
      <c r="O3" s="634"/>
      <c r="P3" s="512">
        <f>65+10</f>
        <v>75</v>
      </c>
      <c r="Q3" s="513">
        <v>30.01</v>
      </c>
      <c r="R3" s="514">
        <f>P3*Q3/100</f>
        <v>22.5075</v>
      </c>
      <c r="S3" s="515">
        <f>R3*U3</f>
        <v>4006.335</v>
      </c>
      <c r="T3" s="515">
        <f>P3+R3</f>
        <v>97.507499999999993</v>
      </c>
      <c r="U3" s="516">
        <v>178</v>
      </c>
      <c r="V3" s="517">
        <f>P3*1</f>
        <v>75</v>
      </c>
      <c r="W3" s="518">
        <v>350</v>
      </c>
      <c r="X3" s="442">
        <f>U3*T3+V3+W3</f>
        <v>17781.334999999999</v>
      </c>
      <c r="Y3" s="437" t="s">
        <v>89</v>
      </c>
      <c r="Z3" s="519">
        <v>0</v>
      </c>
      <c r="AA3" s="520">
        <v>1</v>
      </c>
      <c r="AB3" s="520">
        <v>1</v>
      </c>
      <c r="AC3" s="520">
        <v>1</v>
      </c>
      <c r="AD3" s="442">
        <f>Z3*AA3*AB3*AC3</f>
        <v>0</v>
      </c>
      <c r="AE3" s="441">
        <f>10*3.5</f>
        <v>35</v>
      </c>
      <c r="AF3" s="521">
        <f>0.5%*(X3+AD3+AE3)</f>
        <v>89.081675000000004</v>
      </c>
      <c r="AG3" s="522">
        <f>X3+AD3+AF3+AE3</f>
        <v>17905.416675</v>
      </c>
      <c r="AH3" s="523">
        <f>AG3/U3</f>
        <v>100.59222851123596</v>
      </c>
      <c r="AI3" s="524">
        <f>AH3*18%</f>
        <v>18.106601132022472</v>
      </c>
      <c r="AJ3" s="525">
        <f>AH3+AI3</f>
        <v>118.69882964325843</v>
      </c>
      <c r="AK3" s="526"/>
      <c r="AL3" s="527">
        <f>AJ3*U3</f>
        <v>21128.391676500003</v>
      </c>
      <c r="AM3" s="528">
        <f>(AJ3-(AJ3/1.18))*U3</f>
        <v>3222.9750014999981</v>
      </c>
      <c r="AN3" s="528">
        <f>(AJ3-(AJ3/1.02))*U3</f>
        <v>414.2821897352938</v>
      </c>
      <c r="AO3" s="528">
        <f>(AJ3-(AJ3/1.05))*U3</f>
        <v>1006.1138893571432</v>
      </c>
      <c r="AP3" s="528">
        <f>R3*U3</f>
        <v>4006.335</v>
      </c>
      <c r="AQ3" s="529">
        <f>AP3-AO3-AN3</f>
        <v>2585.938920907563</v>
      </c>
      <c r="AS3" s="531">
        <f>AP3*100/(AL3-AM3-AP3)</f>
        <v>28.824458289255997</v>
      </c>
      <c r="AT3" s="531">
        <f>AQ3*100/(AL3-AM3-AP3-AN3-AO3)</f>
        <v>20.722846978015305</v>
      </c>
      <c r="AU3" s="532"/>
      <c r="AV3" s="532"/>
      <c r="AW3" s="532"/>
      <c r="AX3" s="532"/>
      <c r="AY3" s="532"/>
      <c r="AZ3" s="532"/>
      <c r="BA3" s="532"/>
      <c r="BB3" s="532"/>
      <c r="BC3" s="532"/>
      <c r="BD3" s="532"/>
      <c r="BE3" s="532"/>
      <c r="BF3" s="532"/>
      <c r="BG3" s="532"/>
      <c r="BH3" s="532"/>
      <c r="BI3" s="532"/>
      <c r="BJ3" s="532"/>
      <c r="BK3" s="532"/>
      <c r="BL3" s="532"/>
      <c r="BM3" s="532"/>
      <c r="BN3" s="532"/>
      <c r="BO3" s="532"/>
      <c r="BP3" s="532"/>
      <c r="BQ3" s="532"/>
      <c r="BR3" s="532"/>
      <c r="BS3" s="532"/>
      <c r="BT3" s="532"/>
      <c r="BU3" s="532"/>
      <c r="BV3" s="532"/>
      <c r="BW3" s="532"/>
      <c r="BX3" s="532"/>
      <c r="BY3" s="532"/>
      <c r="BZ3" s="532"/>
      <c r="CA3" s="532"/>
      <c r="CB3" s="532"/>
      <c r="CC3" s="532"/>
      <c r="CD3" s="532"/>
      <c r="CE3" s="532"/>
      <c r="CF3" s="532"/>
      <c r="CG3" s="532"/>
      <c r="CH3" s="532"/>
      <c r="CI3" s="532"/>
      <c r="CJ3" s="532"/>
      <c r="CK3" s="532"/>
      <c r="CL3" s="532"/>
      <c r="CM3" s="532"/>
      <c r="CN3" s="532"/>
      <c r="CO3" s="532"/>
      <c r="CP3" s="532"/>
      <c r="CQ3" s="532"/>
      <c r="CR3" s="532"/>
      <c r="CS3" s="532"/>
      <c r="CT3" s="532"/>
      <c r="CU3" s="532"/>
      <c r="CV3" s="532"/>
      <c r="CW3" s="532"/>
      <c r="CX3" s="532"/>
      <c r="CY3" s="532"/>
      <c r="CZ3" s="532"/>
      <c r="DA3" s="532"/>
      <c r="DB3" s="532"/>
      <c r="DC3" s="532"/>
      <c r="DD3" s="532"/>
      <c r="DE3" s="532"/>
      <c r="DF3" s="532"/>
      <c r="DG3" s="532"/>
      <c r="DH3" s="532"/>
      <c r="DI3" s="532"/>
      <c r="DJ3" s="532"/>
      <c r="DK3" s="532"/>
      <c r="DL3" s="532"/>
      <c r="DM3" s="532"/>
      <c r="DN3" s="532"/>
      <c r="DO3" s="532"/>
      <c r="DP3" s="532"/>
      <c r="DQ3" s="532"/>
      <c r="DR3" s="532"/>
      <c r="DS3" s="532"/>
      <c r="DT3" s="532"/>
      <c r="DU3" s="532"/>
      <c r="DV3" s="532"/>
      <c r="DW3" s="532"/>
      <c r="DX3" s="532"/>
      <c r="DY3" s="532"/>
      <c r="DZ3" s="532"/>
      <c r="EA3" s="532"/>
      <c r="EB3" s="532"/>
      <c r="EC3" s="532"/>
      <c r="ED3" s="532"/>
      <c r="EE3" s="532"/>
      <c r="EF3" s="532"/>
      <c r="EG3" s="532"/>
      <c r="EH3" s="532"/>
      <c r="EI3" s="532"/>
      <c r="EJ3" s="532"/>
      <c r="EK3" s="532"/>
      <c r="EL3" s="532"/>
      <c r="EM3" s="532"/>
      <c r="EN3" s="532"/>
      <c r="EO3" s="532"/>
      <c r="EP3" s="532"/>
      <c r="EQ3" s="532"/>
      <c r="ER3" s="532"/>
      <c r="ES3" s="532"/>
      <c r="ET3" s="532"/>
      <c r="EU3" s="532"/>
      <c r="EV3" s="532"/>
      <c r="EW3" s="532"/>
      <c r="EX3" s="532"/>
      <c r="EY3" s="532"/>
      <c r="EZ3" s="532"/>
      <c r="FA3" s="532"/>
      <c r="FB3" s="532"/>
      <c r="FC3" s="532"/>
      <c r="FD3" s="532"/>
      <c r="FE3" s="532"/>
      <c r="FF3" s="532"/>
      <c r="FG3" s="532"/>
      <c r="FH3" s="532"/>
      <c r="FI3" s="532"/>
      <c r="FJ3" s="532"/>
      <c r="FK3" s="532"/>
      <c r="FL3" s="532"/>
      <c r="FM3" s="532"/>
      <c r="FN3" s="532"/>
      <c r="FO3" s="532"/>
      <c r="FP3" s="532"/>
      <c r="FQ3" s="532"/>
      <c r="FR3" s="532"/>
      <c r="FS3" s="532"/>
      <c r="FT3" s="532"/>
      <c r="FU3" s="532"/>
      <c r="FV3" s="532"/>
      <c r="FW3" s="532"/>
      <c r="FX3" s="532"/>
      <c r="FY3" s="532"/>
      <c r="FZ3" s="532"/>
      <c r="GA3" s="532"/>
      <c r="GB3" s="532"/>
      <c r="GC3" s="532"/>
      <c r="GD3" s="532"/>
      <c r="GE3" s="532"/>
      <c r="GF3" s="532"/>
      <c r="GG3" s="532"/>
      <c r="GH3" s="532"/>
      <c r="GI3" s="532"/>
      <c r="GJ3" s="532"/>
      <c r="GK3" s="532"/>
      <c r="GL3" s="532"/>
      <c r="GM3" s="532"/>
      <c r="GN3" s="532"/>
      <c r="GO3" s="532"/>
      <c r="GP3" s="532"/>
      <c r="GQ3" s="532"/>
      <c r="GR3" s="532"/>
      <c r="GS3" s="532"/>
      <c r="GT3" s="532"/>
      <c r="GU3" s="532"/>
      <c r="GV3" s="532"/>
      <c r="GW3" s="532"/>
      <c r="GX3" s="532"/>
      <c r="GY3" s="532"/>
      <c r="GZ3" s="532"/>
      <c r="HA3" s="532"/>
      <c r="HB3" s="532"/>
      <c r="HC3" s="532"/>
      <c r="HD3" s="532"/>
      <c r="HE3" s="532"/>
      <c r="HF3" s="532"/>
      <c r="HG3" s="532"/>
      <c r="HH3" s="532"/>
      <c r="HI3" s="532"/>
      <c r="HJ3" s="532"/>
      <c r="HK3" s="532"/>
      <c r="HL3" s="532"/>
      <c r="HM3" s="532"/>
      <c r="HN3" s="532"/>
      <c r="HO3" s="532"/>
      <c r="HP3" s="532"/>
      <c r="HQ3" s="532"/>
      <c r="HR3" s="532"/>
      <c r="HS3" s="532"/>
      <c r="HT3" s="532"/>
      <c r="HU3" s="532"/>
      <c r="HV3" s="532"/>
      <c r="HW3" s="532"/>
      <c r="HX3" s="532"/>
      <c r="HY3" s="532"/>
      <c r="HZ3" s="532"/>
      <c r="IA3" s="532"/>
      <c r="IB3" s="532"/>
      <c r="IC3" s="532"/>
      <c r="ID3" s="532"/>
      <c r="IE3" s="532"/>
      <c r="IF3" s="532"/>
      <c r="IG3" s="532"/>
      <c r="IH3" s="532"/>
      <c r="II3" s="532"/>
      <c r="IJ3" s="532"/>
      <c r="IK3" s="532"/>
      <c r="IL3" s="532"/>
      <c r="IM3" s="532"/>
      <c r="IN3" s="532"/>
      <c r="IO3" s="532"/>
      <c r="IP3" s="532"/>
      <c r="IQ3" s="532"/>
      <c r="IR3" s="532"/>
      <c r="IS3" s="532"/>
      <c r="IT3" s="532"/>
      <c r="IU3" s="532"/>
      <c r="IV3" s="532"/>
    </row>
    <row r="4" spans="1:256" ht="15.75" thickBot="1"/>
    <row r="5" spans="1:256" s="419" customFormat="1" ht="31.5" customHeight="1" thickBot="1">
      <c r="A5" s="414"/>
      <c r="B5" s="560" t="s">
        <v>162</v>
      </c>
      <c r="C5" s="561"/>
      <c r="D5" s="561"/>
      <c r="E5" s="561"/>
      <c r="F5" s="561"/>
      <c r="G5" s="561"/>
      <c r="H5" s="561"/>
      <c r="I5" s="561"/>
      <c r="J5" s="562"/>
      <c r="K5" s="415"/>
      <c r="L5" s="415"/>
      <c r="M5" s="416"/>
      <c r="N5" s="415"/>
      <c r="O5" s="417"/>
      <c r="P5" s="415"/>
      <c r="Q5" s="415"/>
      <c r="R5" s="415"/>
      <c r="S5" s="415"/>
      <c r="T5" s="415"/>
      <c r="U5" s="415"/>
      <c r="V5" s="415" t="s">
        <v>143</v>
      </c>
      <c r="W5" s="415"/>
      <c r="X5" s="415" t="s">
        <v>144</v>
      </c>
      <c r="Y5" s="415"/>
      <c r="Z5" s="418"/>
      <c r="AA5" s="415"/>
      <c r="AB5" s="415"/>
      <c r="AC5" s="415"/>
      <c r="AD5" s="415"/>
      <c r="AE5" s="415"/>
      <c r="AF5" s="415"/>
      <c r="AG5" s="415"/>
      <c r="AH5" s="415"/>
      <c r="AI5" s="415"/>
      <c r="AJ5" s="415"/>
    </row>
    <row r="6" spans="1:256" s="424" customFormat="1" ht="48.75" customHeight="1" thickBot="1">
      <c r="A6" s="420"/>
      <c r="B6" s="484" t="s">
        <v>146</v>
      </c>
      <c r="C6" s="485" t="s">
        <v>3</v>
      </c>
      <c r="D6" s="485" t="s">
        <v>4</v>
      </c>
      <c r="E6" s="485" t="s">
        <v>5</v>
      </c>
      <c r="F6" s="485" t="s">
        <v>147</v>
      </c>
      <c r="G6" s="485" t="s">
        <v>148</v>
      </c>
      <c r="H6" s="485" t="s">
        <v>8</v>
      </c>
      <c r="I6" s="485" t="s">
        <v>9</v>
      </c>
      <c r="J6" s="486" t="s">
        <v>149</v>
      </c>
      <c r="K6" s="421"/>
      <c r="L6" s="422" t="s">
        <v>11</v>
      </c>
      <c r="M6" s="422" t="s">
        <v>12</v>
      </c>
      <c r="N6" s="422" t="s">
        <v>13</v>
      </c>
      <c r="O6" s="422" t="s">
        <v>14</v>
      </c>
      <c r="P6" s="423" t="s">
        <v>15</v>
      </c>
      <c r="Q6" s="362" t="s">
        <v>16</v>
      </c>
      <c r="R6" s="362" t="s">
        <v>17</v>
      </c>
      <c r="S6" s="362" t="s">
        <v>18</v>
      </c>
      <c r="T6" s="362" t="s">
        <v>19</v>
      </c>
      <c r="U6" s="362" t="s">
        <v>20</v>
      </c>
      <c r="V6" s="364" t="s">
        <v>21</v>
      </c>
      <c r="W6" s="358" t="s">
        <v>22</v>
      </c>
      <c r="X6" s="360" t="s">
        <v>23</v>
      </c>
      <c r="Y6" s="365" t="s">
        <v>24</v>
      </c>
      <c r="Z6" s="366" t="s">
        <v>25</v>
      </c>
      <c r="AA6" s="366" t="s">
        <v>26</v>
      </c>
      <c r="AB6" s="366" t="s">
        <v>27</v>
      </c>
      <c r="AC6" s="366" t="s">
        <v>28</v>
      </c>
      <c r="AD6" s="367" t="s">
        <v>29</v>
      </c>
      <c r="AE6" s="358" t="s">
        <v>30</v>
      </c>
      <c r="AF6" s="358" t="s">
        <v>31</v>
      </c>
      <c r="AG6" s="368" t="s">
        <v>19</v>
      </c>
      <c r="AH6" s="369" t="s">
        <v>32</v>
      </c>
      <c r="AI6" s="369" t="s">
        <v>33</v>
      </c>
      <c r="AJ6" s="370" t="s">
        <v>34</v>
      </c>
    </row>
    <row r="7" spans="1:256" s="424" customFormat="1" ht="69" customHeight="1">
      <c r="A7" s="420"/>
      <c r="B7" s="619">
        <v>1</v>
      </c>
      <c r="C7" s="617" t="s">
        <v>163</v>
      </c>
      <c r="D7" s="617"/>
      <c r="E7" s="615" t="s">
        <v>130</v>
      </c>
      <c r="F7" s="629">
        <v>178</v>
      </c>
      <c r="G7" s="627">
        <f>AH8</f>
        <v>228.63467696629215</v>
      </c>
      <c r="H7" s="625" t="s">
        <v>131</v>
      </c>
      <c r="I7" s="623" t="s">
        <v>164</v>
      </c>
      <c r="J7" s="621">
        <f>F7*G7</f>
        <v>40696.972500000003</v>
      </c>
      <c r="K7" s="421"/>
      <c r="L7" s="422"/>
      <c r="M7" s="422"/>
      <c r="N7" s="475"/>
      <c r="O7" s="476"/>
      <c r="P7" s="423"/>
      <c r="Q7" s="477"/>
      <c r="R7" s="477"/>
      <c r="S7" s="477"/>
      <c r="T7" s="477"/>
      <c r="U7" s="477"/>
      <c r="V7" s="477"/>
      <c r="W7" s="478"/>
      <c r="X7" s="478"/>
      <c r="Y7" s="479"/>
      <c r="Z7" s="479"/>
      <c r="AA7" s="479"/>
      <c r="AB7" s="479"/>
      <c r="AC7" s="479"/>
      <c r="AD7" s="479"/>
      <c r="AE7" s="478"/>
      <c r="AF7" s="478"/>
      <c r="AG7" s="480"/>
      <c r="AH7" s="481"/>
      <c r="AI7" s="481"/>
      <c r="AJ7" s="482"/>
    </row>
    <row r="8" spans="1:256" s="318" customFormat="1" ht="409.5" customHeight="1" thickBot="1">
      <c r="A8" s="483"/>
      <c r="B8" s="620"/>
      <c r="C8" s="618"/>
      <c r="D8" s="618"/>
      <c r="E8" s="616"/>
      <c r="F8" s="630"/>
      <c r="G8" s="628"/>
      <c r="H8" s="626"/>
      <c r="I8" s="624"/>
      <c r="J8" s="622"/>
      <c r="K8" s="319"/>
      <c r="L8" s="320" t="s">
        <v>165</v>
      </c>
      <c r="M8" s="458" t="s">
        <v>166</v>
      </c>
      <c r="N8" s="607" t="s">
        <v>167</v>
      </c>
      <c r="O8" s="608"/>
      <c r="P8" s="321">
        <f>(207/1.15)+0.2</f>
        <v>180.2</v>
      </c>
      <c r="Q8" s="322">
        <v>25</v>
      </c>
      <c r="R8" s="323">
        <f t="shared" ref="R8" si="0">P8*Q8/100</f>
        <v>45.05</v>
      </c>
      <c r="S8" s="324">
        <f t="shared" ref="S8" si="1">R8*U8</f>
        <v>8018.9</v>
      </c>
      <c r="T8" s="325">
        <f t="shared" ref="T8" si="2">P8+R8</f>
        <v>225.25</v>
      </c>
      <c r="U8" s="322">
        <f>F7</f>
        <v>178</v>
      </c>
      <c r="V8" s="172">
        <v>0</v>
      </c>
      <c r="W8" s="32">
        <f>120+50</f>
        <v>170</v>
      </c>
      <c r="X8" s="326">
        <f t="shared" ref="X8" si="3">U8*T8+V8+W8</f>
        <v>40264.5</v>
      </c>
      <c r="Y8" s="327" t="s">
        <v>168</v>
      </c>
      <c r="Z8" s="328">
        <f>70+60</f>
        <v>130</v>
      </c>
      <c r="AA8" s="329">
        <v>1</v>
      </c>
      <c r="AB8" s="329">
        <v>1</v>
      </c>
      <c r="AC8" s="329">
        <v>1</v>
      </c>
      <c r="AD8" s="330">
        <f t="shared" ref="AD8" si="4">Z8*AA8*AB8*AC8</f>
        <v>130</v>
      </c>
      <c r="AE8" s="331">
        <v>100</v>
      </c>
      <c r="AF8" s="181">
        <f t="shared" ref="AF8:AF9" si="5">0.5%*(X8+AD8+AE8)</f>
        <v>202.4725</v>
      </c>
      <c r="AG8" s="332">
        <f t="shared" ref="AG8" si="6">X8+AD8+AF8+AE8</f>
        <v>40696.972500000003</v>
      </c>
      <c r="AH8" s="333">
        <f t="shared" ref="AH8" si="7">AG8/U8</f>
        <v>228.63467696629215</v>
      </c>
      <c r="AI8" s="334">
        <f t="shared" ref="AI8" si="8">AH8*18%</f>
        <v>41.154241853932582</v>
      </c>
      <c r="AJ8" s="335">
        <f t="shared" ref="AJ8" si="9">AH8+AI8</f>
        <v>269.78891882022475</v>
      </c>
    </row>
    <row r="9" spans="1:256" ht="245.25" customHeight="1" thickBot="1">
      <c r="B9" s="487">
        <v>2</v>
      </c>
      <c r="C9" s="614" t="s">
        <v>169</v>
      </c>
      <c r="D9" s="614"/>
      <c r="E9" s="337" t="s">
        <v>130</v>
      </c>
      <c r="F9" s="313">
        <v>178</v>
      </c>
      <c r="G9" s="344">
        <f>AH9</f>
        <v>78.109660478749404</v>
      </c>
      <c r="H9" s="338" t="s">
        <v>170</v>
      </c>
      <c r="I9" s="488" t="s">
        <v>171</v>
      </c>
      <c r="J9" s="345">
        <f>F9*G9</f>
        <v>13903.519565217393</v>
      </c>
      <c r="L9" s="459" t="s">
        <v>133</v>
      </c>
      <c r="M9" s="460"/>
      <c r="N9" s="564" t="s">
        <v>172</v>
      </c>
      <c r="O9" s="565"/>
      <c r="P9" s="321">
        <f>70/1.15</f>
        <v>60.869565217391312</v>
      </c>
      <c r="Q9" s="461">
        <v>25</v>
      </c>
      <c r="R9" s="462">
        <f>P9*Q9/100</f>
        <v>15.217391304347828</v>
      </c>
      <c r="S9" s="463">
        <f>R9*U9</f>
        <v>2708.6956521739135</v>
      </c>
      <c r="T9" s="464">
        <f>P9+R9</f>
        <v>76.08695652173914</v>
      </c>
      <c r="U9" s="322">
        <f>F9</f>
        <v>178</v>
      </c>
      <c r="V9" s="172">
        <f>P9</f>
        <v>60.869565217391312</v>
      </c>
      <c r="W9" s="465">
        <f>100+50</f>
        <v>150</v>
      </c>
      <c r="X9" s="466">
        <f>U9*T9+V9+W9</f>
        <v>13754.34782608696</v>
      </c>
      <c r="Y9" s="467" t="s">
        <v>70</v>
      </c>
      <c r="Z9" s="465">
        <v>0</v>
      </c>
      <c r="AA9" s="468">
        <v>1</v>
      </c>
      <c r="AB9" s="468">
        <v>1</v>
      </c>
      <c r="AC9" s="468">
        <v>1</v>
      </c>
      <c r="AD9" s="469">
        <f>Z9*AA9*AB9*AC9</f>
        <v>0</v>
      </c>
      <c r="AE9" s="470">
        <v>80</v>
      </c>
      <c r="AF9" s="181">
        <f t="shared" si="5"/>
        <v>69.171739130434801</v>
      </c>
      <c r="AG9" s="471">
        <f>X9+AD9+AF9+AE9</f>
        <v>13903.519565217395</v>
      </c>
      <c r="AH9" s="472">
        <f>AG9/U9</f>
        <v>78.109660478749404</v>
      </c>
      <c r="AI9" s="473">
        <f>AH9*18%</f>
        <v>14.059738886174893</v>
      </c>
      <c r="AJ9" s="474">
        <f>AH9+AI9</f>
        <v>92.169399364924303</v>
      </c>
    </row>
  </sheetData>
  <mergeCells count="15">
    <mergeCell ref="C3:D3"/>
    <mergeCell ref="M3:O3"/>
    <mergeCell ref="B1:J1"/>
    <mergeCell ref="B5:J5"/>
    <mergeCell ref="N8:O8"/>
    <mergeCell ref="C9:D9"/>
    <mergeCell ref="N9:O9"/>
    <mergeCell ref="E7:E8"/>
    <mergeCell ref="C7:D8"/>
    <mergeCell ref="B7:B8"/>
    <mergeCell ref="J7:J8"/>
    <mergeCell ref="I7:I8"/>
    <mergeCell ref="H7:H8"/>
    <mergeCell ref="G7:G8"/>
    <mergeCell ref="F7:F8"/>
  </mergeCells>
  <hyperlinks>
    <hyperlink ref="M8" r:id="rId1" location="/32-color-negro" xr:uid="{00000000-0004-0000-0400-000000000000}"/>
  </hyperlinks>
  <pageMargins left="0.7" right="0.7" top="0.75" bottom="0.75" header="0.3" footer="0.3"/>
  <pageSetup paperSize="9" orientation="portrait" horizontalDpi="360" verticalDpi="36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ABRIL</vt:lpstr>
      <vt:lpstr>Mayo</vt:lpstr>
      <vt:lpstr>JULIO</vt:lpstr>
      <vt:lpstr>SET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</dc:creator>
  <cp:keywords/>
  <dc:description/>
  <cp:lastModifiedBy>Karina</cp:lastModifiedBy>
  <cp:revision/>
  <dcterms:created xsi:type="dcterms:W3CDTF">2023-03-03T21:09:41Z</dcterms:created>
  <dcterms:modified xsi:type="dcterms:W3CDTF">2026-06-11T14:49:15Z</dcterms:modified>
  <cp:category/>
  <cp:contentStatus/>
</cp:coreProperties>
</file>