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hy\Desktop\南化日效益\调研材料\"/>
    </mc:Choice>
  </mc:AlternateContent>
  <xr:revisionPtr revIDLastSave="0" documentId="13_ncr:1_{2786103A-72E5-4D8F-9E3B-70F9124EC937}" xr6:coauthVersionLast="47" xr6:coauthVersionMax="47" xr10:uidLastSave="{00000000-0000-0000-0000-000000000000}"/>
  <bookViews>
    <workbookView xWindow="-108" yWindow="-108" windowWidth="23256" windowHeight="12576" tabRatio="872" activeTab="10" xr2:uid="{00000000-000D-0000-FFFF-FFFF00000000}"/>
  </bookViews>
  <sheets>
    <sheet name="产品中间表" sheetId="14" r:id="rId1"/>
    <sheet name="产品本月" sheetId="2" r:id="rId2"/>
    <sheet name="产品次月" sheetId="3" r:id="rId3"/>
    <sheet name="原料中间表" sheetId="5" r:id="rId4"/>
    <sheet name="原料本月" sheetId="6" r:id="rId5"/>
    <sheet name="原料次月" sheetId="7" r:id="rId6"/>
    <sheet name="副产品" sheetId="21" r:id="rId7"/>
    <sheet name="顺逆差" sheetId="8" r:id="rId8"/>
    <sheet name="产品效益" sheetId="11" r:id="rId9"/>
    <sheet name="本月产品成本测算" sheetId="24" r:id="rId10"/>
    <sheet name="次月产品成本测算" sheetId="25" r:id="rId11"/>
    <sheet name="11月份利润与10月份利润对比  (预计)" sheetId="23" r:id="rId12"/>
    <sheet name="7月份利润与6月份利润对比 " sheetId="15" state="hidden" r:id="rId13"/>
    <sheet name="8月份利润与7月份利润对比 " sheetId="16" state="hidden" r:id="rId14"/>
    <sheet name="财务指标-产品" sheetId="20" state="hidden" r:id="rId15"/>
    <sheet name="经营月报-利润、价格" sheetId="17" state="hidden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B4" i="25" l="1"/>
  <c r="D6" i="20"/>
  <c r="E21" i="16"/>
  <c r="E20" i="16"/>
  <c r="L14" i="16"/>
  <c r="L10" i="16"/>
  <c r="B2" i="16"/>
  <c r="R26" i="15"/>
  <c r="C26" i="15"/>
  <c r="R24" i="15"/>
  <c r="E23" i="15"/>
  <c r="D23" i="15"/>
  <c r="C23" i="15"/>
  <c r="F23" i="15" s="1"/>
  <c r="F22" i="15"/>
  <c r="E22" i="15"/>
  <c r="D22" i="15"/>
  <c r="C22" i="15"/>
  <c r="F21" i="15"/>
  <c r="E20" i="15"/>
  <c r="F20" i="15" s="1"/>
  <c r="D20" i="15"/>
  <c r="C20" i="15"/>
  <c r="E19" i="15"/>
  <c r="D19" i="15"/>
  <c r="C19" i="15"/>
  <c r="F19" i="15" s="1"/>
  <c r="E18" i="15"/>
  <c r="D18" i="15"/>
  <c r="C18" i="15"/>
  <c r="F18" i="15" s="1"/>
  <c r="E17" i="15"/>
  <c r="D17" i="15"/>
  <c r="C17" i="15"/>
  <c r="F17" i="15" s="1"/>
  <c r="E16" i="15"/>
  <c r="F16" i="15" s="1"/>
  <c r="D16" i="15"/>
  <c r="C16" i="15"/>
  <c r="E15" i="15"/>
  <c r="D15" i="15"/>
  <c r="C15" i="15"/>
  <c r="F15" i="15" s="1"/>
  <c r="R14" i="15"/>
  <c r="E13" i="15"/>
  <c r="D13" i="15"/>
  <c r="C13" i="15"/>
  <c r="F13" i="15" s="1"/>
  <c r="F12" i="15"/>
  <c r="E12" i="15"/>
  <c r="D12" i="15"/>
  <c r="C12" i="15"/>
  <c r="E11" i="15"/>
  <c r="D11" i="15"/>
  <c r="C11" i="15"/>
  <c r="F11" i="15" s="1"/>
  <c r="R10" i="15"/>
  <c r="E9" i="15"/>
  <c r="F9" i="15" s="1"/>
  <c r="D9" i="15"/>
  <c r="C9" i="15"/>
  <c r="E8" i="15"/>
  <c r="D8" i="15"/>
  <c r="C8" i="15"/>
  <c r="F8" i="15" s="1"/>
  <c r="E7" i="15"/>
  <c r="F7" i="15" s="1"/>
  <c r="F10" i="15" s="1"/>
  <c r="D7" i="15"/>
  <c r="C7" i="15"/>
  <c r="R6" i="15"/>
  <c r="F5" i="15"/>
  <c r="E5" i="15"/>
  <c r="D5" i="15"/>
  <c r="C5" i="15"/>
  <c r="E4" i="15"/>
  <c r="D4" i="15"/>
  <c r="C4" i="15"/>
  <c r="F4" i="15" s="1"/>
  <c r="F6" i="15" s="1"/>
  <c r="I26" i="23"/>
  <c r="L23" i="23"/>
  <c r="L22" i="23"/>
  <c r="L21" i="23"/>
  <c r="L20" i="23"/>
  <c r="L19" i="23"/>
  <c r="L18" i="23"/>
  <c r="L37" i="23" s="1"/>
  <c r="L17" i="23"/>
  <c r="L16" i="23"/>
  <c r="L15" i="23"/>
  <c r="L36" i="23" s="1"/>
  <c r="L13" i="23"/>
  <c r="L12" i="23"/>
  <c r="L11" i="23"/>
  <c r="L14" i="23" s="1"/>
  <c r="L30" i="23" s="1"/>
  <c r="L9" i="23"/>
  <c r="L8" i="23"/>
  <c r="L7" i="23"/>
  <c r="L35" i="23" s="1"/>
  <c r="L5" i="23"/>
  <c r="L4" i="23"/>
  <c r="H2" i="23"/>
  <c r="F10" i="25"/>
  <c r="F9" i="25"/>
  <c r="F10" i="24"/>
  <c r="F9" i="24"/>
  <c r="M52" i="11"/>
  <c r="R52" i="11" s="1"/>
  <c r="B30" i="11"/>
  <c r="N28" i="11"/>
  <c r="M28" i="11"/>
  <c r="L28" i="11"/>
  <c r="B28" i="11"/>
  <c r="N26" i="11"/>
  <c r="N30" i="11" s="1"/>
  <c r="M26" i="11"/>
  <c r="M30" i="11" s="1"/>
  <c r="L26" i="11"/>
  <c r="L30" i="11" s="1"/>
  <c r="B26" i="11"/>
  <c r="N23" i="11"/>
  <c r="B23" i="11"/>
  <c r="B20" i="11"/>
  <c r="B19" i="11"/>
  <c r="B18" i="11"/>
  <c r="D17" i="11"/>
  <c r="C17" i="11"/>
  <c r="B17" i="11"/>
  <c r="N16" i="11"/>
  <c r="N22" i="11" s="1"/>
  <c r="M16" i="11"/>
  <c r="M22" i="11" s="1"/>
  <c r="L16" i="11"/>
  <c r="W14" i="11"/>
  <c r="S14" i="11"/>
  <c r="R14" i="11"/>
  <c r="Q14" i="11"/>
  <c r="O14" i="11"/>
  <c r="N12" i="11"/>
  <c r="M12" i="11"/>
  <c r="L12" i="11"/>
  <c r="B12" i="11"/>
  <c r="N11" i="11"/>
  <c r="M11" i="11"/>
  <c r="L11" i="11"/>
  <c r="N10" i="11"/>
  <c r="M10" i="11"/>
  <c r="L10" i="11"/>
  <c r="B10" i="11"/>
  <c r="N9" i="11"/>
  <c r="M9" i="11"/>
  <c r="L9" i="11"/>
  <c r="C9" i="11"/>
  <c r="B9" i="11"/>
  <c r="N8" i="11"/>
  <c r="M8" i="11"/>
  <c r="L8" i="11"/>
  <c r="B8" i="11"/>
  <c r="N7" i="11"/>
  <c r="M7" i="11"/>
  <c r="C7" i="11"/>
  <c r="B7" i="11"/>
  <c r="M6" i="11"/>
  <c r="N5" i="11"/>
  <c r="N13" i="11" s="1"/>
  <c r="M5" i="11"/>
  <c r="L5" i="11"/>
  <c r="L7" i="11" s="1"/>
  <c r="B5" i="11"/>
  <c r="G7" i="21"/>
  <c r="G6" i="21"/>
  <c r="G5" i="21"/>
  <c r="G4" i="21"/>
  <c r="J15" i="7"/>
  <c r="G13" i="7"/>
  <c r="H12" i="7"/>
  <c r="F12" i="7"/>
  <c r="H11" i="7"/>
  <c r="F11" i="7"/>
  <c r="P10" i="7"/>
  <c r="R10" i="7" s="1"/>
  <c r="H10" i="7"/>
  <c r="F10" i="7"/>
  <c r="R9" i="7"/>
  <c r="K10" i="7" s="1"/>
  <c r="H9" i="7"/>
  <c r="F9" i="7"/>
  <c r="R8" i="7"/>
  <c r="H8" i="7"/>
  <c r="F8" i="7"/>
  <c r="R7" i="7"/>
  <c r="K9" i="7" s="1"/>
  <c r="H7" i="7"/>
  <c r="F7" i="7"/>
  <c r="R6" i="7"/>
  <c r="H6" i="7"/>
  <c r="F6" i="7"/>
  <c r="R5" i="7"/>
  <c r="H5" i="7"/>
  <c r="F5" i="7"/>
  <c r="I5" i="7" s="1"/>
  <c r="D5" i="7"/>
  <c r="R4" i="7"/>
  <c r="K5" i="7" s="1"/>
  <c r="K4" i="7"/>
  <c r="H4" i="7"/>
  <c r="F4" i="7"/>
  <c r="S12" i="6"/>
  <c r="I12" i="6" s="1"/>
  <c r="H12" i="6"/>
  <c r="D12" i="7" s="1"/>
  <c r="I12" i="7" s="1"/>
  <c r="S11" i="6"/>
  <c r="I11" i="6"/>
  <c r="H11" i="6"/>
  <c r="D11" i="7" s="1"/>
  <c r="I11" i="7" s="1"/>
  <c r="V10" i="6"/>
  <c r="X10" i="6" s="1"/>
  <c r="S10" i="6"/>
  <c r="I10" i="6" s="1"/>
  <c r="L10" i="6"/>
  <c r="H10" i="6"/>
  <c r="D10" i="7" s="1"/>
  <c r="X9" i="6"/>
  <c r="S9" i="6"/>
  <c r="I9" i="6" s="1"/>
  <c r="L9" i="6"/>
  <c r="H9" i="6"/>
  <c r="D9" i="7" s="1"/>
  <c r="X8" i="6"/>
  <c r="S8" i="6"/>
  <c r="I8" i="6"/>
  <c r="E8" i="7" s="1"/>
  <c r="K49" i="11" s="1"/>
  <c r="H8" i="6"/>
  <c r="D8" i="7" s="1"/>
  <c r="I8" i="7" s="1"/>
  <c r="X7" i="6"/>
  <c r="S7" i="6"/>
  <c r="I7" i="6" s="1"/>
  <c r="H7" i="6"/>
  <c r="D7" i="7" s="1"/>
  <c r="I7" i="7" s="1"/>
  <c r="X6" i="6"/>
  <c r="H6" i="6"/>
  <c r="S6" i="6" s="1"/>
  <c r="I6" i="6" s="1"/>
  <c r="X5" i="6"/>
  <c r="S5" i="6"/>
  <c r="I5" i="6"/>
  <c r="D6" i="24" s="1"/>
  <c r="F6" i="24" s="1"/>
  <c r="B6" i="24" s="1"/>
  <c r="D26" i="24" s="1"/>
  <c r="F26" i="24" s="1"/>
  <c r="B26" i="24" s="1"/>
  <c r="H5" i="6"/>
  <c r="X4" i="6"/>
  <c r="S4" i="6"/>
  <c r="L4" i="6"/>
  <c r="I4" i="6"/>
  <c r="P16" i="11" s="1"/>
  <c r="H4" i="6"/>
  <c r="D4" i="7" s="1"/>
  <c r="F19" i="5"/>
  <c r="C19" i="5"/>
  <c r="H18" i="5"/>
  <c r="J18" i="5" s="1"/>
  <c r="L17" i="5"/>
  <c r="H17" i="5"/>
  <c r="L16" i="5"/>
  <c r="K16" i="5"/>
  <c r="H16" i="5"/>
  <c r="L15" i="5"/>
  <c r="K15" i="5"/>
  <c r="H15" i="5"/>
  <c r="L14" i="5"/>
  <c r="K14" i="5"/>
  <c r="H14" i="5"/>
  <c r="L13" i="5"/>
  <c r="K13" i="5"/>
  <c r="H13" i="5"/>
  <c r="L12" i="5"/>
  <c r="K12" i="5"/>
  <c r="H12" i="5"/>
  <c r="L11" i="5"/>
  <c r="K11" i="5"/>
  <c r="H11" i="5"/>
  <c r="L10" i="5"/>
  <c r="K10" i="5"/>
  <c r="H10" i="5"/>
  <c r="N10" i="5" s="1"/>
  <c r="J10" i="5" s="1"/>
  <c r="N9" i="5"/>
  <c r="J9" i="5" s="1"/>
  <c r="L9" i="5"/>
  <c r="K9" i="5"/>
  <c r="H9" i="5"/>
  <c r="N8" i="5"/>
  <c r="J8" i="5" s="1"/>
  <c r="L8" i="5"/>
  <c r="K8" i="5"/>
  <c r="H8" i="5"/>
  <c r="E26" i="3"/>
  <c r="E25" i="3"/>
  <c r="E24" i="3"/>
  <c r="E23" i="3"/>
  <c r="E22" i="3"/>
  <c r="E21" i="3"/>
  <c r="E20" i="3"/>
  <c r="E18" i="3"/>
  <c r="E17" i="3"/>
  <c r="E16" i="3"/>
  <c r="E15" i="3"/>
  <c r="D15" i="3"/>
  <c r="C55" i="11" s="1"/>
  <c r="E14" i="3"/>
  <c r="E13" i="3"/>
  <c r="E12" i="3"/>
  <c r="E11" i="3"/>
  <c r="E10" i="3"/>
  <c r="E9" i="3"/>
  <c r="E8" i="3"/>
  <c r="E7" i="3"/>
  <c r="E6" i="3"/>
  <c r="E5" i="3"/>
  <c r="E4" i="3"/>
  <c r="J26" i="2"/>
  <c r="H26" i="2"/>
  <c r="K26" i="2" s="1"/>
  <c r="G26" i="2"/>
  <c r="F26" i="2"/>
  <c r="D30" i="11" s="1"/>
  <c r="E26" i="2"/>
  <c r="C30" i="11" s="1"/>
  <c r="D26" i="2"/>
  <c r="J25" i="2"/>
  <c r="H25" i="2"/>
  <c r="D25" i="3" s="1"/>
  <c r="C66" i="11" s="1"/>
  <c r="G25" i="2"/>
  <c r="F25" i="2"/>
  <c r="D28" i="11" s="1"/>
  <c r="E25" i="2"/>
  <c r="C28" i="11" s="1"/>
  <c r="D25" i="2"/>
  <c r="H24" i="2"/>
  <c r="D24" i="3" s="1"/>
  <c r="G24" i="2"/>
  <c r="H23" i="2"/>
  <c r="D23" i="3" s="1"/>
  <c r="C64" i="11" s="1"/>
  <c r="G23" i="2"/>
  <c r="F23" i="2"/>
  <c r="D26" i="11" s="1"/>
  <c r="E23" i="2"/>
  <c r="C26" i="11" s="1"/>
  <c r="D23" i="2"/>
  <c r="H22" i="2"/>
  <c r="J22" i="2" s="1"/>
  <c r="G22" i="2"/>
  <c r="F22" i="2"/>
  <c r="E22" i="2"/>
  <c r="D22" i="2"/>
  <c r="H21" i="2"/>
  <c r="H20" i="2"/>
  <c r="G20" i="2"/>
  <c r="E20" i="2"/>
  <c r="D20" i="2"/>
  <c r="E19" i="2" s="1"/>
  <c r="H19" i="2"/>
  <c r="D19" i="3" s="1"/>
  <c r="C61" i="11" s="1"/>
  <c r="G19" i="2"/>
  <c r="F19" i="2"/>
  <c r="F20" i="2" s="1"/>
  <c r="D19" i="2"/>
  <c r="J18" i="2"/>
  <c r="H18" i="2"/>
  <c r="I18" i="2" s="1"/>
  <c r="G18" i="2"/>
  <c r="F18" i="2"/>
  <c r="D20" i="11" s="1"/>
  <c r="E18" i="2"/>
  <c r="C20" i="11" s="1"/>
  <c r="D18" i="2"/>
  <c r="J17" i="2"/>
  <c r="H17" i="2"/>
  <c r="D17" i="3" s="1"/>
  <c r="C57" i="11" s="1"/>
  <c r="G17" i="2"/>
  <c r="F17" i="2"/>
  <c r="D19" i="11" s="1"/>
  <c r="E17" i="2"/>
  <c r="C19" i="11" s="1"/>
  <c r="D17" i="2"/>
  <c r="J16" i="2"/>
  <c r="H16" i="2"/>
  <c r="D16" i="3" s="1"/>
  <c r="C56" i="11" s="1"/>
  <c r="G16" i="2"/>
  <c r="F16" i="2"/>
  <c r="D18" i="11" s="1"/>
  <c r="E16" i="2"/>
  <c r="C18" i="11" s="1"/>
  <c r="D16" i="2"/>
  <c r="J15" i="2"/>
  <c r="H15" i="2"/>
  <c r="K15" i="2" s="1"/>
  <c r="G15" i="2"/>
  <c r="H14" i="2"/>
  <c r="D14" i="3" s="1"/>
  <c r="H13" i="2"/>
  <c r="D13" i="3" s="1"/>
  <c r="C50" i="11" s="1"/>
  <c r="G13" i="2"/>
  <c r="F13" i="2"/>
  <c r="D12" i="11" s="1"/>
  <c r="E13" i="2"/>
  <c r="C12" i="11" s="1"/>
  <c r="D13" i="2"/>
  <c r="H12" i="2"/>
  <c r="F10" i="11" s="1"/>
  <c r="G12" i="2"/>
  <c r="F12" i="2"/>
  <c r="D10" i="11" s="1"/>
  <c r="E12" i="2"/>
  <c r="C10" i="11" s="1"/>
  <c r="D12" i="2"/>
  <c r="H11" i="2"/>
  <c r="D21" i="23" s="1"/>
  <c r="G11" i="2"/>
  <c r="F11" i="2"/>
  <c r="E11" i="2"/>
  <c r="D11" i="2"/>
  <c r="H10" i="2"/>
  <c r="G10" i="2"/>
  <c r="F10" i="2"/>
  <c r="E10" i="2"/>
  <c r="D10" i="2"/>
  <c r="H9" i="2"/>
  <c r="G9" i="2"/>
  <c r="F9" i="2"/>
  <c r="D9" i="11" s="1"/>
  <c r="E9" i="2"/>
  <c r="D9" i="2"/>
  <c r="H8" i="2"/>
  <c r="F8" i="11" s="1"/>
  <c r="G8" i="2"/>
  <c r="F8" i="2"/>
  <c r="D8" i="11" s="1"/>
  <c r="E8" i="2"/>
  <c r="C8" i="11" s="1"/>
  <c r="D8" i="2"/>
  <c r="H7" i="2"/>
  <c r="G7" i="2"/>
  <c r="F7" i="2"/>
  <c r="D7" i="11" s="1"/>
  <c r="E7" i="2"/>
  <c r="D7" i="2"/>
  <c r="H6" i="2"/>
  <c r="D6" i="3" s="1"/>
  <c r="C44" i="11" s="1"/>
  <c r="G6" i="2"/>
  <c r="F6" i="2"/>
  <c r="D6" i="11" s="1"/>
  <c r="E6" i="2"/>
  <c r="C6" i="11" s="1"/>
  <c r="D6" i="2"/>
  <c r="H5" i="2"/>
  <c r="D5" i="3" s="1"/>
  <c r="G5" i="2"/>
  <c r="K4" i="2"/>
  <c r="H4" i="2"/>
  <c r="D4" i="3" s="1"/>
  <c r="C43" i="11" s="1"/>
  <c r="G4" i="2"/>
  <c r="F4" i="2"/>
  <c r="D5" i="11" s="1"/>
  <c r="E4" i="2"/>
  <c r="C5" i="11" s="1"/>
  <c r="D4" i="2"/>
  <c r="K27" i="14"/>
  <c r="F27" i="14"/>
  <c r="C27" i="14"/>
  <c r="U26" i="14"/>
  <c r="T26" i="14"/>
  <c r="S26" i="14"/>
  <c r="K26" i="14"/>
  <c r="V26" i="14" s="1"/>
  <c r="W26" i="14" s="1"/>
  <c r="T25" i="14"/>
  <c r="K25" i="14"/>
  <c r="V25" i="14" s="1"/>
  <c r="W25" i="14" s="1"/>
  <c r="U24" i="14"/>
  <c r="T24" i="14"/>
  <c r="S24" i="14"/>
  <c r="K24" i="14"/>
  <c r="F25" i="3" s="1"/>
  <c r="U23" i="14"/>
  <c r="T23" i="14"/>
  <c r="S23" i="14"/>
  <c r="K23" i="14"/>
  <c r="V23" i="14" s="1"/>
  <c r="W23" i="14" s="1"/>
  <c r="V22" i="14"/>
  <c r="U22" i="14"/>
  <c r="T22" i="14"/>
  <c r="S22" i="14"/>
  <c r="K22" i="14"/>
  <c r="F23" i="3" s="1"/>
  <c r="U21" i="14"/>
  <c r="T21" i="14"/>
  <c r="S21" i="14"/>
  <c r="K21" i="14"/>
  <c r="F22" i="3" s="1"/>
  <c r="U20" i="14"/>
  <c r="T20" i="14"/>
  <c r="S20" i="14"/>
  <c r="K20" i="14"/>
  <c r="V20" i="14" s="1"/>
  <c r="W20" i="14" s="1"/>
  <c r="U19" i="14"/>
  <c r="T19" i="14"/>
  <c r="S19" i="14"/>
  <c r="K19" i="14"/>
  <c r="V19" i="14" s="1"/>
  <c r="W19" i="14" s="1"/>
  <c r="V18" i="14"/>
  <c r="W18" i="14" s="1"/>
  <c r="U18" i="14"/>
  <c r="T18" i="14"/>
  <c r="S18" i="14"/>
  <c r="K18" i="14"/>
  <c r="F18" i="3" s="1"/>
  <c r="W17" i="14"/>
  <c r="V17" i="14"/>
  <c r="U17" i="14"/>
  <c r="T17" i="14"/>
  <c r="S17" i="14"/>
  <c r="K17" i="14"/>
  <c r="F17" i="3" s="1"/>
  <c r="U16" i="14"/>
  <c r="T16" i="14"/>
  <c r="S16" i="14"/>
  <c r="K16" i="14"/>
  <c r="V16" i="14" s="1"/>
  <c r="W16" i="14" s="1"/>
  <c r="U15" i="14"/>
  <c r="T15" i="14"/>
  <c r="S15" i="14"/>
  <c r="K15" i="14"/>
  <c r="V15" i="14" s="1"/>
  <c r="W15" i="14" s="1"/>
  <c r="V14" i="14"/>
  <c r="W14" i="14" s="1"/>
  <c r="U14" i="14"/>
  <c r="T14" i="14"/>
  <c r="S14" i="14"/>
  <c r="K14" i="14"/>
  <c r="F14" i="3" s="1"/>
  <c r="H14" i="3" s="1"/>
  <c r="W13" i="14"/>
  <c r="V13" i="14"/>
  <c r="U13" i="14"/>
  <c r="T13" i="14"/>
  <c r="T29" i="14" s="1"/>
  <c r="S13" i="14"/>
  <c r="S29" i="14" s="1"/>
  <c r="K13" i="14"/>
  <c r="F13" i="3" s="1"/>
  <c r="U12" i="14"/>
  <c r="K12" i="14"/>
  <c r="F12" i="3" s="1"/>
  <c r="U11" i="14"/>
  <c r="K11" i="14"/>
  <c r="F11" i="3" s="1"/>
  <c r="U10" i="14"/>
  <c r="K10" i="14"/>
  <c r="F10" i="3" s="1"/>
  <c r="U9" i="14"/>
  <c r="K9" i="14"/>
  <c r="F9" i="3" s="1"/>
  <c r="U8" i="14"/>
  <c r="K8" i="14"/>
  <c r="V8" i="14" s="1"/>
  <c r="W8" i="14" s="1"/>
  <c r="U7" i="14"/>
  <c r="K7" i="14"/>
  <c r="F7" i="3" s="1"/>
  <c r="U6" i="14"/>
  <c r="K6" i="14"/>
  <c r="V6" i="14" s="1"/>
  <c r="W6" i="14" s="1"/>
  <c r="U5" i="14"/>
  <c r="K5" i="14"/>
  <c r="F5" i="3" s="1"/>
  <c r="U4" i="14"/>
  <c r="U29" i="14" s="1"/>
  <c r="K4" i="14"/>
  <c r="V4" i="14" s="1"/>
  <c r="I4" i="7" l="1"/>
  <c r="P19" i="23"/>
  <c r="K19" i="16"/>
  <c r="E47" i="11"/>
  <c r="G9" i="3"/>
  <c r="P4" i="23"/>
  <c r="K4" i="16"/>
  <c r="E50" i="11"/>
  <c r="H13" i="3"/>
  <c r="G13" i="3"/>
  <c r="D13" i="24"/>
  <c r="N14" i="5"/>
  <c r="J14" i="5" s="1"/>
  <c r="P12" i="11"/>
  <c r="O10" i="6"/>
  <c r="N10" i="6"/>
  <c r="M10" i="6"/>
  <c r="E10" i="7"/>
  <c r="I9" i="7"/>
  <c r="K8" i="16"/>
  <c r="P8" i="23"/>
  <c r="E58" i="11"/>
  <c r="G18" i="3"/>
  <c r="G4" i="7"/>
  <c r="M8" i="5"/>
  <c r="O6" i="6"/>
  <c r="N6" i="6"/>
  <c r="E6" i="7"/>
  <c r="M6" i="6"/>
  <c r="G6" i="7"/>
  <c r="M10" i="5"/>
  <c r="K20" i="16"/>
  <c r="P20" i="23"/>
  <c r="Q20" i="23" s="1"/>
  <c r="H10" i="3"/>
  <c r="P11" i="23"/>
  <c r="K11" i="16"/>
  <c r="E64" i="11"/>
  <c r="H23" i="3"/>
  <c r="G23" i="3"/>
  <c r="G10" i="11"/>
  <c r="C23" i="11"/>
  <c r="J19" i="2"/>
  <c r="W4" i="14"/>
  <c r="G22" i="3"/>
  <c r="D22" i="24"/>
  <c r="P28" i="11"/>
  <c r="E12" i="7"/>
  <c r="K66" i="11" s="1"/>
  <c r="N16" i="5"/>
  <c r="J16" i="5" s="1"/>
  <c r="O12" i="6"/>
  <c r="N12" i="6"/>
  <c r="M12" i="6"/>
  <c r="K7" i="16"/>
  <c r="P7" i="23"/>
  <c r="E57" i="11"/>
  <c r="H17" i="3"/>
  <c r="G17" i="3"/>
  <c r="P12" i="23"/>
  <c r="E66" i="11"/>
  <c r="H25" i="3"/>
  <c r="G25" i="3"/>
  <c r="K12" i="16"/>
  <c r="I10" i="7"/>
  <c r="P17" i="23"/>
  <c r="K17" i="16"/>
  <c r="E45" i="11"/>
  <c r="G7" i="3"/>
  <c r="K21" i="16"/>
  <c r="K21" i="15"/>
  <c r="P21" i="23"/>
  <c r="L5" i="6"/>
  <c r="M5" i="6" s="1"/>
  <c r="D11" i="24"/>
  <c r="F11" i="24" s="1"/>
  <c r="B11" i="24" s="1"/>
  <c r="E7" i="7"/>
  <c r="K48" i="11" s="1"/>
  <c r="O7" i="6"/>
  <c r="N11" i="5"/>
  <c r="J11" i="5" s="1"/>
  <c r="N7" i="6"/>
  <c r="M7" i="6"/>
  <c r="P10" i="11"/>
  <c r="D7" i="24"/>
  <c r="E9" i="7"/>
  <c r="K46" i="11" s="1"/>
  <c r="K47" i="11" s="1"/>
  <c r="P9" i="11"/>
  <c r="O9" i="6"/>
  <c r="N9" i="6"/>
  <c r="M9" i="6"/>
  <c r="N13" i="5"/>
  <c r="J13" i="5" s="1"/>
  <c r="P8" i="11"/>
  <c r="K22" i="16"/>
  <c r="P22" i="23"/>
  <c r="E48" i="11"/>
  <c r="G12" i="3"/>
  <c r="G5" i="7"/>
  <c r="M9" i="5"/>
  <c r="V5" i="14"/>
  <c r="W5" i="14" s="1"/>
  <c r="V7" i="14"/>
  <c r="W7" i="14" s="1"/>
  <c r="V9" i="14"/>
  <c r="W9" i="14" s="1"/>
  <c r="V11" i="14"/>
  <c r="W11" i="14" s="1"/>
  <c r="J4" i="2"/>
  <c r="C17" i="23"/>
  <c r="I17" i="15"/>
  <c r="I18" i="15"/>
  <c r="C18" i="23"/>
  <c r="I19" i="15"/>
  <c r="C19" i="23"/>
  <c r="C20" i="23"/>
  <c r="F20" i="23" s="1"/>
  <c r="I20" i="15"/>
  <c r="C21" i="23"/>
  <c r="F21" i="23" s="1"/>
  <c r="I21" i="15"/>
  <c r="I22" i="15"/>
  <c r="C22" i="23"/>
  <c r="C4" i="23"/>
  <c r="I4" i="15"/>
  <c r="I15" i="2"/>
  <c r="I16" i="2"/>
  <c r="I17" i="2"/>
  <c r="I19" i="2"/>
  <c r="K22" i="2"/>
  <c r="K23" i="2"/>
  <c r="I25" i="2"/>
  <c r="I26" i="2"/>
  <c r="O21" i="23"/>
  <c r="R21" i="23" s="1"/>
  <c r="I21" i="16"/>
  <c r="F16" i="3"/>
  <c r="I8" i="16"/>
  <c r="O8" i="23"/>
  <c r="D58" i="11"/>
  <c r="I13" i="16"/>
  <c r="D68" i="11"/>
  <c r="O13" i="23"/>
  <c r="E4" i="7"/>
  <c r="K54" i="11" s="1"/>
  <c r="F17" i="11"/>
  <c r="D23" i="11"/>
  <c r="W22" i="14"/>
  <c r="I16" i="15"/>
  <c r="C16" i="23"/>
  <c r="K17" i="15"/>
  <c r="D17" i="23"/>
  <c r="E17" i="23" s="1"/>
  <c r="D18" i="23"/>
  <c r="K18" i="15"/>
  <c r="K19" i="15"/>
  <c r="D19" i="23"/>
  <c r="D20" i="23"/>
  <c r="E20" i="23" s="1"/>
  <c r="K20" i="15"/>
  <c r="D22" i="23"/>
  <c r="E22" i="23" s="1"/>
  <c r="K22" i="15"/>
  <c r="D4" i="23"/>
  <c r="K4" i="15"/>
  <c r="I15" i="16"/>
  <c r="O15" i="23"/>
  <c r="D43" i="11"/>
  <c r="L43" i="11" s="1"/>
  <c r="I16" i="16"/>
  <c r="O16" i="23"/>
  <c r="D44" i="11"/>
  <c r="L44" i="11" s="1"/>
  <c r="D8" i="3"/>
  <c r="C46" i="11" s="1"/>
  <c r="O4" i="23"/>
  <c r="I4" i="16"/>
  <c r="D50" i="11"/>
  <c r="F24" i="3"/>
  <c r="F26" i="3"/>
  <c r="D21" i="24"/>
  <c r="P26" i="11"/>
  <c r="E6" i="11"/>
  <c r="O6" i="11" s="1"/>
  <c r="L22" i="11"/>
  <c r="L25" i="11"/>
  <c r="V21" i="14"/>
  <c r="W21" i="14" s="1"/>
  <c r="D16" i="23"/>
  <c r="K16" i="15"/>
  <c r="L16" i="15" s="1"/>
  <c r="I7" i="2"/>
  <c r="I8" i="2"/>
  <c r="I9" i="2"/>
  <c r="I10" i="2"/>
  <c r="I11" i="2"/>
  <c r="I12" i="2"/>
  <c r="I13" i="2"/>
  <c r="K16" i="2"/>
  <c r="K17" i="2"/>
  <c r="K18" i="2"/>
  <c r="K19" i="2"/>
  <c r="K25" i="2"/>
  <c r="F4" i="3"/>
  <c r="F6" i="3"/>
  <c r="I18" i="16"/>
  <c r="O18" i="23"/>
  <c r="O5" i="23"/>
  <c r="R5" i="23" s="1"/>
  <c r="I5" i="16"/>
  <c r="D55" i="11"/>
  <c r="L55" i="11" s="1"/>
  <c r="F20" i="3"/>
  <c r="F19" i="3" s="1"/>
  <c r="M8" i="6"/>
  <c r="M11" i="6"/>
  <c r="E5" i="7"/>
  <c r="K43" i="11" s="1"/>
  <c r="F6" i="11"/>
  <c r="L23" i="11"/>
  <c r="L31" i="11"/>
  <c r="L19" i="11"/>
  <c r="L17" i="11"/>
  <c r="L27" i="11"/>
  <c r="L29" i="11"/>
  <c r="L20" i="11"/>
  <c r="L18" i="11"/>
  <c r="P13" i="11"/>
  <c r="J6" i="2"/>
  <c r="J7" i="2"/>
  <c r="J8" i="2"/>
  <c r="J9" i="2"/>
  <c r="J10" i="2"/>
  <c r="J11" i="2"/>
  <c r="J12" i="2"/>
  <c r="J13" i="2"/>
  <c r="G27" i="2"/>
  <c r="F8" i="3"/>
  <c r="D10" i="3"/>
  <c r="D12" i="3"/>
  <c r="C48" i="11" s="1"/>
  <c r="F15" i="3"/>
  <c r="I7" i="16"/>
  <c r="O7" i="23"/>
  <c r="D57" i="11"/>
  <c r="L57" i="11" s="1"/>
  <c r="O11" i="23"/>
  <c r="I11" i="16"/>
  <c r="D64" i="11"/>
  <c r="I12" i="16"/>
  <c r="O12" i="23"/>
  <c r="D66" i="11"/>
  <c r="N12" i="5"/>
  <c r="J12" i="5" s="1"/>
  <c r="W16" i="11"/>
  <c r="P25" i="11"/>
  <c r="D5" i="24"/>
  <c r="F5" i="24" s="1"/>
  <c r="B5" i="24" s="1"/>
  <c r="D4" i="24"/>
  <c r="N8" i="6"/>
  <c r="N11" i="6"/>
  <c r="D6" i="7"/>
  <c r="I6" i="7" s="1"/>
  <c r="L21" i="11"/>
  <c r="L24" i="11"/>
  <c r="L15" i="11"/>
  <c r="E7" i="11"/>
  <c r="O7" i="11" s="1"/>
  <c r="E9" i="11"/>
  <c r="O9" i="11" s="1"/>
  <c r="M31" i="11"/>
  <c r="M19" i="11"/>
  <c r="M17" i="11"/>
  <c r="M27" i="11"/>
  <c r="M23" i="11"/>
  <c r="M20" i="11"/>
  <c r="M29" i="11"/>
  <c r="V10" i="14"/>
  <c r="W10" i="14" s="1"/>
  <c r="V24" i="14"/>
  <c r="W24" i="14" s="1"/>
  <c r="I5" i="2"/>
  <c r="K6" i="2"/>
  <c r="K27" i="2" s="1"/>
  <c r="B5" i="8" s="1"/>
  <c r="K7" i="2"/>
  <c r="K8" i="2"/>
  <c r="K9" i="2"/>
  <c r="K10" i="2"/>
  <c r="K11" i="2"/>
  <c r="K12" i="2"/>
  <c r="K13" i="2"/>
  <c r="C11" i="23"/>
  <c r="I11" i="15"/>
  <c r="D7" i="3"/>
  <c r="C45" i="11" s="1"/>
  <c r="O20" i="23"/>
  <c r="R20" i="23" s="1"/>
  <c r="I20" i="16"/>
  <c r="O22" i="23"/>
  <c r="I22" i="16"/>
  <c r="D48" i="11"/>
  <c r="F21" i="3"/>
  <c r="O8" i="6"/>
  <c r="O11" i="6"/>
  <c r="E11" i="7"/>
  <c r="K64" i="11" s="1"/>
  <c r="K68" i="11" s="1"/>
  <c r="M21" i="11"/>
  <c r="M24" i="11"/>
  <c r="F7" i="11"/>
  <c r="F9" i="11"/>
  <c r="P11" i="11"/>
  <c r="N19" i="11"/>
  <c r="N17" i="11"/>
  <c r="N27" i="11"/>
  <c r="N29" i="11"/>
  <c r="N20" i="11"/>
  <c r="N18" i="11"/>
  <c r="N31" i="11"/>
  <c r="M15" i="11"/>
  <c r="M18" i="11"/>
  <c r="V12" i="14"/>
  <c r="W12" i="14" s="1"/>
  <c r="C15" i="23"/>
  <c r="I15" i="15"/>
  <c r="J5" i="2"/>
  <c r="D11" i="23"/>
  <c r="K11" i="15"/>
  <c r="F26" i="11"/>
  <c r="I17" i="16"/>
  <c r="O17" i="23"/>
  <c r="D45" i="11"/>
  <c r="L45" i="11" s="1"/>
  <c r="E19" i="3"/>
  <c r="D22" i="3"/>
  <c r="H22" i="3" s="1"/>
  <c r="N15" i="5"/>
  <c r="J15" i="5" s="1"/>
  <c r="M4" i="6"/>
  <c r="N21" i="11"/>
  <c r="N24" i="11"/>
  <c r="L6" i="11"/>
  <c r="E12" i="11"/>
  <c r="N15" i="11"/>
  <c r="K15" i="15"/>
  <c r="D15" i="23"/>
  <c r="I5" i="15"/>
  <c r="C5" i="23"/>
  <c r="F5" i="23" s="1"/>
  <c r="E17" i="11"/>
  <c r="O17" i="11" s="1"/>
  <c r="I23" i="15"/>
  <c r="C23" i="23"/>
  <c r="E18" i="11"/>
  <c r="O18" i="11" s="1"/>
  <c r="C7" i="23"/>
  <c r="I7" i="15"/>
  <c r="E19" i="11"/>
  <c r="O19" i="11" s="1"/>
  <c r="I8" i="15"/>
  <c r="E20" i="11"/>
  <c r="C8" i="23"/>
  <c r="C9" i="23"/>
  <c r="I9" i="15"/>
  <c r="E23" i="11"/>
  <c r="I22" i="2"/>
  <c r="I23" i="2"/>
  <c r="I12" i="15"/>
  <c r="C12" i="23"/>
  <c r="E28" i="11"/>
  <c r="I13" i="15"/>
  <c r="E30" i="11"/>
  <c r="D9" i="3"/>
  <c r="C47" i="11" s="1"/>
  <c r="N4" i="6"/>
  <c r="N5" i="6"/>
  <c r="E5" i="11"/>
  <c r="O5" i="11" s="1"/>
  <c r="F12" i="11"/>
  <c r="L13" i="11"/>
  <c r="P22" i="11"/>
  <c r="E26" i="11"/>
  <c r="B4" i="24"/>
  <c r="I4" i="2"/>
  <c r="D5" i="23"/>
  <c r="K5" i="15"/>
  <c r="K23" i="15"/>
  <c r="D23" i="23"/>
  <c r="F18" i="11"/>
  <c r="K7" i="15"/>
  <c r="D7" i="23"/>
  <c r="F19" i="11"/>
  <c r="D8" i="23"/>
  <c r="K8" i="15"/>
  <c r="F20" i="11"/>
  <c r="D9" i="23"/>
  <c r="F23" i="11"/>
  <c r="K9" i="15"/>
  <c r="J23" i="2"/>
  <c r="D12" i="23"/>
  <c r="K12" i="15"/>
  <c r="F28" i="11"/>
  <c r="K13" i="15"/>
  <c r="F30" i="11"/>
  <c r="I19" i="16"/>
  <c r="O19" i="23"/>
  <c r="D47" i="11"/>
  <c r="L47" i="11" s="1"/>
  <c r="D11" i="3"/>
  <c r="H11" i="3" s="1"/>
  <c r="I23" i="16"/>
  <c r="O23" i="23"/>
  <c r="D56" i="11"/>
  <c r="L56" i="11" s="1"/>
  <c r="D18" i="3"/>
  <c r="C58" i="11" s="1"/>
  <c r="D26" i="3"/>
  <c r="C68" i="11" s="1"/>
  <c r="O4" i="6"/>
  <c r="O5" i="6"/>
  <c r="F5" i="11"/>
  <c r="N6" i="11"/>
  <c r="E8" i="11"/>
  <c r="O8" i="11" s="1"/>
  <c r="E10" i="11"/>
  <c r="H10" i="11" s="1"/>
  <c r="M13" i="11"/>
  <c r="D46" i="11"/>
  <c r="L46" i="11" s="1"/>
  <c r="F24" i="15"/>
  <c r="F26" i="15" s="1"/>
  <c r="M25" i="11"/>
  <c r="F14" i="15"/>
  <c r="N25" i="11"/>
  <c r="L34" i="23"/>
  <c r="L6" i="23"/>
  <c r="L10" i="23"/>
  <c r="L24" i="23"/>
  <c r="P9" i="23" l="1"/>
  <c r="K9" i="16"/>
  <c r="E61" i="11"/>
  <c r="G19" i="3"/>
  <c r="H19" i="3"/>
  <c r="I18" i="11"/>
  <c r="H18" i="11"/>
  <c r="G18" i="11"/>
  <c r="O16" i="11"/>
  <c r="O15" i="11"/>
  <c r="O12" i="11"/>
  <c r="O13" i="11"/>
  <c r="G9" i="7"/>
  <c r="M13" i="5"/>
  <c r="F57" i="11"/>
  <c r="G57" i="11"/>
  <c r="F47" i="11"/>
  <c r="G47" i="11"/>
  <c r="G30" i="11"/>
  <c r="H30" i="11"/>
  <c r="I30" i="11"/>
  <c r="O28" i="11"/>
  <c r="O29" i="11"/>
  <c r="C23" i="16"/>
  <c r="J23" i="15"/>
  <c r="R17" i="23"/>
  <c r="L65" i="11"/>
  <c r="L64" i="11"/>
  <c r="D4" i="16"/>
  <c r="M4" i="16" s="1"/>
  <c r="L4" i="15"/>
  <c r="L18" i="15"/>
  <c r="D18" i="16"/>
  <c r="H17" i="11"/>
  <c r="G17" i="11"/>
  <c r="K23" i="16"/>
  <c r="P23" i="23"/>
  <c r="E56" i="11"/>
  <c r="G16" i="3"/>
  <c r="F17" i="23"/>
  <c r="D21" i="16"/>
  <c r="L21" i="16" s="1"/>
  <c r="L21" i="15"/>
  <c r="I23" i="11"/>
  <c r="H23" i="11"/>
  <c r="G23" i="11"/>
  <c r="K15" i="16"/>
  <c r="P15" i="23"/>
  <c r="E43" i="11"/>
  <c r="H4" i="3"/>
  <c r="G4" i="3"/>
  <c r="M44" i="11"/>
  <c r="M51" i="11"/>
  <c r="D6" i="25"/>
  <c r="F6" i="25" s="1"/>
  <c r="B6" i="25" s="1"/>
  <c r="D26" i="25" s="1"/>
  <c r="F26" i="25" s="1"/>
  <c r="B26" i="25" s="1"/>
  <c r="M43" i="11"/>
  <c r="M45" i="11"/>
  <c r="M53" i="11"/>
  <c r="M5" i="7"/>
  <c r="L5" i="7"/>
  <c r="D15" i="24"/>
  <c r="F15" i="24" s="1"/>
  <c r="B15" i="24" s="1"/>
  <c r="D20" i="24"/>
  <c r="D25" i="24"/>
  <c r="F25" i="24" s="1"/>
  <c r="B25" i="24" s="1"/>
  <c r="F13" i="24"/>
  <c r="B13" i="24" s="1"/>
  <c r="D12" i="24" s="1"/>
  <c r="F12" i="24" s="1"/>
  <c r="B12" i="24" s="1"/>
  <c r="D14" i="24" s="1"/>
  <c r="F14" i="24" s="1"/>
  <c r="B14" i="24" s="1"/>
  <c r="E23" i="23" s="1"/>
  <c r="F23" i="23" s="1"/>
  <c r="O10" i="11"/>
  <c r="O11" i="11"/>
  <c r="D13" i="16"/>
  <c r="L13" i="15"/>
  <c r="I20" i="11"/>
  <c r="H20" i="11"/>
  <c r="G20" i="11"/>
  <c r="D23" i="16"/>
  <c r="M23" i="16" s="1"/>
  <c r="L23" i="15"/>
  <c r="M23" i="15" s="1"/>
  <c r="G12" i="11"/>
  <c r="I12" i="11"/>
  <c r="H12" i="11"/>
  <c r="O21" i="11"/>
  <c r="O20" i="11"/>
  <c r="O22" i="11"/>
  <c r="R22" i="11" s="1"/>
  <c r="W25" i="11"/>
  <c r="K18" i="16"/>
  <c r="P18" i="23"/>
  <c r="E46" i="11"/>
  <c r="H8" i="3"/>
  <c r="G8" i="3"/>
  <c r="K63" i="11"/>
  <c r="K60" i="11"/>
  <c r="O21" i="16"/>
  <c r="P21" i="16" s="1"/>
  <c r="J21" i="16"/>
  <c r="Q21" i="16" s="1"/>
  <c r="R21" i="16" s="1"/>
  <c r="C20" i="16"/>
  <c r="F20" i="16" s="1"/>
  <c r="O20" i="15"/>
  <c r="J20" i="15"/>
  <c r="J27" i="2"/>
  <c r="B4" i="8" s="1"/>
  <c r="D4" i="8" s="1"/>
  <c r="G7" i="7"/>
  <c r="M11" i="5"/>
  <c r="I10" i="11"/>
  <c r="K67" i="11"/>
  <c r="K69" i="11" s="1"/>
  <c r="K50" i="11"/>
  <c r="O20" i="16"/>
  <c r="P20" i="16" s="1"/>
  <c r="J20" i="16"/>
  <c r="Q20" i="16" s="1"/>
  <c r="R20" i="16" s="1"/>
  <c r="L8" i="15"/>
  <c r="D8" i="16"/>
  <c r="M8" i="16" s="1"/>
  <c r="M12" i="15"/>
  <c r="C12" i="16"/>
  <c r="J12" i="15"/>
  <c r="C8" i="16"/>
  <c r="J8" i="15"/>
  <c r="M8" i="15"/>
  <c r="I26" i="11"/>
  <c r="H26" i="11"/>
  <c r="G26" i="11"/>
  <c r="C11" i="16"/>
  <c r="J11" i="15"/>
  <c r="P30" i="11"/>
  <c r="S26" i="11"/>
  <c r="W26" i="11"/>
  <c r="L22" i="15"/>
  <c r="D22" i="16"/>
  <c r="H12" i="3"/>
  <c r="H7" i="3"/>
  <c r="M54" i="11"/>
  <c r="M4" i="7"/>
  <c r="L4" i="7"/>
  <c r="G50" i="11"/>
  <c r="F50" i="11"/>
  <c r="I15" i="7"/>
  <c r="W22" i="11"/>
  <c r="S22" i="11"/>
  <c r="W28" i="11"/>
  <c r="S28" i="11"/>
  <c r="R28" i="11"/>
  <c r="Q28" i="11"/>
  <c r="I28" i="11"/>
  <c r="H28" i="11"/>
  <c r="G28" i="11"/>
  <c r="L5" i="15"/>
  <c r="E5" i="16"/>
  <c r="J5" i="16" s="1"/>
  <c r="L12" i="15"/>
  <c r="D12" i="16"/>
  <c r="L12" i="16" s="1"/>
  <c r="J5" i="15"/>
  <c r="M5" i="15"/>
  <c r="C5" i="16"/>
  <c r="F5" i="16" s="1"/>
  <c r="Q33" i="11"/>
  <c r="M15" i="6"/>
  <c r="C3" i="8" s="1"/>
  <c r="L11" i="15"/>
  <c r="M11" i="15" s="1"/>
  <c r="D11" i="16"/>
  <c r="L11" i="16" s="1"/>
  <c r="S11" i="11"/>
  <c r="R11" i="11"/>
  <c r="Q11" i="11"/>
  <c r="W11" i="11"/>
  <c r="P24" i="11"/>
  <c r="P15" i="11"/>
  <c r="P21" i="11"/>
  <c r="P5" i="11"/>
  <c r="W13" i="11"/>
  <c r="S13" i="11"/>
  <c r="R13" i="11"/>
  <c r="Q13" i="11"/>
  <c r="D17" i="16"/>
  <c r="M17" i="16" s="1"/>
  <c r="L17" i="15"/>
  <c r="M17" i="15" s="1"/>
  <c r="L69" i="11"/>
  <c r="L68" i="11"/>
  <c r="J4" i="15"/>
  <c r="M4" i="15"/>
  <c r="C4" i="16"/>
  <c r="I26" i="15"/>
  <c r="G48" i="11"/>
  <c r="F48" i="11"/>
  <c r="S9" i="11"/>
  <c r="R9" i="11"/>
  <c r="Q9" i="11"/>
  <c r="W9" i="11"/>
  <c r="N19" i="15" s="1"/>
  <c r="O19" i="15" s="1"/>
  <c r="G66" i="11"/>
  <c r="F66" i="11"/>
  <c r="W29" i="14"/>
  <c r="M6" i="7"/>
  <c r="L6" i="7"/>
  <c r="L4" i="16"/>
  <c r="J21" i="15"/>
  <c r="O21" i="15"/>
  <c r="C21" i="16"/>
  <c r="F21" i="16" s="1"/>
  <c r="I19" i="11"/>
  <c r="H19" i="11"/>
  <c r="G19" i="11"/>
  <c r="I27" i="2"/>
  <c r="R33" i="11"/>
  <c r="N15" i="6"/>
  <c r="C4" i="8" s="1"/>
  <c r="C7" i="16"/>
  <c r="J7" i="15"/>
  <c r="E15" i="23"/>
  <c r="F15" i="23" s="1"/>
  <c r="G11" i="7"/>
  <c r="M15" i="5"/>
  <c r="I9" i="11"/>
  <c r="V9" i="11" s="1"/>
  <c r="H9" i="11"/>
  <c r="U9" i="11" s="1"/>
  <c r="G9" i="11"/>
  <c r="L49" i="11"/>
  <c r="L48" i="11"/>
  <c r="M12" i="5"/>
  <c r="G8" i="7"/>
  <c r="I6" i="11"/>
  <c r="H6" i="11"/>
  <c r="P13" i="23"/>
  <c r="K13" i="16"/>
  <c r="L13" i="16" s="1"/>
  <c r="E68" i="11"/>
  <c r="G26" i="3"/>
  <c r="R16" i="16"/>
  <c r="L20" i="15"/>
  <c r="D20" i="16"/>
  <c r="L20" i="16" s="1"/>
  <c r="J13" i="16"/>
  <c r="C26" i="23"/>
  <c r="C19" i="16"/>
  <c r="J19" i="15"/>
  <c r="M19" i="15"/>
  <c r="P19" i="15" s="1"/>
  <c r="G45" i="11"/>
  <c r="F45" i="11"/>
  <c r="V29" i="14"/>
  <c r="F64" i="11"/>
  <c r="G64" i="11"/>
  <c r="Y25" i="14"/>
  <c r="Y29" i="14" s="1"/>
  <c r="H18" i="3"/>
  <c r="G8" i="11"/>
  <c r="M13" i="15"/>
  <c r="C13" i="16"/>
  <c r="J13" i="15"/>
  <c r="L19" i="15"/>
  <c r="D19" i="16"/>
  <c r="L19" i="16" s="1"/>
  <c r="J17" i="15"/>
  <c r="C17" i="16"/>
  <c r="L8" i="16"/>
  <c r="L26" i="23"/>
  <c r="L29" i="23"/>
  <c r="L31" i="23" s="1"/>
  <c r="O25" i="11"/>
  <c r="S25" i="11" s="1"/>
  <c r="O24" i="11"/>
  <c r="O23" i="11"/>
  <c r="L15" i="15"/>
  <c r="D15" i="16"/>
  <c r="M15" i="16" s="1"/>
  <c r="I7" i="11"/>
  <c r="H7" i="11"/>
  <c r="G7" i="11"/>
  <c r="M22" i="16"/>
  <c r="L67" i="11"/>
  <c r="L66" i="11"/>
  <c r="M7" i="16"/>
  <c r="K59" i="11"/>
  <c r="K53" i="11"/>
  <c r="K44" i="11"/>
  <c r="K51" i="11"/>
  <c r="K62" i="11"/>
  <c r="K45" i="11"/>
  <c r="M18" i="16"/>
  <c r="E16" i="23"/>
  <c r="F16" i="23" s="1"/>
  <c r="C16" i="16"/>
  <c r="M16" i="15"/>
  <c r="J16" i="15"/>
  <c r="L59" i="11"/>
  <c r="L58" i="11"/>
  <c r="L60" i="11"/>
  <c r="F22" i="23"/>
  <c r="L22" i="16"/>
  <c r="D8" i="24"/>
  <c r="F8" i="24" s="1"/>
  <c r="B8" i="24" s="1"/>
  <c r="E19" i="23" s="1"/>
  <c r="F19" i="23" s="1"/>
  <c r="F7" i="24"/>
  <c r="B7" i="24" s="1"/>
  <c r="E18" i="23" s="1"/>
  <c r="F18" i="23" s="1"/>
  <c r="G12" i="7"/>
  <c r="M16" i="5"/>
  <c r="G58" i="11"/>
  <c r="F58" i="11"/>
  <c r="P27" i="11"/>
  <c r="P29" i="11"/>
  <c r="P20" i="11"/>
  <c r="P18" i="11"/>
  <c r="P23" i="11"/>
  <c r="P19" i="11"/>
  <c r="P17" i="11"/>
  <c r="Q12" i="11"/>
  <c r="W12" i="11"/>
  <c r="S12" i="11"/>
  <c r="R12" i="11"/>
  <c r="H8" i="11"/>
  <c r="I5" i="11"/>
  <c r="H5" i="11"/>
  <c r="G5" i="11"/>
  <c r="E7" i="23"/>
  <c r="F7" i="23" s="1"/>
  <c r="S33" i="11"/>
  <c r="O15" i="6"/>
  <c r="C5" i="8" s="1"/>
  <c r="D5" i="8" s="1"/>
  <c r="L9" i="15"/>
  <c r="M9" i="15" s="1"/>
  <c r="D9" i="16"/>
  <c r="L7" i="15"/>
  <c r="M7" i="15" s="1"/>
  <c r="D7" i="16"/>
  <c r="L7" i="16" s="1"/>
  <c r="O27" i="11"/>
  <c r="O26" i="11"/>
  <c r="R26" i="11" s="1"/>
  <c r="O30" i="11"/>
  <c r="O31" i="11"/>
  <c r="C9" i="16"/>
  <c r="J9" i="15"/>
  <c r="O9" i="23"/>
  <c r="O26" i="23" s="1"/>
  <c r="I9" i="16"/>
  <c r="D61" i="11"/>
  <c r="E27" i="3"/>
  <c r="J15" i="15"/>
  <c r="C15" i="16"/>
  <c r="M15" i="15"/>
  <c r="K5" i="16"/>
  <c r="P5" i="23"/>
  <c r="E55" i="11"/>
  <c r="H15" i="3"/>
  <c r="G15" i="3"/>
  <c r="K16" i="16"/>
  <c r="P16" i="23"/>
  <c r="E44" i="11"/>
  <c r="G44" i="11" s="1"/>
  <c r="H6" i="3"/>
  <c r="L53" i="11"/>
  <c r="L54" i="11"/>
  <c r="L51" i="11"/>
  <c r="L50" i="11"/>
  <c r="L52" i="11"/>
  <c r="C22" i="16"/>
  <c r="M22" i="15"/>
  <c r="P22" i="15" s="1"/>
  <c r="J22" i="15"/>
  <c r="J18" i="15"/>
  <c r="C18" i="16"/>
  <c r="M18" i="15"/>
  <c r="W8" i="11"/>
  <c r="N18" i="15" s="1"/>
  <c r="O18" i="15" s="1"/>
  <c r="S8" i="11"/>
  <c r="R8" i="11"/>
  <c r="Q8" i="11"/>
  <c r="W10" i="11"/>
  <c r="X11" i="11" s="1"/>
  <c r="N22" i="15" s="1"/>
  <c r="O22" i="15" s="1"/>
  <c r="S10" i="11"/>
  <c r="R10" i="11"/>
  <c r="U10" i="11" s="1"/>
  <c r="Q10" i="11"/>
  <c r="T10" i="11" s="1"/>
  <c r="Q17" i="23"/>
  <c r="M14" i="5"/>
  <c r="G10" i="7"/>
  <c r="H9" i="3"/>
  <c r="I8" i="11"/>
  <c r="V8" i="11" s="1"/>
  <c r="M14" i="15" l="1"/>
  <c r="M10" i="15"/>
  <c r="F36" i="23"/>
  <c r="F24" i="23"/>
  <c r="F37" i="23"/>
  <c r="U8" i="11"/>
  <c r="D22" i="25"/>
  <c r="M66" i="11"/>
  <c r="M12" i="7"/>
  <c r="L12" i="7"/>
  <c r="M49" i="11"/>
  <c r="M8" i="7"/>
  <c r="L8" i="7"/>
  <c r="I29" i="2"/>
  <c r="B3" i="8"/>
  <c r="D3" i="8" s="1"/>
  <c r="W15" i="11"/>
  <c r="R15" i="11"/>
  <c r="Q15" i="11"/>
  <c r="S15" i="11"/>
  <c r="Q30" i="11"/>
  <c r="W30" i="11"/>
  <c r="R30" i="11"/>
  <c r="S30" i="11"/>
  <c r="K58" i="11"/>
  <c r="K56" i="11"/>
  <c r="K65" i="11"/>
  <c r="K55" i="11"/>
  <c r="K61" i="11" s="1"/>
  <c r="K57" i="11"/>
  <c r="D4" i="25"/>
  <c r="D5" i="25"/>
  <c r="F5" i="25" s="1"/>
  <c r="B5" i="25" s="1"/>
  <c r="G27" i="3"/>
  <c r="B10" i="8" s="1"/>
  <c r="D7" i="25"/>
  <c r="M46" i="11"/>
  <c r="M47" i="11"/>
  <c r="M9" i="7"/>
  <c r="L9" i="7"/>
  <c r="V18" i="11"/>
  <c r="S18" i="11"/>
  <c r="R18" i="11"/>
  <c r="Q18" i="11"/>
  <c r="W18" i="11"/>
  <c r="N23" i="15" s="1"/>
  <c r="O23" i="15" s="1"/>
  <c r="P23" i="15" s="1"/>
  <c r="Q23" i="15" s="1"/>
  <c r="T8" i="11"/>
  <c r="M50" i="11"/>
  <c r="D13" i="25"/>
  <c r="L10" i="7"/>
  <c r="M10" i="7"/>
  <c r="Q22" i="15"/>
  <c r="J24" i="15"/>
  <c r="S20" i="11"/>
  <c r="R20" i="11"/>
  <c r="U20" i="11" s="1"/>
  <c r="Q20" i="11"/>
  <c r="T20" i="11" s="1"/>
  <c r="W20" i="11"/>
  <c r="X22" i="11" s="1"/>
  <c r="N8" i="15" s="1"/>
  <c r="O8" i="15" s="1"/>
  <c r="P8" i="15" s="1"/>
  <c r="Q8" i="15" s="1"/>
  <c r="S8" i="15" s="1"/>
  <c r="E8" i="16" s="1"/>
  <c r="L17" i="16"/>
  <c r="M13" i="16"/>
  <c r="F68" i="11"/>
  <c r="G68" i="11"/>
  <c r="M64" i="11"/>
  <c r="D21" i="25"/>
  <c r="M11" i="7"/>
  <c r="L11" i="7"/>
  <c r="W24" i="11"/>
  <c r="S24" i="11"/>
  <c r="Q24" i="11"/>
  <c r="R24" i="11"/>
  <c r="E4" i="23"/>
  <c r="F4" i="23" s="1"/>
  <c r="Q25" i="11"/>
  <c r="F22" i="24"/>
  <c r="B22" i="24" s="1"/>
  <c r="F21" i="24"/>
  <c r="B21" i="24" s="1"/>
  <c r="E12" i="23" s="1"/>
  <c r="F12" i="23" s="1"/>
  <c r="F20" i="24"/>
  <c r="B20" i="24" s="1"/>
  <c r="E11" i="23" s="1"/>
  <c r="F11" i="23" s="1"/>
  <c r="O51" i="11"/>
  <c r="N51" i="11"/>
  <c r="M59" i="11"/>
  <c r="R51" i="11"/>
  <c r="H27" i="3"/>
  <c r="B11" i="8" s="1"/>
  <c r="M24" i="15"/>
  <c r="P15" i="15"/>
  <c r="Q15" i="15" s="1"/>
  <c r="G55" i="11"/>
  <c r="F55" i="11"/>
  <c r="S29" i="11"/>
  <c r="R29" i="11"/>
  <c r="Q29" i="11"/>
  <c r="W29" i="11"/>
  <c r="X29" i="11" s="1"/>
  <c r="N12" i="15" s="1"/>
  <c r="O12" i="15" s="1"/>
  <c r="P12" i="15" s="1"/>
  <c r="Q12" i="15" s="1"/>
  <c r="S12" i="15" s="1"/>
  <c r="E12" i="16" s="1"/>
  <c r="D16" i="16"/>
  <c r="M16" i="16" s="1"/>
  <c r="M24" i="16" s="1"/>
  <c r="C26" i="16"/>
  <c r="R25" i="11"/>
  <c r="V20" i="11"/>
  <c r="D17" i="24"/>
  <c r="F17" i="24" s="1"/>
  <c r="B17" i="24" s="1"/>
  <c r="D16" i="24"/>
  <c r="F16" i="24" s="1"/>
  <c r="B16" i="24" s="1"/>
  <c r="E8" i="23" s="1"/>
  <c r="F8" i="23" s="1"/>
  <c r="R44" i="11"/>
  <c r="N16" i="16" s="1"/>
  <c r="O16" i="16" s="1"/>
  <c r="N44" i="11"/>
  <c r="O44" i="11"/>
  <c r="F43" i="11"/>
  <c r="G43" i="11"/>
  <c r="V23" i="11"/>
  <c r="G56" i="11"/>
  <c r="F56" i="11"/>
  <c r="J10" i="15"/>
  <c r="V19" i="11"/>
  <c r="M19" i="16"/>
  <c r="M6" i="15"/>
  <c r="S22" i="15"/>
  <c r="E22" i="16" s="1"/>
  <c r="J22" i="16" s="1"/>
  <c r="V10" i="11"/>
  <c r="Q15" i="23"/>
  <c r="R15" i="23" s="1"/>
  <c r="L16" i="16"/>
  <c r="M11" i="16"/>
  <c r="Q27" i="11"/>
  <c r="T26" i="11" s="1"/>
  <c r="P31" i="11"/>
  <c r="W27" i="11"/>
  <c r="R27" i="11"/>
  <c r="U26" i="11" s="1"/>
  <c r="S27" i="11"/>
  <c r="V26" i="11" s="1"/>
  <c r="M9" i="16"/>
  <c r="Q19" i="15"/>
  <c r="S19" i="15" s="1"/>
  <c r="E19" i="16" s="1"/>
  <c r="J19" i="16" s="1"/>
  <c r="T9" i="11"/>
  <c r="J6" i="15"/>
  <c r="X27" i="11"/>
  <c r="N11" i="15" s="1"/>
  <c r="O11" i="15" s="1"/>
  <c r="J14" i="15"/>
  <c r="G46" i="11"/>
  <c r="F46" i="11"/>
  <c r="L15" i="16"/>
  <c r="L23" i="16"/>
  <c r="S16" i="11"/>
  <c r="S32" i="11" s="1"/>
  <c r="R16" i="11"/>
  <c r="Q16" i="11"/>
  <c r="G61" i="11"/>
  <c r="F61" i="11"/>
  <c r="N52" i="11"/>
  <c r="O52" i="11"/>
  <c r="S23" i="11"/>
  <c r="R23" i="11"/>
  <c r="U23" i="11" s="1"/>
  <c r="Q23" i="11"/>
  <c r="T23" i="11" s="1"/>
  <c r="W23" i="11"/>
  <c r="X25" i="11" s="1"/>
  <c r="N9" i="15" s="1"/>
  <c r="O9" i="15" s="1"/>
  <c r="P9" i="15" s="1"/>
  <c r="Q9" i="15" s="1"/>
  <c r="S9" i="15" s="1"/>
  <c r="E9" i="16" s="1"/>
  <c r="V28" i="11"/>
  <c r="D11" i="25"/>
  <c r="F11" i="25" s="1"/>
  <c r="B11" i="25" s="1"/>
  <c r="Q22" i="23" s="1"/>
  <c r="R22" i="23" s="1"/>
  <c r="M48" i="11"/>
  <c r="M7" i="7"/>
  <c r="M15" i="7" s="1"/>
  <c r="C11" i="8" s="1"/>
  <c r="L7" i="7"/>
  <c r="L15" i="7" s="1"/>
  <c r="C10" i="8" s="1"/>
  <c r="O43" i="11"/>
  <c r="N43" i="11"/>
  <c r="R43" i="11"/>
  <c r="N15" i="16" s="1"/>
  <c r="O15" i="16" s="1"/>
  <c r="P15" i="16" s="1"/>
  <c r="L63" i="11"/>
  <c r="L62" i="11"/>
  <c r="L61" i="11"/>
  <c r="X16" i="11"/>
  <c r="N4" i="15" s="1"/>
  <c r="O4" i="15" s="1"/>
  <c r="W17" i="11"/>
  <c r="N5" i="15" s="1"/>
  <c r="O5" i="15" s="1"/>
  <c r="P5" i="15" s="1"/>
  <c r="Q5" i="15" s="1"/>
  <c r="S17" i="11"/>
  <c r="R17" i="11"/>
  <c r="Q17" i="11"/>
  <c r="F19" i="16"/>
  <c r="D5" i="16"/>
  <c r="M5" i="16" s="1"/>
  <c r="T28" i="11"/>
  <c r="Q22" i="11"/>
  <c r="Q26" i="11"/>
  <c r="T12" i="11"/>
  <c r="R53" i="11"/>
  <c r="M62" i="11"/>
  <c r="O53" i="11"/>
  <c r="N53" i="11"/>
  <c r="M12" i="16"/>
  <c r="T17" i="11"/>
  <c r="T18" i="11"/>
  <c r="L9" i="16"/>
  <c r="V5" i="11"/>
  <c r="W21" i="11"/>
  <c r="S21" i="11"/>
  <c r="R21" i="11"/>
  <c r="Q21" i="11"/>
  <c r="P18" i="15"/>
  <c r="Q18" i="15" s="1"/>
  <c r="S18" i="15" s="1"/>
  <c r="E18" i="16" s="1"/>
  <c r="Q16" i="23"/>
  <c r="R16" i="23" s="1"/>
  <c r="W19" i="11"/>
  <c r="N7" i="15" s="1"/>
  <c r="O7" i="15" s="1"/>
  <c r="P7" i="15" s="1"/>
  <c r="S19" i="11"/>
  <c r="R19" i="11"/>
  <c r="U19" i="11" s="1"/>
  <c r="Q19" i="11"/>
  <c r="T19" i="11" s="1"/>
  <c r="W5" i="11"/>
  <c r="N15" i="15" s="1"/>
  <c r="O15" i="15" s="1"/>
  <c r="P7" i="11"/>
  <c r="S5" i="11"/>
  <c r="P6" i="11"/>
  <c r="R5" i="11"/>
  <c r="Q5" i="11"/>
  <c r="U28" i="11"/>
  <c r="N54" i="11"/>
  <c r="M60" i="11"/>
  <c r="M63" i="11"/>
  <c r="O54" i="11"/>
  <c r="R54" i="11"/>
  <c r="L18" i="16"/>
  <c r="S23" i="15"/>
  <c r="E23" i="16" s="1"/>
  <c r="J23" i="16" s="1"/>
  <c r="R45" i="11"/>
  <c r="N17" i="16" s="1"/>
  <c r="O17" i="16" s="1"/>
  <c r="P17" i="16" s="1"/>
  <c r="O45" i="11"/>
  <c r="Q45" i="11" s="1"/>
  <c r="N45" i="11"/>
  <c r="P45" i="11" s="1"/>
  <c r="I26" i="16"/>
  <c r="U17" i="11"/>
  <c r="U18" i="11"/>
  <c r="J18" i="16" l="1"/>
  <c r="F18" i="16"/>
  <c r="M6" i="16"/>
  <c r="S15" i="15"/>
  <c r="E15" i="16" s="1"/>
  <c r="J8" i="16"/>
  <c r="F8" i="16"/>
  <c r="J9" i="16"/>
  <c r="F9" i="16"/>
  <c r="J12" i="16"/>
  <c r="F12" i="16"/>
  <c r="P10" i="15"/>
  <c r="Q7" i="15"/>
  <c r="O6" i="15"/>
  <c r="L5" i="16"/>
  <c r="M14" i="16"/>
  <c r="Q43" i="11"/>
  <c r="F14" i="23"/>
  <c r="F30" i="23" s="1"/>
  <c r="O64" i="11"/>
  <c r="N64" i="11"/>
  <c r="M68" i="11"/>
  <c r="R64" i="11"/>
  <c r="D25" i="25"/>
  <c r="F25" i="25" s="1"/>
  <c r="B25" i="25" s="1"/>
  <c r="F13" i="25"/>
  <c r="B13" i="25" s="1"/>
  <c r="D12" i="25" s="1"/>
  <c r="F12" i="25" s="1"/>
  <c r="B12" i="25" s="1"/>
  <c r="D20" i="25"/>
  <c r="D15" i="25"/>
  <c r="F15" i="25" s="1"/>
  <c r="B15" i="25" s="1"/>
  <c r="D8" i="25"/>
  <c r="F8" i="25" s="1"/>
  <c r="B8" i="25" s="1"/>
  <c r="Q19" i="23" s="1"/>
  <c r="R19" i="23" s="1"/>
  <c r="F7" i="25"/>
  <c r="B7" i="25" s="1"/>
  <c r="Q18" i="23" s="1"/>
  <c r="R18" i="23" s="1"/>
  <c r="R37" i="23" s="1"/>
  <c r="R46" i="11"/>
  <c r="N18" i="16" s="1"/>
  <c r="O18" i="16" s="1"/>
  <c r="P18" i="16" s="1"/>
  <c r="N46" i="11"/>
  <c r="O46" i="11"/>
  <c r="Q46" i="11" s="1"/>
  <c r="Q22" i="16"/>
  <c r="R22" i="16" s="1"/>
  <c r="P43" i="11"/>
  <c r="O50" i="11"/>
  <c r="Q50" i="11" s="1"/>
  <c r="M56" i="11"/>
  <c r="N50" i="11"/>
  <c r="P50" i="11" s="1"/>
  <c r="M69" i="11"/>
  <c r="M65" i="11"/>
  <c r="M57" i="11"/>
  <c r="M61" i="11"/>
  <c r="M55" i="11"/>
  <c r="R50" i="11"/>
  <c r="S54" i="11" s="1"/>
  <c r="N4" i="16" s="1"/>
  <c r="O4" i="16" s="1"/>
  <c r="M67" i="11"/>
  <c r="M58" i="11"/>
  <c r="R66" i="11"/>
  <c r="O66" i="11"/>
  <c r="N66" i="11"/>
  <c r="R48" i="11"/>
  <c r="S49" i="11" s="1"/>
  <c r="N22" i="16" s="1"/>
  <c r="O22" i="16" s="1"/>
  <c r="P22" i="16" s="1"/>
  <c r="O48" i="11"/>
  <c r="N48" i="11"/>
  <c r="P11" i="15"/>
  <c r="Q11" i="15" s="1"/>
  <c r="R62" i="11"/>
  <c r="O62" i="11"/>
  <c r="N62" i="11"/>
  <c r="V12" i="11"/>
  <c r="D11" i="8"/>
  <c r="W6" i="11"/>
  <c r="N16" i="15" s="1"/>
  <c r="O16" i="15" s="1"/>
  <c r="P16" i="15" s="1"/>
  <c r="Q16" i="15" s="1"/>
  <c r="S16" i="15" s="1"/>
  <c r="E16" i="16" s="1"/>
  <c r="S6" i="11"/>
  <c r="V6" i="11" s="1"/>
  <c r="R6" i="11"/>
  <c r="U6" i="11" s="1"/>
  <c r="Q6" i="11"/>
  <c r="Q34" i="11" s="1"/>
  <c r="S34" i="11"/>
  <c r="V17" i="11"/>
  <c r="F22" i="16"/>
  <c r="P46" i="11"/>
  <c r="P4" i="15"/>
  <c r="Q4" i="15" s="1"/>
  <c r="F23" i="16"/>
  <c r="D10" i="8"/>
  <c r="R49" i="11"/>
  <c r="O49" i="11"/>
  <c r="N49" i="11"/>
  <c r="O73" i="11"/>
  <c r="R63" i="11"/>
  <c r="O63" i="11"/>
  <c r="N63" i="11"/>
  <c r="S7" i="11"/>
  <c r="V7" i="11" s="1"/>
  <c r="R7" i="11"/>
  <c r="U7" i="11" s="1"/>
  <c r="Q7" i="11"/>
  <c r="T7" i="11" s="1"/>
  <c r="W7" i="11"/>
  <c r="N17" i="15" s="1"/>
  <c r="O17" i="15" s="1"/>
  <c r="P17" i="15" s="1"/>
  <c r="Q17" i="15" s="1"/>
  <c r="S17" i="15" s="1"/>
  <c r="E17" i="16" s="1"/>
  <c r="Q32" i="11"/>
  <c r="J26" i="15"/>
  <c r="R36" i="23"/>
  <c r="M26" i="15"/>
  <c r="P6" i="15"/>
  <c r="R59" i="11"/>
  <c r="O59" i="11"/>
  <c r="N59" i="11"/>
  <c r="F6" i="23"/>
  <c r="F34" i="23"/>
  <c r="O10" i="15"/>
  <c r="N60" i="11"/>
  <c r="N71" i="11" s="1"/>
  <c r="N72" i="11" s="1"/>
  <c r="O60" i="11"/>
  <c r="O71" i="11" s="1"/>
  <c r="O72" i="11" s="1"/>
  <c r="R60" i="11"/>
  <c r="O24" i="15"/>
  <c r="P24" i="15" s="1"/>
  <c r="U5" i="11"/>
  <c r="T5" i="11"/>
  <c r="N73" i="11"/>
  <c r="R32" i="11"/>
  <c r="W31" i="11"/>
  <c r="X31" i="11" s="1"/>
  <c r="N13" i="15" s="1"/>
  <c r="O13" i="15" s="1"/>
  <c r="S31" i="11"/>
  <c r="V30" i="11" s="1"/>
  <c r="R31" i="11"/>
  <c r="U30" i="11" s="1"/>
  <c r="Q31" i="11"/>
  <c r="T30" i="11" s="1"/>
  <c r="U12" i="11"/>
  <c r="B18" i="24"/>
  <c r="E9" i="23"/>
  <c r="F9" i="23" s="1"/>
  <c r="F35" i="23" s="1"/>
  <c r="O47" i="11"/>
  <c r="Q47" i="11" s="1"/>
  <c r="N47" i="11"/>
  <c r="P47" i="11" s="1"/>
  <c r="R47" i="11"/>
  <c r="N19" i="16" s="1"/>
  <c r="O19" i="16" s="1"/>
  <c r="P19" i="16" s="1"/>
  <c r="Q19" i="16" s="1"/>
  <c r="R19" i="16" s="1"/>
  <c r="M10" i="16"/>
  <c r="P13" i="15" l="1"/>
  <c r="Q13" i="15" s="1"/>
  <c r="S13" i="15" s="1"/>
  <c r="O14" i="15"/>
  <c r="P14" i="15" s="1"/>
  <c r="V32" i="11"/>
  <c r="S4" i="15"/>
  <c r="E4" i="16" s="1"/>
  <c r="Q6" i="15"/>
  <c r="R69" i="11"/>
  <c r="O69" i="11"/>
  <c r="N69" i="11"/>
  <c r="D14" i="25"/>
  <c r="F14" i="25" s="1"/>
  <c r="B14" i="25" s="1"/>
  <c r="Q23" i="23" s="1"/>
  <c r="R23" i="23" s="1"/>
  <c r="Q4" i="23"/>
  <c r="R4" i="23" s="1"/>
  <c r="Q10" i="15"/>
  <c r="S7" i="15"/>
  <c r="E7" i="16" s="1"/>
  <c r="J15" i="16"/>
  <c r="F15" i="16"/>
  <c r="P26" i="15"/>
  <c r="J17" i="16"/>
  <c r="Q17" i="16" s="1"/>
  <c r="R17" i="16" s="1"/>
  <c r="F17" i="16"/>
  <c r="F10" i="23"/>
  <c r="R67" i="11"/>
  <c r="O67" i="11"/>
  <c r="N67" i="11"/>
  <c r="P66" i="11" s="1"/>
  <c r="N56" i="11"/>
  <c r="P56" i="11" s="1"/>
  <c r="R56" i="11"/>
  <c r="N23" i="16" s="1"/>
  <c r="O23" i="16" s="1"/>
  <c r="O56" i="11"/>
  <c r="Q56" i="11" s="1"/>
  <c r="Q24" i="15"/>
  <c r="R58" i="11"/>
  <c r="S60" i="11" s="1"/>
  <c r="N8" i="16" s="1"/>
  <c r="O8" i="16" s="1"/>
  <c r="P8" i="16" s="1"/>
  <c r="Q8" i="16" s="1"/>
  <c r="R8" i="16" s="1"/>
  <c r="O58" i="11"/>
  <c r="Q58" i="11" s="1"/>
  <c r="N58" i="11"/>
  <c r="P58" i="11" s="1"/>
  <c r="P48" i="11"/>
  <c r="J16" i="16"/>
  <c r="F16" i="16"/>
  <c r="R34" i="11"/>
  <c r="P4" i="16"/>
  <c r="O68" i="11"/>
  <c r="Q68" i="11" s="1"/>
  <c r="N68" i="11"/>
  <c r="P68" i="11" s="1"/>
  <c r="R68" i="11"/>
  <c r="S69" i="11" s="1"/>
  <c r="N13" i="16" s="1"/>
  <c r="O13" i="16" s="1"/>
  <c r="P13" i="16" s="1"/>
  <c r="Q13" i="16" s="1"/>
  <c r="R13" i="16" s="1"/>
  <c r="F29" i="23"/>
  <c r="F31" i="23" s="1"/>
  <c r="F26" i="23"/>
  <c r="O26" i="15"/>
  <c r="M26" i="16"/>
  <c r="T32" i="11"/>
  <c r="Q48" i="11"/>
  <c r="R55" i="11"/>
  <c r="N5" i="16" s="1"/>
  <c r="O5" i="16" s="1"/>
  <c r="P5" i="16" s="1"/>
  <c r="Q5" i="16" s="1"/>
  <c r="O55" i="11"/>
  <c r="N55" i="11"/>
  <c r="P55" i="11" s="1"/>
  <c r="U32" i="11"/>
  <c r="R24" i="23"/>
  <c r="R61" i="11"/>
  <c r="S63" i="11" s="1"/>
  <c r="N9" i="16" s="1"/>
  <c r="O9" i="16" s="1"/>
  <c r="P9" i="16" s="1"/>
  <c r="Q9" i="16" s="1"/>
  <c r="R9" i="16" s="1"/>
  <c r="O61" i="11"/>
  <c r="Q61" i="11" s="1"/>
  <c r="N61" i="11"/>
  <c r="P61" i="11" s="1"/>
  <c r="Q66" i="11"/>
  <c r="D17" i="25"/>
  <c r="F17" i="25" s="1"/>
  <c r="B17" i="25" s="1"/>
  <c r="D16" i="25"/>
  <c r="F16" i="25" s="1"/>
  <c r="B16" i="25" s="1"/>
  <c r="Q8" i="23" s="1"/>
  <c r="R8" i="23" s="1"/>
  <c r="Q7" i="23"/>
  <c r="R7" i="23" s="1"/>
  <c r="Q14" i="15"/>
  <c r="S11" i="15"/>
  <c r="E11" i="16" s="1"/>
  <c r="O57" i="11"/>
  <c r="Q57" i="11" s="1"/>
  <c r="N57" i="11"/>
  <c r="P57" i="11" s="1"/>
  <c r="R57" i="11"/>
  <c r="N7" i="16" s="1"/>
  <c r="O7" i="16" s="1"/>
  <c r="S67" i="11"/>
  <c r="N12" i="16" s="1"/>
  <c r="O12" i="16" s="1"/>
  <c r="P12" i="16" s="1"/>
  <c r="Q12" i="16" s="1"/>
  <c r="R12" i="16" s="1"/>
  <c r="R65" i="11"/>
  <c r="S65" i="11" s="1"/>
  <c r="N11" i="16" s="1"/>
  <c r="O11" i="16" s="1"/>
  <c r="O65" i="11"/>
  <c r="Q64" i="11" s="1"/>
  <c r="N65" i="11"/>
  <c r="P64" i="11" s="1"/>
  <c r="F21" i="25"/>
  <c r="B21" i="25" s="1"/>
  <c r="Q12" i="23" s="1"/>
  <c r="R12" i="23" s="1"/>
  <c r="F20" i="25"/>
  <c r="B20" i="25" s="1"/>
  <c r="Q11" i="23" s="1"/>
  <c r="R11" i="23" s="1"/>
  <c r="F22" i="25"/>
  <c r="B22" i="25" s="1"/>
  <c r="Q13" i="23" s="1"/>
  <c r="R13" i="23" s="1"/>
  <c r="Q18" i="16"/>
  <c r="R18" i="16" s="1"/>
  <c r="P70" i="11" l="1"/>
  <c r="Q70" i="11"/>
  <c r="O14" i="16"/>
  <c r="P14" i="16" s="1"/>
  <c r="P11" i="16"/>
  <c r="F24" i="16"/>
  <c r="Q15" i="16"/>
  <c r="J24" i="16"/>
  <c r="R14" i="23"/>
  <c r="R30" i="23" s="1"/>
  <c r="O6" i="16"/>
  <c r="J7" i="16"/>
  <c r="F7" i="16"/>
  <c r="F10" i="16" s="1"/>
  <c r="Q26" i="15"/>
  <c r="B18" i="25"/>
  <c r="Q9" i="23"/>
  <c r="R9" i="23" s="1"/>
  <c r="R35" i="23" s="1"/>
  <c r="J11" i="16"/>
  <c r="F11" i="16"/>
  <c r="F14" i="16" s="1"/>
  <c r="J4" i="16"/>
  <c r="F4" i="16"/>
  <c r="F6" i="16" s="1"/>
  <c r="O10" i="16"/>
  <c r="P7" i="16"/>
  <c r="P10" i="16" s="1"/>
  <c r="R6" i="23"/>
  <c r="R34" i="23"/>
  <c r="P23" i="16"/>
  <c r="Q23" i="16" s="1"/>
  <c r="R23" i="16" s="1"/>
  <c r="O24" i="16"/>
  <c r="P24" i="16" s="1"/>
  <c r="Q24" i="16" l="1"/>
  <c r="R15" i="16"/>
  <c r="R10" i="23"/>
  <c r="J14" i="16"/>
  <c r="Q11" i="16"/>
  <c r="R29" i="23"/>
  <c r="R31" i="23" s="1"/>
  <c r="R26" i="23"/>
  <c r="F26" i="16"/>
  <c r="Q7" i="16"/>
  <c r="J10" i="16"/>
  <c r="J6" i="16"/>
  <c r="Q4" i="16"/>
  <c r="O26" i="16"/>
  <c r="P6" i="16"/>
  <c r="P26" i="16" s="1"/>
  <c r="J26" i="16" l="1"/>
  <c r="R11" i="16"/>
  <c r="Q14" i="16"/>
  <c r="R4" i="16"/>
  <c r="Q6" i="16"/>
  <c r="Q10" i="16"/>
  <c r="R7" i="16"/>
  <c r="Q26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取去年平均加工费</t>
        </r>
      </text>
    </comment>
    <comment ref="E3" authorId="0" shapeId="0" xr:uid="{00000000-0006-0000-0900-000002000000}">
      <text>
        <r>
          <rPr>
            <b/>
            <sz val="9"/>
            <rFont val="宋体"/>
            <family val="3"/>
            <charset val="134"/>
          </rPr>
          <t>取上年平均消耗</t>
        </r>
      </text>
    </comment>
    <comment ref="D4" authorId="0" shapeId="0" xr:uid="{00000000-0006-0000-0900-000003000000}">
      <text>
        <r>
          <rPr>
            <b/>
            <sz val="9"/>
            <rFont val="宋体"/>
            <family val="3"/>
            <charset val="134"/>
          </rPr>
          <t>加70.8优惠</t>
        </r>
      </text>
    </comment>
    <comment ref="B6" authorId="0" shapeId="0" xr:uid="{00000000-0006-0000-0900-000004000000}">
      <text>
        <r>
          <rPr>
            <sz val="9"/>
            <rFont val="宋体"/>
            <family val="3"/>
            <charset val="134"/>
          </rPr>
          <t xml:space="preserve">减去税70.8元优惠
</t>
        </r>
      </text>
    </comment>
    <comment ref="D26" authorId="0" shapeId="0" xr:uid="{00000000-0006-0000-0900-000005000000}">
      <text>
        <r>
          <rPr>
            <b/>
            <sz val="9"/>
            <rFont val="宋体"/>
            <family val="3"/>
            <charset val="134"/>
          </rPr>
          <t>加70.8优惠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2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取去年平均加工费</t>
        </r>
      </text>
    </comment>
    <comment ref="E3" authorId="0" shapeId="0" xr:uid="{00000000-0006-0000-0A00-000002000000}">
      <text>
        <r>
          <rPr>
            <b/>
            <sz val="9"/>
            <rFont val="宋体"/>
            <family val="3"/>
            <charset val="134"/>
          </rPr>
          <t>取上年平均消耗</t>
        </r>
      </text>
    </comment>
    <comment ref="D4" authorId="0" shapeId="0" xr:uid="{00000000-0006-0000-0A00-000003000000}">
      <text>
        <r>
          <rPr>
            <b/>
            <sz val="9"/>
            <rFont val="宋体"/>
            <family val="3"/>
            <charset val="134"/>
          </rPr>
          <t>加70.8优惠</t>
        </r>
      </text>
    </comment>
    <comment ref="B6" authorId="0" shapeId="0" xr:uid="{00000000-0006-0000-0A00-000004000000}">
      <text>
        <r>
          <rPr>
            <sz val="9"/>
            <rFont val="宋体"/>
            <family val="3"/>
            <charset val="134"/>
          </rPr>
          <t xml:space="preserve">减去税70.8元优惠
</t>
        </r>
      </text>
    </comment>
    <comment ref="D26" authorId="0" shapeId="0" xr:uid="{00000000-0006-0000-0A00-000005000000}">
      <text>
        <r>
          <rPr>
            <b/>
            <sz val="9"/>
            <rFont val="宋体"/>
            <family val="3"/>
            <charset val="134"/>
          </rPr>
          <t>加70.8优惠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冯文静</author>
  </authors>
  <commentList>
    <comment ref="R2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上月销售及原料预算价--终板</t>
        </r>
      </text>
    </comment>
    <comment ref="C3" authorId="0" shapeId="0" xr:uid="{00000000-0006-0000-0C00-000002000000}">
      <text>
        <r>
          <rPr>
            <b/>
            <sz val="9"/>
            <rFont val="宋体"/>
            <family val="3"/>
            <charset val="134"/>
          </rPr>
          <t>经营月报-利润-本月完成-销量、价格、单位毛利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C21" authorId="0" shapeId="0" xr:uid="{00000000-0006-0000-0C00-000003000000}">
      <text>
        <r>
          <rPr>
            <b/>
            <sz val="9"/>
            <rFont val="宋体"/>
            <family val="3"/>
            <charset val="134"/>
          </rPr>
          <t>经营月报-产销存</t>
        </r>
      </text>
    </comment>
    <comment ref="D21" authorId="0" shapeId="0" xr:uid="{00000000-0006-0000-0C00-000004000000}">
      <text>
        <r>
          <rPr>
            <b/>
            <sz val="9"/>
            <rFont val="宋体"/>
            <family val="3"/>
            <charset val="134"/>
          </rPr>
          <t>经营月报-价格</t>
        </r>
      </text>
    </comment>
  </commentList>
</comments>
</file>

<file path=xl/sharedStrings.xml><?xml version="1.0" encoding="utf-8"?>
<sst xmlns="http://schemas.openxmlformats.org/spreadsheetml/2006/main" count="940" uniqueCount="371">
  <si>
    <t>2022年销售中心主要产品销售价格建议</t>
  </si>
  <si>
    <t>产品名称</t>
  </si>
  <si>
    <r>
      <rPr>
        <b/>
        <sz val="11"/>
        <rFont val="Times New Roman"/>
        <family val="1"/>
      </rPr>
      <t>2022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10</t>
    </r>
    <r>
      <rPr>
        <b/>
        <sz val="11"/>
        <rFont val="宋体"/>
        <family val="3"/>
        <charset val="134"/>
      </rPr>
      <t>月份</t>
    </r>
  </si>
  <si>
    <r>
      <rPr>
        <b/>
        <sz val="11"/>
        <rFont val="Times New Roman"/>
        <family val="1"/>
      </rPr>
      <t>2022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11</t>
    </r>
    <r>
      <rPr>
        <b/>
        <sz val="11"/>
        <rFont val="宋体"/>
        <family val="3"/>
        <charset val="134"/>
      </rPr>
      <t>月份建议</t>
    </r>
  </si>
  <si>
    <t>价格下降原因</t>
  </si>
  <si>
    <t>2022年12月份</t>
  </si>
  <si>
    <t>2023年1月份</t>
  </si>
  <si>
    <t>本月收入</t>
  </si>
  <si>
    <t>次月收入</t>
  </si>
  <si>
    <t>环比</t>
  </si>
  <si>
    <t>预算
均价</t>
  </si>
  <si>
    <t>销量
预计</t>
  </si>
  <si>
    <t>销售价格
预计</t>
  </si>
  <si>
    <t>库存</t>
  </si>
  <si>
    <t>销量</t>
  </si>
  <si>
    <t>建议价格</t>
  </si>
  <si>
    <t>预算均价
（报公司）</t>
  </si>
  <si>
    <t>部门提报价格</t>
  </si>
  <si>
    <t>专员
意见</t>
  </si>
  <si>
    <t>建议
均价</t>
  </si>
  <si>
    <t>消耗系数</t>
  </si>
  <si>
    <t>本月纯苯消耗</t>
  </si>
  <si>
    <t>次月纯苯消耗</t>
  </si>
  <si>
    <t>硝酸(60%)</t>
  </si>
  <si>
    <t>750-800</t>
  </si>
  <si>
    <t>硝酸(68%)</t>
  </si>
  <si>
    <t>硝酸(98%)</t>
  </si>
  <si>
    <t>1800-2200</t>
  </si>
  <si>
    <t>液氨</t>
  </si>
  <si>
    <t>3200-3700</t>
  </si>
  <si>
    <t>用肥淡季，尿素市场需求疲软，液氨供应量增加。</t>
  </si>
  <si>
    <t>硫酸(105%)</t>
  </si>
  <si>
    <t>硫酸(98%)</t>
  </si>
  <si>
    <t>380-600</t>
  </si>
  <si>
    <t>氯苯盐酸</t>
  </si>
  <si>
    <t>1-10</t>
  </si>
  <si>
    <t xml:space="preserve"> </t>
  </si>
  <si>
    <t>合成盐酸</t>
  </si>
  <si>
    <t>40-60</t>
  </si>
  <si>
    <t>烧碱(实物)</t>
  </si>
  <si>
    <t>1000-1380</t>
  </si>
  <si>
    <t>液氯运输管控结束，同行氯碱企业开工恢复，烧碱价格下行。</t>
  </si>
  <si>
    <t>苯胺</t>
  </si>
  <si>
    <t>9700-15000</t>
  </si>
  <si>
    <t>苯胺来料加工</t>
  </si>
  <si>
    <t>硝基苯</t>
  </si>
  <si>
    <t>环己胺</t>
  </si>
  <si>
    <t>15000-16000</t>
  </si>
  <si>
    <t>氯化苯</t>
  </si>
  <si>
    <t>7000-7600</t>
  </si>
  <si>
    <t>对硝</t>
  </si>
  <si>
    <t>9600-10500</t>
  </si>
  <si>
    <t>邻硝(DCB)</t>
  </si>
  <si>
    <t>4200-4800</t>
  </si>
  <si>
    <t>邻硝(普通)</t>
  </si>
  <si>
    <t>4100-4700</t>
  </si>
  <si>
    <t>间位油</t>
  </si>
  <si>
    <t>防老剂TMQ</t>
  </si>
  <si>
    <t>11500-15000</t>
  </si>
  <si>
    <t>11500-12500</t>
  </si>
  <si>
    <t>11500-13500</t>
  </si>
  <si>
    <t>防老剂TMQ
（来料加工）</t>
  </si>
  <si>
    <t>防老剂6PPD</t>
  </si>
  <si>
    <t>29000-32000</t>
  </si>
  <si>
    <t>27000-29000</t>
  </si>
  <si>
    <t>27000-30000</t>
  </si>
  <si>
    <t>防老剂6PPD液体</t>
  </si>
  <si>
    <t>防老剂4010NA</t>
  </si>
  <si>
    <t>28000-30000</t>
  </si>
  <si>
    <t>合计</t>
  </si>
  <si>
    <t>说明 ：纯苯按7850元/吨测算。</t>
  </si>
  <si>
    <t>2022年10月份产品销售量价与预算对比</t>
  </si>
  <si>
    <r>
      <rPr>
        <sz val="10"/>
        <rFont val="宋体"/>
        <family val="3"/>
        <charset val="134"/>
      </rPr>
      <t>表</t>
    </r>
    <r>
      <rPr>
        <sz val="10"/>
        <rFont val="Times New Roman"/>
        <family val="1"/>
      </rPr>
      <t>1</t>
    </r>
  </si>
  <si>
    <r>
      <rPr>
        <sz val="10"/>
        <rFont val="宋体"/>
        <family val="3"/>
        <charset val="134"/>
      </rPr>
      <t>单位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吨、万元、去税</t>
    </r>
  </si>
  <si>
    <t>序号</t>
  </si>
  <si>
    <t>2022年度预算价格</t>
  </si>
  <si>
    <t>月度
预算量</t>
  </si>
  <si>
    <t>月度
预算价</t>
  </si>
  <si>
    <t>上月价格</t>
  </si>
  <si>
    <t>本月预计销量</t>
  </si>
  <si>
    <t>本月预计价格</t>
  </si>
  <si>
    <t>比年度预算价增收</t>
  </si>
  <si>
    <t>比月度预算价增收</t>
  </si>
  <si>
    <t>环比增收</t>
  </si>
  <si>
    <t>备  注</t>
  </si>
  <si>
    <t>硫酸（105%）</t>
  </si>
  <si>
    <t>硫酸（98%）</t>
  </si>
  <si>
    <t>烧碱（实物）</t>
  </si>
  <si>
    <t>苯胺(来料加工)</t>
  </si>
  <si>
    <t>环已胺</t>
  </si>
  <si>
    <t>邻硝</t>
  </si>
  <si>
    <t>防老剂TMQ（来料加工）</t>
  </si>
  <si>
    <r>
      <rPr>
        <sz val="11"/>
        <rFont val="宋体"/>
        <family val="3"/>
        <charset val="134"/>
      </rPr>
      <t>防老剂</t>
    </r>
    <r>
      <rPr>
        <sz val="10"/>
        <rFont val="Times New Roman"/>
        <family val="1"/>
      </rPr>
      <t>4010NA</t>
    </r>
  </si>
  <si>
    <r>
      <rPr>
        <b/>
        <sz val="20"/>
        <rFont val="Times New Roman"/>
        <family val="1"/>
      </rPr>
      <t>2022</t>
    </r>
    <r>
      <rPr>
        <b/>
        <sz val="20"/>
        <rFont val="宋体"/>
        <family val="3"/>
        <charset val="134"/>
      </rPr>
      <t>年</t>
    </r>
    <r>
      <rPr>
        <b/>
        <sz val="20"/>
        <rFont val="Times New Roman"/>
        <family val="1"/>
      </rPr>
      <t>11</t>
    </r>
    <r>
      <rPr>
        <b/>
        <sz val="20"/>
        <rFont val="宋体"/>
        <family val="3"/>
        <charset val="134"/>
      </rPr>
      <t>月份产品销售量价与预算对比</t>
    </r>
  </si>
  <si>
    <t>表2</t>
  </si>
  <si>
    <t>2022年度
预算价格
(基本目标）</t>
  </si>
  <si>
    <t>本月
建议销量</t>
  </si>
  <si>
    <t>本月
建议价格</t>
  </si>
  <si>
    <t>苯胺（来料加工）</t>
  </si>
  <si>
    <r>
      <rPr>
        <b/>
        <sz val="18"/>
        <rFont val="Times New Roman"/>
        <family val="1"/>
      </rPr>
      <t>2022</t>
    </r>
    <r>
      <rPr>
        <b/>
        <sz val="18"/>
        <rFont val="宋体"/>
        <family val="3"/>
        <charset val="134"/>
      </rPr>
      <t>年物装中心主要原料价格建议</t>
    </r>
  </si>
  <si>
    <r>
      <rPr>
        <b/>
        <sz val="11"/>
        <rFont val="Times New Roman"/>
        <family val="1"/>
      </rPr>
      <t>2022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12</t>
    </r>
    <r>
      <rPr>
        <b/>
        <sz val="11"/>
        <rFont val="宋体"/>
        <family val="3"/>
        <charset val="134"/>
      </rPr>
      <t>月份</t>
    </r>
  </si>
  <si>
    <r>
      <rPr>
        <b/>
        <sz val="11"/>
        <rFont val="Times New Roman"/>
        <family val="1"/>
      </rPr>
      <t>2023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</t>
    </r>
    <r>
      <rPr>
        <b/>
        <sz val="11"/>
        <rFont val="宋体"/>
        <family val="3"/>
        <charset val="134"/>
      </rPr>
      <t>月份</t>
    </r>
  </si>
  <si>
    <r>
      <rPr>
        <b/>
        <sz val="9"/>
        <rFont val="宋体"/>
        <family val="3"/>
        <charset val="134"/>
      </rPr>
      <t>执行</t>
    </r>
    <r>
      <rPr>
        <b/>
        <sz val="9"/>
        <rFont val="Times New Roman"/>
        <family val="1"/>
      </rPr>
      <t xml:space="preserve">     </t>
    </r>
    <r>
      <rPr>
        <b/>
        <sz val="9"/>
        <rFont val="宋体"/>
        <family val="3"/>
        <charset val="134"/>
      </rPr>
      <t>价格</t>
    </r>
  </si>
  <si>
    <t>采购量预计</t>
  </si>
  <si>
    <t>价格预计（含税）</t>
  </si>
  <si>
    <t>月末库存</t>
  </si>
  <si>
    <t>采购量</t>
  </si>
  <si>
    <t>执行价格（含税）</t>
  </si>
  <si>
    <t>执行价格（去税）</t>
  </si>
  <si>
    <t>内部运杂费</t>
  </si>
  <si>
    <t>预计结算价格</t>
  </si>
  <si>
    <r>
      <rPr>
        <b/>
        <sz val="9"/>
        <rFont val="宋体"/>
        <family val="3"/>
        <charset val="134"/>
      </rPr>
      <t>与上月实际比</t>
    </r>
    <r>
      <rPr>
        <b/>
        <sz val="9"/>
        <rFont val="Times New Roman"/>
        <family val="1"/>
      </rPr>
      <t>(</t>
    </r>
    <r>
      <rPr>
        <b/>
        <sz val="9"/>
        <rFont val="宋体"/>
        <family val="3"/>
        <charset val="134"/>
      </rPr>
      <t>±</t>
    </r>
    <r>
      <rPr>
        <b/>
        <sz val="9"/>
        <rFont val="Times New Roman"/>
        <family val="1"/>
      </rPr>
      <t>)</t>
    </r>
  </si>
  <si>
    <t>预计采购价（含税）</t>
  </si>
  <si>
    <t>11=7-3</t>
  </si>
  <si>
    <t>烟煤</t>
  </si>
  <si>
    <t>原料煤</t>
  </si>
  <si>
    <t>日晒盐</t>
  </si>
  <si>
    <t>精盐</t>
  </si>
  <si>
    <t>盐卤</t>
  </si>
  <si>
    <t>硫磺</t>
  </si>
  <si>
    <t>纯苯</t>
  </si>
  <si>
    <t>丙酮</t>
  </si>
  <si>
    <t>甲酮</t>
  </si>
  <si>
    <t>硝酸</t>
  </si>
  <si>
    <t>注：苯采购价按挂牌均价减去优惠678元/吨后计算</t>
  </si>
  <si>
    <r>
      <rPr>
        <b/>
        <sz val="20"/>
        <rFont val="Times New Roman"/>
        <family val="1"/>
      </rPr>
      <t>2022</t>
    </r>
    <r>
      <rPr>
        <b/>
        <sz val="20"/>
        <rFont val="宋体"/>
        <family val="3"/>
        <charset val="134"/>
      </rPr>
      <t>年</t>
    </r>
    <r>
      <rPr>
        <b/>
        <sz val="20"/>
        <rFont val="Times New Roman"/>
        <family val="1"/>
      </rPr>
      <t>10</t>
    </r>
    <r>
      <rPr>
        <b/>
        <sz val="20"/>
        <rFont val="宋体"/>
        <family val="3"/>
        <charset val="134"/>
      </rPr>
      <t>月份原燃料结算量价与预算对比</t>
    </r>
  </si>
  <si>
    <t>表3</t>
  </si>
  <si>
    <t>单位:元/吨、万元</t>
  </si>
  <si>
    <t>原料
名称</t>
  </si>
  <si>
    <t>年度预算价格</t>
  </si>
  <si>
    <t>月度预算耗用量</t>
  </si>
  <si>
    <t>东方耗用量</t>
  </si>
  <si>
    <t>月度预算结算价（去税）</t>
  </si>
  <si>
    <t>上月结算价(去税）</t>
  </si>
  <si>
    <t>本月采购价（含税）</t>
  </si>
  <si>
    <t>本月预计结算价(去税）</t>
  </si>
  <si>
    <t>本月预计采购量</t>
  </si>
  <si>
    <t>本月预计耗用量</t>
  </si>
  <si>
    <t>与年度预算价比降本（去税）</t>
  </si>
  <si>
    <t>与月度预算价比降本(去税）</t>
  </si>
  <si>
    <t>与上月结算价比降本（去税）</t>
  </si>
  <si>
    <t>9月末库存</t>
  </si>
  <si>
    <t>9月结算价</t>
  </si>
  <si>
    <t>供东方产品名称</t>
  </si>
  <si>
    <t>产品数量</t>
  </si>
  <si>
    <t>对应原料名称</t>
  </si>
  <si>
    <t>对应原料消耗数量</t>
  </si>
  <si>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</t>
    </r>
  </si>
  <si>
    <t>原 料 煤</t>
  </si>
  <si>
    <r>
      <rPr>
        <sz val="11"/>
        <rFont val="宋体"/>
        <family val="3"/>
        <charset val="134"/>
      </rPr>
      <t>原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料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煤</t>
    </r>
  </si>
  <si>
    <t>稀硝酸</t>
  </si>
  <si>
    <t>工业盐</t>
  </si>
  <si>
    <t>氢气</t>
  </si>
  <si>
    <t>105%硫酸</t>
  </si>
  <si>
    <t>国产硫磺</t>
  </si>
  <si>
    <t>烧碱(折百)</t>
  </si>
  <si>
    <t>环已酮</t>
  </si>
  <si>
    <t>环己酮耗氢</t>
  </si>
  <si>
    <r>
      <rPr>
        <sz val="11"/>
        <rFont val="宋体"/>
        <family val="3"/>
        <charset val="134"/>
      </rPr>
      <t>甲</t>
    </r>
    <r>
      <rPr>
        <sz val="11"/>
        <rFont val="Times New Roman"/>
        <family val="1"/>
      </rPr>
      <t xml:space="preserve">  </t>
    </r>
    <r>
      <rPr>
        <sz val="11"/>
        <rFont val="宋体"/>
        <family val="3"/>
        <charset val="134"/>
      </rPr>
      <t>酮</t>
    </r>
  </si>
  <si>
    <t>浓硝酸</t>
  </si>
  <si>
    <r>
      <rPr>
        <b/>
        <sz val="20"/>
        <rFont val="Times New Roman"/>
        <family val="1"/>
      </rPr>
      <t>2022</t>
    </r>
    <r>
      <rPr>
        <b/>
        <sz val="20"/>
        <rFont val="宋体"/>
        <family val="3"/>
        <charset val="134"/>
      </rPr>
      <t>年</t>
    </r>
    <r>
      <rPr>
        <b/>
        <sz val="20"/>
        <rFont val="Times New Roman"/>
        <family val="1"/>
      </rPr>
      <t>11</t>
    </r>
    <r>
      <rPr>
        <b/>
        <sz val="20"/>
        <rFont val="宋体"/>
        <family val="3"/>
        <charset val="134"/>
      </rPr>
      <t>月份原燃料结算量价与预算对比</t>
    </r>
  </si>
  <si>
    <t>表4</t>
  </si>
  <si>
    <r>
      <rPr>
        <b/>
        <sz val="11"/>
        <rFont val="宋体"/>
        <family val="3"/>
        <charset val="134"/>
      </rPr>
      <t>序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号</t>
    </r>
  </si>
  <si>
    <r>
      <rPr>
        <b/>
        <sz val="11"/>
        <rFont val="宋体"/>
        <family val="3"/>
        <charset val="134"/>
      </rPr>
      <t>原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料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名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称</t>
    </r>
  </si>
  <si>
    <t>上月预计采购价（含税）</t>
  </si>
  <si>
    <t>上月结算价格（去税）</t>
  </si>
  <si>
    <t>本月建议采购价（含税）</t>
  </si>
  <si>
    <t>本月预计
结算价</t>
  </si>
  <si>
    <t>本月建议采购量</t>
  </si>
  <si>
    <t>与上月采购价比降本（含税）</t>
  </si>
  <si>
    <t>东方
耗用量</t>
  </si>
  <si>
    <t>环比降本（去税）</t>
  </si>
  <si>
    <t>2022年销售中心副产品销售价格建议</t>
  </si>
  <si>
    <t>2022年销售中心产品出口价格建议</t>
  </si>
  <si>
    <t>品  种</t>
  </si>
  <si>
    <r>
      <rPr>
        <b/>
        <sz val="11"/>
        <rFont val="Times New Roman"/>
        <family val="1"/>
      </rPr>
      <t>2022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11</t>
    </r>
    <r>
      <rPr>
        <b/>
        <sz val="11"/>
        <rFont val="宋体"/>
        <family val="3"/>
        <charset val="134"/>
      </rPr>
      <t>月商品量</t>
    </r>
  </si>
  <si>
    <r>
      <rPr>
        <b/>
        <sz val="11"/>
        <rFont val="Times New Roman"/>
        <family val="1"/>
      </rPr>
      <t>2022</t>
    </r>
    <r>
      <rPr>
        <b/>
        <sz val="11"/>
        <rFont val="宋体"/>
        <family val="3"/>
        <charset val="134"/>
      </rPr>
      <t>年</t>
    </r>
    <r>
      <rPr>
        <b/>
        <sz val="11"/>
        <rFont val="Times New Roman"/>
        <family val="1"/>
      </rPr>
      <t>11</t>
    </r>
    <r>
      <rPr>
        <b/>
        <sz val="11"/>
        <rFont val="宋体"/>
        <family val="3"/>
        <charset val="134"/>
      </rPr>
      <t>月均价</t>
    </r>
  </si>
  <si>
    <r>
      <rPr>
        <b/>
        <sz val="11"/>
        <rFont val="宋体"/>
        <family val="3"/>
        <charset val="134"/>
      </rPr>
      <t>执行价格</t>
    </r>
  </si>
  <si>
    <t>销量预计</t>
  </si>
  <si>
    <t>价格预计</t>
  </si>
  <si>
    <t>执行价格</t>
  </si>
  <si>
    <r>
      <rPr>
        <b/>
        <sz val="11"/>
        <rFont val="宋体"/>
        <family val="3"/>
        <charset val="134"/>
      </rPr>
      <t>与上月实际比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±</t>
    </r>
    <r>
      <rPr>
        <b/>
        <sz val="11"/>
        <rFont val="Times New Roman"/>
        <family val="1"/>
      </rPr>
      <t xml:space="preserve">) </t>
    </r>
    <r>
      <rPr>
        <b/>
        <sz val="11"/>
        <rFont val="宋体"/>
        <family val="3"/>
        <charset val="134"/>
      </rPr>
      <t>单位万元</t>
    </r>
  </si>
  <si>
    <t>环己酮轻质油</t>
  </si>
  <si>
    <t>混合二氯苯</t>
  </si>
  <si>
    <t>对硝基氯苯</t>
  </si>
  <si>
    <t>次氯酸钠残液</t>
  </si>
  <si>
    <t>二环己胺</t>
  </si>
  <si>
    <t>4甲基2戊醇</t>
  </si>
  <si>
    <t>10月份完成情况分析</t>
  </si>
  <si>
    <t>价格指标</t>
  </si>
  <si>
    <t>产品推价</t>
  </si>
  <si>
    <t>原料降本</t>
  </si>
  <si>
    <t>经营顺差</t>
  </si>
  <si>
    <t>年度预算</t>
  </si>
  <si>
    <t>月度预算</t>
  </si>
  <si>
    <t>11份预算情况分析</t>
  </si>
  <si>
    <r>
      <rPr>
        <sz val="14"/>
        <rFont val="宋体"/>
        <family val="3"/>
        <charset val="134"/>
        <scheme val="minor"/>
      </rPr>
      <t>20</t>
    </r>
    <r>
      <rPr>
        <sz val="14"/>
        <rFont val="宋体"/>
        <family val="3"/>
        <charset val="134"/>
      </rPr>
      <t>22年10月主要产品、原料顺价销售统计表</t>
    </r>
  </si>
  <si>
    <t>单位：元/吨、吨、万元、去税</t>
  </si>
  <si>
    <t>年度预算价</t>
  </si>
  <si>
    <t>本月预算价</t>
  </si>
  <si>
    <t>当月数据</t>
  </si>
  <si>
    <t>所耗主要原料</t>
  </si>
  <si>
    <t>结果</t>
  </si>
  <si>
    <t>环比
成本变化
元/吨</t>
  </si>
  <si>
    <t>产品销售量</t>
  </si>
  <si>
    <t>销售价格</t>
  </si>
  <si>
    <t>年度增收</t>
  </si>
  <si>
    <t>月度增收</t>
  </si>
  <si>
    <t>名称</t>
  </si>
  <si>
    <t>消耗定额</t>
  </si>
  <si>
    <t>年度
预算价格</t>
  </si>
  <si>
    <t>原料
消耗量</t>
  </si>
  <si>
    <t>原料
结算价格</t>
  </si>
  <si>
    <t>年度
增本</t>
  </si>
  <si>
    <t>月度
增本</t>
  </si>
  <si>
    <t>环比
增本</t>
  </si>
  <si>
    <t>年度顺差</t>
  </si>
  <si>
    <t>月度顺差</t>
  </si>
  <si>
    <t>环比顺差</t>
  </si>
  <si>
    <t>60%硝酸</t>
  </si>
  <si>
    <t>98%硝酸</t>
  </si>
  <si>
    <r>
      <rPr>
        <sz val="11"/>
        <rFont val="宋体"/>
        <family val="3"/>
        <charset val="134"/>
        <scheme val="minor"/>
      </rPr>
      <t>1</t>
    </r>
    <r>
      <rPr>
        <sz val="11"/>
        <rFont val="宋体"/>
        <family val="3"/>
        <charset val="134"/>
      </rPr>
      <t>05%</t>
    </r>
    <r>
      <rPr>
        <sz val="11"/>
        <rFont val="宋体"/>
        <family val="3"/>
        <charset val="134"/>
        <scheme val="minor"/>
      </rPr>
      <t>硫酸</t>
    </r>
  </si>
  <si>
    <r>
      <rPr>
        <sz val="11"/>
        <rFont val="宋体"/>
        <family val="3"/>
        <charset val="134"/>
        <scheme val="minor"/>
      </rPr>
      <t>9</t>
    </r>
    <r>
      <rPr>
        <sz val="11"/>
        <rFont val="宋体"/>
        <family val="3"/>
        <charset val="134"/>
      </rPr>
      <t>8%</t>
    </r>
    <r>
      <rPr>
        <sz val="11"/>
        <rFont val="宋体"/>
        <family val="3"/>
        <charset val="134"/>
        <scheme val="minor"/>
      </rPr>
      <t>硫酸</t>
    </r>
  </si>
  <si>
    <t>烧碱</t>
  </si>
  <si>
    <t>硝酸用原料煤</t>
  </si>
  <si>
    <t>硝酸外购</t>
  </si>
  <si>
    <t>氢气用原料煤</t>
  </si>
  <si>
    <t>动力煤</t>
  </si>
  <si>
    <t>助剂TMQ</t>
  </si>
  <si>
    <t>助剂6PPD</t>
  </si>
  <si>
    <t>助剂4010NA</t>
  </si>
  <si>
    <r>
      <rPr>
        <sz val="14"/>
        <rFont val="宋体"/>
        <family val="3"/>
        <charset val="134"/>
        <scheme val="minor"/>
      </rPr>
      <t>2022</t>
    </r>
    <r>
      <rPr>
        <sz val="14"/>
        <rFont val="宋体"/>
        <family val="3"/>
        <charset val="134"/>
      </rPr>
      <t>年11月主要产品、原料顺价销售统计表</t>
    </r>
  </si>
  <si>
    <t>环比增本</t>
  </si>
  <si>
    <t>原料</t>
  </si>
  <si>
    <t>去税加工费</t>
  </si>
  <si>
    <t>备注</t>
  </si>
  <si>
    <t>成品</t>
  </si>
  <si>
    <t>制造成本去税</t>
  </si>
  <si>
    <t>原料单价（去税）</t>
  </si>
  <si>
    <t>原料消耗</t>
  </si>
  <si>
    <t>原料去税成本</t>
  </si>
  <si>
    <t>硝酸(折百)</t>
  </si>
  <si>
    <t>制造成本折百X0.6</t>
  </si>
  <si>
    <t>硝酸(50%)</t>
  </si>
  <si>
    <t>硝酸50%成本按折百X0.5</t>
  </si>
  <si>
    <t>液氨成本优惠去税70.8元</t>
  </si>
  <si>
    <t>不计算成本，按100</t>
  </si>
  <si>
    <t>不计算成本，按200</t>
  </si>
  <si>
    <t>盐</t>
  </si>
  <si>
    <t>制造成本按硝基氯苯</t>
  </si>
  <si>
    <t>TMQ</t>
  </si>
  <si>
    <t>消耗纯苯0.46；丙酮0.69</t>
  </si>
  <si>
    <t>6PPD</t>
  </si>
  <si>
    <t>消耗纯苯0.66；甲酮0.39</t>
  </si>
  <si>
    <t>4010NA</t>
  </si>
  <si>
    <t>消耗纯苯0.72；丙酮0.31</t>
  </si>
  <si>
    <t>环己酮</t>
  </si>
  <si>
    <t>加回70.8元去税优惠</t>
  </si>
  <si>
    <t>销售中心10月份产品销售毛利率预测表</t>
  </si>
  <si>
    <t>销售中心10月份产品利润预算</t>
  </si>
  <si>
    <t>销售中心11月份产品利润预测表</t>
  </si>
  <si>
    <t>品名</t>
  </si>
  <si>
    <t>销量/吨</t>
  </si>
  <si>
    <t>预计价格
元/吨</t>
  </si>
  <si>
    <t>预计单位毛利
元/吨</t>
  </si>
  <si>
    <t>预计毛利总额
万元</t>
  </si>
  <si>
    <t>预计均价
元/吨</t>
  </si>
  <si>
    <t>小计</t>
  </si>
  <si>
    <r>
      <rPr>
        <sz val="10"/>
        <rFont val="宋体"/>
        <family val="3"/>
        <charset val="134"/>
      </rPr>
      <t>防老剂</t>
    </r>
    <r>
      <rPr>
        <sz val="10"/>
        <rFont val="Times New Roman"/>
        <family val="1"/>
      </rPr>
      <t>4010NA</t>
    </r>
  </si>
  <si>
    <r>
      <rPr>
        <sz val="11"/>
        <rFont val="宋体"/>
        <family val="3"/>
        <charset val="134"/>
      </rPr>
      <t>硫酸（1</t>
    </r>
    <r>
      <rPr>
        <sz val="11"/>
        <rFont val="宋体"/>
        <family val="3"/>
        <charset val="134"/>
      </rPr>
      <t>05</t>
    </r>
    <r>
      <rPr>
        <sz val="11"/>
        <rFont val="宋体"/>
        <family val="3"/>
        <charset val="134"/>
      </rPr>
      <t>%）</t>
    </r>
  </si>
  <si>
    <t>盐酸</t>
  </si>
  <si>
    <t>化工</t>
  </si>
  <si>
    <t>助剂</t>
  </si>
  <si>
    <t>苯胺链</t>
  </si>
  <si>
    <t>氯碱链</t>
  </si>
  <si>
    <t>合成氨链</t>
  </si>
  <si>
    <t>硫酸</t>
  </si>
  <si>
    <t>销售中心6月份产品销售毛利率统计表</t>
  </si>
  <si>
    <t>销售中心7月份产品利润预测表</t>
  </si>
  <si>
    <r>
      <rPr>
        <sz val="11"/>
        <color theme="1"/>
        <rFont val="宋体"/>
        <family val="3"/>
        <charset val="134"/>
        <scheme val="minor"/>
      </rPr>
      <t>2022年</t>
    </r>
    <r>
      <rPr>
        <sz val="11"/>
        <color theme="1"/>
        <rFont val="宋体"/>
        <family val="3"/>
        <charset val="134"/>
        <scheme val="minor"/>
      </rPr>
      <t>7月</t>
    </r>
  </si>
  <si>
    <t>销售
价格增利
元/吨</t>
  </si>
  <si>
    <t>销售
价格增利总额
万元</t>
  </si>
  <si>
    <r>
      <rPr>
        <sz val="11"/>
        <color theme="1"/>
        <rFont val="宋体"/>
        <family val="3"/>
        <charset val="134"/>
        <scheme val="minor"/>
      </rPr>
      <t>原料增本</t>
    </r>
    <r>
      <rPr>
        <sz val="11"/>
        <color rgb="FFFF0000"/>
        <rFont val="宋体"/>
        <family val="3"/>
        <charset val="134"/>
        <scheme val="minor"/>
      </rPr>
      <t>(数据从原料表中取)
元/吨</t>
    </r>
  </si>
  <si>
    <t>原料价格变化
对毛利额影响
(+增本、-降本）
万元</t>
  </si>
  <si>
    <t>合计增利
万元</t>
  </si>
  <si>
    <t>7月预计毛利总额
万元</t>
  </si>
  <si>
    <t>7月预算毛利总额</t>
  </si>
  <si>
    <t>预计单位毛利</t>
  </si>
  <si>
    <t>价格
元/吨</t>
  </si>
  <si>
    <t>单位毛利
元/吨</t>
  </si>
  <si>
    <t>毛利额
万元</t>
  </si>
  <si>
    <t>毛利总额
万元</t>
  </si>
  <si>
    <t>销售中心7月份产品销售毛利率预测表</t>
  </si>
  <si>
    <t>销售中心8月份产品利润预测表</t>
  </si>
  <si>
    <r>
      <rPr>
        <sz val="11"/>
        <color theme="1"/>
        <rFont val="宋体"/>
        <family val="3"/>
        <charset val="134"/>
        <scheme val="minor"/>
      </rPr>
      <t>原料增本，元/吨</t>
    </r>
    <r>
      <rPr>
        <sz val="11"/>
        <color rgb="FFFF0000"/>
        <rFont val="宋体"/>
        <family val="3"/>
        <charset val="134"/>
        <scheme val="minor"/>
      </rPr>
      <t>(数据从原料表中取)</t>
    </r>
  </si>
  <si>
    <t>8月预计毛利总额</t>
  </si>
  <si>
    <t>主要化工产品销售</t>
  </si>
  <si>
    <t>副产品销售</t>
  </si>
  <si>
    <t>单位：吨、元/吨</t>
  </si>
  <si>
    <t>10月份预算</t>
  </si>
  <si>
    <t>销售量</t>
  </si>
  <si>
    <t>价格区间</t>
  </si>
  <si>
    <t>执行均价（含税）</t>
  </si>
  <si>
    <t>结算销售价格（不含税）</t>
  </si>
  <si>
    <t>合成氨</t>
  </si>
  <si>
    <t>3200-3800</t>
  </si>
  <si>
    <t>大磷铵炉渣</t>
  </si>
  <si>
    <t>苯胺焦油</t>
  </si>
  <si>
    <t>硝酸60%</t>
  </si>
  <si>
    <t>780-900</t>
  </si>
  <si>
    <t>硝酸68%</t>
  </si>
  <si>
    <t>环己酮X油</t>
  </si>
  <si>
    <t>1800-2300</t>
  </si>
  <si>
    <t>硫酸98%</t>
  </si>
  <si>
    <t>600-700</t>
  </si>
  <si>
    <t>硝基氯苯焦油</t>
  </si>
  <si>
    <t>9400-12500</t>
  </si>
  <si>
    <t>烧碱（32%）</t>
  </si>
  <si>
    <t>1050-1180</t>
  </si>
  <si>
    <t>6200-6800</t>
  </si>
  <si>
    <t>8500-9500</t>
  </si>
  <si>
    <t>4500-5500</t>
  </si>
  <si>
    <t>10500-13500</t>
  </si>
  <si>
    <t>防6PPD</t>
  </si>
  <si>
    <t>28000-31000</t>
  </si>
  <si>
    <t>防4010NA</t>
  </si>
  <si>
    <t>来料加工苯胺</t>
  </si>
  <si>
    <t>来料加工TMQ</t>
  </si>
  <si>
    <t>销售中心产品销售毛利率统计表</t>
  </si>
  <si>
    <t>销售中心产品销售价格统计表</t>
  </si>
  <si>
    <r>
      <rPr>
        <sz val="11"/>
        <rFont val="宋体"/>
        <family val="3"/>
        <charset val="134"/>
        <scheme val="minor"/>
      </rPr>
      <t>单位</t>
    </r>
    <r>
      <rPr>
        <sz val="12"/>
        <rFont val="Times New Roman"/>
        <family val="1"/>
      </rPr>
      <t>:</t>
    </r>
    <r>
      <rPr>
        <sz val="11"/>
        <rFont val="宋体"/>
        <family val="3"/>
        <charset val="134"/>
        <scheme val="minor"/>
      </rPr>
      <t>元</t>
    </r>
    <r>
      <rPr>
        <sz val="12"/>
        <rFont val="Times New Roman"/>
        <family val="1"/>
      </rPr>
      <t>/</t>
    </r>
    <r>
      <rPr>
        <sz val="11"/>
        <rFont val="宋体"/>
        <family val="3"/>
        <charset val="134"/>
        <scheme val="minor"/>
      </rPr>
      <t>吨、万元</t>
    </r>
    <r>
      <rPr>
        <sz val="12"/>
        <rFont val="Times New Roman"/>
        <family val="1"/>
      </rPr>
      <t>,</t>
    </r>
    <r>
      <rPr>
        <sz val="11"/>
        <rFont val="宋体"/>
        <family val="3"/>
        <charset val="134"/>
        <scheme val="minor"/>
      </rPr>
      <t>去税</t>
    </r>
  </si>
  <si>
    <r>
      <rPr>
        <sz val="11"/>
        <rFont val="宋体"/>
        <family val="3"/>
        <charset val="134"/>
        <scheme val="minor"/>
      </rPr>
      <t>表号：南化销统计</t>
    </r>
    <r>
      <rPr>
        <sz val="12"/>
        <rFont val="Times New Roman"/>
        <family val="1"/>
      </rPr>
      <t>08</t>
    </r>
    <r>
      <rPr>
        <sz val="11"/>
        <rFont val="宋体"/>
        <family val="3"/>
        <charset val="134"/>
        <scheme val="minor"/>
      </rPr>
      <t>表</t>
    </r>
  </si>
  <si>
    <r>
      <rPr>
        <sz val="11"/>
        <rFont val="宋体"/>
        <family val="3"/>
        <charset val="134"/>
        <scheme val="minor"/>
      </rPr>
      <t>单位：元</t>
    </r>
    <r>
      <rPr>
        <sz val="12"/>
        <rFont val="Times New Roman"/>
        <family val="1"/>
      </rPr>
      <t>/</t>
    </r>
    <r>
      <rPr>
        <sz val="11"/>
        <rFont val="宋体"/>
        <family val="3"/>
        <charset val="134"/>
        <scheme val="minor"/>
      </rPr>
      <t>吨</t>
    </r>
  </si>
  <si>
    <t>表号：南化销统计03表</t>
  </si>
  <si>
    <t>本月完成</t>
  </si>
  <si>
    <t>累计完成</t>
  </si>
  <si>
    <t>南化公司年度预算价格</t>
  </si>
  <si>
    <t>月度预算价（去税）</t>
  </si>
  <si>
    <t>最低价</t>
  </si>
  <si>
    <t>最高价</t>
  </si>
  <si>
    <t>月平均价</t>
  </si>
  <si>
    <t>与年预算</t>
  </si>
  <si>
    <t>与月度预算</t>
  </si>
  <si>
    <t>累计平均价</t>
  </si>
  <si>
    <t>与预算价格比增减</t>
  </si>
  <si>
    <t>上月平均价</t>
  </si>
  <si>
    <t>与上月平均</t>
  </si>
  <si>
    <t>去年同期平均价</t>
  </si>
  <si>
    <t>与去年同期平均价格比增减</t>
  </si>
  <si>
    <t>价格</t>
  </si>
  <si>
    <t>单位毛利</t>
  </si>
  <si>
    <t>毛利额</t>
  </si>
  <si>
    <t>毛利率</t>
  </si>
  <si>
    <t>毛利率与预算比</t>
  </si>
  <si>
    <t>价格比增减</t>
  </si>
  <si>
    <t>6=5-1</t>
  </si>
  <si>
    <t>7=5-2</t>
  </si>
  <si>
    <t>9=8-1</t>
  </si>
  <si>
    <t>11=5-10</t>
  </si>
  <si>
    <t>13=5-12</t>
  </si>
  <si>
    <r>
      <rPr>
        <sz val="11"/>
        <rFont val="宋体"/>
        <family val="3"/>
        <charset val="134"/>
        <scheme val="minor"/>
      </rPr>
      <t>硝酸(6</t>
    </r>
    <r>
      <rPr>
        <sz val="11"/>
        <rFont val="宋体"/>
        <family val="3"/>
        <charset val="134"/>
      </rPr>
      <t>7.2%-68.2%)</t>
    </r>
  </si>
  <si>
    <t>商品液氨</t>
  </si>
  <si>
    <t>盐酸（副产）</t>
  </si>
  <si>
    <t>盐酸(合成)</t>
  </si>
  <si>
    <t>化工销售部小计</t>
  </si>
  <si>
    <t>对硝基氯化苯</t>
  </si>
  <si>
    <t>邻硝基氯化苯</t>
  </si>
  <si>
    <t>防老剂TMQ(来料加工)</t>
  </si>
  <si>
    <t>助剂销售部小计</t>
  </si>
  <si>
    <r>
      <rPr>
        <sz val="11"/>
        <rFont val="宋体"/>
        <family val="3"/>
        <charset val="134"/>
        <scheme val="minor"/>
      </rPr>
      <t>防老剂</t>
    </r>
    <r>
      <rPr>
        <sz val="12"/>
        <rFont val="Times New Roman"/>
        <family val="1"/>
      </rPr>
      <t>6PPD</t>
    </r>
  </si>
  <si>
    <t>防老剂 4010NA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</si>
</sst>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1" formatCode="_ * #,##0_ ;_ * \-#,##0_ ;_ * &quot;-&quot;_ ;_ @_ "/>
    <numFmt numFmtId="43" formatCode="_ * #,##0.00_ ;_ * \-#,##0.00_ ;_ * &quot;-&quot;??_ ;_ @_ "/>
    <numFmt numFmtId="176" formatCode="&quot;真&quot;;&quot;真&quot;;&quot;假&quot;"/>
    <numFmt numFmtId="177" formatCode="0.00_)"/>
    <numFmt numFmtId="178" formatCode="_ [$€]\ * #,##0.00_ ;_ [$€]\ * \-#,##0.00_ ;_ [$€]\ * &quot;-&quot;??_ ;_ @_ "/>
    <numFmt numFmtId="179" formatCode="&quot;$&quot;#,##0.00_);[Red]\(&quot;$&quot;#,##0.00\)"/>
    <numFmt numFmtId="180" formatCode="#,##0.0"/>
    <numFmt numFmtId="181" formatCode="0.0000_ "/>
    <numFmt numFmtId="182" formatCode="&quot;$&quot;#,##0_);[Red]\(&quot;$&quot;#,##0\)"/>
    <numFmt numFmtId="183" formatCode="0.00_ "/>
    <numFmt numFmtId="184" formatCode="&quot;开&quot;;&quot;开&quot;;&quot;关&quot;"/>
    <numFmt numFmtId="185" formatCode="_-* #,##0_-;\-* #,##0_-;_-* &quot;-&quot;??_-;_-@_-"/>
    <numFmt numFmtId="186" formatCode="0_ "/>
    <numFmt numFmtId="187" formatCode="_ * #,##0.0_ ;_ * \-#,##0.0_ ;_ * &quot;-&quot;??_ ;_ @_ "/>
    <numFmt numFmtId="188" formatCode="0.00_ ;[Red]\-0.00\ "/>
    <numFmt numFmtId="189" formatCode="0_);[Red]\(0\)"/>
    <numFmt numFmtId="190" formatCode="0.00_);[Red]\(0.00\)"/>
    <numFmt numFmtId="191" formatCode="0.0_ "/>
    <numFmt numFmtId="192" formatCode="_ * #,##0_ ;_ * \-#,##0_ ;_ * &quot;-&quot;??_ ;_ @_ "/>
    <numFmt numFmtId="193" formatCode="0_ ;[Red]\-0\ "/>
    <numFmt numFmtId="194" formatCode="0.0_);[Red]\(0.0\)"/>
    <numFmt numFmtId="195" formatCode="#,##0.00_ "/>
    <numFmt numFmtId="196" formatCode="#,##0_ "/>
  </numFmts>
  <fonts count="119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2"/>
      <name val="宋体"/>
      <family val="3"/>
      <charset val="134"/>
    </font>
    <font>
      <sz val="2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24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</font>
    <font>
      <b/>
      <sz val="18"/>
      <color rgb="FFFF0000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8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仿宋_GB231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b/>
      <sz val="18"/>
      <name val="黑体"/>
      <family val="3"/>
      <charset val="134"/>
    </font>
    <font>
      <b/>
      <sz val="11"/>
      <name val="Times New Roman"/>
      <family val="1"/>
    </font>
    <font>
      <sz val="10"/>
      <color theme="1"/>
      <name val="宋体"/>
      <family val="3"/>
      <charset val="134"/>
    </font>
    <font>
      <b/>
      <sz val="14"/>
      <name val="黑体"/>
      <family val="3"/>
      <charset val="134"/>
    </font>
    <font>
      <b/>
      <sz val="20"/>
      <name val="Times New Roman"/>
      <family val="1"/>
    </font>
    <font>
      <sz val="16"/>
      <name val="宋体"/>
      <family val="3"/>
      <charset val="134"/>
    </font>
    <font>
      <sz val="11"/>
      <name val="Times New Roman"/>
      <family val="1"/>
    </font>
    <font>
      <b/>
      <sz val="18"/>
      <name val="Times New Roman"/>
      <family val="1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华文中宋"/>
      <family val="3"/>
      <charset val="134"/>
    </font>
    <font>
      <b/>
      <sz val="20"/>
      <name val="宋体"/>
      <family val="3"/>
      <charset val="134"/>
    </font>
    <font>
      <sz val="10.5"/>
      <name val="宋体"/>
      <family val="3"/>
      <charset val="134"/>
    </font>
    <font>
      <sz val="8"/>
      <name val="宋体"/>
      <family val="3"/>
      <charset val="134"/>
    </font>
    <font>
      <sz val="22"/>
      <name val="宋体"/>
      <family val="3"/>
      <charset val="134"/>
    </font>
    <font>
      <b/>
      <sz val="10"/>
      <name val="仿宋"/>
      <family val="3"/>
      <charset val="134"/>
    </font>
    <font>
      <sz val="10"/>
      <name val="仿宋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b/>
      <sz val="11"/>
      <color indexed="5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2"/>
      <color indexed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6"/>
      <color indexed="23"/>
      <name val="Arial"/>
      <family val="2"/>
    </font>
    <font>
      <sz val="11"/>
      <color rgb="FF3F3F76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3"/>
      <color theme="3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0"/>
      <name val="MS Sans Serif"/>
      <family val="1"/>
    </font>
    <font>
      <u/>
      <sz val="12"/>
      <color indexed="3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sz val="11"/>
      <color theme="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0"/>
      <name val="Times New Roman"/>
      <family val="1"/>
    </font>
    <font>
      <b/>
      <sz val="11"/>
      <color theme="3"/>
      <name val="宋体"/>
      <family val="3"/>
      <charset val="134"/>
      <scheme val="minor"/>
    </font>
    <font>
      <sz val="12"/>
      <color indexed="60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8"/>
      <name val="Times New Roman"/>
      <family val="1"/>
    </font>
    <font>
      <i/>
      <sz val="11"/>
      <color indexed="23"/>
      <name val="宋体"/>
      <family val="3"/>
      <charset val="134"/>
    </font>
    <font>
      <sz val="10"/>
      <color indexed="10"/>
      <name val="Arial"/>
      <family val="2"/>
    </font>
    <font>
      <b/>
      <sz val="15"/>
      <color theme="3"/>
      <name val="宋体"/>
      <family val="3"/>
      <charset val="134"/>
      <scheme val="minor"/>
    </font>
    <font>
      <i/>
      <sz val="12"/>
      <color indexed="23"/>
      <name val="宋体"/>
      <family val="3"/>
      <charset val="134"/>
    </font>
    <font>
      <sz val="8"/>
      <name val="Arial"/>
      <family val="2"/>
    </font>
    <font>
      <sz val="11"/>
      <color rgb="FF006100"/>
      <name val="宋体"/>
      <family val="3"/>
      <charset val="134"/>
      <scheme val="minor"/>
    </font>
    <font>
      <b/>
      <sz val="12"/>
      <color indexed="52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rgb="FFFF0000"/>
      <name val="宋体"/>
      <family val="3"/>
      <charset val="134"/>
      <scheme val="minor"/>
    </font>
    <font>
      <b/>
      <i/>
      <sz val="16"/>
      <name val="Helv"/>
      <family val="2"/>
    </font>
    <font>
      <sz val="12"/>
      <color indexed="62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u/>
      <sz val="10"/>
      <color indexed="12"/>
      <name val="Arial"/>
      <family val="2"/>
    </font>
    <font>
      <u/>
      <sz val="12"/>
      <color indexed="12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b/>
      <sz val="12"/>
      <name val="Arial"/>
      <family val="2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u/>
      <sz val="10"/>
      <color indexed="36"/>
      <name val="Tahoma"/>
      <family val="2"/>
    </font>
    <font>
      <u/>
      <sz val="10"/>
      <color indexed="12"/>
      <name val="Tahoma"/>
      <family val="2"/>
    </font>
    <font>
      <b/>
      <sz val="11"/>
      <color theme="0"/>
      <name val="宋体"/>
      <family val="3"/>
      <charset val="134"/>
      <scheme val="minor"/>
    </font>
    <font>
      <sz val="14"/>
      <name val="宋体"/>
      <family val="3"/>
      <charset val="134"/>
    </font>
    <font>
      <b/>
      <sz val="9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6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4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A5A5A5"/>
        <bgColor indexed="64"/>
      </patternFill>
    </fill>
  </fills>
  <borders count="8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auto="1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 tint="0.39991454817346722"/>
      </bottom>
      <diagonal/>
    </border>
    <border>
      <left/>
      <right/>
      <top/>
      <bottom style="thick">
        <color theme="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</borders>
  <cellStyleXfs count="5570">
    <xf numFmtId="178" fontId="0" fillId="0" borderId="0">
      <alignment vertical="center"/>
    </xf>
    <xf numFmtId="0" fontId="49" fillId="0" borderId="0">
      <alignment vertical="top"/>
    </xf>
    <xf numFmtId="0" fontId="27" fillId="0" borderId="0">
      <alignment vertical="center"/>
    </xf>
    <xf numFmtId="178" fontId="1" fillId="0" borderId="0"/>
    <xf numFmtId="0" fontId="50" fillId="10" borderId="60" applyNumberFormat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49" fillId="0" borderId="0">
      <alignment vertical="top"/>
    </xf>
    <xf numFmtId="0" fontId="1" fillId="0" borderId="0"/>
    <xf numFmtId="0" fontId="1" fillId="0" borderId="0"/>
    <xf numFmtId="0" fontId="27" fillId="1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6" fillId="0" borderId="0"/>
    <xf numFmtId="178" fontId="1" fillId="0" borderId="0"/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56" fillId="0" borderId="0"/>
    <xf numFmtId="0" fontId="27" fillId="18" borderId="0" applyNumberFormat="0" applyBorder="0" applyAlignment="0" applyProtection="0">
      <alignment vertical="center"/>
    </xf>
    <xf numFmtId="178" fontId="57" fillId="0" borderId="0"/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/>
    <xf numFmtId="0" fontId="27" fillId="19" borderId="63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" fontId="49" fillId="22" borderId="65" applyNumberFormat="0" applyProtection="0">
      <alignment horizontal="left" vertical="center" indent="1"/>
    </xf>
    <xf numFmtId="0" fontId="27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1" fillId="0" borderId="0" applyBorder="0"/>
    <xf numFmtId="178" fontId="49" fillId="0" borderId="0">
      <alignment vertical="top"/>
    </xf>
    <xf numFmtId="0" fontId="51" fillId="2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7" fillId="0" borderId="0"/>
    <xf numFmtId="0" fontId="51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78" fontId="49" fillId="0" borderId="0">
      <alignment vertical="top"/>
    </xf>
    <xf numFmtId="178" fontId="64" fillId="13" borderId="0" applyNumberFormat="0" applyBorder="0" applyAlignment="0" applyProtection="0">
      <alignment vertical="center"/>
    </xf>
    <xf numFmtId="178" fontId="49" fillId="0" borderId="0">
      <alignment vertical="top"/>
    </xf>
    <xf numFmtId="178" fontId="4" fillId="0" borderId="0"/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/>
    <xf numFmtId="178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56" fillId="0" borderId="0"/>
    <xf numFmtId="0" fontId="51" fillId="28" borderId="0" applyNumberFormat="0" applyBorder="0" applyAlignment="0" applyProtection="0">
      <alignment vertical="center"/>
    </xf>
    <xf numFmtId="0" fontId="1" fillId="0" borderId="0"/>
    <xf numFmtId="0" fontId="56" fillId="0" borderId="0"/>
    <xf numFmtId="178" fontId="57" fillId="0" borderId="0"/>
    <xf numFmtId="178" fontId="49" fillId="0" borderId="0">
      <alignment vertical="top"/>
    </xf>
    <xf numFmtId="0" fontId="58" fillId="21" borderId="6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57" fillId="0" borderId="0"/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top"/>
    </xf>
    <xf numFmtId="0" fontId="27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178" fontId="49" fillId="0" borderId="0">
      <alignment vertical="top"/>
    </xf>
    <xf numFmtId="0" fontId="67" fillId="0" borderId="67" applyNumberFormat="0" applyFill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0" fontId="15" fillId="0" borderId="0">
      <alignment vertical="center"/>
    </xf>
    <xf numFmtId="0" fontId="57" fillId="0" borderId="0"/>
    <xf numFmtId="178" fontId="56" fillId="0" borderId="0"/>
    <xf numFmtId="0" fontId="63" fillId="27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35" borderId="66" applyNumberFormat="0" applyFon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27" fillId="0" borderId="0">
      <alignment vertical="top"/>
    </xf>
    <xf numFmtId="178" fontId="54" fillId="17" borderId="0" applyNumberFormat="0" applyBorder="0" applyAlignment="0" applyProtection="0">
      <alignment vertical="center"/>
    </xf>
    <xf numFmtId="178" fontId="1" fillId="0" borderId="0"/>
    <xf numFmtId="0" fontId="15" fillId="0" borderId="0">
      <alignment vertical="center"/>
    </xf>
    <xf numFmtId="0" fontId="15" fillId="0" borderId="0">
      <alignment vertical="center"/>
    </xf>
    <xf numFmtId="0" fontId="57" fillId="0" borderId="0"/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57" fillId="0" borderId="0"/>
    <xf numFmtId="0" fontId="5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178" fontId="69" fillId="10" borderId="60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6" fillId="0" borderId="0"/>
    <xf numFmtId="0" fontId="58" fillId="21" borderId="64" applyNumberFormat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70" fillId="37" borderId="6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57" fillId="0" borderId="0"/>
    <xf numFmtId="0" fontId="27" fillId="15" borderId="0" applyNumberFormat="0" applyBorder="0" applyAlignment="0" applyProtection="0">
      <alignment vertical="center"/>
    </xf>
    <xf numFmtId="0" fontId="71" fillId="0" borderId="0"/>
    <xf numFmtId="0" fontId="51" fillId="13" borderId="0" applyNumberFormat="0" applyBorder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49" fillId="0" borderId="0">
      <alignment vertical="top"/>
    </xf>
    <xf numFmtId="178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>
      <alignment vertical="center"/>
    </xf>
    <xf numFmtId="178" fontId="73" fillId="0" borderId="7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73" fillId="0" borderId="72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70" applyNumberFormat="0" applyFill="0" applyAlignment="0" applyProtection="0">
      <alignment vertical="center"/>
    </xf>
    <xf numFmtId="178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56" fillId="0" borderId="0"/>
    <xf numFmtId="178" fontId="1" fillId="0" borderId="0">
      <alignment vertical="center"/>
    </xf>
    <xf numFmtId="0" fontId="51" fillId="23" borderId="0" applyNumberFormat="0" applyBorder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0" borderId="0"/>
    <xf numFmtId="0" fontId="62" fillId="25" borderId="0" applyNumberFormat="0" applyBorder="0" applyAlignment="0" applyProtection="0">
      <alignment vertical="center"/>
    </xf>
    <xf numFmtId="178" fontId="1" fillId="0" borderId="0">
      <alignment vertical="center"/>
    </xf>
    <xf numFmtId="0" fontId="51" fillId="23" borderId="0" applyNumberFormat="0" applyBorder="0" applyAlignment="0" applyProtection="0">
      <alignment vertical="center"/>
    </xf>
    <xf numFmtId="178" fontId="57" fillId="14" borderId="65" applyNumberFormat="0" applyProtection="0">
      <alignment horizontal="left" vertical="center" indent="1"/>
    </xf>
    <xf numFmtId="178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79" fillId="0" borderId="0"/>
    <xf numFmtId="0" fontId="27" fillId="15" borderId="0" applyNumberFormat="0" applyBorder="0" applyAlignment="0" applyProtection="0">
      <alignment vertical="center"/>
    </xf>
    <xf numFmtId="178" fontId="80" fillId="0" borderId="0" applyNumberFormat="0" applyFill="0" applyBorder="0" applyAlignment="0" applyProtection="0">
      <alignment vertical="top"/>
      <protection locked="0"/>
    </xf>
    <xf numFmtId="0" fontId="27" fillId="15" borderId="0" applyNumberFormat="0" applyBorder="0" applyAlignment="0" applyProtection="0">
      <alignment vertical="center"/>
    </xf>
    <xf numFmtId="178" fontId="57" fillId="0" borderId="0"/>
    <xf numFmtId="0" fontId="5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57" fillId="0" borderId="0"/>
    <xf numFmtId="178" fontId="59" fillId="13" borderId="0" applyNumberFormat="0" applyBorder="0" applyAlignment="0" applyProtection="0">
      <alignment vertical="center"/>
    </xf>
    <xf numFmtId="0" fontId="57" fillId="0" borderId="0"/>
    <xf numFmtId="0" fontId="1" fillId="0" borderId="0">
      <alignment vertical="top"/>
    </xf>
    <xf numFmtId="0" fontId="27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top"/>
    </xf>
    <xf numFmtId="0" fontId="27" fillId="14" borderId="0" applyNumberFormat="0" applyBorder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top"/>
    </xf>
    <xf numFmtId="178" fontId="69" fillId="10" borderId="60" applyNumberFormat="0" applyAlignment="0" applyProtection="0">
      <alignment vertical="center"/>
    </xf>
    <xf numFmtId="178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1" fillId="0" borderId="0">
      <alignment vertical="top"/>
    </xf>
    <xf numFmtId="0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6" fillId="0" borderId="0"/>
    <xf numFmtId="178" fontId="1" fillId="0" borderId="0">
      <alignment vertical="top"/>
    </xf>
    <xf numFmtId="178" fontId="54" fillId="17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1" fillId="0" borderId="0">
      <alignment vertical="top"/>
    </xf>
    <xf numFmtId="178" fontId="49" fillId="0" borderId="0">
      <alignment vertical="top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5" fillId="0" borderId="0">
      <alignment vertical="center"/>
    </xf>
    <xf numFmtId="178" fontId="1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>
      <alignment vertical="top"/>
    </xf>
    <xf numFmtId="0" fontId="49" fillId="0" borderId="0">
      <alignment vertical="top"/>
    </xf>
    <xf numFmtId="0" fontId="27" fillId="0" borderId="0">
      <alignment vertical="center"/>
    </xf>
    <xf numFmtId="178" fontId="1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0" borderId="0">
      <alignment vertical="center"/>
    </xf>
    <xf numFmtId="178" fontId="1" fillId="0" borderId="0">
      <alignment vertical="top"/>
    </xf>
    <xf numFmtId="178" fontId="64" fillId="29" borderId="0" applyNumberFormat="0" applyBorder="0" applyAlignment="0" applyProtection="0">
      <alignment vertical="center"/>
    </xf>
    <xf numFmtId="178" fontId="1" fillId="0" borderId="0">
      <alignment vertical="top"/>
    </xf>
    <xf numFmtId="178" fontId="74" fillId="0" borderId="0" applyNumberFormat="0" applyFill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1" fillId="0" borderId="0">
      <alignment vertical="top"/>
    </xf>
    <xf numFmtId="178" fontId="59" fillId="26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1" fillId="0" borderId="0">
      <alignment vertical="top"/>
    </xf>
    <xf numFmtId="178" fontId="52" fillId="0" borderId="62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1" fillId="0" borderId="0">
      <alignment vertical="top"/>
    </xf>
    <xf numFmtId="178" fontId="59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178" fontId="1" fillId="0" borderId="0">
      <alignment vertical="top"/>
    </xf>
    <xf numFmtId="0" fontId="27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1" fillId="0" borderId="0">
      <alignment vertical="top"/>
    </xf>
    <xf numFmtId="0" fontId="27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1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178" fontId="60" fillId="16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49" fillId="0" borderId="0">
      <alignment vertical="top"/>
    </xf>
    <xf numFmtId="178" fontId="1" fillId="0" borderId="0">
      <alignment vertical="top"/>
    </xf>
    <xf numFmtId="0" fontId="83" fillId="4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178" fontId="1" fillId="0" borderId="0">
      <alignment vertical="top"/>
    </xf>
    <xf numFmtId="0" fontId="27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178" fontId="1" fillId="0" borderId="0"/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0" borderId="0">
      <alignment vertical="center"/>
    </xf>
    <xf numFmtId="178" fontId="49" fillId="0" borderId="0">
      <alignment vertical="top"/>
    </xf>
    <xf numFmtId="0" fontId="27" fillId="1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/>
    <xf numFmtId="0" fontId="27" fillId="13" borderId="0" applyNumberFormat="0" applyBorder="0" applyAlignment="0" applyProtection="0">
      <alignment vertical="center"/>
    </xf>
    <xf numFmtId="0" fontId="49" fillId="0" borderId="0">
      <alignment vertical="top"/>
    </xf>
    <xf numFmtId="178" fontId="55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7" fillId="45" borderId="65" applyNumberFormat="0" applyProtection="0">
      <alignment horizontal="left" vertical="center" indent="1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0" borderId="0"/>
    <xf numFmtId="0" fontId="27" fillId="13" borderId="0" applyNumberFormat="0" applyBorder="0" applyAlignment="0" applyProtection="0">
      <alignment vertical="center"/>
    </xf>
    <xf numFmtId="0" fontId="49" fillId="0" borderId="0">
      <alignment vertical="top"/>
    </xf>
    <xf numFmtId="0" fontId="49" fillId="0" borderId="0">
      <alignment vertical="top"/>
    </xf>
    <xf numFmtId="0" fontId="51" fillId="13" borderId="0" applyNumberFormat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9" fillId="0" borderId="0">
      <alignment vertical="top"/>
    </xf>
    <xf numFmtId="178" fontId="59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57" fillId="0" borderId="0"/>
    <xf numFmtId="0" fontId="27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1" fillId="0" borderId="0"/>
    <xf numFmtId="178" fontId="64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1" fillId="0" borderId="0"/>
    <xf numFmtId="178" fontId="15" fillId="0" borderId="0">
      <alignment vertical="center"/>
    </xf>
    <xf numFmtId="0" fontId="15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7" fillId="0" borderId="0"/>
    <xf numFmtId="0" fontId="27" fillId="18" borderId="0" applyNumberFormat="0" applyBorder="0" applyAlignment="0" applyProtection="0">
      <alignment vertical="center"/>
    </xf>
    <xf numFmtId="0" fontId="56" fillId="0" borderId="0"/>
    <xf numFmtId="0" fontId="27" fillId="12" borderId="0" applyNumberFormat="0" applyBorder="0" applyAlignment="0" applyProtection="0">
      <alignment vertical="center"/>
    </xf>
    <xf numFmtId="178" fontId="57" fillId="0" borderId="0"/>
    <xf numFmtId="0" fontId="59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1" fillId="0" borderId="0">
      <alignment vertical="center"/>
    </xf>
    <xf numFmtId="178" fontId="60" fillId="16" borderId="0" applyNumberFormat="0" applyBorder="0" applyAlignment="0" applyProtection="0">
      <alignment vertical="center"/>
    </xf>
    <xf numFmtId="0" fontId="57" fillId="0" borderId="0"/>
    <xf numFmtId="0" fontId="27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57" fillId="0" borderId="0"/>
    <xf numFmtId="0" fontId="15" fillId="39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7" fillId="0" borderId="0"/>
    <xf numFmtId="0" fontId="27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" fontId="49" fillId="25" borderId="65" applyNumberFormat="0" applyProtection="0">
      <alignment horizontal="left" vertical="center" indent="1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6" fillId="0" borderId="0"/>
    <xf numFmtId="178" fontId="56" fillId="0" borderId="0"/>
    <xf numFmtId="178" fontId="59" fillId="15" borderId="0" applyNumberFormat="0" applyBorder="0" applyAlignment="0" applyProtection="0">
      <alignment vertical="center"/>
    </xf>
    <xf numFmtId="4" fontId="49" fillId="25" borderId="65" applyNumberFormat="0" applyProtection="0">
      <alignment horizontal="left" vertical="center" indent="1"/>
    </xf>
    <xf numFmtId="0" fontId="27" fillId="15" borderId="0" applyNumberFormat="0" applyBorder="0" applyAlignment="0" applyProtection="0">
      <alignment vertical="center"/>
    </xf>
    <xf numFmtId="0" fontId="56" fillId="0" borderId="0"/>
    <xf numFmtId="0" fontId="51" fillId="31" borderId="0" applyNumberFormat="0" applyBorder="0" applyAlignment="0" applyProtection="0">
      <alignment vertical="center"/>
    </xf>
    <xf numFmtId="0" fontId="56" fillId="0" borderId="0"/>
    <xf numFmtId="178" fontId="59" fillId="1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4" fontId="49" fillId="45" borderId="65" applyNumberFormat="0" applyProtection="0">
      <alignment horizontal="left" vertical="center" indent="1"/>
    </xf>
    <xf numFmtId="178" fontId="56" fillId="0" borderId="0"/>
    <xf numFmtId="178" fontId="60" fillId="16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" fontId="49" fillId="41" borderId="65" applyNumberFormat="0" applyProtection="0">
      <alignment horizontal="right" vertical="center"/>
    </xf>
    <xf numFmtId="178" fontId="56" fillId="0" borderId="0"/>
    <xf numFmtId="0" fontId="68" fillId="12" borderId="6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4" fontId="49" fillId="45" borderId="65" applyNumberFormat="0" applyProtection="0">
      <alignment horizontal="left" vertical="center" indent="1"/>
    </xf>
    <xf numFmtId="0" fontId="56" fillId="0" borderId="0"/>
    <xf numFmtId="0" fontId="27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4" fontId="49" fillId="45" borderId="65" applyNumberFormat="0" applyProtection="0">
      <alignment horizontal="left" vertical="center" indent="1"/>
    </xf>
    <xf numFmtId="0" fontId="56" fillId="0" borderId="0"/>
    <xf numFmtId="178" fontId="56" fillId="0" borderId="0"/>
    <xf numFmtId="178" fontId="49" fillId="0" borderId="0">
      <alignment vertical="top"/>
    </xf>
    <xf numFmtId="0" fontId="56" fillId="0" borderId="0"/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178" fontId="49" fillId="0" borderId="0">
      <alignment vertical="top"/>
    </xf>
    <xf numFmtId="0" fontId="73" fillId="0" borderId="72" applyNumberFormat="0" applyFill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6" fillId="0" borderId="0"/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0" borderId="0">
      <alignment vertical="top"/>
    </xf>
    <xf numFmtId="0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49" fillId="0" borderId="0">
      <alignment vertical="top"/>
    </xf>
    <xf numFmtId="178" fontId="4" fillId="0" borderId="0"/>
    <xf numFmtId="0" fontId="49" fillId="0" borderId="0">
      <alignment vertical="top"/>
    </xf>
    <xf numFmtId="178" fontId="57" fillId="0" borderId="0"/>
    <xf numFmtId="0" fontId="57" fillId="0" borderId="0"/>
    <xf numFmtId="4" fontId="49" fillId="34" borderId="65" applyNumberFormat="0" applyProtection="0">
      <alignment horizontal="right" vertical="center"/>
    </xf>
    <xf numFmtId="0" fontId="57" fillId="0" borderId="0"/>
    <xf numFmtId="0" fontId="49" fillId="0" borderId="0">
      <alignment vertical="top"/>
    </xf>
    <xf numFmtId="0" fontId="63" fillId="27" borderId="0" applyNumberFormat="0" applyBorder="0" applyAlignment="0" applyProtection="0">
      <alignment vertical="center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8" fontId="86" fillId="0" borderId="73" applyNumberFormat="0" applyFill="0" applyAlignment="0" applyProtection="0">
      <alignment vertical="center"/>
    </xf>
    <xf numFmtId="0" fontId="49" fillId="0" borderId="0">
      <alignment vertical="top"/>
    </xf>
    <xf numFmtId="0" fontId="57" fillId="0" borderId="0"/>
    <xf numFmtId="178" fontId="1" fillId="19" borderId="63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7" fillId="0" borderId="0"/>
    <xf numFmtId="0" fontId="57" fillId="0" borderId="0"/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7" fillId="0" borderId="0"/>
    <xf numFmtId="178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51" fillId="28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178" fontId="49" fillId="0" borderId="0">
      <alignment vertical="top"/>
    </xf>
    <xf numFmtId="0" fontId="83" fillId="4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9" fillId="0" borderId="0">
      <alignment vertical="top"/>
    </xf>
    <xf numFmtId="0" fontId="51" fillId="2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0" fontId="57" fillId="0" borderId="0"/>
    <xf numFmtId="0" fontId="51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7" fillId="0" borderId="0"/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6" fillId="0" borderId="0"/>
    <xf numFmtId="178" fontId="27" fillId="0" borderId="0">
      <alignment vertical="center"/>
    </xf>
    <xf numFmtId="0" fontId="27" fillId="26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180" fontId="87" fillId="0" borderId="0"/>
    <xf numFmtId="0" fontId="56" fillId="0" borderId="0"/>
    <xf numFmtId="0" fontId="56" fillId="0" borderId="0"/>
    <xf numFmtId="178" fontId="27" fillId="0" borderId="0">
      <alignment vertical="center"/>
    </xf>
    <xf numFmtId="0" fontId="27" fillId="2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56" fillId="0" borderId="0"/>
    <xf numFmtId="0" fontId="27" fillId="1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49" fillId="0" borderId="0">
      <alignment vertical="top"/>
    </xf>
    <xf numFmtId="0" fontId="27" fillId="34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178" fontId="59" fillId="18" borderId="0" applyNumberFormat="0" applyBorder="0" applyAlignment="0" applyProtection="0">
      <alignment vertical="center"/>
    </xf>
    <xf numFmtId="0" fontId="49" fillId="0" borderId="0">
      <alignment vertical="top"/>
    </xf>
    <xf numFmtId="43" fontId="1" fillId="0" borderId="0" applyFont="0" applyFill="0" applyBorder="0" applyAlignment="0" applyProtection="0"/>
    <xf numFmtId="0" fontId="27" fillId="1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27" fillId="0" borderId="0">
      <alignment vertical="center"/>
    </xf>
    <xf numFmtId="178" fontId="49" fillId="0" borderId="0">
      <alignment vertical="top"/>
    </xf>
    <xf numFmtId="178" fontId="1" fillId="0" borderId="0"/>
    <xf numFmtId="0" fontId="1" fillId="0" borderId="0"/>
    <xf numFmtId="0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178" fontId="1" fillId="0" borderId="0"/>
    <xf numFmtId="178" fontId="1" fillId="0" borderId="0"/>
    <xf numFmtId="0" fontId="49" fillId="0" borderId="0">
      <alignment vertical="top"/>
    </xf>
    <xf numFmtId="0" fontId="51" fillId="3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88" fillId="0" borderId="76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49" fillId="0" borderId="0">
      <alignment vertical="top"/>
    </xf>
    <xf numFmtId="0" fontId="88" fillId="0" borderId="76" applyNumberFormat="0" applyFill="0" applyAlignment="0" applyProtection="0">
      <alignment vertical="center"/>
    </xf>
    <xf numFmtId="178" fontId="49" fillId="0" borderId="0">
      <alignment vertical="top"/>
    </xf>
    <xf numFmtId="0" fontId="49" fillId="0" borderId="0">
      <alignment vertical="top"/>
    </xf>
    <xf numFmtId="0" fontId="51" fillId="20" borderId="0" applyNumberFormat="0" applyBorder="0" applyAlignment="0" applyProtection="0">
      <alignment vertical="center"/>
    </xf>
    <xf numFmtId="178" fontId="56" fillId="0" borderId="0"/>
    <xf numFmtId="0" fontId="27" fillId="16" borderId="0" applyNumberFormat="0" applyBorder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178" fontId="56" fillId="0" borderId="0"/>
    <xf numFmtId="0" fontId="56" fillId="0" borderId="0"/>
    <xf numFmtId="0" fontId="27" fillId="26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/>
    <xf numFmtId="0" fontId="1" fillId="0" borderId="0"/>
    <xf numFmtId="178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56" fillId="0" borderId="0"/>
    <xf numFmtId="178" fontId="1" fillId="0" borderId="0">
      <alignment vertical="center"/>
    </xf>
    <xf numFmtId="0" fontId="56" fillId="0" borderId="0"/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15" fillId="49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56" fillId="0" borderId="0"/>
    <xf numFmtId="0" fontId="60" fillId="1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178" fontId="1" fillId="0" borderId="0">
      <alignment vertical="center"/>
    </xf>
    <xf numFmtId="178" fontId="57" fillId="0" borderId="0"/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49" fillId="0" borderId="0">
      <alignment vertical="top"/>
    </xf>
    <xf numFmtId="178" fontId="61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27" fillId="0" borderId="0">
      <alignment vertical="center"/>
    </xf>
    <xf numFmtId="43" fontId="15" fillId="0" borderId="0" applyFont="0" applyFill="0" applyBorder="0" applyAlignment="0" applyProtection="0">
      <alignment vertical="center"/>
    </xf>
    <xf numFmtId="0" fontId="57" fillId="0" borderId="0"/>
    <xf numFmtId="0" fontId="5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178" fontId="59" fillId="34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81" fillId="21" borderId="65" applyNumberFormat="0" applyAlignment="0" applyProtection="0">
      <alignment vertical="center"/>
    </xf>
    <xf numFmtId="0" fontId="57" fillId="0" borderId="0"/>
    <xf numFmtId="0" fontId="53" fillId="0" borderId="0" applyNumberFormat="0" applyFill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49" fillId="0" borderId="0">
      <alignment vertical="top"/>
    </xf>
    <xf numFmtId="0" fontId="51" fillId="23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0" borderId="0">
      <alignment vertical="center"/>
    </xf>
    <xf numFmtId="0" fontId="49" fillId="0" borderId="0">
      <alignment vertical="top"/>
    </xf>
    <xf numFmtId="0" fontId="51" fillId="23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49" fillId="0" borderId="0">
      <alignment vertical="top"/>
    </xf>
    <xf numFmtId="0" fontId="15" fillId="52" borderId="0" applyNumberFormat="0" applyBorder="0" applyAlignment="0" applyProtection="0">
      <alignment vertical="center"/>
    </xf>
    <xf numFmtId="0" fontId="57" fillId="21" borderId="65" applyNumberFormat="0" applyProtection="0">
      <alignment horizontal="left" vertical="center" indent="1"/>
    </xf>
    <xf numFmtId="0" fontId="27" fillId="20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57" fillId="0" borderId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49" fillId="0" borderId="0">
      <alignment vertical="top"/>
    </xf>
    <xf numFmtId="178" fontId="64" fillId="1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49" fillId="0" borderId="0">
      <alignment vertical="top"/>
    </xf>
    <xf numFmtId="0" fontId="1" fillId="0" borderId="0"/>
    <xf numFmtId="0" fontId="81" fillId="21" borderId="65" applyNumberFormat="0" applyAlignment="0" applyProtection="0">
      <alignment vertical="center"/>
    </xf>
    <xf numFmtId="0" fontId="57" fillId="0" borderId="0"/>
    <xf numFmtId="178" fontId="64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57" fillId="0" borderId="0"/>
    <xf numFmtId="178" fontId="1" fillId="0" borderId="0"/>
    <xf numFmtId="178" fontId="59" fillId="15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49" fillId="0" borderId="0">
      <alignment vertical="top"/>
    </xf>
    <xf numFmtId="178" fontId="64" fillId="3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" fontId="49" fillId="13" borderId="65" applyNumberFormat="0" applyProtection="0">
      <alignment horizontal="right" vertical="center"/>
    </xf>
    <xf numFmtId="0" fontId="84" fillId="0" borderId="62" applyNumberFormat="0" applyFill="0" applyAlignment="0" applyProtection="0">
      <alignment vertical="center"/>
    </xf>
    <xf numFmtId="0" fontId="49" fillId="0" borderId="0">
      <alignment vertical="top"/>
    </xf>
    <xf numFmtId="178" fontId="64" fillId="31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57" fillId="0" borderId="0"/>
    <xf numFmtId="0" fontId="1" fillId="0" borderId="0"/>
    <xf numFmtId="0" fontId="81" fillId="21" borderId="65" applyNumberFormat="0" applyAlignment="0" applyProtection="0">
      <alignment vertical="center"/>
    </xf>
    <xf numFmtId="0" fontId="57" fillId="0" borderId="0"/>
    <xf numFmtId="0" fontId="81" fillId="21" borderId="65" applyNumberFormat="0" applyAlignment="0" applyProtection="0">
      <alignment vertical="center"/>
    </xf>
    <xf numFmtId="0" fontId="57" fillId="0" borderId="0"/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8" borderId="0" applyNumberFormat="0" applyBorder="0" applyAlignment="0" applyProtection="0">
      <alignment vertical="center"/>
    </xf>
    <xf numFmtId="178" fontId="91" fillId="0" borderId="0"/>
    <xf numFmtId="0" fontId="57" fillId="14" borderId="65" applyNumberFormat="0" applyProtection="0">
      <alignment horizontal="left" vertical="center" indent="1"/>
    </xf>
    <xf numFmtId="178" fontId="1" fillId="0" borderId="0">
      <alignment vertical="center"/>
    </xf>
    <xf numFmtId="178" fontId="57" fillId="0" borderId="0"/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57" fillId="0" borderId="0"/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49" fillId="0" borderId="0">
      <alignment vertical="top"/>
    </xf>
    <xf numFmtId="0" fontId="54" fillId="17" borderId="0" applyNumberFormat="0" applyBorder="0" applyAlignment="0" applyProtection="0">
      <alignment vertical="center"/>
    </xf>
    <xf numFmtId="0" fontId="57" fillId="0" borderId="0"/>
    <xf numFmtId="0" fontId="15" fillId="5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57" fillId="0" borderId="0"/>
    <xf numFmtId="0" fontId="27" fillId="1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57" fillId="0" borderId="0"/>
    <xf numFmtId="178" fontId="59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26" borderId="0" applyNumberFormat="0" applyBorder="0" applyAlignment="0" applyProtection="0">
      <alignment vertical="center"/>
    </xf>
    <xf numFmtId="38" fontId="79" fillId="0" borderId="0" applyFont="0" applyFill="0" applyBorder="0" applyAlignment="0" applyProtection="0"/>
    <xf numFmtId="178" fontId="59" fillId="15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26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6" fillId="0" borderId="0"/>
    <xf numFmtId="0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0" borderId="0"/>
    <xf numFmtId="178" fontId="49" fillId="0" borderId="0">
      <alignment vertical="top"/>
    </xf>
    <xf numFmtId="0" fontId="27" fillId="19" borderId="63" applyNumberFormat="0" applyFon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49" fillId="0" borderId="0">
      <alignment vertical="top"/>
    </xf>
    <xf numFmtId="178" fontId="59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49" fillId="0" borderId="0">
      <alignment vertical="top"/>
    </xf>
    <xf numFmtId="0" fontId="55" fillId="16" borderId="0" applyNumberFormat="0" applyBorder="0" applyAlignment="0" applyProtection="0">
      <alignment vertical="center"/>
    </xf>
    <xf numFmtId="178" fontId="49" fillId="0" borderId="0">
      <alignment vertical="top"/>
    </xf>
    <xf numFmtId="0" fontId="49" fillId="0" borderId="0">
      <alignment vertical="top"/>
    </xf>
    <xf numFmtId="0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49" fillId="0" borderId="0">
      <alignment vertical="top"/>
    </xf>
    <xf numFmtId="178" fontId="59" fillId="34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4" fontId="93" fillId="22" borderId="65" applyNumberFormat="0" applyProtection="0">
      <alignment horizontal="right" vertical="center"/>
    </xf>
    <xf numFmtId="178" fontId="59" fillId="12" borderId="0" applyNumberFormat="0" applyBorder="0" applyAlignment="0" applyProtection="0">
      <alignment vertical="center"/>
    </xf>
    <xf numFmtId="178" fontId="49" fillId="0" borderId="0">
      <alignment vertical="top"/>
    </xf>
    <xf numFmtId="0" fontId="83" fillId="5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15" fillId="36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49" fillId="0" borderId="0">
      <alignment vertical="top"/>
    </xf>
    <xf numFmtId="0" fontId="76" fillId="0" borderId="73" applyNumberFormat="0" applyFill="0" applyAlignment="0" applyProtection="0">
      <alignment vertical="center"/>
    </xf>
    <xf numFmtId="0" fontId="49" fillId="0" borderId="0">
      <alignment vertical="top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7" fillId="14" borderId="65" applyNumberFormat="0" applyProtection="0">
      <alignment horizontal="left" vertical="center" indent="1"/>
    </xf>
    <xf numFmtId="178" fontId="49" fillId="0" borderId="0">
      <alignment vertical="top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1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49" fillId="0" borderId="0">
      <alignment vertical="top"/>
    </xf>
    <xf numFmtId="178" fontId="59" fillId="12" borderId="0" applyNumberFormat="0" applyBorder="0" applyAlignment="0" applyProtection="0">
      <alignment vertical="center"/>
    </xf>
    <xf numFmtId="178" fontId="56" fillId="0" borderId="0"/>
    <xf numFmtId="0" fontId="77" fillId="0" borderId="74" applyNumberFormat="0" applyFill="0" applyAlignment="0" applyProtection="0">
      <alignment vertical="center"/>
    </xf>
    <xf numFmtId="4" fontId="93" fillId="22" borderId="65" applyNumberFormat="0" applyProtection="0">
      <alignment horizontal="right"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6" fillId="0" borderId="0"/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6" fillId="0" borderId="0"/>
    <xf numFmtId="0" fontId="70" fillId="37" borderId="68" applyNumberFormat="0" applyAlignment="0" applyProtection="0">
      <alignment vertical="center"/>
    </xf>
    <xf numFmtId="178" fontId="57" fillId="0" borderId="0"/>
    <xf numFmtId="0" fontId="5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71" fillId="0" borderId="0"/>
    <xf numFmtId="0" fontId="27" fillId="15" borderId="0" applyNumberFormat="0" applyBorder="0" applyAlignment="0" applyProtection="0">
      <alignment vertical="center"/>
    </xf>
    <xf numFmtId="0" fontId="70" fillId="37" borderId="68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57" fillId="0" borderId="0"/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1" fillId="0" borderId="0" applyBorder="0"/>
    <xf numFmtId="0" fontId="81" fillId="21" borderId="65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57" fillId="0" borderId="0"/>
    <xf numFmtId="0" fontId="56" fillId="0" borderId="0"/>
    <xf numFmtId="0" fontId="27" fillId="17" borderId="0" applyNumberFormat="0" applyBorder="0" applyAlignment="0" applyProtection="0">
      <alignment vertical="center"/>
    </xf>
    <xf numFmtId="178" fontId="57" fillId="0" borderId="0"/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4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51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57" fillId="0" borderId="0"/>
    <xf numFmtId="0" fontId="53" fillId="0" borderId="75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49" fillId="0" borderId="0">
      <alignment vertical="top"/>
    </xf>
    <xf numFmtId="178" fontId="4" fillId="0" borderId="0"/>
    <xf numFmtId="0" fontId="27" fillId="15" borderId="0" applyNumberFormat="0" applyBorder="0" applyAlignment="0" applyProtection="0">
      <alignment vertical="center"/>
    </xf>
    <xf numFmtId="178" fontId="49" fillId="0" borderId="0">
      <alignment vertical="top"/>
    </xf>
    <xf numFmtId="0" fontId="15" fillId="0" borderId="0">
      <alignment vertical="center"/>
    </xf>
    <xf numFmtId="178" fontId="1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18" borderId="0" applyNumberFormat="0" applyBorder="0" applyAlignment="0" applyProtection="0">
      <alignment vertical="center"/>
    </xf>
    <xf numFmtId="0" fontId="49" fillId="0" borderId="0">
      <alignment vertical="top"/>
    </xf>
    <xf numFmtId="0" fontId="49" fillId="0" borderId="0">
      <alignment vertical="top"/>
    </xf>
    <xf numFmtId="0" fontId="27" fillId="0" borderId="0">
      <alignment vertical="center"/>
    </xf>
    <xf numFmtId="178" fontId="1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15" fillId="0" borderId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49" fillId="0" borderId="0">
      <alignment vertical="top"/>
    </xf>
    <xf numFmtId="0" fontId="54" fillId="17" borderId="0" applyNumberFormat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27" fillId="17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9" fillId="0" borderId="0">
      <alignment vertical="top"/>
    </xf>
    <xf numFmtId="4" fontId="49" fillId="11" borderId="65" applyNumberFormat="0" applyProtection="0">
      <alignment horizontal="right" vertical="center"/>
    </xf>
    <xf numFmtId="0" fontId="27" fillId="14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/>
    <xf numFmtId="0" fontId="15" fillId="9" borderId="0" applyNumberFormat="0" applyBorder="0" applyAlignment="0" applyProtection="0">
      <alignment vertical="center"/>
    </xf>
    <xf numFmtId="0" fontId="49" fillId="0" borderId="0">
      <alignment vertical="top"/>
    </xf>
    <xf numFmtId="0" fontId="81" fillId="21" borderId="65" applyNumberFormat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/>
    <xf numFmtId="0" fontId="81" fillId="21" borderId="65" applyNumberFormat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0" borderId="0"/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56" fillId="0" borderId="0"/>
    <xf numFmtId="0" fontId="11" fillId="0" borderId="71" applyNumberFormat="0" applyFill="0" applyAlignment="0" applyProtection="0">
      <alignment vertical="center"/>
    </xf>
    <xf numFmtId="0" fontId="56" fillId="0" borderId="0"/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56" fillId="0" borderId="0"/>
    <xf numFmtId="0" fontId="27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49" fillId="0" borderId="0">
      <alignment vertical="top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24" borderId="0" applyNumberFormat="0" applyBorder="0" applyAlignment="0" applyProtection="0">
      <alignment vertical="center"/>
    </xf>
    <xf numFmtId="178" fontId="56" fillId="0" borderId="0"/>
    <xf numFmtId="0" fontId="56" fillId="0" borderId="0"/>
    <xf numFmtId="178" fontId="27" fillId="0" borderId="0">
      <alignment vertical="center"/>
    </xf>
    <xf numFmtId="0" fontId="27" fillId="26" borderId="0" applyNumberFormat="0" applyBorder="0" applyAlignment="0" applyProtection="0">
      <alignment vertical="center"/>
    </xf>
    <xf numFmtId="178" fontId="56" fillId="0" borderId="0"/>
    <xf numFmtId="178" fontId="59" fillId="12" borderId="0" applyNumberFormat="0" applyBorder="0" applyAlignment="0" applyProtection="0">
      <alignment vertical="center"/>
    </xf>
    <xf numFmtId="0" fontId="1" fillId="0" borderId="0"/>
    <xf numFmtId="0" fontId="56" fillId="0" borderId="0"/>
    <xf numFmtId="0" fontId="56" fillId="0" borderId="0"/>
    <xf numFmtId="0" fontId="50" fillId="10" borderId="60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49" fillId="0" borderId="0">
      <alignment vertical="top"/>
    </xf>
    <xf numFmtId="178" fontId="57" fillId="0" borderId="0"/>
    <xf numFmtId="0" fontId="68" fillId="12" borderId="6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7" fillId="0" borderId="0"/>
    <xf numFmtId="0" fontId="68" fillId="12" borderId="6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7" fillId="0" borderId="0"/>
    <xf numFmtId="178" fontId="59" fillId="34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7" fillId="0" borderId="0"/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57" fillId="0" borderId="0"/>
    <xf numFmtId="178" fontId="59" fillId="17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7" fillId="0" borderId="0"/>
    <xf numFmtId="0" fontId="57" fillId="0" borderId="0"/>
    <xf numFmtId="178" fontId="57" fillId="0" borderId="0"/>
    <xf numFmtId="179" fontId="79" fillId="0" borderId="0" applyFont="0" applyFill="0" applyBorder="0" applyAlignment="0" applyProtection="0"/>
    <xf numFmtId="178" fontId="49" fillId="0" borderId="0">
      <alignment vertical="top"/>
    </xf>
    <xf numFmtId="0" fontId="27" fillId="14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27" fillId="0" borderId="0">
      <alignment vertical="center"/>
    </xf>
    <xf numFmtId="178" fontId="56" fillId="0" borderId="0"/>
    <xf numFmtId="0" fontId="27" fillId="19" borderId="63" applyNumberFormat="0" applyFont="0" applyAlignment="0" applyProtection="0">
      <alignment vertical="center"/>
    </xf>
    <xf numFmtId="0" fontId="1" fillId="0" borderId="0"/>
    <xf numFmtId="0" fontId="56" fillId="0" borderId="0"/>
    <xf numFmtId="178" fontId="57" fillId="0" borderId="0"/>
    <xf numFmtId="0" fontId="27" fillId="15" borderId="0" applyNumberFormat="0" applyBorder="0" applyAlignment="0" applyProtection="0">
      <alignment vertical="center"/>
    </xf>
    <xf numFmtId="0" fontId="57" fillId="0" borderId="0"/>
    <xf numFmtId="0" fontId="88" fillId="0" borderId="76" applyNumberFormat="0" applyFill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57" fillId="0" borderId="0"/>
    <xf numFmtId="0" fontId="53" fillId="0" borderId="75" applyNumberFormat="0" applyFill="0" applyAlignment="0" applyProtection="0">
      <alignment vertical="center"/>
    </xf>
    <xf numFmtId="0" fontId="49" fillId="0" borderId="0">
      <alignment vertical="top"/>
    </xf>
    <xf numFmtId="0" fontId="49" fillId="0" borderId="0">
      <alignment vertical="top"/>
    </xf>
    <xf numFmtId="178" fontId="56" fillId="0" borderId="0"/>
    <xf numFmtId="0" fontId="27" fillId="17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6" fillId="0" borderId="0"/>
    <xf numFmtId="0" fontId="27" fillId="26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7" fillId="0" borderId="0"/>
    <xf numFmtId="0" fontId="57" fillId="0" borderId="0"/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7" fillId="0" borderId="0"/>
    <xf numFmtId="0" fontId="27" fillId="14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12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1" fillId="0" borderId="0">
      <alignment vertical="center"/>
    </xf>
    <xf numFmtId="178" fontId="49" fillId="0" borderId="0">
      <alignment vertical="top"/>
    </xf>
    <xf numFmtId="178" fontId="56" fillId="0" borderId="0"/>
    <xf numFmtId="0" fontId="83" fillId="5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49" fillId="0" borderId="0">
      <alignment vertical="top"/>
    </xf>
    <xf numFmtId="0" fontId="27" fillId="34" borderId="0" applyNumberFormat="0" applyBorder="0" applyAlignment="0" applyProtection="0">
      <alignment vertical="center"/>
    </xf>
    <xf numFmtId="0" fontId="49" fillId="0" borderId="0">
      <alignment vertical="top"/>
    </xf>
    <xf numFmtId="0" fontId="15" fillId="9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7" fillId="0" borderId="0"/>
    <xf numFmtId="0" fontId="57" fillId="0" borderId="0"/>
    <xf numFmtId="0" fontId="56" fillId="0" borderId="0"/>
    <xf numFmtId="0" fontId="83" fillId="5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6" fillId="0" borderId="0"/>
    <xf numFmtId="0" fontId="55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6" fillId="0" borderId="0"/>
    <xf numFmtId="0" fontId="63" fillId="2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38" fontId="96" fillId="21" borderId="0" applyNumberFormat="0" applyBorder="0" applyAlignment="0" applyProtection="0"/>
    <xf numFmtId="178" fontId="55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6" fillId="0" borderId="0"/>
    <xf numFmtId="0" fontId="27" fillId="2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6" fillId="0" borderId="0"/>
    <xf numFmtId="0" fontId="54" fillId="1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6" fillId="0" borderId="0"/>
    <xf numFmtId="0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6" fillId="0" borderId="0"/>
    <xf numFmtId="0" fontId="92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83" fontId="1" fillId="0" borderId="25" applyFont="0" applyFill="0" applyBorder="0" applyAlignment="0" applyProtection="0"/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83" fontId="1" fillId="0" borderId="25" applyFont="0" applyFill="0" applyBorder="0" applyAlignment="0" applyProtection="0"/>
    <xf numFmtId="178" fontId="59" fillId="18" borderId="0" applyNumberFormat="0" applyBorder="0" applyAlignment="0" applyProtection="0">
      <alignment vertical="center"/>
    </xf>
    <xf numFmtId="177" fontId="36" fillId="0" borderId="0" applyFill="0" applyBorder="0" applyAlignment="0"/>
    <xf numFmtId="0" fontId="27" fillId="1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" fillId="0" borderId="0"/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0" borderId="0">
      <alignment vertical="center"/>
    </xf>
    <xf numFmtId="178" fontId="64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178" fontId="57" fillId="14" borderId="65" applyNumberFormat="0" applyProtection="0">
      <alignment horizontal="left" vertical="center" indent="1"/>
    </xf>
    <xf numFmtId="0" fontId="27" fillId="1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" fillId="0" borderId="0"/>
    <xf numFmtId="0" fontId="27" fillId="14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1" fillId="0" borderId="0"/>
    <xf numFmtId="0" fontId="27" fillId="14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" fontId="49" fillId="22" borderId="65" applyNumberFormat="0" applyProtection="0">
      <alignment horizontal="right" vertical="center"/>
    </xf>
    <xf numFmtId="178" fontId="64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4" fontId="49" fillId="22" borderId="65" applyNumberFormat="0" applyProtection="0">
      <alignment horizontal="right"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4" fontId="49" fillId="22" borderId="65" applyNumberFormat="0" applyProtection="0">
      <alignment horizontal="right" vertical="center"/>
    </xf>
    <xf numFmtId="0" fontId="27" fillId="2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53" fillId="0" borderId="75" applyNumberFormat="0" applyFill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1" fillId="0" borderId="0"/>
    <xf numFmtId="0" fontId="97" fillId="5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1" fillId="0" borderId="0">
      <alignment vertical="center"/>
    </xf>
    <xf numFmtId="178" fontId="59" fillId="17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1" fillId="0" borderId="0">
      <alignment vertical="center"/>
    </xf>
    <xf numFmtId="178" fontId="59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59" fillId="17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9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178" fontId="15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1" fillId="0" borderId="0"/>
    <xf numFmtId="0" fontId="1" fillId="0" borderId="0"/>
    <xf numFmtId="184" fontId="99" fillId="0" borderId="0" applyFont="0" applyFill="0" applyBorder="0" applyAlignment="0" applyProtection="0"/>
    <xf numFmtId="0" fontId="27" fillId="1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27" fillId="17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1" fillId="0" borderId="0"/>
    <xf numFmtId="0" fontId="27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57" fillId="21" borderId="65" applyNumberFormat="0" applyProtection="0">
      <alignment horizontal="left" vertical="center" indent="1"/>
    </xf>
    <xf numFmtId="178" fontId="66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178" fontId="57" fillId="21" borderId="65" applyNumberFormat="0" applyProtection="0">
      <alignment horizontal="left" vertical="center" indent="1"/>
    </xf>
    <xf numFmtId="0" fontId="27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52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49" fillId="0" borderId="0">
      <alignment vertical="top"/>
    </xf>
    <xf numFmtId="178" fontId="61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78" fontId="49" fillId="0" borderId="0">
      <alignment vertical="top"/>
    </xf>
    <xf numFmtId="0" fontId="51" fillId="24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49" fillId="0" borderId="0">
      <alignment vertical="top"/>
    </xf>
    <xf numFmtId="178" fontId="52" fillId="0" borderId="62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176" fontId="99" fillId="0" borderId="0" applyFont="0" applyFill="0" applyBorder="0" applyAlignment="0" applyProtection="0"/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49" fillId="0" borderId="0">
      <alignment vertical="top"/>
    </xf>
    <xf numFmtId="178" fontId="61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/>
    <xf numFmtId="178" fontId="59" fillId="16" borderId="0" applyNumberFormat="0" applyBorder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/>
    <xf numFmtId="0" fontId="27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4" fontId="100" fillId="25" borderId="78" applyNumberForma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" fontId="100" fillId="25" borderId="78" applyNumberForma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1" fillId="0" borderId="0"/>
    <xf numFmtId="178" fontId="59" fillId="16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178" fontId="1" fillId="0" borderId="0"/>
    <xf numFmtId="178" fontId="59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178" fontId="1" fillId="0" borderId="0"/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1" fillId="0" borderId="0"/>
    <xf numFmtId="0" fontId="11" fillId="0" borderId="71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0" fontId="27" fillId="18" borderId="0" applyNumberFormat="0" applyBorder="0" applyAlignment="0" applyProtection="0">
      <alignment vertical="center"/>
    </xf>
    <xf numFmtId="178" fontId="1" fillId="0" borderId="0"/>
    <xf numFmtId="0" fontId="59" fillId="15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15" fillId="0" borderId="0">
      <alignment vertical="center"/>
    </xf>
    <xf numFmtId="0" fontId="27" fillId="16" borderId="0" applyNumberFormat="0" applyBorder="0" applyAlignment="0" applyProtection="0">
      <alignment vertical="center"/>
    </xf>
    <xf numFmtId="178" fontId="15" fillId="0" borderId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6" borderId="0" applyNumberFormat="0" applyBorder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27" fillId="0" borderId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" fillId="0" borderId="0"/>
    <xf numFmtId="0" fontId="51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27" fillId="0" borderId="0">
      <alignment vertical="center"/>
    </xf>
    <xf numFmtId="0" fontId="27" fillId="16" borderId="0" applyNumberFormat="0" applyBorder="0" applyAlignment="0" applyProtection="0">
      <alignment vertical="center"/>
    </xf>
    <xf numFmtId="178" fontId="57" fillId="45" borderId="65" applyNumberFormat="0" applyProtection="0">
      <alignment horizontal="left" vertical="center" indent="1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6" borderId="0" applyNumberFormat="0" applyBorder="0" applyAlignment="0" applyProtection="0">
      <alignment vertical="center"/>
    </xf>
    <xf numFmtId="178" fontId="57" fillId="10" borderId="65" applyNumberFormat="0" applyProtection="0">
      <alignment horizontal="left" vertical="center" indent="1"/>
    </xf>
    <xf numFmtId="0" fontId="62" fillId="25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" fontId="49" fillId="17" borderId="65" applyNumberFormat="0" applyProtection="0">
      <alignment horizontal="right" vertical="center"/>
    </xf>
    <xf numFmtId="0" fontId="27" fillId="18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" fillId="0" borderId="0"/>
    <xf numFmtId="0" fontId="15" fillId="4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57" fillId="0" borderId="0"/>
    <xf numFmtId="0" fontId="15" fillId="0" borderId="0">
      <alignment vertical="center"/>
    </xf>
    <xf numFmtId="0" fontId="27" fillId="16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7" fontId="102" fillId="0" borderId="0"/>
    <xf numFmtId="178" fontId="61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/>
    <xf numFmtId="0" fontId="27" fillId="15" borderId="0" applyNumberFormat="0" applyBorder="0" applyAlignment="0" applyProtection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1" fillId="0" borderId="0"/>
    <xf numFmtId="178" fontId="15" fillId="0" borderId="0">
      <alignment vertical="center"/>
    </xf>
    <xf numFmtId="0" fontId="15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1" fillId="0" borderId="0"/>
    <xf numFmtId="178" fontId="15" fillId="0" borderId="0">
      <alignment vertical="center"/>
    </xf>
    <xf numFmtId="0" fontId="15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1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/>
    <xf numFmtId="0" fontId="15" fillId="3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1" fillId="0" borderId="0"/>
    <xf numFmtId="0" fontId="27" fillId="1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/>
    <xf numFmtId="178" fontId="59" fillId="2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178" fontId="59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59" fillId="2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/>
    <xf numFmtId="181" fontId="15" fillId="0" borderId="0">
      <alignment vertical="center"/>
    </xf>
    <xf numFmtId="178" fontId="69" fillId="10" borderId="60" applyNumberFormat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27" fillId="0" borderId="0">
      <alignment vertical="center"/>
    </xf>
    <xf numFmtId="0" fontId="15" fillId="0" borderId="0"/>
    <xf numFmtId="178" fontId="69" fillId="10" borderId="60" applyNumberFormat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81" fontId="15" fillId="0" borderId="0">
      <alignment vertical="center"/>
    </xf>
    <xf numFmtId="0" fontId="1" fillId="0" borderId="0"/>
    <xf numFmtId="178" fontId="69" fillId="10" borderId="60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1" fillId="0" borderId="0"/>
    <xf numFmtId="0" fontId="51" fillId="11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27" fillId="35" borderId="66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  <xf numFmtId="0" fontId="27" fillId="12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" fontId="49" fillId="23" borderId="65" applyNumberFormat="0" applyProtection="0">
      <alignment horizontal="right" vertical="center"/>
    </xf>
    <xf numFmtId="0" fontId="27" fillId="12" borderId="0" applyNumberFormat="0" applyBorder="0" applyAlignment="0" applyProtection="0">
      <alignment vertical="center"/>
    </xf>
    <xf numFmtId="4" fontId="49" fillId="23" borderId="65" applyNumberFormat="0" applyProtection="0">
      <alignment horizontal="right" vertical="center"/>
    </xf>
    <xf numFmtId="0" fontId="27" fillId="12" borderId="0" applyNumberFormat="0" applyBorder="0" applyAlignment="0" applyProtection="0">
      <alignment vertical="center"/>
    </xf>
    <xf numFmtId="4" fontId="49" fillId="41" borderId="65" applyNumberFormat="0" applyProtection="0">
      <alignment horizontal="right" vertical="center"/>
    </xf>
    <xf numFmtId="0" fontId="27" fillId="12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2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1" fillId="0" borderId="0">
      <alignment vertical="center"/>
    </xf>
    <xf numFmtId="0" fontId="59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/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" fontId="93" fillId="22" borderId="65" applyNumberFormat="0" applyProtection="0">
      <alignment horizontal="right" vertical="center"/>
    </xf>
    <xf numFmtId="178" fontId="59" fillId="18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" fillId="0" borderId="0"/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5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15" fillId="58" borderId="0" applyNumberFormat="0" applyBorder="0" applyAlignment="0" applyProtection="0">
      <alignment vertical="center"/>
    </xf>
    <xf numFmtId="183" fontId="36" fillId="0" borderId="0" applyFill="0" applyBorder="0" applyAlignment="0">
      <alignment horizontal="left" vertical="center" wrapText="1"/>
    </xf>
    <xf numFmtId="178" fontId="36" fillId="0" borderId="0" applyFill="0" applyBorder="0" applyAlignment="0">
      <alignment horizontal="left" vertical="center"/>
    </xf>
    <xf numFmtId="0" fontId="36" fillId="0" borderId="0" applyFill="0" applyBorder="0" applyAlignment="0">
      <alignment horizontal="left" vertical="center"/>
    </xf>
    <xf numFmtId="0" fontId="36" fillId="0" borderId="0" applyFill="0" applyBorder="0" applyAlignment="0">
      <alignment horizontal="left" vertical="center"/>
    </xf>
    <xf numFmtId="0" fontId="83" fillId="6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178" fontId="59" fillId="18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98" fillId="21" borderId="64" applyNumberFormat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82" fontId="79" fillId="0" borderId="0" applyFont="0" applyFill="0" applyBorder="0" applyAlignment="0" applyProtection="0"/>
    <xf numFmtId="0" fontId="27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1" fillId="0" borderId="0"/>
    <xf numFmtId="178" fontId="5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1" fillId="0" borderId="0"/>
    <xf numFmtId="0" fontId="51" fillId="24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" fillId="0" borderId="0"/>
    <xf numFmtId="178" fontId="66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27" fillId="35" borderId="66" applyNumberFormat="0" applyFont="0" applyAlignment="0" applyProtection="0">
      <alignment vertical="center"/>
    </xf>
    <xf numFmtId="0" fontId="27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50" fillId="10" borderId="60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178" fontId="89" fillId="25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" fontId="49" fillId="19" borderId="65" applyNumberFormat="0" applyProtection="0">
      <alignment horizontal="left" vertical="center" indent="1"/>
    </xf>
    <xf numFmtId="178" fontId="59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/>
    <xf numFmtId="178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7" fillId="45" borderId="65" applyNumberFormat="0" applyProtection="0">
      <alignment horizontal="left" vertical="center" indent="1"/>
    </xf>
    <xf numFmtId="0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7" fillId="45" borderId="65" applyNumberFormat="0" applyProtection="0">
      <alignment horizontal="left" vertical="center" indent="1"/>
    </xf>
    <xf numFmtId="0" fontId="2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0" borderId="0">
      <alignment vertical="center"/>
    </xf>
    <xf numFmtId="0" fontId="1" fillId="0" borderId="0"/>
    <xf numFmtId="0" fontId="2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" fillId="0" borderId="0"/>
    <xf numFmtId="0" fontId="27" fillId="18" borderId="0" applyNumberFormat="0" applyBorder="0" applyAlignment="0" applyProtection="0">
      <alignment vertical="center"/>
    </xf>
    <xf numFmtId="178" fontId="1" fillId="0" borderId="0"/>
    <xf numFmtId="0" fontId="54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" fillId="0" borderId="0"/>
    <xf numFmtId="0" fontId="15" fillId="3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1" fillId="0" borderId="0"/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>
      <alignment vertical="center"/>
    </xf>
    <xf numFmtId="178" fontId="59" fillId="13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" fillId="0" borderId="0"/>
    <xf numFmtId="0" fontId="81" fillId="21" borderId="65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" fillId="0" borderId="0"/>
    <xf numFmtId="0" fontId="81" fillId="21" borderId="65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3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3" borderId="0" applyNumberFormat="0" applyBorder="0" applyAlignment="0" applyProtection="0">
      <alignment vertical="center"/>
    </xf>
    <xf numFmtId="178" fontId="1" fillId="0" borderId="0">
      <alignment vertical="center"/>
    </xf>
    <xf numFmtId="0" fontId="84" fillId="0" borderId="6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0" fontId="2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1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4" fontId="100" fillId="61" borderId="65" applyNumberFormat="0" applyProtection="0">
      <alignment horizontal="left" vertical="center" indent="1"/>
    </xf>
    <xf numFmtId="178" fontId="59" fillId="20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59" fillId="20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178" fontId="69" fillId="10" borderId="60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" fillId="0" borderId="0"/>
    <xf numFmtId="0" fontId="15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178" fontId="69" fillId="10" borderId="60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0" borderId="0"/>
    <xf numFmtId="0" fontId="27" fillId="1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0" borderId="0"/>
    <xf numFmtId="0" fontId="27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1" fillId="0" borderId="0"/>
    <xf numFmtId="0" fontId="27" fillId="2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0" borderId="0">
      <alignment vertical="center"/>
    </xf>
    <xf numFmtId="178" fontId="59" fillId="3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7" fillId="45" borderId="65" applyNumberFormat="0" applyProtection="0">
      <alignment horizontal="left" vertical="center" indent="1"/>
    </xf>
    <xf numFmtId="0" fontId="2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/>
    <xf numFmtId="178" fontId="59" fillId="15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59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4" fillId="0" borderId="0"/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1" fillId="0" borderId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" fillId="0" borderId="0"/>
    <xf numFmtId="0" fontId="27" fillId="18" borderId="0" applyNumberFormat="0" applyBorder="0" applyAlignment="0" applyProtection="0">
      <alignment vertical="center"/>
    </xf>
    <xf numFmtId="0" fontId="1" fillId="0" borderId="0"/>
    <xf numFmtId="178" fontId="90" fillId="21" borderId="65" applyNumberForma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0" fontId="90" fillId="21" borderId="65" applyNumberForma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15" fillId="0" borderId="0">
      <alignment vertical="center"/>
    </xf>
    <xf numFmtId="0" fontId="27" fillId="18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15" fillId="0" borderId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178" fontId="59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49" fillId="0" borderId="0">
      <alignment vertical="top"/>
    </xf>
    <xf numFmtId="0" fontId="51" fillId="28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15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178" fontId="27" fillId="0" borderId="0">
      <alignment vertical="top"/>
    </xf>
    <xf numFmtId="0" fontId="27" fillId="0" borderId="0">
      <alignment vertical="center"/>
    </xf>
    <xf numFmtId="0" fontId="51" fillId="28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76" fillId="0" borderId="73" applyNumberFormat="0" applyFill="0" applyAlignment="0" applyProtection="0">
      <alignment vertical="center"/>
    </xf>
    <xf numFmtId="178" fontId="59" fillId="34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1" fillId="0" borderId="0">
      <alignment vertical="center"/>
    </xf>
    <xf numFmtId="178" fontId="60" fillId="16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34" borderId="0" applyNumberFormat="0" applyBorder="0" applyAlignment="0" applyProtection="0">
      <alignment vertical="center"/>
    </xf>
    <xf numFmtId="178" fontId="57" fillId="0" borderId="0"/>
    <xf numFmtId="178" fontId="57" fillId="0" borderId="0"/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63" fillId="27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27" fillId="0" borderId="0">
      <alignment vertical="center"/>
    </xf>
    <xf numFmtId="178" fontId="64" fillId="24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84" fillId="0" borderId="62" applyNumberFormat="0" applyFill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0" borderId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178" fontId="1" fillId="0" borderId="0">
      <alignment vertical="center"/>
    </xf>
    <xf numFmtId="178" fontId="64" fillId="24" borderId="0" applyNumberFormat="0" applyBorder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0" fontId="83" fillId="5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4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4" fontId="49" fillId="13" borderId="65" applyNumberFormat="0" applyProtection="0">
      <alignment horizontal="right" vertical="center"/>
    </xf>
    <xf numFmtId="0" fontId="64" fillId="31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178" fontId="71" fillId="0" borderId="0"/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4" fontId="49" fillId="62" borderId="78" applyNumberFormat="0" applyProtection="0">
      <alignment horizontal="left" vertical="center" indent="1"/>
    </xf>
    <xf numFmtId="0" fontId="51" fillId="31" borderId="0" applyNumberFormat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178" fontId="1" fillId="0" borderId="0"/>
    <xf numFmtId="0" fontId="83" fillId="50" borderId="0" applyNumberFormat="0" applyBorder="0" applyAlignment="0" applyProtection="0">
      <alignment vertical="center"/>
    </xf>
    <xf numFmtId="178" fontId="1" fillId="0" borderId="0"/>
    <xf numFmtId="0" fontId="51" fillId="31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64" fillId="1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98" fillId="21" borderId="64" applyNumberFormat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64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0" fontId="83" fillId="6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1" fillId="0" borderId="0"/>
    <xf numFmtId="178" fontId="64" fillId="20" borderId="0" applyNumberFormat="0" applyBorder="0" applyAlignment="0" applyProtection="0">
      <alignment vertical="center"/>
    </xf>
    <xf numFmtId="0" fontId="1" fillId="0" borderId="0"/>
    <xf numFmtId="178" fontId="64" fillId="20" borderId="0" applyNumberFormat="0" applyBorder="0" applyAlignment="0" applyProtection="0">
      <alignment vertical="center"/>
    </xf>
    <xf numFmtId="0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1" fillId="0" borderId="0"/>
    <xf numFmtId="0" fontId="92" fillId="0" borderId="0" applyNumberFormat="0" applyFill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27" fillId="0" borderId="0">
      <alignment vertical="center"/>
    </xf>
    <xf numFmtId="178" fontId="64" fillId="20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0" borderId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178" fontId="64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27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83" fillId="5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83" fillId="5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1" fillId="0" borderId="0">
      <alignment vertical="center"/>
    </xf>
    <xf numFmtId="0" fontId="83" fillId="5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83" fillId="5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/>
    <xf numFmtId="0" fontId="74" fillId="0" borderId="0" applyNumberFormat="0" applyFill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5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0" borderId="0">
      <alignment vertical="center"/>
    </xf>
    <xf numFmtId="178" fontId="15" fillId="0" borderId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83" fillId="57" borderId="0" applyNumberFormat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1" fillId="20" borderId="0" applyNumberFormat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51" fillId="24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27" fillId="0" borderId="0">
      <alignment vertical="center"/>
    </xf>
    <xf numFmtId="0" fontId="89" fillId="25" borderId="0" applyNumberFormat="0" applyBorder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83" fillId="64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1" fillId="0" borderId="0">
      <alignment vertical="center"/>
    </xf>
    <xf numFmtId="0" fontId="68" fillId="12" borderId="64" applyNumberFormat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1" fillId="0" borderId="0">
      <alignment vertical="center"/>
    </xf>
    <xf numFmtId="0" fontId="15" fillId="0" borderId="0" applyFont="0" applyFill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4" fontId="49" fillId="25" borderId="65" applyNumberFormat="0" applyProtection="0">
      <alignment horizontal="left" vertical="center" indent="1"/>
    </xf>
    <xf numFmtId="178" fontId="1" fillId="0" borderId="0">
      <alignment vertical="center"/>
    </xf>
    <xf numFmtId="0" fontId="64" fillId="28" borderId="0" applyNumberFormat="0" applyBorder="0" applyAlignment="0" applyProtection="0">
      <alignment vertical="center"/>
    </xf>
    <xf numFmtId="4" fontId="49" fillId="25" borderId="65" applyNumberFormat="0" applyProtection="0">
      <alignment horizontal="left" vertical="center" indent="1"/>
    </xf>
    <xf numFmtId="178" fontId="1" fillId="0" borderId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1" fillId="0" borderId="0">
      <alignment vertical="center"/>
    </xf>
    <xf numFmtId="0" fontId="78" fillId="40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15" fillId="0" borderId="0">
      <alignment vertical="center"/>
    </xf>
    <xf numFmtId="0" fontId="78" fillId="40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27" fillId="0" borderId="0">
      <alignment vertical="center"/>
    </xf>
    <xf numFmtId="178" fontId="64" fillId="28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51" fillId="28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27" fillId="0" borderId="0">
      <alignment vertical="center"/>
    </xf>
    <xf numFmtId="0" fontId="83" fillId="43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27" fillId="0" borderId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70" fillId="37" borderId="68" applyNumberFormat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178" fontId="64" fillId="2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57" fillId="14" borderId="65" applyNumberFormat="0" applyProtection="0">
      <alignment horizontal="left" vertical="center" indent="1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4" fontId="100" fillId="25" borderId="78" applyNumberFormat="0" applyProtection="0">
      <alignment vertical="center"/>
    </xf>
    <xf numFmtId="0" fontId="70" fillId="37" borderId="68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85" fontId="56" fillId="0" borderId="0" applyFill="0" applyBorder="0" applyAlignment="0"/>
    <xf numFmtId="40" fontId="79" fillId="0" borderId="0" applyFont="0" applyFill="0" applyBorder="0" applyAlignment="0" applyProtection="0"/>
    <xf numFmtId="0" fontId="27" fillId="19" borderId="63" applyNumberFormat="0" applyFont="0" applyAlignment="0" applyProtection="0">
      <alignment vertical="center"/>
    </xf>
    <xf numFmtId="178" fontId="57" fillId="0" borderId="0" applyFont="0" applyFill="0" applyBorder="0" applyAlignment="0" applyProtection="0"/>
    <xf numFmtId="178" fontId="108" fillId="0" borderId="79" applyNumberFormat="0" applyAlignment="0" applyProtection="0">
      <alignment horizontal="left" vertical="center"/>
    </xf>
    <xf numFmtId="0" fontId="108" fillId="0" borderId="79" applyNumberFormat="0" applyAlignment="0" applyProtection="0">
      <alignment horizontal="left" vertical="center"/>
    </xf>
    <xf numFmtId="0" fontId="108" fillId="0" borderId="79" applyNumberFormat="0" applyAlignment="0" applyProtection="0">
      <alignment horizontal="left" vertical="center"/>
    </xf>
    <xf numFmtId="178" fontId="108" fillId="0" borderId="30">
      <alignment horizontal="left" vertical="center"/>
    </xf>
    <xf numFmtId="0" fontId="108" fillId="0" borderId="30">
      <alignment horizontal="left" vertical="center"/>
    </xf>
    <xf numFmtId="0" fontId="108" fillId="0" borderId="30">
      <alignment horizontal="left" vertical="center"/>
    </xf>
    <xf numFmtId="178" fontId="105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10" fontId="96" fillId="19" borderId="9" applyNumberFormat="0" applyBorder="0" applyAlignment="0" applyProtection="0"/>
    <xf numFmtId="10" fontId="57" fillId="0" borderId="0" applyFont="0" applyFill="0" applyBorder="0" applyAlignment="0" applyProtection="0"/>
    <xf numFmtId="4" fontId="109" fillId="25" borderId="65" applyNumberFormat="0" applyProtection="0">
      <alignment vertical="center"/>
    </xf>
    <xf numFmtId="4" fontId="109" fillId="25" borderId="65" applyNumberFormat="0" applyProtection="0">
      <alignment vertical="center"/>
    </xf>
    <xf numFmtId="4" fontId="109" fillId="25" borderId="65" applyNumberFormat="0" applyProtection="0">
      <alignment vertical="center"/>
    </xf>
    <xf numFmtId="178" fontId="49" fillId="0" borderId="0">
      <alignment vertical="top"/>
    </xf>
    <xf numFmtId="0" fontId="51" fillId="28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27" fillId="0" borderId="0">
      <alignment vertical="center"/>
    </xf>
    <xf numFmtId="176" fontId="99" fillId="0" borderId="0" applyFont="0" applyFill="0" applyBorder="0" applyAlignment="0" applyProtection="0"/>
    <xf numFmtId="4" fontId="49" fillId="25" borderId="65" applyNumberFormat="0" applyProtection="0">
      <alignment horizontal="left" vertical="center" indent="1"/>
    </xf>
    <xf numFmtId="0" fontId="1" fillId="0" borderId="0"/>
    <xf numFmtId="4" fontId="49" fillId="25" borderId="65" applyNumberFormat="0" applyProtection="0">
      <alignment horizontal="left" vertical="center" indent="1"/>
    </xf>
    <xf numFmtId="0" fontId="57" fillId="14" borderId="65" applyNumberFormat="0" applyProtection="0">
      <alignment horizontal="left" vertical="center" indent="1"/>
    </xf>
    <xf numFmtId="4" fontId="49" fillId="17" borderId="65" applyNumberFormat="0" applyProtection="0">
      <alignment horizontal="right" vertical="center"/>
    </xf>
    <xf numFmtId="4" fontId="49" fillId="17" borderId="65" applyNumberFormat="0" applyProtection="0">
      <alignment horizontal="right" vertical="center"/>
    </xf>
    <xf numFmtId="4" fontId="49" fillId="13" borderId="65" applyNumberFormat="0" applyProtection="0">
      <alignment horizontal="right" vertical="center"/>
    </xf>
    <xf numFmtId="4" fontId="49" fillId="11" borderId="65" applyNumberFormat="0" applyProtection="0">
      <alignment horizontal="right" vertical="center"/>
    </xf>
    <xf numFmtId="0" fontId="84" fillId="0" borderId="62" applyNumberFormat="0" applyFill="0" applyAlignment="0" applyProtection="0">
      <alignment vertical="center"/>
    </xf>
    <xf numFmtId="0" fontId="27" fillId="0" borderId="0">
      <alignment vertical="center"/>
    </xf>
    <xf numFmtId="4" fontId="49" fillId="11" borderId="65" applyNumberFormat="0" applyProtection="0">
      <alignment horizontal="right" vertical="center"/>
    </xf>
    <xf numFmtId="4" fontId="49" fillId="34" borderId="65" applyNumberFormat="0" applyProtection="0">
      <alignment horizontal="right" vertical="center"/>
    </xf>
    <xf numFmtId="4" fontId="49" fillId="34" borderId="65" applyNumberFormat="0" applyProtection="0">
      <alignment horizontal="right" vertical="center"/>
    </xf>
    <xf numFmtId="4" fontId="49" fillId="23" borderId="65" applyNumberFormat="0" applyProtection="0">
      <alignment horizontal="right" vertical="center"/>
    </xf>
    <xf numFmtId="4" fontId="49" fillId="41" borderId="65" applyNumberFormat="0" applyProtection="0">
      <alignment horizontal="right" vertical="center"/>
    </xf>
    <xf numFmtId="0" fontId="107" fillId="0" borderId="0" applyNumberFormat="0" applyFill="0" applyBorder="0" applyAlignment="0" applyProtection="0">
      <alignment vertical="center"/>
    </xf>
    <xf numFmtId="4" fontId="49" fillId="33" borderId="65" applyNumberFormat="0" applyProtection="0">
      <alignment horizontal="right" vertical="center"/>
    </xf>
    <xf numFmtId="178" fontId="66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4" fontId="49" fillId="33" borderId="65" applyNumberFormat="0" applyProtection="0">
      <alignment horizontal="right" vertical="center"/>
    </xf>
    <xf numFmtId="0" fontId="92" fillId="0" borderId="0" applyNumberFormat="0" applyFill="0" applyBorder="0" applyAlignment="0" applyProtection="0">
      <alignment vertical="center"/>
    </xf>
    <xf numFmtId="4" fontId="49" fillId="33" borderId="65" applyNumberFormat="0" applyProtection="0">
      <alignment horizontal="right" vertical="center"/>
    </xf>
    <xf numFmtId="0" fontId="107" fillId="0" borderId="0" applyNumberFormat="0" applyFill="0" applyBorder="0" applyAlignment="0" applyProtection="0">
      <alignment vertical="center"/>
    </xf>
    <xf numFmtId="4" fontId="49" fillId="65" borderId="65" applyNumberFormat="0" applyProtection="0">
      <alignment horizontal="right" vertical="center"/>
    </xf>
    <xf numFmtId="0" fontId="66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4" fontId="49" fillId="65" borderId="65" applyNumberFormat="0" applyProtection="0">
      <alignment horizontal="right"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4" fontId="49" fillId="65" borderId="65" applyNumberFormat="0" applyProtection="0">
      <alignment horizontal="right"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4" fontId="49" fillId="20" borderId="65" applyNumberFormat="0" applyProtection="0">
      <alignment horizontal="right" vertical="center"/>
    </xf>
    <xf numFmtId="0" fontId="66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4" fontId="49" fillId="20" borderId="65" applyNumberFormat="0" applyProtection="0">
      <alignment horizontal="right" vertical="center"/>
    </xf>
    <xf numFmtId="0" fontId="54" fillId="17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4" fontId="49" fillId="20" borderId="65" applyNumberFormat="0" applyProtection="0">
      <alignment horizontal="right" vertical="center"/>
    </xf>
    <xf numFmtId="4" fontId="100" fillId="61" borderId="65" applyNumberFormat="0" applyProtection="0">
      <alignment horizontal="left" vertical="center" indent="1"/>
    </xf>
    <xf numFmtId="4" fontId="100" fillId="61" borderId="65" applyNumberFormat="0" applyProtection="0">
      <alignment horizontal="left" vertical="center" indent="1"/>
    </xf>
    <xf numFmtId="178" fontId="64" fillId="28" borderId="0" applyNumberFormat="0" applyBorder="0" applyAlignment="0" applyProtection="0">
      <alignment vertical="center"/>
    </xf>
    <xf numFmtId="4" fontId="49" fillId="22" borderId="80" applyNumberFormat="0" applyProtection="0">
      <alignment horizontal="left" vertical="center" indent="1"/>
    </xf>
    <xf numFmtId="4" fontId="110" fillId="66" borderId="0" applyNumberFormat="0" applyProtection="0">
      <alignment horizontal="left" vertical="center" indent="1"/>
    </xf>
    <xf numFmtId="178" fontId="15" fillId="0" borderId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178" fontId="57" fillId="14" borderId="65" applyNumberFormat="0" applyProtection="0">
      <alignment horizontal="left" vertical="center" indent="1"/>
    </xf>
    <xf numFmtId="4" fontId="49" fillId="22" borderId="65" applyNumberFormat="0" applyProtection="0">
      <alignment horizontal="left" vertical="center" indent="1"/>
    </xf>
    <xf numFmtId="4" fontId="49" fillId="22" borderId="65" applyNumberFormat="0" applyProtection="0">
      <alignment horizontal="left" vertical="center" indent="1"/>
    </xf>
    <xf numFmtId="0" fontId="27" fillId="19" borderId="63" applyNumberFormat="0" applyFont="0" applyAlignment="0" applyProtection="0">
      <alignment vertical="center"/>
    </xf>
    <xf numFmtId="0" fontId="57" fillId="45" borderId="65" applyNumberFormat="0" applyProtection="0">
      <alignment horizontal="left" vertical="center" indent="1"/>
    </xf>
    <xf numFmtId="0" fontId="57" fillId="45" borderId="65" applyNumberFormat="0" applyProtection="0">
      <alignment horizontal="left" vertical="center" indent="1"/>
    </xf>
    <xf numFmtId="0" fontId="55" fillId="16" borderId="0" applyNumberFormat="0" applyBorder="0" applyAlignment="0" applyProtection="0">
      <alignment vertical="center"/>
    </xf>
    <xf numFmtId="0" fontId="57" fillId="45" borderId="65" applyNumberFormat="0" applyProtection="0">
      <alignment horizontal="left" vertical="center" indent="1"/>
    </xf>
    <xf numFmtId="0" fontId="27" fillId="19" borderId="63" applyNumberFormat="0" applyFont="0" applyAlignment="0" applyProtection="0">
      <alignment vertical="center"/>
    </xf>
    <xf numFmtId="178" fontId="57" fillId="10" borderId="65" applyNumberFormat="0" applyProtection="0">
      <alignment horizontal="left" vertical="center" indent="1"/>
    </xf>
    <xf numFmtId="0" fontId="73" fillId="0" borderId="72" applyNumberFormat="0" applyFill="0" applyAlignment="0" applyProtection="0">
      <alignment vertical="center"/>
    </xf>
    <xf numFmtId="0" fontId="57" fillId="10" borderId="65" applyNumberFormat="0" applyProtection="0">
      <alignment horizontal="left" vertical="center" indent="1"/>
    </xf>
    <xf numFmtId="0" fontId="57" fillId="10" borderId="65" applyNumberFormat="0" applyProtection="0">
      <alignment horizontal="left" vertical="center" indent="1"/>
    </xf>
    <xf numFmtId="178" fontId="57" fillId="10" borderId="65" applyNumberFormat="0" applyProtection="0">
      <alignment horizontal="left" vertical="center" indent="1"/>
    </xf>
    <xf numFmtId="0" fontId="57" fillId="10" borderId="65" applyNumberFormat="0" applyProtection="0">
      <alignment horizontal="left" vertical="center" indent="1"/>
    </xf>
    <xf numFmtId="178" fontId="57" fillId="10" borderId="65" applyNumberFormat="0" applyProtection="0">
      <alignment horizontal="left" vertical="center" indent="1"/>
    </xf>
    <xf numFmtId="0" fontId="57" fillId="10" borderId="65" applyNumberFormat="0" applyProtection="0">
      <alignment horizontal="left" vertical="center" indent="1"/>
    </xf>
    <xf numFmtId="178" fontId="57" fillId="21" borderId="65" applyNumberFormat="0" applyProtection="0">
      <alignment horizontal="left" vertical="center" indent="1"/>
    </xf>
    <xf numFmtId="0" fontId="73" fillId="0" borderId="72" applyNumberFormat="0" applyFill="0" applyAlignment="0" applyProtection="0">
      <alignment vertical="center"/>
    </xf>
    <xf numFmtId="0" fontId="57" fillId="21" borderId="65" applyNumberFormat="0" applyProtection="0">
      <alignment horizontal="left" vertical="center" indent="1"/>
    </xf>
    <xf numFmtId="178" fontId="57" fillId="21" borderId="65" applyNumberFormat="0" applyProtection="0">
      <alignment horizontal="left" vertical="center" indent="1"/>
    </xf>
    <xf numFmtId="0" fontId="57" fillId="21" borderId="65" applyNumberFormat="0" applyProtection="0">
      <alignment horizontal="left" vertical="center" indent="1"/>
    </xf>
    <xf numFmtId="178" fontId="57" fillId="21" borderId="65" applyNumberFormat="0" applyProtection="0">
      <alignment horizontal="left" vertical="center" indent="1"/>
    </xf>
    <xf numFmtId="178" fontId="57" fillId="14" borderId="65" applyNumberFormat="0" applyProtection="0">
      <alignment horizontal="left" vertical="center" indent="1"/>
    </xf>
    <xf numFmtId="178" fontId="57" fillId="14" borderId="65" applyNumberFormat="0" applyProtection="0">
      <alignment horizontal="left" vertical="center" indent="1"/>
    </xf>
    <xf numFmtId="0" fontId="15" fillId="0" borderId="0">
      <alignment vertical="center"/>
    </xf>
    <xf numFmtId="0" fontId="27" fillId="0" borderId="0">
      <alignment vertical="center"/>
    </xf>
    <xf numFmtId="0" fontId="51" fillId="11" borderId="0" applyNumberFormat="0" applyBorder="0" applyAlignment="0" applyProtection="0">
      <alignment vertical="center"/>
    </xf>
    <xf numFmtId="0" fontId="57" fillId="14" borderId="65" applyNumberFormat="0" applyProtection="0">
      <alignment horizontal="left" vertical="center" indent="1"/>
    </xf>
    <xf numFmtId="178" fontId="57" fillId="14" borderId="65" applyNumberFormat="0" applyProtection="0">
      <alignment horizontal="left" vertical="center" indent="1"/>
    </xf>
    <xf numFmtId="178" fontId="1" fillId="0" borderId="0">
      <alignment vertical="center"/>
    </xf>
    <xf numFmtId="0" fontId="57" fillId="14" borderId="65" applyNumberFormat="0" applyProtection="0">
      <alignment horizontal="left" vertical="center" indent="1"/>
    </xf>
    <xf numFmtId="0" fontId="111" fillId="0" borderId="0" applyNumberFormat="0" applyFill="0" applyBorder="0" applyAlignment="0" applyProtection="0">
      <alignment vertical="top"/>
      <protection locked="0"/>
    </xf>
    <xf numFmtId="4" fontId="49" fillId="19" borderId="65" applyNumberFormat="0" applyProtection="0">
      <alignment vertical="center"/>
    </xf>
    <xf numFmtId="0" fontId="51" fillId="33" borderId="0" applyNumberFormat="0" applyBorder="0" applyAlignment="0" applyProtection="0">
      <alignment vertical="center"/>
    </xf>
    <xf numFmtId="4" fontId="49" fillId="19" borderId="65" applyNumberFormat="0" applyProtection="0">
      <alignment vertical="center"/>
    </xf>
    <xf numFmtId="4" fontId="49" fillId="19" borderId="65" applyNumberFormat="0" applyProtection="0">
      <alignment vertical="center"/>
    </xf>
    <xf numFmtId="0" fontId="27" fillId="0" borderId="0">
      <alignment vertical="center"/>
    </xf>
    <xf numFmtId="4" fontId="109" fillId="19" borderId="65" applyNumberFormat="0" applyProtection="0">
      <alignment vertical="center"/>
    </xf>
    <xf numFmtId="178" fontId="1" fillId="0" borderId="0">
      <alignment vertical="center"/>
    </xf>
    <xf numFmtId="4" fontId="109" fillId="19" borderId="65" applyNumberFormat="0" applyProtection="0">
      <alignment vertical="center"/>
    </xf>
    <xf numFmtId="0" fontId="27" fillId="0" borderId="0">
      <alignment vertical="center"/>
    </xf>
    <xf numFmtId="4" fontId="109" fillId="19" borderId="65" applyNumberFormat="0" applyProtection="0">
      <alignment vertical="center"/>
    </xf>
    <xf numFmtId="0" fontId="27" fillId="0" borderId="0">
      <alignment vertical="center"/>
    </xf>
    <xf numFmtId="4" fontId="49" fillId="19" borderId="65" applyNumberFormat="0" applyProtection="0">
      <alignment horizontal="left" vertical="center" indent="1"/>
    </xf>
    <xf numFmtId="0" fontId="83" fillId="6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49" fillId="19" borderId="65" applyNumberFormat="0" applyProtection="0">
      <alignment horizontal="left" vertical="center" indent="1"/>
    </xf>
    <xf numFmtId="0" fontId="83" fillId="6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4" fontId="49" fillId="19" borderId="65" applyNumberFormat="0" applyProtection="0">
      <alignment horizontal="left" vertical="center" indent="1"/>
    </xf>
    <xf numFmtId="4" fontId="49" fillId="19" borderId="65" applyNumberFormat="0" applyProtection="0">
      <alignment horizontal="left" vertical="center" indent="1"/>
    </xf>
    <xf numFmtId="4" fontId="49" fillId="19" borderId="65" applyNumberFormat="0" applyProtection="0">
      <alignment horizontal="left" vertical="center" indent="1"/>
    </xf>
    <xf numFmtId="4" fontId="109" fillId="22" borderId="65" applyNumberFormat="0" applyProtection="0">
      <alignment horizontal="right" vertical="center"/>
    </xf>
    <xf numFmtId="4" fontId="109" fillId="22" borderId="65" applyNumberFormat="0" applyProtection="0">
      <alignment horizontal="right" vertical="center"/>
    </xf>
    <xf numFmtId="4" fontId="109" fillId="22" borderId="65" applyNumberFormat="0" applyProtection="0">
      <alignment horizontal="right" vertical="center"/>
    </xf>
    <xf numFmtId="4" fontId="49" fillId="62" borderId="78" applyNumberFormat="0" applyProtection="0">
      <alignment horizontal="left" vertical="center" indent="1"/>
    </xf>
    <xf numFmtId="4" fontId="49" fillId="62" borderId="78" applyNumberFormat="0" applyProtection="0">
      <alignment horizontal="left" vertical="center" indent="1"/>
    </xf>
    <xf numFmtId="178" fontId="57" fillId="14" borderId="65" applyNumberFormat="0" applyProtection="0">
      <alignment horizontal="left" vertical="center" indent="1"/>
    </xf>
    <xf numFmtId="0" fontId="1" fillId="0" borderId="0"/>
    <xf numFmtId="0" fontId="57" fillId="14" borderId="65" applyNumberFormat="0" applyProtection="0">
      <alignment horizontal="left" vertical="center" indent="1"/>
    </xf>
    <xf numFmtId="0" fontId="27" fillId="0" borderId="0">
      <alignment vertical="center"/>
    </xf>
    <xf numFmtId="0" fontId="51" fillId="28" borderId="0" applyNumberFormat="0" applyBorder="0" applyAlignment="0" applyProtection="0">
      <alignment vertical="center"/>
    </xf>
    <xf numFmtId="178" fontId="57" fillId="14" borderId="65" applyNumberFormat="0" applyProtection="0">
      <alignment horizontal="left" vertical="center" indent="1"/>
    </xf>
    <xf numFmtId="0" fontId="27" fillId="0" borderId="0">
      <alignment vertical="center"/>
    </xf>
    <xf numFmtId="0" fontId="1" fillId="0" borderId="0">
      <alignment vertical="center"/>
    </xf>
    <xf numFmtId="0" fontId="49" fillId="0" borderId="0">
      <alignment vertical="top"/>
    </xf>
    <xf numFmtId="0" fontId="54" fillId="17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9" fontId="99" fillId="0" borderId="0" applyFont="0" applyFill="0" applyBorder="0" applyAlignment="0" applyProtection="0"/>
    <xf numFmtId="0" fontId="27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112" fillId="0" borderId="0" applyNumberFormat="0" applyFill="0" applyBorder="0" applyAlignment="0" applyProtection="0">
      <alignment vertical="top"/>
      <protection locked="0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15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178" fontId="1" fillId="0" borderId="0">
      <alignment vertical="center"/>
    </xf>
    <xf numFmtId="0" fontId="58" fillId="21" borderId="64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15" fillId="0" borderId="0">
      <alignment vertical="center"/>
    </xf>
    <xf numFmtId="0" fontId="27" fillId="0" borderId="0">
      <alignment vertical="top"/>
    </xf>
    <xf numFmtId="0" fontId="67" fillId="0" borderId="67" applyNumberFormat="0" applyFill="0" applyAlignment="0" applyProtection="0">
      <alignment vertical="center"/>
    </xf>
    <xf numFmtId="0" fontId="27" fillId="0" borderId="0">
      <alignment vertical="top"/>
    </xf>
    <xf numFmtId="0" fontId="67" fillId="0" borderId="67" applyNumberFormat="0" applyFill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27" fillId="0" borderId="0">
      <alignment vertical="center"/>
    </xf>
    <xf numFmtId="0" fontId="94" fillId="0" borderId="7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0" borderId="0">
      <alignment vertical="center"/>
    </xf>
    <xf numFmtId="0" fontId="94" fillId="0" borderId="77" applyNumberFormat="0" applyFill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1" fillId="0" borderId="0">
      <alignment vertical="center"/>
    </xf>
    <xf numFmtId="0" fontId="67" fillId="0" borderId="67" applyNumberFormat="0" applyFill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67" fillId="0" borderId="67" applyNumberFormat="0" applyFill="0" applyAlignment="0" applyProtection="0">
      <alignment vertical="center"/>
    </xf>
    <xf numFmtId="178" fontId="1" fillId="0" borderId="0">
      <alignment vertical="center"/>
    </xf>
    <xf numFmtId="178" fontId="90" fillId="21" borderId="65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178" fontId="1" fillId="0" borderId="0">
      <alignment vertical="center"/>
    </xf>
    <xf numFmtId="0" fontId="1" fillId="0" borderId="0"/>
    <xf numFmtId="0" fontId="81" fillId="21" borderId="65" applyNumberFormat="0" applyAlignment="0" applyProtection="0">
      <alignment vertical="center"/>
    </xf>
    <xf numFmtId="0" fontId="67" fillId="0" borderId="67" applyNumberFormat="0" applyFill="0" applyAlignment="0" applyProtection="0">
      <alignment vertical="center"/>
    </xf>
    <xf numFmtId="0" fontId="94" fillId="0" borderId="77" applyNumberFormat="0" applyFill="0" applyAlignment="0" applyProtection="0">
      <alignment vertical="center"/>
    </xf>
    <xf numFmtId="178" fontId="1" fillId="0" borderId="0">
      <alignment vertical="center"/>
    </xf>
    <xf numFmtId="0" fontId="1" fillId="0" borderId="0"/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178" fontId="1" fillId="0" borderId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1" fillId="0" borderId="0">
      <alignment vertical="center"/>
    </xf>
    <xf numFmtId="0" fontId="73" fillId="0" borderId="72" applyNumberFormat="0" applyFill="0" applyAlignment="0" applyProtection="0">
      <alignment vertical="center"/>
    </xf>
    <xf numFmtId="178" fontId="1" fillId="0" borderId="0">
      <alignment vertical="center"/>
    </xf>
    <xf numFmtId="0" fontId="73" fillId="0" borderId="72" applyNumberFormat="0" applyFill="0" applyAlignment="0" applyProtection="0">
      <alignment vertical="center"/>
    </xf>
    <xf numFmtId="178" fontId="1" fillId="0" borderId="0">
      <alignment vertical="center"/>
    </xf>
    <xf numFmtId="178" fontId="73" fillId="0" borderId="72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1" fillId="0" borderId="0"/>
    <xf numFmtId="178" fontId="1" fillId="0" borderId="0">
      <alignment vertical="center"/>
    </xf>
    <xf numFmtId="0" fontId="73" fillId="0" borderId="72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178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178" fontId="4" fillId="0" borderId="0"/>
    <xf numFmtId="0" fontId="73" fillId="0" borderId="72" applyNumberFormat="0" applyFill="0" applyAlignment="0" applyProtection="0">
      <alignment vertical="center"/>
    </xf>
    <xf numFmtId="0" fontId="27" fillId="0" borderId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77" fillId="0" borderId="74" applyNumberFormat="0" applyFill="0" applyAlignment="0" applyProtection="0">
      <alignment vertical="center"/>
    </xf>
    <xf numFmtId="0" fontId="113" fillId="67" borderId="69" applyNumberFormat="0" applyAlignment="0" applyProtection="0">
      <alignment vertical="center"/>
    </xf>
    <xf numFmtId="178" fontId="1" fillId="0" borderId="0">
      <alignment vertical="center"/>
    </xf>
    <xf numFmtId="0" fontId="73" fillId="0" borderId="72" applyNumberFormat="0" applyFill="0" applyAlignment="0" applyProtection="0">
      <alignment vertical="center"/>
    </xf>
    <xf numFmtId="0" fontId="113" fillId="67" borderId="69" applyNumberFormat="0" applyAlignment="0" applyProtection="0">
      <alignment vertical="center"/>
    </xf>
    <xf numFmtId="178" fontId="1" fillId="0" borderId="0">
      <alignment vertical="center"/>
    </xf>
    <xf numFmtId="0" fontId="81" fillId="21" borderId="65" applyNumberFormat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73" fillId="0" borderId="72" applyNumberFormat="0" applyFill="0" applyAlignment="0" applyProtection="0">
      <alignment vertical="center"/>
    </xf>
    <xf numFmtId="0" fontId="27" fillId="0" borderId="0">
      <alignment vertical="center"/>
    </xf>
    <xf numFmtId="0" fontId="73" fillId="0" borderId="72" applyNumberFormat="0" applyFill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60" fillId="1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178" fontId="53" fillId="0" borderId="75" applyNumberFormat="0" applyFill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97" fillId="56" borderId="0" applyNumberFormat="0" applyBorder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1" fillId="0" borderId="0">
      <alignment vertical="center"/>
    </xf>
    <xf numFmtId="0" fontId="53" fillId="0" borderId="75" applyNumberFormat="0" applyFill="0" applyAlignment="0" applyProtection="0">
      <alignment vertical="center"/>
    </xf>
    <xf numFmtId="0" fontId="15" fillId="35" borderId="66" applyNumberFormat="0" applyFon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1" fillId="0" borderId="0"/>
    <xf numFmtId="178" fontId="1" fillId="0" borderId="0">
      <alignment vertical="center"/>
    </xf>
    <xf numFmtId="0" fontId="88" fillId="0" borderId="76" applyNumberFormat="0" applyFill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0" fontId="53" fillId="0" borderId="75" applyNumberFormat="0" applyFill="0" applyAlignment="0" applyProtection="0">
      <alignment vertical="center"/>
    </xf>
    <xf numFmtId="178" fontId="1" fillId="0" borderId="0"/>
    <xf numFmtId="0" fontId="88" fillId="0" borderId="76" applyNumberFormat="0" applyFill="0" applyAlignment="0" applyProtection="0">
      <alignment vertical="center"/>
    </xf>
    <xf numFmtId="0" fontId="88" fillId="0" borderId="76" applyNumberFormat="0" applyFill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8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99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99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43" fontId="1" fillId="0" borderId="0" applyFont="0" applyFill="0" applyBorder="0" applyAlignment="0" applyProtection="0"/>
    <xf numFmtId="0" fontId="88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8" fontId="1" fillId="0" borderId="0"/>
    <xf numFmtId="178" fontId="89" fillId="2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178" fontId="27" fillId="0" borderId="0">
      <alignment vertical="top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0" fontId="27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1" fillId="0" borderId="0"/>
    <xf numFmtId="0" fontId="7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/>
    <xf numFmtId="0" fontId="74" fillId="0" borderId="0" applyNumberFormat="0" applyFill="0" applyBorder="0" applyAlignment="0" applyProtection="0">
      <alignment vertical="center"/>
    </xf>
    <xf numFmtId="178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1" fillId="0" borderId="0"/>
    <xf numFmtId="178" fontId="66" fillId="17" borderId="0" applyNumberFormat="0" applyBorder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1" fillId="0" borderId="0"/>
    <xf numFmtId="0" fontId="54" fillId="17" borderId="0" applyNumberFormat="0" applyBorder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1" fillId="0" borderId="0"/>
    <xf numFmtId="178" fontId="66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54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1" fillId="0" borderId="0"/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27" fillId="0" borderId="0">
      <alignment vertical="top"/>
    </xf>
    <xf numFmtId="0" fontId="27" fillId="0" borderId="0">
      <alignment vertical="center"/>
    </xf>
    <xf numFmtId="0" fontId="54" fillId="17" borderId="0" applyNumberFormat="0" applyBorder="0" applyAlignment="0" applyProtection="0">
      <alignment vertical="center"/>
    </xf>
    <xf numFmtId="178" fontId="27" fillId="0" borderId="0">
      <alignment vertical="top"/>
    </xf>
    <xf numFmtId="0" fontId="54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1" fillId="0" borderId="0"/>
    <xf numFmtId="0" fontId="1" fillId="0" borderId="0"/>
    <xf numFmtId="0" fontId="75" fillId="0" borderId="70" applyNumberFormat="0" applyFill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66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54" fillId="17" borderId="0" applyNumberFormat="0" applyBorder="0" applyAlignment="0" applyProtection="0">
      <alignment vertical="center"/>
    </xf>
    <xf numFmtId="0" fontId="27" fillId="0" borderId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27" fillId="0" borderId="0">
      <alignment vertical="center"/>
    </xf>
    <xf numFmtId="178" fontId="66" fillId="17" borderId="0" applyNumberFormat="0" applyBorder="0" applyAlignment="0" applyProtection="0">
      <alignment vertical="center"/>
    </xf>
    <xf numFmtId="178" fontId="66" fillId="17" borderId="0" applyNumberFormat="0" applyBorder="0" applyAlignment="0" applyProtection="0">
      <alignment vertical="center"/>
    </xf>
    <xf numFmtId="178" fontId="1" fillId="0" borderId="0"/>
    <xf numFmtId="178" fontId="89" fillId="25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/>
    <xf numFmtId="178" fontId="89" fillId="25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1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1" fillId="0" borderId="0"/>
    <xf numFmtId="0" fontId="1" fillId="0" borderId="0"/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27" fillId="0" borderId="0">
      <alignment vertical="center"/>
    </xf>
    <xf numFmtId="178" fontId="1" fillId="0" borderId="0"/>
    <xf numFmtId="0" fontId="27" fillId="19" borderId="63" applyNumberFormat="0" applyFont="0" applyAlignment="0" applyProtection="0">
      <alignment vertical="center"/>
    </xf>
    <xf numFmtId="178" fontId="1" fillId="0" borderId="0">
      <alignment vertical="center"/>
    </xf>
    <xf numFmtId="178" fontId="1" fillId="0" borderId="0"/>
    <xf numFmtId="178" fontId="69" fillId="10" borderId="60" applyNumberFormat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0" fontId="1" fillId="0" borderId="0">
      <alignment vertical="center"/>
    </xf>
    <xf numFmtId="0" fontId="76" fillId="0" borderId="73" applyNumberFormat="0" applyFill="0" applyAlignment="0" applyProtection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 applyBorder="0"/>
    <xf numFmtId="178" fontId="15" fillId="0" borderId="0">
      <alignment vertical="center"/>
    </xf>
    <xf numFmtId="178" fontId="15" fillId="0" borderId="0">
      <alignment vertical="center"/>
    </xf>
    <xf numFmtId="0" fontId="1" fillId="0" borderId="0" applyBorder="0"/>
    <xf numFmtId="0" fontId="1" fillId="0" borderId="0" applyBorder="0"/>
    <xf numFmtId="178" fontId="15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1" fillId="0" borderId="0" applyBorder="0"/>
    <xf numFmtId="0" fontId="1" fillId="0" borderId="0" applyBorder="0"/>
    <xf numFmtId="178" fontId="1" fillId="0" borderId="0"/>
    <xf numFmtId="0" fontId="60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8" fontId="4" fillId="0" borderId="0"/>
    <xf numFmtId="0" fontId="1" fillId="0" borderId="0">
      <alignment vertical="center"/>
    </xf>
    <xf numFmtId="178" fontId="4" fillId="0" borderId="0"/>
    <xf numFmtId="178" fontId="1" fillId="0" borderId="0"/>
    <xf numFmtId="178" fontId="1" fillId="0" borderId="0"/>
    <xf numFmtId="0" fontId="1" fillId="0" borderId="0"/>
    <xf numFmtId="0" fontId="1" fillId="0" borderId="0"/>
    <xf numFmtId="0" fontId="1" fillId="0" borderId="0" applyBorder="0"/>
    <xf numFmtId="178" fontId="15" fillId="0" borderId="0">
      <alignment vertical="center"/>
    </xf>
    <xf numFmtId="0" fontId="1" fillId="0" borderId="0" applyBorder="0"/>
    <xf numFmtId="0" fontId="15" fillId="0" borderId="0">
      <alignment vertical="center"/>
    </xf>
    <xf numFmtId="0" fontId="1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5" fillId="0" borderId="0">
      <alignment vertical="center"/>
    </xf>
    <xf numFmtId="0" fontId="27" fillId="19" borderId="63" applyNumberFormat="0" applyFont="0" applyAlignment="0" applyProtection="0">
      <alignment vertical="center"/>
    </xf>
    <xf numFmtId="178" fontId="1" fillId="0" borderId="0">
      <alignment vertical="center"/>
    </xf>
    <xf numFmtId="178" fontId="1" fillId="0" borderId="0"/>
    <xf numFmtId="0" fontId="27" fillId="19" borderId="63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27" fillId="19" borderId="63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27" fillId="19" borderId="63" applyNumberFormat="0" applyFont="0" applyAlignment="0" applyProtection="0">
      <alignment vertical="center"/>
    </xf>
    <xf numFmtId="178" fontId="27" fillId="0" borderId="0">
      <alignment vertical="center"/>
    </xf>
    <xf numFmtId="0" fontId="1" fillId="0" borderId="0"/>
    <xf numFmtId="178" fontId="60" fillId="16" borderId="0" applyNumberFormat="0" applyBorder="0" applyAlignment="0" applyProtection="0">
      <alignment vertical="center"/>
    </xf>
    <xf numFmtId="0" fontId="27" fillId="0" borderId="0">
      <alignment vertical="center"/>
    </xf>
    <xf numFmtId="178" fontId="1" fillId="0" borderId="0"/>
    <xf numFmtId="0" fontId="97" fillId="5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1" fillId="0" borderId="0">
      <alignment vertical="center"/>
    </xf>
    <xf numFmtId="178" fontId="60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1" fillId="0" borderId="0">
      <alignment vertical="center"/>
    </xf>
    <xf numFmtId="0" fontId="83" fillId="55" borderId="0" applyNumberFormat="0" applyBorder="0" applyAlignment="0" applyProtection="0">
      <alignment vertical="center"/>
    </xf>
    <xf numFmtId="178" fontId="1" fillId="0" borderId="0"/>
    <xf numFmtId="0" fontId="60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1" fillId="0" borderId="0"/>
    <xf numFmtId="0" fontId="27" fillId="0" borderId="0">
      <alignment vertical="center"/>
    </xf>
    <xf numFmtId="0" fontId="83" fillId="55" borderId="0" applyNumberFormat="0" applyBorder="0" applyAlignment="0" applyProtection="0">
      <alignment vertical="center"/>
    </xf>
    <xf numFmtId="178" fontId="1" fillId="0" borderId="0"/>
    <xf numFmtId="0" fontId="60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83" fillId="55" borderId="0" applyNumberFormat="0" applyBorder="0" applyAlignment="0" applyProtection="0">
      <alignment vertical="center"/>
    </xf>
    <xf numFmtId="178" fontId="1" fillId="0" borderId="0"/>
    <xf numFmtId="0" fontId="83" fillId="55" borderId="0" applyNumberFormat="0" applyBorder="0" applyAlignment="0" applyProtection="0">
      <alignment vertical="center"/>
    </xf>
    <xf numFmtId="178" fontId="1" fillId="0" borderId="0"/>
    <xf numFmtId="0" fontId="76" fillId="0" borderId="73" applyNumberFormat="0" applyFill="0" applyAlignment="0" applyProtection="0">
      <alignment vertical="center"/>
    </xf>
    <xf numFmtId="178" fontId="1" fillId="0" borderId="0"/>
    <xf numFmtId="178" fontId="1" fillId="0" borderId="0"/>
    <xf numFmtId="178" fontId="1" fillId="0" borderId="0"/>
    <xf numFmtId="178" fontId="1" fillId="0" borderId="0"/>
    <xf numFmtId="0" fontId="83" fillId="55" borderId="0" applyNumberFormat="0" applyBorder="0" applyAlignment="0" applyProtection="0">
      <alignment vertical="center"/>
    </xf>
    <xf numFmtId="178" fontId="1" fillId="0" borderId="0"/>
    <xf numFmtId="178" fontId="1" fillId="0" borderId="0"/>
    <xf numFmtId="0" fontId="83" fillId="55" borderId="0" applyNumberFormat="0" applyBorder="0" applyAlignment="0" applyProtection="0">
      <alignment vertical="center"/>
    </xf>
    <xf numFmtId="0" fontId="1" fillId="0" borderId="0"/>
    <xf numFmtId="0" fontId="1" fillId="0" borderId="0"/>
    <xf numFmtId="178" fontId="1" fillId="0" borderId="0"/>
    <xf numFmtId="178" fontId="1" fillId="0" borderId="0"/>
    <xf numFmtId="0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8" fontId="1" fillId="0" borderId="0"/>
    <xf numFmtId="0" fontId="1" fillId="0" borderId="0"/>
    <xf numFmtId="178" fontId="1" fillId="0" borderId="0">
      <alignment vertical="center"/>
    </xf>
    <xf numFmtId="0" fontId="1" fillId="0" borderId="0"/>
    <xf numFmtId="0" fontId="58" fillId="21" borderId="64" applyNumberFormat="0" applyAlignment="0" applyProtection="0">
      <alignment vertical="center"/>
    </xf>
    <xf numFmtId="0" fontId="1" fillId="0" borderId="0"/>
    <xf numFmtId="178" fontId="1" fillId="0" borderId="0"/>
    <xf numFmtId="0" fontId="1" fillId="0" borderId="0"/>
    <xf numFmtId="0" fontId="1" fillId="0" borderId="0"/>
    <xf numFmtId="17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55" fillId="16" borderId="0" applyNumberFormat="0" applyBorder="0" applyAlignment="0" applyProtection="0">
      <alignment vertical="center"/>
    </xf>
    <xf numFmtId="0" fontId="1" fillId="0" borderId="0"/>
    <xf numFmtId="178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/>
    <xf numFmtId="0" fontId="1" fillId="0" borderId="0"/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27" fillId="0" borderId="0">
      <alignment vertical="top"/>
    </xf>
    <xf numFmtId="0" fontId="1" fillId="0" borderId="0"/>
    <xf numFmtId="178" fontId="1" fillId="0" borderId="0">
      <alignment vertical="center"/>
    </xf>
    <xf numFmtId="178" fontId="27" fillId="0" borderId="0">
      <alignment vertical="top"/>
    </xf>
    <xf numFmtId="178" fontId="64" fillId="33" borderId="0" applyNumberFormat="0" applyBorder="0" applyAlignment="0" applyProtection="0">
      <alignment vertical="center"/>
    </xf>
    <xf numFmtId="0" fontId="1" fillId="0" borderId="0"/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0" fontId="1" fillId="0" borderId="0"/>
    <xf numFmtId="0" fontId="1" fillId="0" borderId="0"/>
    <xf numFmtId="0" fontId="81" fillId="21" borderId="65" applyNumberFormat="0" applyAlignment="0" applyProtection="0">
      <alignment vertical="center"/>
    </xf>
    <xf numFmtId="178" fontId="1" fillId="0" borderId="0">
      <alignment vertical="center"/>
    </xf>
    <xf numFmtId="0" fontId="58" fillId="21" borderId="64" applyNumberFormat="0" applyAlignment="0" applyProtection="0">
      <alignment vertical="center"/>
    </xf>
    <xf numFmtId="0" fontId="1" fillId="0" borderId="0"/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178" fontId="1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0" borderId="0">
      <alignment vertical="center"/>
    </xf>
    <xf numFmtId="0" fontId="50" fillId="10" borderId="60" applyNumberFormat="0" applyAlignment="0" applyProtection="0">
      <alignment vertical="center"/>
    </xf>
    <xf numFmtId="0" fontId="27" fillId="0" borderId="0">
      <alignment vertical="center"/>
    </xf>
    <xf numFmtId="0" fontId="113" fillId="67" borderId="69" applyNumberFormat="0" applyAlignment="0" applyProtection="0">
      <alignment vertical="center"/>
    </xf>
    <xf numFmtId="178" fontId="1" fillId="0" borderId="0">
      <alignment vertical="center"/>
    </xf>
    <xf numFmtId="0" fontId="113" fillId="67" borderId="69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/>
    <xf numFmtId="178" fontId="1" fillId="0" borderId="0">
      <alignment vertical="center"/>
    </xf>
    <xf numFmtId="178" fontId="1" fillId="0" borderId="0"/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0" fontId="103" fillId="12" borderId="64" applyNumberFormat="0" applyAlignment="0" applyProtection="0">
      <alignment vertical="center"/>
    </xf>
    <xf numFmtId="178" fontId="1" fillId="0" borderId="0">
      <alignment vertical="center"/>
    </xf>
    <xf numFmtId="178" fontId="103" fillId="12" borderId="64" applyNumberFormat="0" applyAlignment="0" applyProtection="0">
      <alignment vertical="center"/>
    </xf>
    <xf numFmtId="0" fontId="1" fillId="0" borderId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178" fontId="103" fillId="12" borderId="64" applyNumberFormat="0" applyAlignment="0" applyProtection="0">
      <alignment vertical="center"/>
    </xf>
    <xf numFmtId="0" fontId="27" fillId="0" borderId="0">
      <alignment vertical="center"/>
    </xf>
    <xf numFmtId="0" fontId="68" fillId="12" borderId="64" applyNumberFormat="0" applyAlignment="0" applyProtection="0">
      <alignment vertical="center"/>
    </xf>
    <xf numFmtId="178" fontId="1" fillId="0" borderId="0">
      <alignment vertical="center"/>
    </xf>
    <xf numFmtId="178" fontId="1" fillId="0" borderId="0"/>
    <xf numFmtId="178" fontId="15" fillId="0" borderId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178" fontId="1" fillId="0" borderId="0"/>
    <xf numFmtId="178" fontId="15" fillId="0" borderId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178" fontId="15" fillId="0" borderId="0">
      <alignment vertical="center"/>
    </xf>
    <xf numFmtId="178" fontId="103" fillId="12" borderId="64" applyNumberFormat="0" applyAlignment="0" applyProtection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178" fontId="103" fillId="12" borderId="64" applyNumberFormat="0" applyAlignment="0" applyProtection="0">
      <alignment vertical="center"/>
    </xf>
    <xf numFmtId="0" fontId="1" fillId="0" borderId="0">
      <alignment vertical="center"/>
    </xf>
    <xf numFmtId="0" fontId="51" fillId="28" borderId="0" applyNumberFormat="0" applyBorder="0" applyAlignment="0" applyProtection="0">
      <alignment vertical="center"/>
    </xf>
    <xf numFmtId="0" fontId="27" fillId="0" borderId="0">
      <alignment vertical="center"/>
    </xf>
    <xf numFmtId="0" fontId="68" fillId="12" borderId="64" applyNumberFormat="0" applyAlignment="0" applyProtection="0">
      <alignment vertical="center"/>
    </xf>
    <xf numFmtId="178" fontId="1" fillId="0" borderId="0">
      <alignment vertical="center"/>
    </xf>
    <xf numFmtId="0" fontId="68" fillId="12" borderId="64" applyNumberFormat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1" fillId="0" borderId="0">
      <alignment vertical="center"/>
    </xf>
    <xf numFmtId="178" fontId="1" fillId="0" borderId="0">
      <alignment vertical="center"/>
    </xf>
    <xf numFmtId="178" fontId="57" fillId="0" borderId="0"/>
    <xf numFmtId="0" fontId="15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15" fillId="0" borderId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7" fillId="35" borderId="66" applyNumberFormat="0" applyFon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1" fillId="0" borderId="0"/>
    <xf numFmtId="0" fontId="60" fillId="16" borderId="0" applyNumberFormat="0" applyBorder="0" applyAlignment="0" applyProtection="0">
      <alignment vertical="center"/>
    </xf>
    <xf numFmtId="0" fontId="1" fillId="0" borderId="0"/>
    <xf numFmtId="0" fontId="27" fillId="0" borderId="0">
      <alignment vertical="center"/>
    </xf>
    <xf numFmtId="178" fontId="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" fillId="0" borderId="0"/>
    <xf numFmtId="0" fontId="27" fillId="0" borderId="0">
      <alignment vertical="center"/>
    </xf>
    <xf numFmtId="0" fontId="27" fillId="0" borderId="0">
      <alignment vertical="center"/>
    </xf>
    <xf numFmtId="178" fontId="1" fillId="0" borderId="0"/>
    <xf numFmtId="178" fontId="1" fillId="0" borderId="0"/>
    <xf numFmtId="178" fontId="1" fillId="0" borderId="0"/>
    <xf numFmtId="178" fontId="1" fillId="0" borderId="0"/>
    <xf numFmtId="178" fontId="1" fillId="0" borderId="0"/>
    <xf numFmtId="178" fontId="1" fillId="0" borderId="0"/>
    <xf numFmtId="178" fontId="1" fillId="0" borderId="0"/>
    <xf numFmtId="0" fontId="1" fillId="0" borderId="0"/>
    <xf numFmtId="0" fontId="27" fillId="19" borderId="63" applyNumberFormat="0" applyFont="0" applyAlignment="0" applyProtection="0">
      <alignment vertical="center"/>
    </xf>
    <xf numFmtId="0" fontId="27" fillId="0" borderId="0">
      <alignment vertical="center"/>
    </xf>
    <xf numFmtId="178" fontId="1" fillId="0" borderId="0"/>
    <xf numFmtId="178" fontId="1" fillId="0" borderId="0"/>
    <xf numFmtId="178" fontId="1" fillId="0" borderId="0"/>
    <xf numFmtId="0" fontId="27" fillId="0" borderId="0">
      <alignment vertical="center"/>
    </xf>
    <xf numFmtId="0" fontId="51" fillId="24" borderId="0" applyNumberFormat="0" applyBorder="0" applyAlignment="0" applyProtection="0">
      <alignment vertical="center"/>
    </xf>
    <xf numFmtId="0" fontId="27" fillId="0" borderId="0">
      <alignment vertical="center"/>
    </xf>
    <xf numFmtId="178" fontId="1" fillId="0" borderId="0"/>
    <xf numFmtId="0" fontId="51" fillId="24" borderId="0" applyNumberFormat="0" applyBorder="0" applyAlignment="0" applyProtection="0">
      <alignment vertical="center"/>
    </xf>
    <xf numFmtId="0" fontId="27" fillId="0" borderId="0">
      <alignment vertical="center"/>
    </xf>
    <xf numFmtId="178" fontId="1" fillId="0" borderId="0"/>
    <xf numFmtId="178" fontId="1" fillId="0" borderId="0"/>
    <xf numFmtId="178" fontId="1" fillId="0" borderId="0"/>
    <xf numFmtId="178" fontId="1" fillId="0" borderId="0"/>
    <xf numFmtId="0" fontId="27" fillId="0" borderId="0">
      <alignment vertical="center"/>
    </xf>
    <xf numFmtId="178" fontId="1" fillId="0" borderId="0"/>
    <xf numFmtId="0" fontId="1" fillId="0" borderId="0"/>
    <xf numFmtId="0" fontId="27" fillId="0" borderId="0">
      <alignment vertical="center"/>
    </xf>
    <xf numFmtId="0" fontId="51" fillId="41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6" fillId="0" borderId="73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51" fillId="11" borderId="0" applyNumberFormat="0" applyBorder="0" applyAlignment="0" applyProtection="0">
      <alignment vertical="center"/>
    </xf>
    <xf numFmtId="0" fontId="1" fillId="0" borderId="0"/>
    <xf numFmtId="0" fontId="1" fillId="0" borderId="0"/>
    <xf numFmtId="178" fontId="15" fillId="0" borderId="0">
      <alignment vertical="center"/>
    </xf>
    <xf numFmtId="178" fontId="15" fillId="0" borderId="0">
      <alignment vertical="center"/>
    </xf>
    <xf numFmtId="0" fontId="27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0" fontId="27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5" fillId="0" borderId="0">
      <alignment vertical="center"/>
    </xf>
    <xf numFmtId="178" fontId="1" fillId="0" borderId="0"/>
    <xf numFmtId="178" fontId="1" fillId="0" borderId="0"/>
    <xf numFmtId="178" fontId="1" fillId="0" borderId="0"/>
    <xf numFmtId="0" fontId="27" fillId="0" borderId="0">
      <alignment vertical="center"/>
    </xf>
    <xf numFmtId="178" fontId="1" fillId="0" borderId="0"/>
    <xf numFmtId="178" fontId="15" fillId="0" borderId="0">
      <alignment vertical="center"/>
    </xf>
    <xf numFmtId="178" fontId="1" fillId="0" borderId="0"/>
    <xf numFmtId="178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178" fontId="15" fillId="0" borderId="0">
      <alignment vertical="center"/>
    </xf>
    <xf numFmtId="178" fontId="1" fillId="0" borderId="0"/>
    <xf numFmtId="0" fontId="27" fillId="0" borderId="0">
      <alignment vertical="center"/>
    </xf>
    <xf numFmtId="178" fontId="1" fillId="0" borderId="0"/>
    <xf numFmtId="178" fontId="27" fillId="0" borderId="0">
      <alignment vertical="top"/>
    </xf>
    <xf numFmtId="178" fontId="1" fillId="0" borderId="0"/>
    <xf numFmtId="0" fontId="15" fillId="0" borderId="0">
      <alignment vertical="center"/>
    </xf>
    <xf numFmtId="178" fontId="1" fillId="0" borderId="0"/>
    <xf numFmtId="0" fontId="15" fillId="0" borderId="0">
      <alignment vertical="center"/>
    </xf>
    <xf numFmtId="178" fontId="27" fillId="0" borderId="0">
      <alignment vertical="top"/>
    </xf>
    <xf numFmtId="0" fontId="90" fillId="21" borderId="6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178" fontId="90" fillId="21" borderId="65" applyNumberFormat="0" applyAlignment="0" applyProtection="0">
      <alignment vertical="center"/>
    </xf>
    <xf numFmtId="178" fontId="27" fillId="0" borderId="0">
      <alignment vertical="top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35" borderId="66" applyNumberFormat="0" applyFont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27" fillId="0" borderId="0">
      <alignment vertical="top"/>
    </xf>
    <xf numFmtId="0" fontId="27" fillId="35" borderId="66" applyNumberFormat="0" applyFont="0" applyAlignment="0" applyProtection="0">
      <alignment vertical="center"/>
    </xf>
    <xf numFmtId="178" fontId="27" fillId="0" borderId="0">
      <alignment vertical="top"/>
    </xf>
    <xf numFmtId="0" fontId="60" fillId="16" borderId="0" applyNumberFormat="0" applyBorder="0" applyAlignment="0" applyProtection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0" fillId="16" borderId="0" applyNumberFormat="0" applyBorder="0" applyAlignment="0" applyProtection="0">
      <alignment vertical="center"/>
    </xf>
    <xf numFmtId="178" fontId="27" fillId="0" borderId="0">
      <alignment vertical="top"/>
    </xf>
    <xf numFmtId="0" fontId="27" fillId="0" borderId="0">
      <alignment vertical="center"/>
    </xf>
    <xf numFmtId="0" fontId="27" fillId="0" borderId="0">
      <alignment vertical="center"/>
    </xf>
    <xf numFmtId="0" fontId="75" fillId="0" borderId="70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5" fillId="0" borderId="0">
      <alignment vertical="center"/>
    </xf>
    <xf numFmtId="0" fontId="15" fillId="0" borderId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178" fontId="4" fillId="0" borderId="0"/>
    <xf numFmtId="178" fontId="4" fillId="0" borderId="0"/>
    <xf numFmtId="178" fontId="4" fillId="0" borderId="0"/>
    <xf numFmtId="178" fontId="4" fillId="0" borderId="0"/>
    <xf numFmtId="178" fontId="4" fillId="0" borderId="0"/>
    <xf numFmtId="0" fontId="27" fillId="0" borderId="0">
      <alignment vertical="center"/>
    </xf>
    <xf numFmtId="178" fontId="4" fillId="0" borderId="0"/>
    <xf numFmtId="178" fontId="4" fillId="0" borderId="0"/>
    <xf numFmtId="178" fontId="4" fillId="0" borderId="0"/>
    <xf numFmtId="178" fontId="4" fillId="0" borderId="0"/>
    <xf numFmtId="178" fontId="4" fillId="0" borderId="0"/>
    <xf numFmtId="178" fontId="4" fillId="0" borderId="0"/>
    <xf numFmtId="178" fontId="4" fillId="0" borderId="0"/>
    <xf numFmtId="178" fontId="4" fillId="0" borderId="0"/>
    <xf numFmtId="0" fontId="81" fillId="21" borderId="65" applyNumberFormat="0" applyAlignment="0" applyProtection="0">
      <alignment vertical="center"/>
    </xf>
    <xf numFmtId="178" fontId="1" fillId="0" borderId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" fillId="0" borderId="0">
      <alignment vertical="center"/>
    </xf>
    <xf numFmtId="0" fontId="1" fillId="0" borderId="0"/>
    <xf numFmtId="178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57" fillId="0" borderId="0"/>
    <xf numFmtId="178" fontId="57" fillId="0" borderId="0"/>
    <xf numFmtId="0" fontId="83" fillId="59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60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80" fillId="0" borderId="0" applyNumberFormat="0" applyFill="0" applyBorder="0" applyAlignment="0" applyProtection="0">
      <alignment vertical="top"/>
      <protection locked="0"/>
    </xf>
    <xf numFmtId="178" fontId="15" fillId="0" borderId="0">
      <alignment vertical="center"/>
    </xf>
    <xf numFmtId="178" fontId="27" fillId="0" borderId="0">
      <alignment vertical="center"/>
    </xf>
    <xf numFmtId="0" fontId="27" fillId="0" borderId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0" fontId="27" fillId="0" borderId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178" fontId="27" fillId="0" borderId="0">
      <alignment vertical="center"/>
    </xf>
    <xf numFmtId="0" fontId="27" fillId="0" borderId="0">
      <alignment vertical="center"/>
    </xf>
    <xf numFmtId="0" fontId="95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19" borderId="63" applyNumberFormat="0" applyFon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178" fontId="111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1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62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27" fillId="0" borderId="0">
      <alignment vertical="center"/>
    </xf>
    <xf numFmtId="0" fontId="60" fillId="16" borderId="0" applyNumberFormat="0" applyBorder="0" applyAlignment="0" applyProtection="0">
      <alignment vertical="center"/>
    </xf>
    <xf numFmtId="0" fontId="1" fillId="0" borderId="0" applyBorder="0"/>
    <xf numFmtId="0" fontId="27" fillId="0" borderId="0">
      <alignment vertical="center"/>
    </xf>
    <xf numFmtId="0" fontId="1" fillId="0" borderId="0" applyBorder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 applyBorder="0"/>
    <xf numFmtId="0" fontId="75" fillId="0" borderId="70" applyNumberFormat="0" applyFill="0" applyAlignment="0" applyProtection="0">
      <alignment vertical="center"/>
    </xf>
    <xf numFmtId="0" fontId="1" fillId="0" borderId="0" applyBorder="0"/>
    <xf numFmtId="0" fontId="75" fillId="0" borderId="70" applyNumberFormat="0" applyFill="0" applyAlignment="0" applyProtection="0">
      <alignment vertical="center"/>
    </xf>
    <xf numFmtId="0" fontId="27" fillId="0" borderId="0">
      <alignment vertical="center"/>
    </xf>
    <xf numFmtId="0" fontId="75" fillId="0" borderId="70" applyNumberFormat="0" applyFill="0" applyAlignment="0" applyProtection="0">
      <alignment vertical="center"/>
    </xf>
    <xf numFmtId="0" fontId="27" fillId="0" borderId="0">
      <alignment vertical="center"/>
    </xf>
    <xf numFmtId="0" fontId="75" fillId="0" borderId="70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 applyBorder="0"/>
    <xf numFmtId="178" fontId="106" fillId="0" borderId="0" applyNumberFormat="0" applyFill="0" applyBorder="0" applyAlignment="0" applyProtection="0">
      <alignment vertical="top"/>
      <protection locked="0"/>
    </xf>
    <xf numFmtId="178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178" fontId="55" fillId="16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178" fontId="55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70" fillId="37" borderId="68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178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top"/>
      <protection locked="0"/>
    </xf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8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11" fillId="0" borderId="71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76" fillId="0" borderId="73" applyNumberFormat="0" applyFill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87" fillId="0" borderId="0"/>
    <xf numFmtId="178" fontId="9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178" fontId="9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58" fillId="21" borderId="64" applyNumberFormat="0" applyAlignment="0" applyProtection="0">
      <alignment vertical="center"/>
    </xf>
    <xf numFmtId="0" fontId="104" fillId="37" borderId="61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178" fontId="69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50" fillId="10" borderId="60" applyNumberFormat="0" applyAlignment="0" applyProtection="0">
      <alignment vertical="center"/>
    </xf>
    <xf numFmtId="0" fontId="113" fillId="67" borderId="69" applyNumberFormat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178" fontId="9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178" fontId="49" fillId="0" borderId="0">
      <alignment vertical="top"/>
    </xf>
    <xf numFmtId="178" fontId="61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178" fontId="49" fillId="0" borderId="0">
      <alignment vertical="top"/>
    </xf>
    <xf numFmtId="178" fontId="61" fillId="0" borderId="0" applyNumberFormat="0" applyFill="0" applyBorder="0" applyAlignment="0" applyProtection="0">
      <alignment vertical="center"/>
    </xf>
    <xf numFmtId="178" fontId="49" fillId="0" borderId="0">
      <alignment vertical="top"/>
    </xf>
    <xf numFmtId="0" fontId="51" fillId="41" borderId="0" applyNumberFormat="0" applyBorder="0" applyAlignment="0" applyProtection="0">
      <alignment vertical="center"/>
    </xf>
    <xf numFmtId="178" fontId="61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49" fillId="0" borderId="0">
      <alignment vertical="top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75" fillId="0" borderId="70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75" fillId="0" borderId="70" applyNumberFormat="0" applyFill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52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52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178" fontId="49" fillId="0" borderId="0">
      <alignment vertical="top"/>
    </xf>
    <xf numFmtId="178" fontId="52" fillId="0" borderId="62" applyNumberFormat="0" applyFill="0" applyAlignment="0" applyProtection="0">
      <alignment vertical="center"/>
    </xf>
    <xf numFmtId="178" fontId="49" fillId="0" borderId="0">
      <alignment vertical="top"/>
    </xf>
    <xf numFmtId="0" fontId="70" fillId="37" borderId="68" applyNumberFormat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178" fontId="52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75" fillId="0" borderId="70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75" fillId="0" borderId="70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0" fontId="84" fillId="0" borderId="62" applyNumberFormat="0" applyFill="0" applyAlignment="0" applyProtection="0">
      <alignment vertical="center"/>
    </xf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51" fillId="2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83" fillId="42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178" fontId="64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178" fontId="64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64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51" fillId="11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4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178" fontId="64" fillId="33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83" fillId="55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178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64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51" fillId="24" borderId="0" applyNumberFormat="0" applyBorder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83" fillId="63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178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64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83" fillId="59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178" fontId="49" fillId="0" borderId="0">
      <alignment vertical="top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178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64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89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178" fontId="89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0" fillId="37" borderId="68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178" fontId="90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70" fillId="37" borderId="68" applyNumberFormat="0" applyAlignment="0" applyProtection="0">
      <alignment vertical="center"/>
    </xf>
    <xf numFmtId="0" fontId="70" fillId="37" borderId="68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81" fillId="21" borderId="65" applyNumberFormat="0" applyAlignment="0" applyProtection="0">
      <alignment vertical="center"/>
    </xf>
    <xf numFmtId="0" fontId="70" fillId="37" borderId="68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0" fontId="103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178" fontId="103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49" fillId="0" borderId="0">
      <alignment vertical="top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68" fillId="12" borderId="64" applyNumberFormat="0" applyAlignment="0" applyProtection="0">
      <alignment vertical="center"/>
    </xf>
    <xf numFmtId="0" fontId="72" fillId="38" borderId="61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top"/>
      <protection locked="0"/>
    </xf>
    <xf numFmtId="178" fontId="57" fillId="0" borderId="0"/>
    <xf numFmtId="178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8" fontId="49" fillId="0" borderId="0">
      <alignment vertical="top"/>
    </xf>
    <xf numFmtId="178" fontId="57" fillId="0" borderId="0"/>
    <xf numFmtId="178" fontId="57" fillId="0" borderId="0"/>
    <xf numFmtId="178" fontId="57" fillId="0" borderId="0"/>
    <xf numFmtId="178" fontId="49" fillId="0" borderId="0">
      <alignment vertical="top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0" fontId="49" fillId="0" borderId="0">
      <alignment vertical="top"/>
    </xf>
    <xf numFmtId="178" fontId="49" fillId="0" borderId="0">
      <alignment vertical="top"/>
    </xf>
    <xf numFmtId="0" fontId="49" fillId="0" borderId="0">
      <alignment vertical="top"/>
    </xf>
    <xf numFmtId="0" fontId="27" fillId="19" borderId="63" applyNumberFormat="0" applyFont="0" applyAlignment="0" applyProtection="0">
      <alignment vertical="center"/>
    </xf>
    <xf numFmtId="0" fontId="49" fillId="0" borderId="0">
      <alignment vertical="top"/>
    </xf>
    <xf numFmtId="178" fontId="49" fillId="0" borderId="0">
      <alignment vertical="top"/>
    </xf>
    <xf numFmtId="178" fontId="1" fillId="0" borderId="0"/>
    <xf numFmtId="178" fontId="1" fillId="19" borderId="63" applyNumberFormat="0" applyFont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1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178" fontId="1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19" borderId="63" applyNumberFormat="0" applyFont="0" applyAlignment="0" applyProtection="0">
      <alignment vertical="center"/>
    </xf>
    <xf numFmtId="0" fontId="27" fillId="35" borderId="66" applyNumberFormat="0" applyFont="0" applyAlignment="0" applyProtection="0">
      <alignment vertical="center"/>
    </xf>
    <xf numFmtId="0" fontId="15" fillId="35" borderId="66" applyNumberFormat="0" applyFont="0" applyAlignment="0" applyProtection="0">
      <alignment vertical="center"/>
    </xf>
    <xf numFmtId="0" fontId="27" fillId="35" borderId="66" applyNumberFormat="0" applyFont="0" applyAlignment="0" applyProtection="0">
      <alignment vertical="center"/>
    </xf>
    <xf numFmtId="0" fontId="15" fillId="35" borderId="66" applyNumberFormat="0" applyFont="0" applyAlignment="0" applyProtection="0">
      <alignment vertical="center"/>
    </xf>
    <xf numFmtId="178" fontId="79" fillId="0" borderId="0"/>
  </cellStyleXfs>
  <cellXfs count="592">
    <xf numFmtId="178" fontId="0" fillId="0" borderId="0" xfId="0">
      <alignment vertical="center"/>
    </xf>
    <xf numFmtId="186" fontId="1" fillId="0" borderId="0" xfId="0" applyNumberFormat="1" applyFont="1" applyAlignment="1"/>
    <xf numFmtId="178" fontId="1" fillId="0" borderId="0" xfId="0" applyFont="1" applyAlignment="1"/>
    <xf numFmtId="178" fontId="3" fillId="0" borderId="0" xfId="0" applyFont="1" applyAlignment="1"/>
    <xf numFmtId="57" fontId="4" fillId="0" borderId="0" xfId="0" applyNumberFormat="1" applyFont="1" applyAlignment="1"/>
    <xf numFmtId="178" fontId="6" fillId="0" borderId="9" xfId="0" applyFont="1" applyBorder="1" applyAlignment="1">
      <alignment horizontal="center" vertical="center" wrapText="1"/>
    </xf>
    <xf numFmtId="178" fontId="6" fillId="0" borderId="10" xfId="0" applyFont="1" applyBorder="1" applyAlignment="1">
      <alignment horizontal="center" vertical="center" wrapText="1"/>
    </xf>
    <xf numFmtId="178" fontId="6" fillId="2" borderId="11" xfId="0" applyFont="1" applyFill="1" applyBorder="1" applyAlignment="1">
      <alignment horizontal="center" vertical="center" wrapText="1"/>
    </xf>
    <xf numFmtId="0" fontId="5" fillId="0" borderId="11" xfId="4268" applyFont="1" applyBorder="1" applyAlignment="1">
      <alignment horizontal="center" vertical="center" wrapText="1"/>
    </xf>
    <xf numFmtId="178" fontId="6" fillId="0" borderId="9" xfId="0" applyFont="1" applyBorder="1" applyAlignment="1">
      <alignment horizontal="center" vertical="center"/>
    </xf>
    <xf numFmtId="186" fontId="6" fillId="0" borderId="9" xfId="0" applyNumberFormat="1" applyFont="1" applyBorder="1" applyAlignment="1">
      <alignment horizontal="right" vertical="center"/>
    </xf>
    <xf numFmtId="183" fontId="6" fillId="0" borderId="9" xfId="0" applyNumberFormat="1" applyFont="1" applyBorder="1" applyAlignment="1">
      <alignment horizontal="right" vertical="center"/>
    </xf>
    <xf numFmtId="186" fontId="6" fillId="0" borderId="9" xfId="0" applyNumberFormat="1" applyFont="1" applyBorder="1" applyAlignment="1" applyProtection="1">
      <alignment horizontal="right" vertical="center" wrapText="1"/>
      <protection hidden="1"/>
    </xf>
    <xf numFmtId="183" fontId="6" fillId="0" borderId="10" xfId="0" applyNumberFormat="1" applyFont="1" applyBorder="1" applyAlignment="1" applyProtection="1">
      <alignment horizontal="right" vertical="center" wrapText="1"/>
      <protection hidden="1"/>
    </xf>
    <xf numFmtId="186" fontId="6" fillId="2" borderId="11" xfId="0" applyNumberFormat="1" applyFont="1" applyFill="1" applyBorder="1" applyAlignment="1">
      <alignment horizontal="right" vertical="center" wrapText="1"/>
    </xf>
    <xf numFmtId="186" fontId="5" fillId="0" borderId="9" xfId="0" applyNumberFormat="1" applyFont="1" applyBorder="1" applyAlignment="1">
      <alignment horizontal="right" vertical="center"/>
    </xf>
    <xf numFmtId="183" fontId="5" fillId="0" borderId="9" xfId="0" applyNumberFormat="1" applyFont="1" applyBorder="1" applyAlignment="1">
      <alignment horizontal="right" vertical="center"/>
    </xf>
    <xf numFmtId="186" fontId="5" fillId="0" borderId="9" xfId="0" applyNumberFormat="1" applyFont="1" applyBorder="1" applyAlignment="1" applyProtection="1">
      <alignment horizontal="right" vertical="center" wrapText="1"/>
      <protection hidden="1"/>
    </xf>
    <xf numFmtId="183" fontId="5" fillId="0" borderId="10" xfId="0" applyNumberFormat="1" applyFont="1" applyBorder="1" applyAlignment="1" applyProtection="1">
      <alignment horizontal="right" vertical="center" wrapText="1"/>
      <protection hidden="1"/>
    </xf>
    <xf numFmtId="186" fontId="5" fillId="2" borderId="11" xfId="0" applyNumberFormat="1" applyFont="1" applyFill="1" applyBorder="1" applyAlignment="1">
      <alignment horizontal="right" vertical="center" wrapText="1"/>
    </xf>
    <xf numFmtId="183" fontId="6" fillId="0" borderId="9" xfId="0" applyNumberFormat="1" applyFont="1" applyBorder="1" applyAlignment="1">
      <alignment horizontal="center" vertical="center" wrapText="1"/>
    </xf>
    <xf numFmtId="178" fontId="4" fillId="0" borderId="9" xfId="0" applyFont="1" applyBorder="1" applyAlignment="1">
      <alignment horizontal="center" vertical="center"/>
    </xf>
    <xf numFmtId="186" fontId="5" fillId="0" borderId="16" xfId="0" applyNumberFormat="1" applyFont="1" applyBorder="1" applyAlignment="1">
      <alignment horizontal="right" vertical="center"/>
    </xf>
    <xf numFmtId="186" fontId="5" fillId="0" borderId="16" xfId="0" applyNumberFormat="1" applyFont="1" applyBorder="1" applyAlignment="1" applyProtection="1">
      <alignment horizontal="right" vertical="center" wrapText="1"/>
      <protection hidden="1"/>
    </xf>
    <xf numFmtId="183" fontId="5" fillId="0" borderId="17" xfId="0" applyNumberFormat="1" applyFont="1" applyBorder="1" applyAlignment="1" applyProtection="1">
      <alignment horizontal="right" vertical="center" wrapText="1"/>
      <protection hidden="1"/>
    </xf>
    <xf numFmtId="186" fontId="5" fillId="2" borderId="18" xfId="0" applyNumberFormat="1" applyFont="1" applyFill="1" applyBorder="1" applyAlignment="1">
      <alignment horizontal="right" vertical="center" wrapText="1"/>
    </xf>
    <xf numFmtId="57" fontId="7" fillId="0" borderId="19" xfId="0" applyNumberFormat="1" applyFont="1" applyBorder="1">
      <alignment vertical="center"/>
    </xf>
    <xf numFmtId="178" fontId="7" fillId="0" borderId="19" xfId="0" applyFont="1" applyBorder="1" applyAlignment="1"/>
    <xf numFmtId="178" fontId="6" fillId="2" borderId="9" xfId="0" applyFont="1" applyFill="1" applyBorder="1" applyAlignment="1">
      <alignment horizontal="center" vertical="center" wrapText="1"/>
    </xf>
    <xf numFmtId="178" fontId="6" fillId="0" borderId="11" xfId="0" applyFont="1" applyBorder="1" applyAlignment="1">
      <alignment horizontal="center" vertical="center" wrapText="1"/>
    </xf>
    <xf numFmtId="186" fontId="6" fillId="2" borderId="9" xfId="0" applyNumberFormat="1" applyFont="1" applyFill="1" applyBorder="1" applyAlignment="1">
      <alignment horizontal="right" vertical="center" wrapText="1"/>
    </xf>
    <xf numFmtId="187" fontId="6" fillId="2" borderId="9" xfId="0" applyNumberFormat="1" applyFont="1" applyFill="1" applyBorder="1" applyAlignment="1">
      <alignment horizontal="right" vertical="center"/>
    </xf>
    <xf numFmtId="186" fontId="6" fillId="0" borderId="9" xfId="0" applyNumberFormat="1" applyFont="1" applyBorder="1" applyAlignment="1">
      <alignment horizontal="right" vertical="center" wrapText="1"/>
    </xf>
    <xf numFmtId="183" fontId="6" fillId="0" borderId="9" xfId="0" applyNumberFormat="1" applyFont="1" applyBorder="1" applyAlignment="1">
      <alignment horizontal="right" vertical="center" wrapText="1"/>
    </xf>
    <xf numFmtId="183" fontId="6" fillId="0" borderId="10" xfId="0" applyNumberFormat="1" applyFont="1" applyBorder="1" applyAlignment="1">
      <alignment horizontal="right" vertical="center" wrapText="1"/>
    </xf>
    <xf numFmtId="186" fontId="6" fillId="0" borderId="11" xfId="0" applyNumberFormat="1" applyFont="1" applyBorder="1" applyAlignment="1">
      <alignment horizontal="right" vertical="center" wrapText="1"/>
    </xf>
    <xf numFmtId="189" fontId="6" fillId="0" borderId="9" xfId="0" applyNumberFormat="1" applyFont="1" applyBorder="1" applyAlignment="1">
      <alignment horizontal="right" vertical="center" wrapText="1"/>
    </xf>
    <xf numFmtId="187" fontId="6" fillId="2" borderId="9" xfId="0" applyNumberFormat="1" applyFont="1" applyFill="1" applyBorder="1" applyAlignment="1">
      <alignment horizontal="right" vertical="center" wrapText="1"/>
    </xf>
    <xf numFmtId="186" fontId="5" fillId="2" borderId="9" xfId="0" applyNumberFormat="1" applyFont="1" applyFill="1" applyBorder="1" applyAlignment="1">
      <alignment horizontal="right" vertical="center" wrapText="1"/>
    </xf>
    <xf numFmtId="187" fontId="5" fillId="2" borderId="9" xfId="0" applyNumberFormat="1" applyFont="1" applyFill="1" applyBorder="1" applyAlignment="1">
      <alignment horizontal="right" vertical="center" wrapText="1"/>
    </xf>
    <xf numFmtId="186" fontId="5" fillId="0" borderId="9" xfId="0" applyNumberFormat="1" applyFont="1" applyBorder="1" applyAlignment="1">
      <alignment horizontal="right" vertical="center" wrapText="1"/>
    </xf>
    <xf numFmtId="183" fontId="5" fillId="0" borderId="9" xfId="0" applyNumberFormat="1" applyFont="1" applyBorder="1" applyAlignment="1">
      <alignment horizontal="right" vertical="center" wrapText="1"/>
    </xf>
    <xf numFmtId="186" fontId="5" fillId="0" borderId="11" xfId="0" applyNumberFormat="1" applyFont="1" applyBorder="1" applyAlignment="1">
      <alignment horizontal="right" vertical="center" wrapText="1"/>
    </xf>
    <xf numFmtId="189" fontId="7" fillId="0" borderId="9" xfId="0" applyNumberFormat="1" applyFont="1" applyBorder="1" applyAlignment="1">
      <alignment horizontal="right" vertical="center"/>
    </xf>
    <xf numFmtId="183" fontId="5" fillId="0" borderId="10" xfId="0" applyNumberFormat="1" applyFont="1" applyBorder="1" applyAlignment="1">
      <alignment horizontal="right" vertical="center" wrapText="1"/>
    </xf>
    <xf numFmtId="186" fontId="5" fillId="0" borderId="12" xfId="0" applyNumberFormat="1" applyFont="1" applyBorder="1" applyAlignment="1">
      <alignment horizontal="right" vertical="center" wrapText="1"/>
    </xf>
    <xf numFmtId="190" fontId="5" fillId="0" borderId="9" xfId="0" applyNumberFormat="1" applyFont="1" applyBorder="1" applyAlignment="1">
      <alignment horizontal="right" vertical="center" wrapText="1"/>
    </xf>
    <xf numFmtId="186" fontId="5" fillId="2" borderId="16" xfId="0" applyNumberFormat="1" applyFont="1" applyFill="1" applyBorder="1" applyAlignment="1">
      <alignment horizontal="right" vertical="center" wrapText="1"/>
    </xf>
    <xf numFmtId="187" fontId="5" fillId="2" borderId="16" xfId="0" applyNumberFormat="1" applyFont="1" applyFill="1" applyBorder="1" applyAlignment="1">
      <alignment horizontal="right" vertical="center" wrapText="1"/>
    </xf>
    <xf numFmtId="186" fontId="5" fillId="0" borderId="16" xfId="0" applyNumberFormat="1" applyFont="1" applyBorder="1" applyAlignment="1">
      <alignment horizontal="right" vertical="center" wrapText="1"/>
    </xf>
    <xf numFmtId="183" fontId="5" fillId="0" borderId="16" xfId="0" applyNumberFormat="1" applyFont="1" applyBorder="1" applyAlignment="1">
      <alignment horizontal="right" vertical="center" wrapText="1"/>
    </xf>
    <xf numFmtId="183" fontId="5" fillId="0" borderId="17" xfId="0" applyNumberFormat="1" applyFont="1" applyBorder="1" applyAlignment="1">
      <alignment horizontal="right" vertical="center" wrapText="1"/>
    </xf>
    <xf numFmtId="186" fontId="5" fillId="0" borderId="18" xfId="0" applyNumberFormat="1" applyFont="1" applyBorder="1" applyAlignment="1">
      <alignment horizontal="right" vertical="center" wrapText="1"/>
    </xf>
    <xf numFmtId="190" fontId="7" fillId="0" borderId="16" xfId="0" applyNumberFormat="1" applyFont="1" applyBorder="1" applyAlignment="1">
      <alignment horizontal="right" vertical="center"/>
    </xf>
    <xf numFmtId="186" fontId="6" fillId="0" borderId="16" xfId="0" applyNumberFormat="1" applyFont="1" applyBorder="1" applyAlignment="1">
      <alignment horizontal="right" vertical="center"/>
    </xf>
    <xf numFmtId="191" fontId="7" fillId="0" borderId="0" xfId="0" applyNumberFormat="1" applyFont="1" applyAlignment="1"/>
    <xf numFmtId="178" fontId="7" fillId="0" borderId="0" xfId="0" applyFont="1" applyAlignment="1"/>
    <xf numFmtId="186" fontId="7" fillId="0" borderId="0" xfId="0" applyNumberFormat="1" applyFont="1" applyAlignment="1">
      <alignment horizontal="right"/>
    </xf>
    <xf numFmtId="186" fontId="7" fillId="0" borderId="0" xfId="0" applyNumberFormat="1" applyFont="1" applyAlignment="1"/>
    <xf numFmtId="186" fontId="7" fillId="0" borderId="2" xfId="0" applyNumberFormat="1" applyFont="1" applyBorder="1" applyAlignment="1">
      <alignment horizontal="center" vertical="center"/>
    </xf>
    <xf numFmtId="183" fontId="6" fillId="0" borderId="10" xfId="0" applyNumberFormat="1" applyFont="1" applyBorder="1" applyAlignment="1">
      <alignment horizontal="right" vertical="center"/>
    </xf>
    <xf numFmtId="186" fontId="7" fillId="0" borderId="7" xfId="0" applyNumberFormat="1" applyFont="1" applyBorder="1" applyAlignment="1">
      <alignment horizontal="center" vertical="center"/>
    </xf>
    <xf numFmtId="186" fontId="7" fillId="0" borderId="8" xfId="0" applyNumberFormat="1" applyFont="1" applyBorder="1" applyAlignment="1">
      <alignment horizontal="center" vertical="center"/>
    </xf>
    <xf numFmtId="186" fontId="7" fillId="0" borderId="9" xfId="0" applyNumberFormat="1" applyFont="1" applyBorder="1" applyAlignment="1">
      <alignment horizontal="center" vertical="center"/>
    </xf>
    <xf numFmtId="190" fontId="7" fillId="0" borderId="9" xfId="0" applyNumberFormat="1" applyFont="1" applyBorder="1" applyAlignment="1">
      <alignment horizontal="center" vertical="center"/>
    </xf>
    <xf numFmtId="183" fontId="7" fillId="0" borderId="9" xfId="0" applyNumberFormat="1" applyFont="1" applyBorder="1" applyAlignment="1">
      <alignment horizontal="center" vertical="center"/>
    </xf>
    <xf numFmtId="190" fontId="1" fillId="0" borderId="9" xfId="0" applyNumberFormat="1" applyFont="1" applyBorder="1" applyAlignment="1">
      <alignment horizontal="center" vertical="center"/>
    </xf>
    <xf numFmtId="186" fontId="6" fillId="0" borderId="9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183" fontId="5" fillId="0" borderId="10" xfId="0" applyNumberFormat="1" applyFont="1" applyBorder="1" applyAlignment="1">
      <alignment horizontal="right" vertical="center"/>
    </xf>
    <xf numFmtId="183" fontId="5" fillId="0" borderId="16" xfId="0" applyNumberFormat="1" applyFont="1" applyBorder="1" applyAlignment="1">
      <alignment horizontal="right" vertical="center"/>
    </xf>
    <xf numFmtId="183" fontId="5" fillId="0" borderId="17" xfId="0" applyNumberFormat="1" applyFont="1" applyBorder="1" applyAlignment="1">
      <alignment horizontal="right" vertical="center"/>
    </xf>
    <xf numFmtId="186" fontId="7" fillId="0" borderId="22" xfId="0" applyNumberFormat="1" applyFont="1" applyBorder="1" applyAlignment="1">
      <alignment horizontal="center" vertical="center"/>
    </xf>
    <xf numFmtId="186" fontId="7" fillId="0" borderId="16" xfId="0" applyNumberFormat="1" applyFont="1" applyBorder="1" applyAlignment="1">
      <alignment horizontal="center" vertical="center"/>
    </xf>
    <xf numFmtId="190" fontId="7" fillId="0" borderId="16" xfId="0" applyNumberFormat="1" applyFont="1" applyBorder="1" applyAlignment="1">
      <alignment horizontal="center" vertical="center"/>
    </xf>
    <xf numFmtId="190" fontId="1" fillId="0" borderId="16" xfId="0" applyNumberFormat="1" applyFont="1" applyBorder="1" applyAlignment="1">
      <alignment horizontal="center" vertical="center"/>
    </xf>
    <xf numFmtId="186" fontId="7" fillId="2" borderId="9" xfId="0" applyNumberFormat="1" applyFont="1" applyFill="1" applyBorder="1" applyAlignment="1">
      <alignment horizontal="center" vertical="center"/>
    </xf>
    <xf numFmtId="186" fontId="1" fillId="0" borderId="9" xfId="0" applyNumberFormat="1" applyFont="1" applyBorder="1" applyAlignment="1">
      <alignment horizontal="center" vertical="center"/>
    </xf>
    <xf numFmtId="190" fontId="1" fillId="2" borderId="9" xfId="0" applyNumberFormat="1" applyFont="1" applyFill="1" applyBorder="1" applyAlignment="1">
      <alignment horizontal="center" vertical="center"/>
    </xf>
    <xf numFmtId="183" fontId="7" fillId="0" borderId="9" xfId="0" applyNumberFormat="1" applyFont="1" applyBorder="1">
      <alignment vertical="center"/>
    </xf>
    <xf numFmtId="183" fontId="1" fillId="0" borderId="9" xfId="0" applyNumberFormat="1" applyFont="1" applyBorder="1">
      <alignment vertical="center"/>
    </xf>
    <xf numFmtId="183" fontId="1" fillId="0" borderId="9" xfId="0" applyNumberFormat="1" applyFont="1" applyBorder="1" applyAlignment="1">
      <alignment horizontal="center" vertical="center"/>
    </xf>
    <xf numFmtId="190" fontId="1" fillId="0" borderId="9" xfId="0" applyNumberFormat="1" applyFont="1" applyBorder="1">
      <alignment vertical="center"/>
    </xf>
    <xf numFmtId="183" fontId="1" fillId="2" borderId="9" xfId="0" applyNumberFormat="1" applyFont="1" applyFill="1" applyBorder="1">
      <alignment vertical="center"/>
    </xf>
    <xf numFmtId="190" fontId="1" fillId="2" borderId="16" xfId="0" applyNumberFormat="1" applyFont="1" applyFill="1" applyBorder="1" applyAlignment="1">
      <alignment horizontal="center" vertical="center"/>
    </xf>
    <xf numFmtId="183" fontId="7" fillId="0" borderId="16" xfId="0" applyNumberFormat="1" applyFont="1" applyBorder="1">
      <alignment vertical="center"/>
    </xf>
    <xf numFmtId="183" fontId="1" fillId="0" borderId="16" xfId="0" applyNumberFormat="1" applyFont="1" applyBorder="1">
      <alignment vertical="center"/>
    </xf>
    <xf numFmtId="186" fontId="7" fillId="0" borderId="10" xfId="0" applyNumberFormat="1" applyFont="1" applyBorder="1" applyAlignment="1">
      <alignment horizontal="center" vertical="center"/>
    </xf>
    <xf numFmtId="186" fontId="7" fillId="0" borderId="9" xfId="0" applyNumberFormat="1" applyFont="1" applyBorder="1">
      <alignment vertical="center"/>
    </xf>
    <xf numFmtId="183" fontId="7" fillId="0" borderId="10" xfId="0" applyNumberFormat="1" applyFont="1" applyBorder="1">
      <alignment vertical="center"/>
    </xf>
    <xf numFmtId="186" fontId="7" fillId="0" borderId="16" xfId="0" applyNumberFormat="1" applyFont="1" applyBorder="1">
      <alignment vertical="center"/>
    </xf>
    <xf numFmtId="183" fontId="1" fillId="0" borderId="16" xfId="0" applyNumberFormat="1" applyFont="1" applyBorder="1" applyAlignment="1">
      <alignment horizontal="center" vertical="center"/>
    </xf>
    <xf numFmtId="183" fontId="7" fillId="0" borderId="17" xfId="0" applyNumberFormat="1" applyFont="1" applyBorder="1">
      <alignment vertical="center"/>
    </xf>
    <xf numFmtId="0" fontId="0" fillId="0" borderId="0" xfId="311" applyFont="1">
      <alignment vertical="center"/>
    </xf>
    <xf numFmtId="178" fontId="0" fillId="0" borderId="0" xfId="0" applyAlignment="1">
      <alignment horizontal="center"/>
    </xf>
    <xf numFmtId="178" fontId="11" fillId="0" borderId="9" xfId="0" applyFont="1" applyBorder="1" applyAlignment="1">
      <alignment horizontal="center" vertical="center"/>
    </xf>
    <xf numFmtId="0" fontId="10" fillId="0" borderId="9" xfId="2386" applyFont="1" applyBorder="1" applyAlignment="1">
      <alignment horizontal="center" vertical="center" wrapText="1"/>
    </xf>
    <xf numFmtId="178" fontId="6" fillId="0" borderId="9" xfId="0" applyFont="1" applyBorder="1">
      <alignment vertical="center"/>
    </xf>
    <xf numFmtId="192" fontId="6" fillId="0" borderId="9" xfId="46" applyNumberFormat="1" applyFont="1" applyFill="1" applyBorder="1" applyAlignment="1">
      <alignment horizontal="center" vertical="center"/>
    </xf>
    <xf numFmtId="43" fontId="6" fillId="0" borderId="9" xfId="46" applyFont="1" applyFill="1" applyBorder="1" applyAlignment="1">
      <alignment vertical="center"/>
    </xf>
    <xf numFmtId="43" fontId="6" fillId="0" borderId="26" xfId="46" applyFont="1" applyFill="1" applyBorder="1" applyAlignment="1">
      <alignment horizontal="right" vertical="center"/>
    </xf>
    <xf numFmtId="43" fontId="0" fillId="0" borderId="0" xfId="311" applyNumberFormat="1" applyFont="1">
      <alignment vertical="center"/>
    </xf>
    <xf numFmtId="0" fontId="7" fillId="0" borderId="9" xfId="2386" applyFont="1" applyBorder="1" applyAlignment="1">
      <alignment vertical="center"/>
    </xf>
    <xf numFmtId="192" fontId="12" fillId="0" borderId="9" xfId="46" applyNumberFormat="1" applyFont="1" applyBorder="1" applyAlignment="1">
      <alignment horizontal="center" vertical="center"/>
    </xf>
    <xf numFmtId="43" fontId="6" fillId="0" borderId="9" xfId="46" applyFont="1" applyFill="1" applyBorder="1" applyAlignment="1">
      <alignment horizontal="center" vertical="center"/>
    </xf>
    <xf numFmtId="43" fontId="6" fillId="0" borderId="9" xfId="46" applyFont="1" applyFill="1" applyBorder="1" applyAlignment="1">
      <alignment horizontal="right" vertical="center"/>
    </xf>
    <xf numFmtId="192" fontId="13" fillId="0" borderId="9" xfId="46" applyNumberFormat="1" applyFont="1" applyBorder="1" applyAlignment="1">
      <alignment horizontal="right" vertical="center"/>
    </xf>
    <xf numFmtId="178" fontId="6" fillId="0" borderId="9" xfId="0" applyFont="1" applyBorder="1" applyAlignment="1">
      <alignment horizontal="left" vertical="center" wrapText="1"/>
    </xf>
    <xf numFmtId="192" fontId="14" fillId="0" borderId="9" xfId="46" applyNumberFormat="1" applyFont="1" applyBorder="1" applyAlignment="1">
      <alignment horizontal="center" vertical="center"/>
    </xf>
    <xf numFmtId="178" fontId="6" fillId="3" borderId="9" xfId="0" applyFont="1" applyFill="1" applyBorder="1">
      <alignment vertical="center"/>
    </xf>
    <xf numFmtId="192" fontId="6" fillId="3" borderId="9" xfId="46" applyNumberFormat="1" applyFont="1" applyFill="1" applyBorder="1" applyAlignment="1">
      <alignment horizontal="center" vertical="center"/>
    </xf>
    <xf numFmtId="178" fontId="6" fillId="3" borderId="9" xfId="0" applyFont="1" applyFill="1" applyBorder="1" applyAlignment="1">
      <alignment horizontal="center" vertical="center"/>
    </xf>
    <xf numFmtId="43" fontId="6" fillId="3" borderId="9" xfId="46" applyFont="1" applyFill="1" applyBorder="1" applyAlignment="1">
      <alignment vertical="center"/>
    </xf>
    <xf numFmtId="178" fontId="0" fillId="0" borderId="9" xfId="0" applyBorder="1">
      <alignment vertical="center"/>
    </xf>
    <xf numFmtId="192" fontId="0" fillId="0" borderId="9" xfId="46" applyNumberFormat="1" applyFont="1" applyBorder="1">
      <alignment vertical="center"/>
    </xf>
    <xf numFmtId="178" fontId="6" fillId="4" borderId="9" xfId="0" applyFont="1" applyFill="1" applyBorder="1">
      <alignment vertical="center"/>
    </xf>
    <xf numFmtId="192" fontId="6" fillId="4" borderId="9" xfId="46" applyNumberFormat="1" applyFont="1" applyFill="1" applyBorder="1" applyAlignment="1">
      <alignment horizontal="center" vertical="center"/>
    </xf>
    <xf numFmtId="178" fontId="6" fillId="4" borderId="9" xfId="0" applyFont="1" applyFill="1" applyBorder="1" applyAlignment="1">
      <alignment horizontal="center" vertical="center"/>
    </xf>
    <xf numFmtId="43" fontId="6" fillId="4" borderId="9" xfId="46" applyFont="1" applyFill="1" applyBorder="1" applyAlignment="1">
      <alignment vertical="center"/>
    </xf>
    <xf numFmtId="178" fontId="6" fillId="2" borderId="9" xfId="0" applyFont="1" applyFill="1" applyBorder="1">
      <alignment vertical="center"/>
    </xf>
    <xf numFmtId="192" fontId="6" fillId="2" borderId="9" xfId="46" applyNumberFormat="1" applyFont="1" applyFill="1" applyBorder="1" applyAlignment="1">
      <alignment horizontal="center" vertical="center"/>
    </xf>
    <xf numFmtId="178" fontId="6" fillId="2" borderId="9" xfId="0" applyFont="1" applyFill="1" applyBorder="1" applyAlignment="1">
      <alignment horizontal="center" vertical="center"/>
    </xf>
    <xf numFmtId="43" fontId="6" fillId="2" borderId="9" xfId="46" applyFont="1" applyFill="1" applyBorder="1" applyAlignment="1">
      <alignment vertical="center"/>
    </xf>
    <xf numFmtId="43" fontId="6" fillId="2" borderId="9" xfId="46" applyFont="1" applyFill="1" applyBorder="1" applyAlignment="1">
      <alignment horizontal="right" vertical="center"/>
    </xf>
    <xf numFmtId="178" fontId="6" fillId="5" borderId="9" xfId="0" applyFont="1" applyFill="1" applyBorder="1">
      <alignment vertical="center"/>
    </xf>
    <xf numFmtId="192" fontId="6" fillId="5" borderId="9" xfId="46" applyNumberFormat="1" applyFont="1" applyFill="1" applyBorder="1" applyAlignment="1">
      <alignment horizontal="center" vertical="center"/>
    </xf>
    <xf numFmtId="178" fontId="6" fillId="5" borderId="9" xfId="0" applyFont="1" applyFill="1" applyBorder="1" applyAlignment="1">
      <alignment horizontal="center" vertical="center"/>
    </xf>
    <xf numFmtId="43" fontId="6" fillId="5" borderId="9" xfId="46" applyFont="1" applyFill="1" applyBorder="1" applyAlignment="1">
      <alignment vertical="center"/>
    </xf>
    <xf numFmtId="43" fontId="6" fillId="5" borderId="9" xfId="46" applyFont="1" applyFill="1" applyBorder="1" applyAlignment="1">
      <alignment horizontal="right" vertical="center"/>
    </xf>
    <xf numFmtId="43" fontId="12" fillId="0" borderId="9" xfId="46" applyFont="1" applyBorder="1" applyAlignment="1">
      <alignment horizontal="center" vertical="center"/>
    </xf>
    <xf numFmtId="43" fontId="0" fillId="0" borderId="9" xfId="46" applyFont="1" applyBorder="1">
      <alignment vertical="center"/>
    </xf>
    <xf numFmtId="0" fontId="15" fillId="0" borderId="0" xfId="311">
      <alignment vertical="center"/>
    </xf>
    <xf numFmtId="0" fontId="15" fillId="0" borderId="0" xfId="4213">
      <alignment vertical="center"/>
    </xf>
    <xf numFmtId="189" fontId="15" fillId="0" borderId="0" xfId="4213" applyNumberFormat="1" applyAlignment="1">
      <alignment horizontal="center" vertical="center"/>
    </xf>
    <xf numFmtId="190" fontId="15" fillId="0" borderId="0" xfId="4213" applyNumberFormat="1" applyAlignment="1">
      <alignment horizontal="center" vertical="center"/>
    </xf>
    <xf numFmtId="0" fontId="15" fillId="0" borderId="0" xfId="4213" applyAlignment="1">
      <alignment horizontal="center" vertical="center"/>
    </xf>
    <xf numFmtId="190" fontId="15" fillId="0" borderId="0" xfId="4213" applyNumberFormat="1">
      <alignment vertical="center"/>
    </xf>
    <xf numFmtId="190" fontId="15" fillId="0" borderId="9" xfId="4213" applyNumberFormat="1" applyBorder="1" applyAlignment="1">
      <alignment horizontal="center" vertical="center"/>
    </xf>
    <xf numFmtId="0" fontId="3" fillId="0" borderId="9" xfId="4268" applyFont="1" applyBorder="1"/>
    <xf numFmtId="57" fontId="1" fillId="0" borderId="9" xfId="4123" applyNumberFormat="1" applyBorder="1" applyAlignment="1">
      <alignment horizontal="center" vertical="center"/>
    </xf>
    <xf numFmtId="0" fontId="5" fillId="0" borderId="9" xfId="4268" applyFont="1" applyBorder="1" applyAlignment="1">
      <alignment horizontal="center" vertical="center" wrapText="1"/>
    </xf>
    <xf numFmtId="189" fontId="6" fillId="0" borderId="9" xfId="4123" applyNumberFormat="1" applyFont="1" applyBorder="1" applyAlignment="1">
      <alignment horizontal="center" vertical="center" wrapText="1"/>
    </xf>
    <xf numFmtId="190" fontId="6" fillId="0" borderId="9" xfId="4123" applyNumberFormat="1" applyFont="1" applyBorder="1" applyAlignment="1">
      <alignment horizontal="center" vertical="center" wrapText="1"/>
    </xf>
    <xf numFmtId="0" fontId="6" fillId="0" borderId="9" xfId="4268" applyFont="1" applyBorder="1" applyAlignment="1">
      <alignment horizontal="center" vertical="center"/>
    </xf>
    <xf numFmtId="183" fontId="6" fillId="0" borderId="9" xfId="4123" applyNumberFormat="1" applyFont="1" applyBorder="1" applyAlignment="1">
      <alignment horizontal="center" vertical="center" wrapText="1"/>
    </xf>
    <xf numFmtId="188" fontId="6" fillId="0" borderId="9" xfId="4123" applyNumberFormat="1" applyFont="1" applyBorder="1" applyAlignment="1">
      <alignment horizontal="center" vertical="center" wrapText="1"/>
    </xf>
    <xf numFmtId="188" fontId="6" fillId="6" borderId="9" xfId="4123" applyNumberFormat="1" applyFont="1" applyFill="1" applyBorder="1" applyAlignment="1">
      <alignment horizontal="center" vertical="center" wrapText="1"/>
    </xf>
    <xf numFmtId="188" fontId="6" fillId="7" borderId="9" xfId="4123" applyNumberFormat="1" applyFont="1" applyFill="1" applyBorder="1" applyAlignment="1">
      <alignment horizontal="center" vertical="center" wrapText="1"/>
    </xf>
    <xf numFmtId="0" fontId="5" fillId="0" borderId="9" xfId="4268" applyFont="1" applyBorder="1" applyAlignment="1">
      <alignment horizontal="center" vertical="center"/>
    </xf>
    <xf numFmtId="0" fontId="4" fillId="0" borderId="9" xfId="4268" applyFont="1" applyBorder="1" applyAlignment="1">
      <alignment horizontal="center" vertical="center"/>
    </xf>
    <xf numFmtId="0" fontId="15" fillId="0" borderId="9" xfId="4213" applyBorder="1" applyAlignment="1">
      <alignment horizontal="center" vertical="center"/>
    </xf>
    <xf numFmtId="188" fontId="15" fillId="2" borderId="9" xfId="4213" applyNumberFormat="1" applyFill="1" applyBorder="1" applyAlignment="1">
      <alignment horizontal="center" vertical="center"/>
    </xf>
    <xf numFmtId="186" fontId="6" fillId="0" borderId="9" xfId="4123" applyNumberFormat="1" applyFont="1" applyBorder="1" applyAlignment="1">
      <alignment horizontal="center" vertical="center" wrapText="1"/>
    </xf>
    <xf numFmtId="0" fontId="11" fillId="0" borderId="9" xfId="4213" applyFont="1" applyBorder="1" applyAlignment="1">
      <alignment horizontal="center" vertical="center"/>
    </xf>
    <xf numFmtId="0" fontId="1" fillId="0" borderId="9" xfId="4268" applyBorder="1"/>
    <xf numFmtId="189" fontId="1" fillId="0" borderId="9" xfId="4123" applyNumberFormat="1" applyBorder="1" applyAlignment="1">
      <alignment horizontal="center"/>
    </xf>
    <xf numFmtId="190" fontId="1" fillId="0" borderId="9" xfId="4123" applyNumberFormat="1" applyBorder="1" applyAlignment="1">
      <alignment horizontal="center"/>
    </xf>
    <xf numFmtId="190" fontId="1" fillId="0" borderId="9" xfId="4123" applyNumberFormat="1" applyBorder="1" applyAlignment="1">
      <alignment horizontal="center" vertical="center"/>
    </xf>
    <xf numFmtId="188" fontId="1" fillId="5" borderId="9" xfId="4123" applyNumberFormat="1" applyFill="1" applyBorder="1" applyAlignment="1">
      <alignment horizontal="center" vertical="center"/>
    </xf>
    <xf numFmtId="183" fontId="15" fillId="0" borderId="9" xfId="4213" applyNumberFormat="1" applyBorder="1" applyAlignment="1">
      <alignment horizontal="center" vertical="center"/>
    </xf>
    <xf numFmtId="0" fontId="1" fillId="0" borderId="0" xfId="4268"/>
    <xf numFmtId="189" fontId="1" fillId="0" borderId="0" xfId="4123" applyNumberFormat="1" applyAlignment="1">
      <alignment horizontal="center"/>
    </xf>
    <xf numFmtId="190" fontId="1" fillId="0" borderId="0" xfId="4123" applyNumberFormat="1" applyAlignment="1">
      <alignment horizontal="center"/>
    </xf>
    <xf numFmtId="188" fontId="1" fillId="0" borderId="0" xfId="4123" applyNumberFormat="1" applyAlignment="1">
      <alignment horizontal="center"/>
    </xf>
    <xf numFmtId="183" fontId="15" fillId="0" borderId="0" xfId="4213" applyNumberFormat="1" applyAlignment="1">
      <alignment horizontal="center" vertical="center"/>
    </xf>
    <xf numFmtId="189" fontId="11" fillId="8" borderId="0" xfId="4213" applyNumberFormat="1" applyFont="1" applyFill="1" applyAlignment="1">
      <alignment horizontal="center" vertical="center"/>
    </xf>
    <xf numFmtId="189" fontId="18" fillId="8" borderId="0" xfId="4213" applyNumberFormat="1" applyFont="1" applyFill="1" applyAlignment="1">
      <alignment horizontal="center" vertical="center"/>
    </xf>
    <xf numFmtId="189" fontId="15" fillId="0" borderId="0" xfId="4213" applyNumberFormat="1">
      <alignment vertical="center"/>
    </xf>
    <xf numFmtId="183" fontId="13" fillId="0" borderId="9" xfId="2157" applyNumberFormat="1" applyFont="1" applyBorder="1" applyAlignment="1">
      <alignment horizontal="center" vertical="center" wrapText="1"/>
    </xf>
    <xf numFmtId="183" fontId="6" fillId="0" borderId="8" xfId="4123" applyNumberFormat="1" applyFont="1" applyBorder="1" applyAlignment="1">
      <alignment horizontal="center" vertical="center" wrapText="1"/>
    </xf>
    <xf numFmtId="183" fontId="6" fillId="0" borderId="28" xfId="4123" applyNumberFormat="1" applyFont="1" applyBorder="1" applyAlignment="1">
      <alignment horizontal="center" vertical="center" wrapText="1"/>
    </xf>
    <xf numFmtId="186" fontId="15" fillId="0" borderId="9" xfId="4213" applyNumberFormat="1" applyBorder="1" applyAlignment="1">
      <alignment horizontal="center" vertical="center"/>
    </xf>
    <xf numFmtId="183" fontId="6" fillId="0" borderId="25" xfId="4123" applyNumberFormat="1" applyFont="1" applyBorder="1" applyAlignment="1">
      <alignment horizontal="center" vertical="center" wrapText="1"/>
    </xf>
    <xf numFmtId="183" fontId="6" fillId="6" borderId="9" xfId="4123" applyNumberFormat="1" applyFont="1" applyFill="1" applyBorder="1" applyAlignment="1">
      <alignment horizontal="center" vertical="center" wrapText="1"/>
    </xf>
    <xf numFmtId="183" fontId="6" fillId="6" borderId="25" xfId="4123" applyNumberFormat="1" applyFont="1" applyFill="1" applyBorder="1" applyAlignment="1">
      <alignment horizontal="center" vertical="center" wrapText="1"/>
    </xf>
    <xf numFmtId="186" fontId="6" fillId="6" borderId="9" xfId="4123" applyNumberFormat="1" applyFont="1" applyFill="1" applyBorder="1" applyAlignment="1">
      <alignment horizontal="center" vertical="center" wrapText="1"/>
    </xf>
    <xf numFmtId="183" fontId="6" fillId="7" borderId="9" xfId="4123" applyNumberFormat="1" applyFont="1" applyFill="1" applyBorder="1" applyAlignment="1">
      <alignment horizontal="center" vertical="center" wrapText="1"/>
    </xf>
    <xf numFmtId="183" fontId="6" fillId="7" borderId="25" xfId="4123" applyNumberFormat="1" applyFont="1" applyFill="1" applyBorder="1" applyAlignment="1">
      <alignment horizontal="center" vertical="center" wrapText="1"/>
    </xf>
    <xf numFmtId="186" fontId="6" fillId="7" borderId="9" xfId="4123" applyNumberFormat="1" applyFont="1" applyFill="1" applyBorder="1" applyAlignment="1">
      <alignment horizontal="center" vertical="center" wrapText="1"/>
    </xf>
    <xf numFmtId="183" fontId="6" fillId="2" borderId="9" xfId="4123" applyNumberFormat="1" applyFont="1" applyFill="1" applyBorder="1" applyAlignment="1">
      <alignment horizontal="center" vertical="center" wrapText="1"/>
    </xf>
    <xf numFmtId="183" fontId="6" fillId="2" borderId="25" xfId="4123" applyNumberFormat="1" applyFont="1" applyFill="1" applyBorder="1" applyAlignment="1">
      <alignment horizontal="center" vertical="center" wrapText="1"/>
    </xf>
    <xf numFmtId="186" fontId="6" fillId="2" borderId="9" xfId="4123" applyNumberFormat="1" applyFont="1" applyFill="1" applyBorder="1" applyAlignment="1">
      <alignment horizontal="center" vertical="center" wrapText="1"/>
    </xf>
    <xf numFmtId="183" fontId="15" fillId="5" borderId="9" xfId="4213" applyNumberFormat="1" applyFill="1" applyBorder="1" applyAlignment="1">
      <alignment horizontal="center" vertical="center"/>
    </xf>
    <xf numFmtId="183" fontId="15" fillId="5" borderId="9" xfId="4213" applyNumberFormat="1" applyFill="1" applyBorder="1">
      <alignment vertical="center"/>
    </xf>
    <xf numFmtId="186" fontId="15" fillId="5" borderId="9" xfId="4213" applyNumberFormat="1" applyFill="1" applyBorder="1" applyAlignment="1">
      <alignment horizontal="center" vertical="center"/>
    </xf>
    <xf numFmtId="183" fontId="15" fillId="0" borderId="0" xfId="4213" applyNumberFormat="1">
      <alignment vertical="center"/>
    </xf>
    <xf numFmtId="183" fontId="15" fillId="0" borderId="8" xfId="4213" applyNumberFormat="1" applyBorder="1" applyAlignment="1">
      <alignment horizontal="center" vertical="center"/>
    </xf>
    <xf numFmtId="186" fontId="19" fillId="8" borderId="9" xfId="4213" applyNumberFormat="1" applyFont="1" applyFill="1" applyBorder="1" applyAlignment="1">
      <alignment horizontal="center" vertical="center"/>
    </xf>
    <xf numFmtId="0" fontId="18" fillId="0" borderId="0" xfId="4213" applyFont="1" applyAlignment="1">
      <alignment horizontal="center" vertical="center"/>
    </xf>
    <xf numFmtId="183" fontId="0" fillId="0" borderId="0" xfId="4213" applyNumberFormat="1" applyFont="1" applyAlignment="1">
      <alignment horizontal="center" vertical="center" wrapText="1"/>
    </xf>
    <xf numFmtId="186" fontId="15" fillId="6" borderId="9" xfId="4213" applyNumberFormat="1" applyFill="1" applyBorder="1" applyAlignment="1">
      <alignment horizontal="center" vertical="center"/>
    </xf>
    <xf numFmtId="183" fontId="6" fillId="0" borderId="0" xfId="4123" applyNumberFormat="1" applyFont="1" applyAlignment="1">
      <alignment horizontal="center" vertical="center" wrapText="1"/>
    </xf>
    <xf numFmtId="186" fontId="15" fillId="0" borderId="0" xfId="4213" applyNumberFormat="1">
      <alignment vertical="center"/>
    </xf>
    <xf numFmtId="183" fontId="19" fillId="0" borderId="0" xfId="4213" applyNumberFormat="1" applyFont="1" applyAlignment="1">
      <alignment horizontal="center" vertical="center"/>
    </xf>
    <xf numFmtId="0" fontId="3" fillId="0" borderId="0" xfId="4268" applyFont="1"/>
    <xf numFmtId="189" fontId="6" fillId="2" borderId="11" xfId="4123" applyNumberFormat="1" applyFont="1" applyFill="1" applyBorder="1" applyAlignment="1">
      <alignment horizontal="center" vertical="center" wrapText="1"/>
    </xf>
    <xf numFmtId="190" fontId="6" fillId="2" borderId="9" xfId="4123" applyNumberFormat="1" applyFont="1" applyFill="1" applyBorder="1" applyAlignment="1">
      <alignment horizontal="center" vertical="center" wrapText="1"/>
    </xf>
    <xf numFmtId="183" fontId="20" fillId="0" borderId="9" xfId="2144" applyNumberFormat="1" applyFont="1" applyBorder="1" applyAlignment="1">
      <alignment horizontal="center" vertical="center" wrapText="1"/>
    </xf>
    <xf numFmtId="189" fontId="21" fillId="0" borderId="11" xfId="4123" applyNumberFormat="1" applyFont="1" applyBorder="1" applyAlignment="1">
      <alignment horizontal="center" vertical="center" wrapText="1"/>
    </xf>
    <xf numFmtId="183" fontId="21" fillId="0" borderId="11" xfId="4123" applyNumberFormat="1" applyFont="1" applyBorder="1" applyAlignment="1">
      <alignment horizontal="center" vertical="center" wrapText="1"/>
    </xf>
    <xf numFmtId="0" fontId="6" fillId="0" borderId="9" xfId="4268" applyFont="1" applyBorder="1" applyAlignment="1">
      <alignment horizontal="center" vertical="center" wrapText="1"/>
    </xf>
    <xf numFmtId="186" fontId="15" fillId="2" borderId="9" xfId="4213" applyNumberFormat="1" applyFill="1" applyBorder="1" applyAlignment="1">
      <alignment horizontal="center" vertical="center"/>
    </xf>
    <xf numFmtId="189" fontId="21" fillId="2" borderId="11" xfId="4123" applyNumberFormat="1" applyFont="1" applyFill="1" applyBorder="1" applyAlignment="1">
      <alignment horizontal="center" vertical="center" wrapText="1"/>
    </xf>
    <xf numFmtId="186" fontId="1" fillId="5" borderId="9" xfId="4123" applyNumberFormat="1" applyFill="1" applyBorder="1" applyAlignment="1">
      <alignment horizontal="center"/>
    </xf>
    <xf numFmtId="186" fontId="19" fillId="8" borderId="0" xfId="4213" applyNumberFormat="1" applyFont="1" applyFill="1" applyAlignment="1">
      <alignment horizontal="center" vertical="center"/>
    </xf>
    <xf numFmtId="189" fontId="6" fillId="6" borderId="9" xfId="4123" applyNumberFormat="1" applyFont="1" applyFill="1" applyBorder="1" applyAlignment="1">
      <alignment horizontal="center" vertical="center" wrapText="1"/>
    </xf>
    <xf numFmtId="189" fontId="6" fillId="7" borderId="9" xfId="4123" applyNumberFormat="1" applyFont="1" applyFill="1" applyBorder="1" applyAlignment="1">
      <alignment horizontal="center" vertical="center" wrapText="1"/>
    </xf>
    <xf numFmtId="189" fontId="15" fillId="2" borderId="9" xfId="4213" applyNumberFormat="1" applyFill="1" applyBorder="1" applyAlignment="1">
      <alignment horizontal="center" vertical="center"/>
    </xf>
    <xf numFmtId="186" fontId="15" fillId="0" borderId="21" xfId="4213" applyNumberFormat="1" applyBorder="1" applyAlignment="1">
      <alignment horizontal="center" vertical="center"/>
    </xf>
    <xf numFmtId="186" fontId="15" fillId="0" borderId="0" xfId="4213" applyNumberFormat="1" applyAlignment="1">
      <alignment horizontal="center" vertical="center"/>
    </xf>
    <xf numFmtId="0" fontId="16" fillId="0" borderId="0" xfId="4268" applyFont="1" applyAlignment="1">
      <alignment horizontal="center"/>
    </xf>
    <xf numFmtId="188" fontId="6" fillId="9" borderId="9" xfId="4123" applyNumberFormat="1" applyFont="1" applyFill="1" applyBorder="1" applyAlignment="1">
      <alignment horizontal="center" vertical="center" wrapText="1"/>
    </xf>
    <xf numFmtId="188" fontId="15" fillId="0" borderId="9" xfId="4213" applyNumberFormat="1" applyBorder="1" applyAlignment="1">
      <alignment horizontal="center" vertical="center"/>
    </xf>
    <xf numFmtId="188" fontId="1" fillId="0" borderId="9" xfId="4123" applyNumberFormat="1" applyBorder="1" applyAlignment="1">
      <alignment horizontal="center" vertical="center"/>
    </xf>
    <xf numFmtId="189" fontId="18" fillId="0" borderId="0" xfId="4213" applyNumberFormat="1" applyFont="1" applyAlignment="1">
      <alignment horizontal="center" vertical="center"/>
    </xf>
    <xf numFmtId="189" fontId="23" fillId="7" borderId="0" xfId="4213" applyNumberFormat="1" applyFont="1" applyFill="1" applyAlignment="1">
      <alignment horizontal="center" vertical="center"/>
    </xf>
    <xf numFmtId="189" fontId="23" fillId="0" borderId="0" xfId="4213" applyNumberFormat="1" applyFont="1" applyAlignment="1">
      <alignment horizontal="center" vertical="center"/>
    </xf>
    <xf numFmtId="193" fontId="23" fillId="7" borderId="0" xfId="4213" applyNumberFormat="1" applyFont="1" applyFill="1" applyAlignment="1">
      <alignment horizontal="center" vertical="center"/>
    </xf>
    <xf numFmtId="193" fontId="23" fillId="0" borderId="0" xfId="4213" applyNumberFormat="1" applyFont="1" applyAlignment="1">
      <alignment horizontal="center" vertical="center"/>
    </xf>
    <xf numFmtId="189" fontId="11" fillId="0" borderId="0" xfId="4213" applyNumberFormat="1" applyFont="1" applyAlignment="1">
      <alignment horizontal="center" vertical="center"/>
    </xf>
    <xf numFmtId="0" fontId="15" fillId="0" borderId="0" xfId="2151" applyProtection="1">
      <protection locked="0"/>
    </xf>
    <xf numFmtId="0" fontId="15" fillId="0" borderId="0" xfId="2151" applyAlignment="1">
      <alignment horizontal="center" vertical="center" wrapText="1"/>
    </xf>
    <xf numFmtId="0" fontId="15" fillId="0" borderId="9" xfId="2151" applyBorder="1" applyAlignment="1">
      <alignment horizontal="center" vertical="center" wrapText="1"/>
    </xf>
    <xf numFmtId="0" fontId="10" fillId="0" borderId="9" xfId="2151" applyFont="1" applyBorder="1" applyAlignment="1">
      <alignment horizontal="center" vertical="center" wrapText="1"/>
    </xf>
    <xf numFmtId="0" fontId="15" fillId="0" borderId="9" xfId="2151" applyBorder="1"/>
    <xf numFmtId="191" fontId="15" fillId="0" borderId="9" xfId="2151" applyNumberFormat="1" applyBorder="1"/>
    <xf numFmtId="194" fontId="15" fillId="0" borderId="9" xfId="2151" applyNumberFormat="1" applyBorder="1"/>
    <xf numFmtId="191" fontId="15" fillId="6" borderId="9" xfId="2151" applyNumberFormat="1" applyFill="1" applyBorder="1"/>
    <xf numFmtId="194" fontId="15" fillId="7" borderId="9" xfId="2151" applyNumberFormat="1" applyFill="1" applyBorder="1"/>
    <xf numFmtId="0" fontId="7" fillId="0" borderId="9" xfId="2151" applyFont="1" applyBorder="1"/>
    <xf numFmtId="191" fontId="15" fillId="7" borderId="9" xfId="2151" applyNumberFormat="1" applyFill="1" applyBorder="1"/>
    <xf numFmtId="0" fontId="15" fillId="2" borderId="9" xfId="2151" applyFill="1" applyBorder="1"/>
    <xf numFmtId="0" fontId="15" fillId="0" borderId="0" xfId="2151"/>
    <xf numFmtId="191" fontId="15" fillId="0" borderId="0" xfId="2151" applyNumberFormat="1"/>
    <xf numFmtId="194" fontId="15" fillId="0" borderId="0" xfId="2151" applyNumberFormat="1"/>
    <xf numFmtId="0" fontId="15" fillId="6" borderId="9" xfId="2151" applyFill="1" applyBorder="1"/>
    <xf numFmtId="194" fontId="15" fillId="0" borderId="0" xfId="2151" applyNumberFormat="1" applyProtection="1">
      <protection locked="0"/>
    </xf>
    <xf numFmtId="191" fontId="15" fillId="0" borderId="0" xfId="2151" applyNumberFormat="1" applyProtection="1">
      <protection locked="0"/>
    </xf>
    <xf numFmtId="0" fontId="10" fillId="0" borderId="9" xfId="2151" applyFont="1" applyBorder="1"/>
    <xf numFmtId="178" fontId="7" fillId="0" borderId="0" xfId="0" applyFont="1">
      <alignment vertical="center"/>
    </xf>
    <xf numFmtId="178" fontId="7" fillId="0" borderId="0" xfId="0" applyFont="1" applyAlignment="1">
      <alignment horizontal="left" vertical="center"/>
    </xf>
    <xf numFmtId="183" fontId="7" fillId="0" borderId="0" xfId="0" applyNumberFormat="1" applyFont="1">
      <alignment vertical="center"/>
    </xf>
    <xf numFmtId="178" fontId="7" fillId="0" borderId="34" xfId="0" applyFont="1" applyBorder="1" applyAlignment="1">
      <alignment horizontal="center" vertical="center"/>
    </xf>
    <xf numFmtId="178" fontId="7" fillId="0" borderId="9" xfId="0" applyFont="1" applyBorder="1" applyAlignment="1">
      <alignment horizontal="left" vertical="center" wrapText="1"/>
    </xf>
    <xf numFmtId="178" fontId="7" fillId="0" borderId="34" xfId="0" applyFont="1" applyBorder="1" applyAlignment="1">
      <alignment vertical="center" wrapText="1"/>
    </xf>
    <xf numFmtId="178" fontId="7" fillId="0" borderId="9" xfId="0" applyFont="1" applyBorder="1">
      <alignment vertical="center"/>
    </xf>
    <xf numFmtId="186" fontId="7" fillId="0" borderId="34" xfId="0" applyNumberFormat="1" applyFont="1" applyBorder="1" applyAlignment="1">
      <alignment horizontal="center" vertical="center" wrapText="1"/>
    </xf>
    <xf numFmtId="183" fontId="7" fillId="0" borderId="9" xfId="0" applyNumberFormat="1" applyFont="1" applyBorder="1" applyAlignment="1">
      <alignment vertical="center" wrapText="1"/>
    </xf>
    <xf numFmtId="186" fontId="7" fillId="0" borderId="34" xfId="0" applyNumberFormat="1" applyFont="1" applyBorder="1" applyAlignment="1">
      <alignment horizontal="center" vertical="center"/>
    </xf>
    <xf numFmtId="183" fontId="7" fillId="0" borderId="26" xfId="0" applyNumberFormat="1" applyFont="1" applyBorder="1">
      <alignment vertical="center"/>
    </xf>
    <xf numFmtId="183" fontId="7" fillId="0" borderId="8" xfId="0" applyNumberFormat="1" applyFont="1" applyBorder="1">
      <alignment vertical="center"/>
    </xf>
    <xf numFmtId="183" fontId="7" fillId="0" borderId="21" xfId="0" applyNumberFormat="1" applyFont="1" applyBorder="1">
      <alignment vertical="center"/>
    </xf>
    <xf numFmtId="183" fontId="7" fillId="0" borderId="13" xfId="0" applyNumberFormat="1" applyFont="1" applyBorder="1" applyAlignment="1">
      <alignment horizontal="center" vertical="center"/>
    </xf>
    <xf numFmtId="183" fontId="7" fillId="0" borderId="38" xfId="0" applyNumberFormat="1" applyFont="1" applyBorder="1">
      <alignment vertical="center"/>
    </xf>
    <xf numFmtId="186" fontId="7" fillId="0" borderId="37" xfId="0" applyNumberFormat="1" applyFont="1" applyBorder="1">
      <alignment vertical="center"/>
    </xf>
    <xf numFmtId="183" fontId="7" fillId="0" borderId="39" xfId="0" applyNumberFormat="1" applyFont="1" applyBorder="1">
      <alignment vertical="center"/>
    </xf>
    <xf numFmtId="186" fontId="7" fillId="0" borderId="39" xfId="0" applyNumberFormat="1" applyFont="1" applyBorder="1">
      <alignment vertical="center"/>
    </xf>
    <xf numFmtId="178" fontId="7" fillId="0" borderId="4" xfId="0" applyFont="1" applyBorder="1" applyAlignment="1">
      <alignment horizontal="center" vertical="center"/>
    </xf>
    <xf numFmtId="178" fontId="7" fillId="0" borderId="13" xfId="0" applyFont="1" applyBorder="1" applyAlignment="1">
      <alignment vertical="center" wrapText="1"/>
    </xf>
    <xf numFmtId="178" fontId="7" fillId="0" borderId="11" xfId="0" applyFont="1" applyBorder="1">
      <alignment vertical="center"/>
    </xf>
    <xf numFmtId="183" fontId="7" fillId="0" borderId="41" xfId="0" applyNumberFormat="1" applyFont="1" applyBorder="1" applyAlignment="1">
      <alignment horizontal="center" vertical="center"/>
    </xf>
    <xf numFmtId="186" fontId="7" fillId="0" borderId="13" xfId="0" applyNumberFormat="1" applyFont="1" applyBorder="1" applyAlignment="1">
      <alignment vertical="center" wrapText="1"/>
    </xf>
    <xf numFmtId="186" fontId="7" fillId="0" borderId="13" xfId="0" applyNumberFormat="1" applyFont="1" applyBorder="1">
      <alignment vertical="center"/>
    </xf>
    <xf numFmtId="190" fontId="7" fillId="0" borderId="9" xfId="0" applyNumberFormat="1" applyFont="1" applyBorder="1">
      <alignment vertical="center"/>
    </xf>
    <xf numFmtId="183" fontId="7" fillId="0" borderId="36" xfId="0" applyNumberFormat="1" applyFont="1" applyBorder="1">
      <alignment vertical="center"/>
    </xf>
    <xf numFmtId="183" fontId="7" fillId="0" borderId="42" xfId="0" applyNumberFormat="1" applyFont="1" applyBorder="1">
      <alignment vertical="center"/>
    </xf>
    <xf numFmtId="183" fontId="7" fillId="0" borderId="35" xfId="0" applyNumberFormat="1" applyFont="1" applyBorder="1">
      <alignment vertical="center"/>
    </xf>
    <xf numFmtId="181" fontId="7" fillId="0" borderId="0" xfId="0" applyNumberFormat="1" applyFont="1">
      <alignment vertical="center"/>
    </xf>
    <xf numFmtId="178" fontId="7" fillId="0" borderId="34" xfId="0" applyFont="1" applyBorder="1">
      <alignment vertical="center"/>
    </xf>
    <xf numFmtId="181" fontId="7" fillId="0" borderId="9" xfId="0" applyNumberFormat="1" applyFont="1" applyBorder="1">
      <alignment vertical="center"/>
    </xf>
    <xf numFmtId="178" fontId="7" fillId="0" borderId="9" xfId="0" applyFont="1" applyBorder="1" applyAlignment="1">
      <alignment horizontal="center" vertical="center" wrapText="1"/>
    </xf>
    <xf numFmtId="183" fontId="7" fillId="0" borderId="9" xfId="0" applyNumberFormat="1" applyFont="1" applyBorder="1" applyAlignment="1">
      <alignment horizontal="center" vertical="center" wrapText="1"/>
    </xf>
    <xf numFmtId="186" fontId="7" fillId="0" borderId="41" xfId="0" applyNumberFormat="1" applyFont="1" applyBorder="1">
      <alignment vertical="center"/>
    </xf>
    <xf numFmtId="190" fontId="7" fillId="0" borderId="9" xfId="0" applyNumberFormat="1" applyFont="1" applyBorder="1" applyAlignment="1">
      <alignment vertical="center" wrapText="1"/>
    </xf>
    <xf numFmtId="190" fontId="7" fillId="0" borderId="9" xfId="0" applyNumberFormat="1" applyFont="1" applyBorder="1" applyAlignment="1">
      <alignment horizontal="right" vertical="center"/>
    </xf>
    <xf numFmtId="190" fontId="6" fillId="0" borderId="9" xfId="4236" applyNumberFormat="1" applyFont="1" applyBorder="1" applyAlignment="1">
      <alignment horizontal="right" vertical="center"/>
    </xf>
    <xf numFmtId="186" fontId="7" fillId="0" borderId="43" xfId="0" applyNumberFormat="1" applyFont="1" applyBorder="1">
      <alignment vertical="center"/>
    </xf>
    <xf numFmtId="178" fontId="7" fillId="0" borderId="37" xfId="0" applyFont="1" applyBorder="1">
      <alignment vertical="center"/>
    </xf>
    <xf numFmtId="181" fontId="7" fillId="0" borderId="39" xfId="0" applyNumberFormat="1" applyFont="1" applyBorder="1">
      <alignment vertical="center"/>
    </xf>
    <xf numFmtId="183" fontId="7" fillId="0" borderId="39" xfId="0" applyNumberFormat="1" applyFont="1" applyBorder="1" applyAlignment="1">
      <alignment horizontal="center" vertical="center"/>
    </xf>
    <xf numFmtId="190" fontId="7" fillId="0" borderId="39" xfId="0" applyNumberFormat="1" applyFont="1" applyBorder="1" applyAlignment="1">
      <alignment horizontal="right" vertical="center"/>
    </xf>
    <xf numFmtId="186" fontId="10" fillId="0" borderId="0" xfId="0" applyNumberFormat="1" applyFont="1">
      <alignment vertical="center"/>
    </xf>
    <xf numFmtId="183" fontId="7" fillId="0" borderId="25" xfId="0" applyNumberFormat="1" applyFont="1" applyBorder="1" applyAlignment="1">
      <alignment horizontal="center" vertical="center"/>
    </xf>
    <xf numFmtId="178" fontId="7" fillId="0" borderId="11" xfId="0" applyFont="1" applyBorder="1" applyAlignment="1">
      <alignment horizontal="center" vertical="center" wrapText="1"/>
    </xf>
    <xf numFmtId="186" fontId="7" fillId="0" borderId="25" xfId="0" applyNumberFormat="1" applyFont="1" applyBorder="1">
      <alignment vertical="center"/>
    </xf>
    <xf numFmtId="186" fontId="10" fillId="0" borderId="11" xfId="0" applyNumberFormat="1" applyFont="1" applyBorder="1" applyAlignment="1">
      <alignment horizontal="center" vertical="center"/>
    </xf>
    <xf numFmtId="178" fontId="7" fillId="0" borderId="0" xfId="0" applyFont="1" applyAlignment="1">
      <alignment horizontal="center" vertical="center"/>
    </xf>
    <xf numFmtId="183" fontId="7" fillId="0" borderId="25" xfId="0" applyNumberFormat="1" applyFont="1" applyBorder="1" applyAlignment="1">
      <alignment horizontal="center" vertical="center" wrapText="1"/>
    </xf>
    <xf numFmtId="178" fontId="7" fillId="0" borderId="9" xfId="0" applyFont="1" applyBorder="1" applyAlignment="1">
      <alignment horizontal="center" vertical="center"/>
    </xf>
    <xf numFmtId="178" fontId="7" fillId="0" borderId="10" xfId="0" applyFont="1" applyBorder="1">
      <alignment vertical="center"/>
    </xf>
    <xf numFmtId="186" fontId="10" fillId="0" borderId="9" xfId="0" applyNumberFormat="1" applyFont="1" applyBorder="1" applyAlignment="1">
      <alignment horizontal="center" vertical="center"/>
    </xf>
    <xf numFmtId="186" fontId="10" fillId="0" borderId="10" xfId="0" applyNumberFormat="1" applyFont="1" applyBorder="1" applyAlignment="1">
      <alignment horizontal="center" vertical="center"/>
    </xf>
    <xf numFmtId="195" fontId="7" fillId="0" borderId="0" xfId="0" applyNumberFormat="1" applyFont="1">
      <alignment vertical="center"/>
    </xf>
    <xf numFmtId="186" fontId="7" fillId="0" borderId="52" xfId="0" applyNumberFormat="1" applyFont="1" applyBorder="1">
      <alignment vertical="center"/>
    </xf>
    <xf numFmtId="186" fontId="7" fillId="0" borderId="21" xfId="0" applyNumberFormat="1" applyFont="1" applyBorder="1">
      <alignment vertical="center"/>
    </xf>
    <xf numFmtId="186" fontId="10" fillId="0" borderId="18" xfId="0" applyNumberFormat="1" applyFont="1" applyBorder="1" applyAlignment="1">
      <alignment horizontal="center" vertical="center"/>
    </xf>
    <xf numFmtId="186" fontId="10" fillId="0" borderId="16" xfId="0" applyNumberFormat="1" applyFont="1" applyBorder="1" applyAlignment="1">
      <alignment horizontal="center" vertical="center"/>
    </xf>
    <xf numFmtId="186" fontId="10" fillId="0" borderId="17" xfId="0" applyNumberFormat="1" applyFont="1" applyBorder="1" applyAlignment="1">
      <alignment horizontal="center" vertical="center"/>
    </xf>
    <xf numFmtId="186" fontId="7" fillId="0" borderId="0" xfId="0" applyNumberFormat="1" applyFont="1">
      <alignment vertical="center"/>
    </xf>
    <xf numFmtId="183" fontId="7" fillId="0" borderId="0" xfId="0" applyNumberFormat="1" applyFont="1" applyAlignment="1">
      <alignment horizontal="center" vertical="center"/>
    </xf>
    <xf numFmtId="178" fontId="24" fillId="0" borderId="0" xfId="0" applyFont="1">
      <alignment vertical="center"/>
    </xf>
    <xf numFmtId="178" fontId="7" fillId="0" borderId="0" xfId="0" applyFont="1" applyAlignment="1">
      <alignment horizontal="center" vertical="center" wrapText="1"/>
    </xf>
    <xf numFmtId="186" fontId="7" fillId="0" borderId="10" xfId="0" applyNumberFormat="1" applyFont="1" applyBorder="1" applyAlignment="1">
      <alignment horizontal="center" vertical="center" wrapText="1"/>
    </xf>
    <xf numFmtId="183" fontId="7" fillId="0" borderId="43" xfId="0" applyNumberFormat="1" applyFont="1" applyBorder="1" applyAlignment="1">
      <alignment horizontal="center" vertical="center"/>
    </xf>
    <xf numFmtId="186" fontId="7" fillId="0" borderId="15" xfId="0" applyNumberFormat="1" applyFont="1" applyBorder="1">
      <alignment vertical="center"/>
    </xf>
    <xf numFmtId="183" fontId="7" fillId="0" borderId="15" xfId="0" applyNumberFormat="1" applyFont="1" applyBorder="1">
      <alignment vertical="center"/>
    </xf>
    <xf numFmtId="178" fontId="7" fillId="0" borderId="18" xfId="0" applyFont="1" applyBorder="1">
      <alignment vertical="center"/>
    </xf>
    <xf numFmtId="181" fontId="7" fillId="0" borderId="16" xfId="0" applyNumberFormat="1" applyFont="1" applyBorder="1">
      <alignment vertical="center"/>
    </xf>
    <xf numFmtId="183" fontId="7" fillId="0" borderId="16" xfId="0" applyNumberFormat="1" applyFont="1" applyBorder="1" applyAlignment="1">
      <alignment horizontal="center" vertical="center"/>
    </xf>
    <xf numFmtId="190" fontId="6" fillId="0" borderId="16" xfId="4236" applyNumberFormat="1" applyFont="1" applyBorder="1" applyAlignment="1">
      <alignment horizontal="right" vertical="center"/>
    </xf>
    <xf numFmtId="186" fontId="7" fillId="0" borderId="53" xfId="0" applyNumberFormat="1" applyFont="1" applyBorder="1">
      <alignment vertical="center"/>
    </xf>
    <xf numFmtId="196" fontId="10" fillId="0" borderId="0" xfId="0" applyNumberFormat="1" applyFont="1">
      <alignment vertical="center"/>
    </xf>
    <xf numFmtId="178" fontId="1" fillId="0" borderId="0" xfId="4236"/>
    <xf numFmtId="186" fontId="1" fillId="0" borderId="0" xfId="4236" applyNumberFormat="1"/>
    <xf numFmtId="178" fontId="26" fillId="0" borderId="54" xfId="0" applyFont="1" applyBorder="1" applyAlignment="1">
      <alignment horizontal="center" vertical="center" wrapText="1"/>
    </xf>
    <xf numFmtId="178" fontId="1" fillId="0" borderId="0" xfId="4236" applyAlignment="1">
      <alignment horizontal="center"/>
    </xf>
    <xf numFmtId="178" fontId="27" fillId="0" borderId="54" xfId="0" applyFont="1" applyBorder="1" applyAlignment="1">
      <alignment horizontal="left" vertical="center" wrapText="1"/>
    </xf>
    <xf numFmtId="186" fontId="28" fillId="0" borderId="54" xfId="0" applyNumberFormat="1" applyFont="1" applyBorder="1" applyAlignment="1">
      <alignment horizontal="center" vertical="center" wrapText="1"/>
    </xf>
    <xf numFmtId="178" fontId="28" fillId="0" borderId="54" xfId="0" applyFont="1" applyBorder="1" applyAlignment="1">
      <alignment horizontal="left" vertical="center" wrapText="1"/>
    </xf>
    <xf numFmtId="186" fontId="29" fillId="2" borderId="54" xfId="4236" applyNumberFormat="1" applyFont="1" applyFill="1" applyBorder="1" applyAlignment="1">
      <alignment horizontal="center" vertical="center"/>
    </xf>
    <xf numFmtId="186" fontId="29" fillId="0" borderId="54" xfId="4236" applyNumberFormat="1" applyFont="1" applyBorder="1" applyAlignment="1">
      <alignment horizontal="center" vertical="center"/>
    </xf>
    <xf numFmtId="186" fontId="28" fillId="2" borderId="54" xfId="0" applyNumberFormat="1" applyFont="1" applyFill="1" applyBorder="1" applyAlignment="1">
      <alignment horizontal="center" vertical="center" wrapText="1"/>
    </xf>
    <xf numFmtId="178" fontId="25" fillId="0" borderId="0" xfId="4236" applyFont="1"/>
    <xf numFmtId="178" fontId="1" fillId="0" borderId="48" xfId="4236" applyBorder="1"/>
    <xf numFmtId="178" fontId="27" fillId="0" borderId="54" xfId="0" applyFont="1" applyBorder="1" applyAlignment="1">
      <alignment horizontal="center" vertical="center" wrapText="1"/>
    </xf>
    <xf numFmtId="178" fontId="29" fillId="0" borderId="54" xfId="4236" applyFont="1" applyBorder="1" applyAlignment="1">
      <alignment horizontal="center" vertical="center" wrapText="1"/>
    </xf>
    <xf numFmtId="178" fontId="1" fillId="0" borderId="0" xfId="4101"/>
    <xf numFmtId="178" fontId="5" fillId="0" borderId="9" xfId="4101" applyFont="1" applyBorder="1" applyAlignment="1">
      <alignment horizontal="center" vertical="center" wrapText="1"/>
    </xf>
    <xf numFmtId="178" fontId="6" fillId="0" borderId="9" xfId="3105" applyFont="1" applyBorder="1" applyAlignment="1">
      <alignment horizontal="center" vertical="center"/>
    </xf>
    <xf numFmtId="186" fontId="13" fillId="0" borderId="9" xfId="4101" applyNumberFormat="1" applyFont="1" applyBorder="1" applyAlignment="1">
      <alignment horizontal="center" vertical="center"/>
    </xf>
    <xf numFmtId="196" fontId="32" fillId="0" borderId="9" xfId="4101" applyNumberFormat="1" applyFont="1" applyBorder="1" applyAlignment="1">
      <alignment horizontal="center" vertical="center"/>
    </xf>
    <xf numFmtId="178" fontId="1" fillId="0" borderId="0" xfId="4101" applyAlignment="1">
      <alignment vertical="center"/>
    </xf>
    <xf numFmtId="178" fontId="27" fillId="0" borderId="9" xfId="4101" applyFont="1" applyBorder="1" applyAlignment="1">
      <alignment horizontal="center" vertical="center"/>
    </xf>
    <xf numFmtId="178" fontId="13" fillId="0" borderId="9" xfId="4101" applyFont="1" applyBorder="1" applyAlignment="1">
      <alignment horizontal="center" vertical="center"/>
    </xf>
    <xf numFmtId="178" fontId="27" fillId="0" borderId="9" xfId="4101" applyFont="1" applyBorder="1" applyAlignment="1">
      <alignment horizontal="center" vertical="center" wrapText="1"/>
    </xf>
    <xf numFmtId="186" fontId="13" fillId="0" borderId="0" xfId="4101" applyNumberFormat="1" applyFont="1" applyAlignment="1">
      <alignment horizontal="center" vertical="center"/>
    </xf>
    <xf numFmtId="186" fontId="13" fillId="0" borderId="9" xfId="4101" applyNumberFormat="1" applyFont="1" applyBorder="1" applyAlignment="1">
      <alignment horizontal="center" vertical="center" wrapText="1"/>
    </xf>
    <xf numFmtId="186" fontId="13" fillId="0" borderId="0" xfId="4101" applyNumberFormat="1" applyFont="1" applyAlignment="1">
      <alignment horizontal="center" vertical="center" wrapText="1"/>
    </xf>
    <xf numFmtId="178" fontId="3" fillId="0" borderId="0" xfId="4236" applyFont="1"/>
    <xf numFmtId="196" fontId="1" fillId="0" borderId="0" xfId="4236" applyNumberFormat="1"/>
    <xf numFmtId="178" fontId="4" fillId="0" borderId="0" xfId="4236" applyFont="1" applyAlignment="1">
      <alignment horizontal="center"/>
    </xf>
    <xf numFmtId="178" fontId="35" fillId="0" borderId="0" xfId="4236" applyFont="1" applyAlignment="1">
      <alignment horizontal="center"/>
    </xf>
    <xf numFmtId="178" fontId="5" fillId="0" borderId="26" xfId="4236" applyFont="1" applyBorder="1" applyAlignment="1">
      <alignment horizontal="center" vertical="center"/>
    </xf>
    <xf numFmtId="178" fontId="5" fillId="0" borderId="9" xfId="4236" applyFont="1" applyBorder="1" applyAlignment="1">
      <alignment horizontal="center" vertical="center" wrapText="1"/>
    </xf>
    <xf numFmtId="186" fontId="6" fillId="0" borderId="9" xfId="4236" applyNumberFormat="1" applyFont="1" applyBorder="1" applyAlignment="1">
      <alignment horizontal="center" vertical="center"/>
    </xf>
    <xf numFmtId="178" fontId="36" fillId="0" borderId="9" xfId="4236" applyFont="1" applyBorder="1" applyAlignment="1">
      <alignment horizontal="center" vertical="center"/>
    </xf>
    <xf numFmtId="183" fontId="6" fillId="0" borderId="9" xfId="4236" applyNumberFormat="1" applyFont="1" applyBorder="1" applyAlignment="1">
      <alignment horizontal="center" vertical="center"/>
    </xf>
    <xf numFmtId="178" fontId="6" fillId="0" borderId="9" xfId="4236" applyFont="1" applyBorder="1" applyAlignment="1">
      <alignment horizontal="center" vertical="center"/>
    </xf>
    <xf numFmtId="178" fontId="5" fillId="0" borderId="9" xfId="4236" applyFont="1" applyBorder="1" applyAlignment="1">
      <alignment vertical="center"/>
    </xf>
    <xf numFmtId="196" fontId="35" fillId="0" borderId="0" xfId="4236" applyNumberFormat="1" applyFont="1" applyAlignment="1">
      <alignment horizontal="center"/>
    </xf>
    <xf numFmtId="196" fontId="1" fillId="0" borderId="0" xfId="4236" applyNumberFormat="1" applyAlignment="1">
      <alignment horizontal="center"/>
    </xf>
    <xf numFmtId="196" fontId="5" fillId="0" borderId="9" xfId="4236" applyNumberFormat="1" applyFont="1" applyBorder="1" applyAlignment="1">
      <alignment horizontal="center" vertical="center" wrapText="1"/>
    </xf>
    <xf numFmtId="186" fontId="6" fillId="0" borderId="9" xfId="2386" applyNumberFormat="1" applyFont="1" applyBorder="1" applyAlignment="1">
      <alignment horizontal="center" vertical="center"/>
    </xf>
    <xf numFmtId="183" fontId="1" fillId="0" borderId="0" xfId="4236" applyNumberFormat="1"/>
    <xf numFmtId="186" fontId="5" fillId="0" borderId="9" xfId="4236" applyNumberFormat="1" applyFont="1" applyBorder="1" applyAlignment="1">
      <alignment horizontal="center" vertical="center"/>
    </xf>
    <xf numFmtId="1" fontId="6" fillId="0" borderId="9" xfId="4236" applyNumberFormat="1" applyFont="1" applyBorder="1" applyAlignment="1">
      <alignment horizontal="center" vertical="center"/>
    </xf>
    <xf numFmtId="178" fontId="5" fillId="0" borderId="26" xfId="4236" applyFont="1" applyBorder="1" applyAlignment="1">
      <alignment horizontal="center" vertical="center" wrapText="1"/>
    </xf>
    <xf numFmtId="178" fontId="6" fillId="0" borderId="13" xfId="4236" applyFont="1" applyBorder="1" applyAlignment="1">
      <alignment horizontal="center" vertical="center"/>
    </xf>
    <xf numFmtId="178" fontId="7" fillId="0" borderId="0" xfId="0" applyFont="1" applyAlignment="1">
      <alignment horizontal="center"/>
    </xf>
    <xf numFmtId="196" fontId="1" fillId="0" borderId="0" xfId="4236" applyNumberFormat="1" applyAlignment="1">
      <alignment horizontal="right"/>
    </xf>
    <xf numFmtId="183" fontId="6" fillId="0" borderId="0" xfId="4236" applyNumberFormat="1" applyFont="1" applyAlignment="1">
      <alignment horizontal="center" vertical="center"/>
    </xf>
    <xf numFmtId="178" fontId="1" fillId="0" borderId="0" xfId="4236" applyAlignment="1">
      <alignment horizontal="center" vertical="center"/>
    </xf>
    <xf numFmtId="178" fontId="37" fillId="0" borderId="0" xfId="4236" applyFont="1" applyAlignment="1">
      <alignment horizontal="center" vertical="center"/>
    </xf>
    <xf numFmtId="178" fontId="38" fillId="0" borderId="0" xfId="4236" applyFont="1" applyAlignment="1">
      <alignment horizontal="center" vertical="center"/>
    </xf>
    <xf numFmtId="186" fontId="31" fillId="0" borderId="9" xfId="4236" applyNumberFormat="1" applyFont="1" applyBorder="1" applyAlignment="1">
      <alignment horizontal="center" vertical="center" wrapText="1"/>
    </xf>
    <xf numFmtId="178" fontId="6" fillId="0" borderId="9" xfId="4236" applyFont="1" applyBorder="1" applyAlignment="1">
      <alignment horizontal="justify" vertical="center"/>
    </xf>
    <xf numFmtId="189" fontId="4" fillId="0" borderId="9" xfId="2386" applyNumberFormat="1" applyFont="1" applyBorder="1" applyAlignment="1">
      <alignment horizontal="center" vertical="center"/>
    </xf>
    <xf numFmtId="189" fontId="4" fillId="0" borderId="9" xfId="0" applyNumberFormat="1" applyFont="1" applyBorder="1" applyAlignment="1">
      <alignment horizontal="center" vertical="center"/>
    </xf>
    <xf numFmtId="1" fontId="4" fillId="0" borderId="56" xfId="2386" applyNumberFormat="1" applyFont="1" applyBorder="1" applyAlignment="1">
      <alignment horizontal="center" vertical="center"/>
    </xf>
    <xf numFmtId="0" fontId="4" fillId="0" borderId="56" xfId="2386" applyFont="1" applyBorder="1" applyAlignment="1">
      <alignment horizontal="center" vertical="center"/>
    </xf>
    <xf numFmtId="189" fontId="4" fillId="0" borderId="56" xfId="2386" applyNumberFormat="1" applyFont="1" applyBorder="1" applyAlignment="1">
      <alignment horizontal="center" vertical="center"/>
    </xf>
    <xf numFmtId="178" fontId="6" fillId="0" borderId="9" xfId="4236" applyFont="1" applyBorder="1" applyAlignment="1">
      <alignment horizontal="left" vertical="center"/>
    </xf>
    <xf numFmtId="189" fontId="4" fillId="0" borderId="8" xfId="2386" applyNumberFormat="1" applyFont="1" applyBorder="1" applyAlignment="1">
      <alignment horizontal="center" vertical="center"/>
    </xf>
    <xf numFmtId="0" fontId="6" fillId="0" borderId="9" xfId="2386" applyFont="1" applyBorder="1" applyAlignment="1">
      <alignment horizontal="center" vertical="center"/>
    </xf>
    <xf numFmtId="186" fontId="4" fillId="0" borderId="8" xfId="2386" applyNumberFormat="1" applyFont="1" applyBorder="1" applyAlignment="1">
      <alignment horizontal="center" vertical="center"/>
    </xf>
    <xf numFmtId="0" fontId="4" fillId="0" borderId="9" xfId="2386" applyFont="1" applyBorder="1" applyAlignment="1">
      <alignment horizontal="center" vertical="center"/>
    </xf>
    <xf numFmtId="0" fontId="4" fillId="0" borderId="9" xfId="4430" applyFont="1" applyBorder="1" applyAlignment="1">
      <alignment horizontal="center" vertical="center"/>
    </xf>
    <xf numFmtId="189" fontId="4" fillId="0" borderId="9" xfId="4430" applyNumberFormat="1" applyFont="1" applyBorder="1" applyAlignment="1">
      <alignment horizontal="center" vertical="center"/>
    </xf>
    <xf numFmtId="186" fontId="4" fillId="0" borderId="9" xfId="2386" applyNumberFormat="1" applyFont="1" applyBorder="1" applyAlignment="1">
      <alignment horizontal="center" vertical="center"/>
    </xf>
    <xf numFmtId="189" fontId="4" fillId="0" borderId="56" xfId="2386" applyNumberFormat="1" applyFont="1" applyBorder="1" applyAlignment="1">
      <alignment horizontal="center" vertical="center" wrapText="1"/>
    </xf>
    <xf numFmtId="0" fontId="4" fillId="0" borderId="56" xfId="2386" applyFont="1" applyBorder="1" applyAlignment="1">
      <alignment horizontal="center" vertical="center" wrapText="1"/>
    </xf>
    <xf numFmtId="1" fontId="4" fillId="0" borderId="56" xfId="2386" applyNumberFormat="1" applyFont="1" applyBorder="1" applyAlignment="1">
      <alignment horizontal="center" vertical="center" wrapText="1"/>
    </xf>
    <xf numFmtId="178" fontId="40" fillId="0" borderId="9" xfId="4236" applyFont="1" applyBorder="1" applyAlignment="1">
      <alignment horizontal="justify" vertical="center"/>
    </xf>
    <xf numFmtId="0" fontId="4" fillId="0" borderId="9" xfId="2386" applyFont="1" applyBorder="1" applyAlignment="1">
      <alignment vertical="center"/>
    </xf>
    <xf numFmtId="186" fontId="40" fillId="0" borderId="9" xfId="2386" applyNumberFormat="1" applyFont="1" applyBorder="1" applyAlignment="1">
      <alignment horizontal="center" vertical="center"/>
    </xf>
    <xf numFmtId="1" fontId="40" fillId="0" borderId="9" xfId="2386" applyNumberFormat="1" applyFont="1" applyBorder="1" applyAlignment="1">
      <alignment horizontal="center" vertical="center"/>
    </xf>
    <xf numFmtId="0" fontId="40" fillId="0" borderId="9" xfId="2386" applyFont="1" applyBorder="1" applyAlignment="1">
      <alignment horizontal="center" vertical="center"/>
    </xf>
    <xf numFmtId="0" fontId="40" fillId="0" borderId="9" xfId="2386" applyFont="1" applyBorder="1" applyAlignment="1">
      <alignment vertical="center"/>
    </xf>
    <xf numFmtId="0" fontId="6" fillId="0" borderId="0" xfId="4236" applyNumberFormat="1" applyFont="1"/>
    <xf numFmtId="0" fontId="31" fillId="0" borderId="0" xfId="2386" applyFont="1" applyAlignment="1">
      <alignment horizontal="center" vertical="center" wrapText="1"/>
    </xf>
    <xf numFmtId="178" fontId="39" fillId="0" borderId="0" xfId="4236" applyFont="1" applyAlignment="1">
      <alignment horizontal="center" vertical="center" wrapText="1"/>
    </xf>
    <xf numFmtId="186" fontId="25" fillId="0" borderId="9" xfId="4236" applyNumberFormat="1" applyFont="1" applyBorder="1" applyAlignment="1">
      <alignment horizontal="center" vertical="center"/>
    </xf>
    <xf numFmtId="195" fontId="4" fillId="0" borderId="0" xfId="4236" applyNumberFormat="1" applyFont="1"/>
    <xf numFmtId="1" fontId="4" fillId="0" borderId="9" xfId="4236" applyNumberFormat="1" applyFont="1" applyBorder="1" applyAlignment="1">
      <alignment horizontal="center" vertical="center"/>
    </xf>
    <xf numFmtId="1" fontId="4" fillId="0" borderId="9" xfId="4236" applyNumberFormat="1" applyFont="1" applyBorder="1" applyAlignment="1">
      <alignment horizontal="center" vertical="center" wrapText="1"/>
    </xf>
    <xf numFmtId="0" fontId="4" fillId="0" borderId="9" xfId="4236" applyNumberFormat="1" applyFont="1" applyBorder="1" applyAlignment="1">
      <alignment horizontal="center" vertical="center"/>
    </xf>
    <xf numFmtId="178" fontId="4" fillId="0" borderId="0" xfId="4236" applyFont="1" applyAlignment="1">
      <alignment horizontal="center" vertical="center"/>
    </xf>
    <xf numFmtId="178" fontId="4" fillId="0" borderId="55" xfId="0" applyFont="1" applyBorder="1" applyAlignment="1">
      <alignment horizontal="left"/>
    </xf>
    <xf numFmtId="178" fontId="5" fillId="0" borderId="9" xfId="0" applyFont="1" applyBorder="1" applyAlignment="1">
      <alignment horizontal="center" vertical="center" wrapText="1"/>
    </xf>
    <xf numFmtId="186" fontId="6" fillId="0" borderId="9" xfId="0" applyNumberFormat="1" applyFont="1" applyBorder="1" applyAlignment="1">
      <alignment horizontal="center" vertical="center" wrapText="1"/>
    </xf>
    <xf numFmtId="178" fontId="5" fillId="0" borderId="9" xfId="0" applyFont="1" applyBorder="1" applyAlignment="1">
      <alignment horizontal="right" vertical="center"/>
    </xf>
    <xf numFmtId="178" fontId="43" fillId="0" borderId="0" xfId="0" applyFont="1" applyAlignment="1">
      <alignment horizontal="left"/>
    </xf>
    <xf numFmtId="186" fontId="6" fillId="0" borderId="9" xfId="0" applyNumberFormat="1" applyFont="1" applyBorder="1">
      <alignment vertical="center"/>
    </xf>
    <xf numFmtId="178" fontId="6" fillId="0" borderId="9" xfId="0" applyFont="1" applyBorder="1" applyAlignment="1">
      <alignment horizontal="left" vertical="center"/>
    </xf>
    <xf numFmtId="178" fontId="44" fillId="0" borderId="9" xfId="0" applyFont="1" applyBorder="1" applyAlignment="1">
      <alignment horizontal="left" vertical="center" wrapText="1"/>
    </xf>
    <xf numFmtId="178" fontId="4" fillId="0" borderId="0" xfId="0" applyFont="1" applyAlignment="1">
      <alignment horizontal="left" vertical="center"/>
    </xf>
    <xf numFmtId="178" fontId="5" fillId="0" borderId="26" xfId="0" applyFont="1" applyBorder="1" applyAlignment="1">
      <alignment horizontal="left" vertical="center" shrinkToFit="1"/>
    </xf>
    <xf numFmtId="196" fontId="6" fillId="0" borderId="9" xfId="0" applyNumberFormat="1" applyFont="1" applyBorder="1" applyAlignment="1">
      <alignment horizontal="right" vertical="center" wrapText="1"/>
    </xf>
    <xf numFmtId="196" fontId="6" fillId="0" borderId="9" xfId="0" applyNumberFormat="1" applyFont="1" applyBorder="1" applyAlignment="1">
      <alignment horizontal="center" vertical="center"/>
    </xf>
    <xf numFmtId="196" fontId="6" fillId="0" borderId="8" xfId="0" applyNumberFormat="1" applyFont="1" applyBorder="1" applyAlignment="1">
      <alignment horizontal="center" vertical="center"/>
    </xf>
    <xf numFmtId="178" fontId="5" fillId="0" borderId="9" xfId="0" applyFont="1" applyBorder="1" applyAlignment="1">
      <alignment horizontal="center" vertical="center" shrinkToFit="1"/>
    </xf>
    <xf numFmtId="178" fontId="1" fillId="0" borderId="0" xfId="0" applyFont="1" applyAlignment="1">
      <alignment horizontal="right"/>
    </xf>
    <xf numFmtId="178" fontId="1" fillId="0" borderId="0" xfId="0" applyFont="1" applyAlignment="1">
      <alignment horizontal="center" shrinkToFit="1"/>
    </xf>
    <xf numFmtId="196" fontId="7" fillId="0" borderId="0" xfId="0" applyNumberFormat="1" applyFont="1">
      <alignment vertical="center"/>
    </xf>
    <xf numFmtId="57" fontId="31" fillId="0" borderId="9" xfId="0" applyNumberFormat="1" applyFont="1" applyBorder="1" applyAlignment="1">
      <alignment horizontal="center" vertical="center" wrapText="1"/>
    </xf>
    <xf numFmtId="183" fontId="5" fillId="0" borderId="9" xfId="2157" applyNumberFormat="1" applyFont="1" applyBorder="1" applyAlignment="1">
      <alignment horizontal="center" vertical="center" wrapText="1"/>
    </xf>
    <xf numFmtId="189" fontId="6" fillId="0" borderId="9" xfId="0" applyNumberFormat="1" applyFont="1" applyBorder="1" applyAlignment="1">
      <alignment horizontal="center" vertical="center"/>
    </xf>
    <xf numFmtId="189" fontId="6" fillId="0" borderId="13" xfId="0" applyNumberFormat="1" applyFont="1" applyBorder="1" applyAlignment="1">
      <alignment horizontal="center" vertical="center"/>
    </xf>
    <xf numFmtId="189" fontId="6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189" fontId="6" fillId="0" borderId="57" xfId="0" applyNumberFormat="1" applyFont="1" applyBorder="1" applyAlignment="1">
      <alignment horizontal="center" vertical="center" wrapText="1"/>
    </xf>
    <xf numFmtId="189" fontId="6" fillId="0" borderId="9" xfId="0" applyNumberFormat="1" applyFont="1" applyBorder="1" applyAlignment="1">
      <alignment horizontal="center" vertical="center" wrapText="1"/>
    </xf>
    <xf numFmtId="189" fontId="6" fillId="0" borderId="9" xfId="0" applyNumberFormat="1" applyFont="1" applyBorder="1">
      <alignment vertical="center"/>
    </xf>
    <xf numFmtId="189" fontId="7" fillId="0" borderId="9" xfId="0" applyNumberFormat="1" applyFont="1" applyBorder="1" applyAlignment="1">
      <alignment horizontal="center" vertical="center"/>
    </xf>
    <xf numFmtId="186" fontId="7" fillId="0" borderId="9" xfId="0" applyNumberFormat="1" applyFont="1" applyBorder="1" applyAlignment="1">
      <alignment horizontal="center" vertical="center" wrapText="1"/>
    </xf>
    <xf numFmtId="178" fontId="4" fillId="0" borderId="9" xfId="0" applyFont="1" applyBorder="1" applyAlignment="1">
      <alignment horizontal="center" vertical="center" wrapText="1"/>
    </xf>
    <xf numFmtId="178" fontId="5" fillId="0" borderId="9" xfId="0" applyFont="1" applyBorder="1" applyAlignment="1">
      <alignment horizontal="center" vertical="center"/>
    </xf>
    <xf numFmtId="186" fontId="5" fillId="0" borderId="9" xfId="0" applyNumberFormat="1" applyFont="1" applyBorder="1" applyAlignment="1">
      <alignment horizontal="center" vertical="center" wrapText="1"/>
    </xf>
    <xf numFmtId="178" fontId="41" fillId="0" borderId="0" xfId="0" applyFont="1" applyAlignment="1">
      <alignment vertical="center" wrapText="1"/>
    </xf>
    <xf numFmtId="186" fontId="5" fillId="0" borderId="0" xfId="0" applyNumberFormat="1" applyFont="1" applyAlignment="1">
      <alignment vertical="center" wrapText="1"/>
    </xf>
    <xf numFmtId="178" fontId="45" fillId="0" borderId="0" xfId="0" applyFont="1" applyAlignment="1">
      <alignment horizontal="center" vertical="center"/>
    </xf>
    <xf numFmtId="0" fontId="47" fillId="0" borderId="9" xfId="0" applyNumberFormat="1" applyFont="1" applyBorder="1" applyAlignment="1">
      <alignment vertical="center" wrapText="1"/>
    </xf>
    <xf numFmtId="186" fontId="48" fillId="0" borderId="9" xfId="0" applyNumberFormat="1" applyFont="1" applyBorder="1" applyAlignment="1">
      <alignment horizontal="center" vertical="center" wrapText="1"/>
    </xf>
    <xf numFmtId="189" fontId="6" fillId="0" borderId="59" xfId="0" applyNumberFormat="1" applyFont="1" applyBorder="1" applyAlignment="1">
      <alignment horizontal="center" vertical="center"/>
    </xf>
    <xf numFmtId="189" fontId="6" fillId="0" borderId="59" xfId="0" applyNumberFormat="1" applyFont="1" applyBorder="1" applyAlignment="1">
      <alignment horizontal="center" vertical="center" wrapText="1"/>
    </xf>
    <xf numFmtId="178" fontId="10" fillId="0" borderId="0" xfId="0" applyFont="1" applyAlignment="1">
      <alignment horizontal="center" vertical="center" wrapText="1"/>
    </xf>
    <xf numFmtId="178" fontId="10" fillId="0" borderId="13" xfId="0" applyFont="1" applyBorder="1">
      <alignment vertical="center"/>
    </xf>
    <xf numFmtId="178" fontId="10" fillId="0" borderId="9" xfId="0" applyFont="1" applyBorder="1">
      <alignment vertical="center"/>
    </xf>
    <xf numFmtId="178" fontId="5" fillId="0" borderId="0" xfId="0" applyFont="1" applyAlignment="1">
      <alignment horizontal="center" vertical="center" wrapText="1"/>
    </xf>
    <xf numFmtId="178" fontId="10" fillId="0" borderId="9" xfId="0" applyFont="1" applyBorder="1" applyAlignment="1">
      <alignment vertical="center" wrapText="1"/>
    </xf>
    <xf numFmtId="186" fontId="7" fillId="0" borderId="0" xfId="0" applyNumberFormat="1" applyFont="1" applyAlignment="1">
      <alignment vertical="center" wrapText="1"/>
    </xf>
    <xf numFmtId="178" fontId="21" fillId="0" borderId="9" xfId="0" applyFont="1" applyBorder="1" applyAlignment="1">
      <alignment horizontal="left" vertical="center" wrapText="1"/>
    </xf>
    <xf numFmtId="189" fontId="21" fillId="0" borderId="13" xfId="0" applyNumberFormat="1" applyFont="1" applyBorder="1" applyAlignment="1">
      <alignment horizontal="center" vertical="center"/>
    </xf>
    <xf numFmtId="189" fontId="21" fillId="0" borderId="9" xfId="0" applyNumberFormat="1" applyFont="1" applyBorder="1" applyAlignment="1">
      <alignment horizontal="center" vertical="center"/>
    </xf>
    <xf numFmtId="0" fontId="118" fillId="0" borderId="56" xfId="2386" applyFont="1" applyBorder="1" applyAlignment="1">
      <alignment horizontal="center" vertical="center"/>
    </xf>
    <xf numFmtId="1" fontId="118" fillId="0" borderId="56" xfId="2386" applyNumberFormat="1" applyFont="1" applyBorder="1" applyAlignment="1">
      <alignment horizontal="center" vertical="center"/>
    </xf>
    <xf numFmtId="178" fontId="7" fillId="0" borderId="0" xfId="0" applyFont="1" applyAlignment="1">
      <alignment horizontal="center" vertical="center"/>
    </xf>
    <xf numFmtId="178" fontId="41" fillId="0" borderId="58" xfId="0" applyFont="1" applyBorder="1" applyAlignment="1">
      <alignment horizontal="left" vertical="center" wrapText="1"/>
    </xf>
    <xf numFmtId="178" fontId="41" fillId="0" borderId="0" xfId="0" applyFont="1" applyAlignment="1">
      <alignment horizontal="left" vertical="center" wrapText="1"/>
    </xf>
    <xf numFmtId="178" fontId="5" fillId="0" borderId="9" xfId="0" applyFont="1" applyBorder="1" applyAlignment="1">
      <alignment horizontal="center" vertical="center" wrapText="1"/>
    </xf>
    <xf numFmtId="178" fontId="10" fillId="0" borderId="9" xfId="0" applyFont="1" applyBorder="1" applyAlignment="1">
      <alignment horizontal="center" vertical="center" wrapText="1"/>
    </xf>
    <xf numFmtId="178" fontId="7" fillId="0" borderId="29" xfId="0" applyFont="1" applyBorder="1" applyAlignment="1">
      <alignment horizontal="center" vertical="center"/>
    </xf>
    <xf numFmtId="178" fontId="45" fillId="0" borderId="55" xfId="0" applyFont="1" applyBorder="1" applyAlignment="1">
      <alignment horizontal="center" vertical="center"/>
    </xf>
    <xf numFmtId="178" fontId="31" fillId="0" borderId="9" xfId="0" applyFont="1" applyBorder="1" applyAlignment="1">
      <alignment horizontal="center" vertical="center" wrapText="1"/>
    </xf>
    <xf numFmtId="57" fontId="31" fillId="0" borderId="9" xfId="0" applyNumberFormat="1" applyFont="1" applyBorder="1" applyAlignment="1">
      <alignment horizontal="center" vertical="center" wrapText="1"/>
    </xf>
    <xf numFmtId="178" fontId="46" fillId="0" borderId="9" xfId="0" applyFont="1" applyBorder="1" applyAlignment="1">
      <alignment horizontal="center" vertical="center" wrapText="1"/>
    </xf>
    <xf numFmtId="178" fontId="2" fillId="0" borderId="0" xfId="0" applyFont="1" applyAlignment="1">
      <alignment horizontal="center"/>
    </xf>
    <xf numFmtId="178" fontId="4" fillId="0" borderId="55" xfId="0" applyFont="1" applyBorder="1" applyAlignment="1">
      <alignment horizontal="right"/>
    </xf>
    <xf numFmtId="178" fontId="5" fillId="0" borderId="25" xfId="0" applyFont="1" applyBorder="1" applyAlignment="1">
      <alignment horizontal="center" vertical="center"/>
    </xf>
    <xf numFmtId="178" fontId="5" fillId="0" borderId="13" xfId="0" applyFont="1" applyBorder="1" applyAlignment="1">
      <alignment horizontal="center" vertical="center"/>
    </xf>
    <xf numFmtId="178" fontId="34" fillId="0" borderId="0" xfId="0" applyFont="1" applyAlignment="1">
      <alignment horizontal="center"/>
    </xf>
    <xf numFmtId="178" fontId="42" fillId="0" borderId="0" xfId="0" applyFont="1" applyAlignment="1">
      <alignment horizontal="center"/>
    </xf>
    <xf numFmtId="178" fontId="7" fillId="0" borderId="0" xfId="0" applyFont="1">
      <alignment vertical="center"/>
    </xf>
    <xf numFmtId="0" fontId="5" fillId="0" borderId="9" xfId="4236" applyNumberFormat="1" applyFont="1" applyBorder="1" applyAlignment="1">
      <alignment horizontal="center" vertical="center" wrapText="1"/>
    </xf>
    <xf numFmtId="0" fontId="5" fillId="0" borderId="26" xfId="4236" applyNumberFormat="1" applyFont="1" applyBorder="1" applyAlignment="1">
      <alignment horizontal="center" vertical="center" wrapText="1"/>
    </xf>
    <xf numFmtId="0" fontId="5" fillId="0" borderId="21" xfId="4236" applyNumberFormat="1" applyFont="1" applyBorder="1" applyAlignment="1">
      <alignment horizontal="center" vertical="center" wrapText="1"/>
    </xf>
    <xf numFmtId="0" fontId="5" fillId="0" borderId="8" xfId="4236" applyNumberFormat="1" applyFont="1" applyBorder="1" applyAlignment="1">
      <alignment horizontal="center" vertical="center" wrapText="1"/>
    </xf>
    <xf numFmtId="178" fontId="39" fillId="0" borderId="9" xfId="4236" applyFont="1" applyBorder="1" applyAlignment="1">
      <alignment horizontal="center" vertical="center" wrapText="1"/>
    </xf>
    <xf numFmtId="178" fontId="5" fillId="0" borderId="9" xfId="4236" applyFont="1" applyBorder="1" applyAlignment="1">
      <alignment horizontal="center" vertical="center" wrapText="1"/>
    </xf>
    <xf numFmtId="178" fontId="37" fillId="0" borderId="0" xfId="4236" applyFont="1" applyAlignment="1">
      <alignment horizontal="center" vertical="center"/>
    </xf>
    <xf numFmtId="178" fontId="38" fillId="0" borderId="0" xfId="4236" applyFont="1" applyAlignment="1">
      <alignment horizontal="center" vertical="center"/>
    </xf>
    <xf numFmtId="0" fontId="31" fillId="0" borderId="25" xfId="2386" applyFont="1" applyBorder="1" applyAlignment="1">
      <alignment horizontal="center" vertical="center" wrapText="1"/>
    </xf>
    <xf numFmtId="0" fontId="31" fillId="0" borderId="30" xfId="2386" applyFont="1" applyBorder="1" applyAlignment="1">
      <alignment horizontal="center" vertical="center" wrapText="1"/>
    </xf>
    <xf numFmtId="0" fontId="31" fillId="0" borderId="13" xfId="2386" applyFont="1" applyBorder="1" applyAlignment="1">
      <alignment horizontal="center" vertical="center" wrapText="1"/>
    </xf>
    <xf numFmtId="0" fontId="31" fillId="0" borderId="9" xfId="2386" applyFont="1" applyBorder="1" applyAlignment="1">
      <alignment horizontal="center" vertical="center" wrapText="1"/>
    </xf>
    <xf numFmtId="178" fontId="31" fillId="0" borderId="9" xfId="4236" applyFont="1" applyBorder="1" applyAlignment="1">
      <alignment horizontal="center" vertical="center" wrapText="1"/>
    </xf>
    <xf numFmtId="178" fontId="34" fillId="0" borderId="0" xfId="4236" applyFont="1" applyAlignment="1">
      <alignment horizontal="center"/>
    </xf>
    <xf numFmtId="178" fontId="5" fillId="0" borderId="25" xfId="4236" applyFont="1" applyBorder="1" applyAlignment="1">
      <alignment horizontal="center" vertical="center"/>
    </xf>
    <xf numFmtId="178" fontId="5" fillId="0" borderId="13" xfId="4236" applyFont="1" applyBorder="1" applyAlignment="1">
      <alignment horizontal="center" vertical="center"/>
    </xf>
    <xf numFmtId="178" fontId="30" fillId="0" borderId="55" xfId="4101" applyFont="1" applyBorder="1" applyAlignment="1">
      <alignment horizontal="center" vertical="center"/>
    </xf>
    <xf numFmtId="178" fontId="33" fillId="0" borderId="55" xfId="4101" applyFont="1" applyBorder="1" applyAlignment="1">
      <alignment horizontal="center" vertical="center"/>
    </xf>
    <xf numFmtId="178" fontId="31" fillId="0" borderId="9" xfId="4101" applyFont="1" applyBorder="1" applyAlignment="1">
      <alignment horizontal="center" vertical="center"/>
    </xf>
    <xf numFmtId="178" fontId="5" fillId="0" borderId="9" xfId="4101" applyFont="1" applyBorder="1" applyAlignment="1">
      <alignment horizontal="center" vertical="center"/>
    </xf>
    <xf numFmtId="178" fontId="5" fillId="0" borderId="26" xfId="4101" applyFont="1" applyBorder="1" applyAlignment="1">
      <alignment horizontal="center" vertical="center" wrapText="1"/>
    </xf>
    <xf numFmtId="178" fontId="5" fillId="0" borderId="8" xfId="4101" applyFont="1" applyBorder="1" applyAlignment="1">
      <alignment horizontal="center" vertical="center" wrapText="1"/>
    </xf>
    <xf numFmtId="178" fontId="5" fillId="0" borderId="9" xfId="4101" applyFont="1" applyBorder="1" applyAlignment="1">
      <alignment horizontal="center" vertical="center" wrapText="1"/>
    </xf>
    <xf numFmtId="178" fontId="31" fillId="0" borderId="9" xfId="4101" applyFont="1" applyBorder="1" applyAlignment="1">
      <alignment horizontal="center" vertical="center" wrapText="1"/>
    </xf>
    <xf numFmtId="178" fontId="25" fillId="0" borderId="19" xfId="4236" applyFont="1" applyBorder="1" applyAlignment="1">
      <alignment horizontal="center"/>
    </xf>
    <xf numFmtId="186" fontId="10" fillId="0" borderId="50" xfId="0" applyNumberFormat="1" applyFont="1" applyBorder="1" applyAlignment="1">
      <alignment horizontal="center" vertical="center"/>
    </xf>
    <xf numFmtId="186" fontId="10" fillId="0" borderId="24" xfId="0" applyNumberFormat="1" applyFont="1" applyBorder="1" applyAlignment="1">
      <alignment horizontal="center" vertical="center"/>
    </xf>
    <xf numFmtId="178" fontId="7" fillId="0" borderId="48" xfId="0" applyFont="1" applyBorder="1" applyAlignment="1">
      <alignment horizontal="center" vertical="center" wrapText="1"/>
    </xf>
    <xf numFmtId="186" fontId="10" fillId="0" borderId="51" xfId="0" applyNumberFormat="1" applyFont="1" applyBorder="1" applyAlignment="1">
      <alignment horizontal="center" vertical="center"/>
    </xf>
    <xf numFmtId="186" fontId="10" fillId="0" borderId="49" xfId="0" applyNumberFormat="1" applyFont="1" applyBorder="1" applyAlignment="1">
      <alignment horizontal="center" vertical="center"/>
    </xf>
    <xf numFmtId="186" fontId="10" fillId="0" borderId="7" xfId="0" applyNumberFormat="1" applyFont="1" applyBorder="1" applyAlignment="1">
      <alignment horizontal="center" vertical="center"/>
    </xf>
    <xf numFmtId="186" fontId="10" fillId="0" borderId="20" xfId="0" applyNumberFormat="1" applyFont="1" applyBorder="1" applyAlignment="1">
      <alignment horizontal="center" vertical="center"/>
    </xf>
    <xf numFmtId="178" fontId="7" fillId="0" borderId="34" xfId="0" applyFont="1" applyBorder="1" applyAlignment="1">
      <alignment horizontal="center" vertical="center"/>
    </xf>
    <xf numFmtId="178" fontId="7" fillId="0" borderId="37" xfId="0" applyFont="1" applyBorder="1" applyAlignment="1">
      <alignment horizontal="center" vertical="center"/>
    </xf>
    <xf numFmtId="178" fontId="7" fillId="0" borderId="32" xfId="0" applyFont="1" applyBorder="1" applyAlignment="1">
      <alignment horizontal="left" vertical="center" wrapText="1"/>
    </xf>
    <xf numFmtId="178" fontId="7" fillId="0" borderId="9" xfId="0" applyFont="1" applyBorder="1" applyAlignment="1">
      <alignment horizontal="left" vertical="center" wrapText="1"/>
    </xf>
    <xf numFmtId="183" fontId="7" fillId="0" borderId="26" xfId="0" applyNumberFormat="1" applyFont="1" applyBorder="1" applyAlignment="1">
      <alignment horizontal="center" vertical="center"/>
    </xf>
    <xf numFmtId="183" fontId="7" fillId="0" borderId="8" xfId="0" applyNumberFormat="1" applyFont="1" applyBorder="1" applyAlignment="1">
      <alignment horizontal="center" vertical="center"/>
    </xf>
    <xf numFmtId="183" fontId="7" fillId="0" borderId="21" xfId="0" applyNumberFormat="1" applyFont="1" applyBorder="1" applyAlignment="1">
      <alignment horizontal="center" vertical="center"/>
    </xf>
    <xf numFmtId="183" fontId="7" fillId="0" borderId="38" xfId="0" applyNumberFormat="1" applyFont="1" applyBorder="1" applyAlignment="1">
      <alignment horizontal="center" vertical="center"/>
    </xf>
    <xf numFmtId="178" fontId="7" fillId="0" borderId="40" xfId="0" applyFont="1" applyBorder="1" applyAlignment="1">
      <alignment horizontal="center" vertical="center" wrapText="1"/>
    </xf>
    <xf numFmtId="178" fontId="7" fillId="0" borderId="41" xfId="0" applyFont="1" applyBorder="1" applyAlignment="1">
      <alignment horizontal="center" vertical="center" wrapText="1"/>
    </xf>
    <xf numFmtId="183" fontId="7" fillId="0" borderId="41" xfId="0" applyNumberFormat="1" applyFont="1" applyBorder="1" applyAlignment="1">
      <alignment horizontal="center" vertical="center"/>
    </xf>
    <xf numFmtId="178" fontId="7" fillId="0" borderId="4" xfId="0" applyFont="1" applyBorder="1" applyAlignment="1">
      <alignment horizontal="center" vertical="center"/>
    </xf>
    <xf numFmtId="178" fontId="7" fillId="0" borderId="6" xfId="0" applyFont="1" applyBorder="1" applyAlignment="1">
      <alignment horizontal="center" vertical="center"/>
    </xf>
    <xf numFmtId="178" fontId="7" fillId="0" borderId="44" xfId="0" applyFont="1" applyBorder="1" applyAlignment="1">
      <alignment horizontal="center" vertical="center"/>
    </xf>
    <xf numFmtId="178" fontId="7" fillId="0" borderId="47" xfId="0" applyFont="1" applyBorder="1" applyAlignment="1">
      <alignment horizontal="center" vertical="center"/>
    </xf>
    <xf numFmtId="178" fontId="7" fillId="0" borderId="31" xfId="0" applyFont="1" applyBorder="1" applyAlignment="1">
      <alignment horizontal="center" vertical="center"/>
    </xf>
    <xf numFmtId="178" fontId="7" fillId="0" borderId="33" xfId="0" applyFont="1" applyBorder="1" applyAlignment="1">
      <alignment horizontal="center" vertical="center" wrapText="1"/>
    </xf>
    <xf numFmtId="178" fontId="7" fillId="0" borderId="35" xfId="0" applyFont="1" applyBorder="1" applyAlignment="1">
      <alignment horizontal="center" vertical="center" wrapText="1"/>
    </xf>
    <xf numFmtId="183" fontId="7" fillId="0" borderId="36" xfId="0" applyNumberFormat="1" applyFont="1" applyBorder="1" applyAlignment="1">
      <alignment horizontal="center" vertical="center"/>
    </xf>
    <xf numFmtId="183" fontId="7" fillId="0" borderId="35" xfId="0" applyNumberFormat="1" applyFont="1" applyBorder="1" applyAlignment="1">
      <alignment horizontal="center" vertical="center"/>
    </xf>
    <xf numFmtId="178" fontId="24" fillId="0" borderId="0" xfId="0" applyFont="1" applyAlignment="1">
      <alignment horizontal="center" vertical="center"/>
    </xf>
    <xf numFmtId="178" fontId="7" fillId="0" borderId="32" xfId="0" applyFont="1" applyBorder="1" applyAlignment="1">
      <alignment horizontal="center" vertical="center"/>
    </xf>
    <xf numFmtId="178" fontId="7" fillId="0" borderId="40" xfId="0" applyFont="1" applyBorder="1" applyAlignment="1">
      <alignment horizontal="center" vertical="center"/>
    </xf>
    <xf numFmtId="178" fontId="7" fillId="0" borderId="45" xfId="0" applyFont="1" applyBorder="1" applyAlignment="1">
      <alignment horizontal="center" vertical="center"/>
    </xf>
    <xf numFmtId="178" fontId="7" fillId="0" borderId="46" xfId="0" applyFont="1" applyBorder="1" applyAlignment="1">
      <alignment horizontal="center" vertical="center"/>
    </xf>
    <xf numFmtId="186" fontId="10" fillId="0" borderId="26" xfId="0" applyNumberFormat="1" applyFont="1" applyBorder="1" applyAlignment="1">
      <alignment horizontal="center" vertical="center"/>
    </xf>
    <xf numFmtId="186" fontId="10" fillId="0" borderId="8" xfId="0" applyNumberFormat="1" applyFont="1" applyBorder="1" applyAlignment="1">
      <alignment horizontal="center" vertical="center"/>
    </xf>
    <xf numFmtId="186" fontId="10" fillId="0" borderId="21" xfId="0" applyNumberFormat="1" applyFont="1" applyBorder="1" applyAlignment="1">
      <alignment horizontal="center" vertical="center"/>
    </xf>
    <xf numFmtId="0" fontId="15" fillId="0" borderId="25" xfId="2151" applyBorder="1" applyAlignment="1">
      <alignment horizontal="center"/>
    </xf>
    <xf numFmtId="0" fontId="15" fillId="0" borderId="30" xfId="2151" applyBorder="1" applyAlignment="1">
      <alignment horizontal="center"/>
    </xf>
    <xf numFmtId="0" fontId="15" fillId="0" borderId="13" xfId="2151" applyBorder="1" applyAlignment="1">
      <alignment horizontal="center"/>
    </xf>
    <xf numFmtId="0" fontId="15" fillId="0" borderId="26" xfId="2151" applyBorder="1" applyAlignment="1">
      <alignment horizontal="center"/>
    </xf>
    <xf numFmtId="0" fontId="15" fillId="0" borderId="8" xfId="2151" applyBorder="1" applyAlignment="1">
      <alignment horizontal="center"/>
    </xf>
    <xf numFmtId="0" fontId="15" fillId="0" borderId="25" xfId="2151" applyBorder="1" applyAlignment="1">
      <alignment horizontal="center" vertical="center" wrapText="1"/>
    </xf>
    <xf numFmtId="0" fontId="15" fillId="0" borderId="30" xfId="2151" applyBorder="1" applyAlignment="1">
      <alignment horizontal="center" vertical="center" wrapText="1"/>
    </xf>
    <xf numFmtId="0" fontId="15" fillId="0" borderId="13" xfId="2151" applyBorder="1" applyAlignment="1">
      <alignment horizontal="center" vertical="center" wrapText="1"/>
    </xf>
    <xf numFmtId="0" fontId="15" fillId="0" borderId="26" xfId="2151" applyBorder="1" applyAlignment="1">
      <alignment horizontal="center" vertical="center" wrapText="1"/>
    </xf>
    <xf numFmtId="0" fontId="15" fillId="0" borderId="8" xfId="2151" applyBorder="1" applyAlignment="1">
      <alignment horizontal="center" vertical="center" wrapText="1"/>
    </xf>
    <xf numFmtId="0" fontId="16" fillId="0" borderId="0" xfId="4268" applyFont="1" applyAlignment="1">
      <alignment horizontal="center"/>
    </xf>
    <xf numFmtId="0" fontId="22" fillId="0" borderId="0" xfId="4213" applyFont="1" applyAlignment="1">
      <alignment horizontal="center" vertical="center"/>
    </xf>
    <xf numFmtId="0" fontId="17" fillId="0" borderId="0" xfId="4213" applyFont="1" applyAlignment="1">
      <alignment horizontal="center" vertical="center"/>
    </xf>
    <xf numFmtId="57" fontId="1" fillId="0" borderId="9" xfId="4123" applyNumberFormat="1" applyBorder="1" applyAlignment="1">
      <alignment horizontal="center" vertical="center"/>
    </xf>
    <xf numFmtId="183" fontId="0" fillId="7" borderId="9" xfId="4213" applyNumberFormat="1" applyFont="1" applyFill="1" applyBorder="1" applyAlignment="1">
      <alignment horizontal="center" vertical="center" wrapText="1"/>
    </xf>
    <xf numFmtId="183" fontId="0" fillId="2" borderId="9" xfId="4213" applyNumberFormat="1" applyFont="1" applyFill="1" applyBorder="1" applyAlignment="1">
      <alignment horizontal="center" vertical="center" wrapText="1"/>
    </xf>
    <xf numFmtId="183" fontId="0" fillId="0" borderId="0" xfId="4213" applyNumberFormat="1" applyFont="1" applyAlignment="1">
      <alignment horizontal="center" vertical="center" wrapText="1"/>
    </xf>
    <xf numFmtId="0" fontId="18" fillId="0" borderId="0" xfId="4213" applyFont="1" applyAlignment="1">
      <alignment horizontal="center" vertical="center"/>
    </xf>
    <xf numFmtId="0" fontId="18" fillId="0" borderId="27" xfId="4213" applyFont="1" applyBorder="1" applyAlignment="1">
      <alignment horizontal="center" vertical="center"/>
    </xf>
    <xf numFmtId="57" fontId="1" fillId="6" borderId="0" xfId="4123" applyNumberFormat="1" applyFill="1" applyAlignment="1">
      <alignment horizontal="center" vertical="center"/>
    </xf>
    <xf numFmtId="183" fontId="15" fillId="7" borderId="9" xfId="4213" quotePrefix="1" applyNumberFormat="1" applyFill="1" applyBorder="1" applyAlignment="1">
      <alignment horizontal="center" vertical="center"/>
    </xf>
    <xf numFmtId="183" fontId="15" fillId="7" borderId="9" xfId="4213" applyNumberFormat="1" applyFill="1" applyBorder="1" applyAlignment="1">
      <alignment horizontal="center" vertical="center"/>
    </xf>
    <xf numFmtId="183" fontId="13" fillId="0" borderId="9" xfId="2157" applyNumberFormat="1" applyFont="1" applyBorder="1" applyAlignment="1">
      <alignment horizontal="center" vertical="center" wrapText="1"/>
    </xf>
    <xf numFmtId="183" fontId="0" fillId="0" borderId="9" xfId="4213" applyNumberFormat="1" applyFont="1" applyBorder="1" applyAlignment="1">
      <alignment horizontal="center" vertical="center" wrapText="1"/>
    </xf>
    <xf numFmtId="183" fontId="0" fillId="0" borderId="9" xfId="4213" applyNumberFormat="1" applyFont="1" applyBorder="1" applyAlignment="1">
      <alignment horizontal="center" vertical="center"/>
    </xf>
    <xf numFmtId="183" fontId="0" fillId="6" borderId="9" xfId="4213" applyNumberFormat="1" applyFont="1" applyFill="1" applyBorder="1" applyAlignment="1">
      <alignment horizontal="center" vertical="center" wrapText="1"/>
    </xf>
    <xf numFmtId="183" fontId="0" fillId="0" borderId="29" xfId="4213" applyNumberFormat="1" applyFont="1" applyBorder="1" applyAlignment="1">
      <alignment horizontal="center" vertical="center" wrapText="1"/>
    </xf>
    <xf numFmtId="178" fontId="9" fillId="0" borderId="0" xfId="0" applyFont="1" applyAlignment="1">
      <alignment horizontal="center" vertical="center"/>
    </xf>
    <xf numFmtId="178" fontId="11" fillId="0" borderId="9" xfId="0" applyFont="1" applyBorder="1" applyAlignment="1">
      <alignment horizontal="center" vertical="center"/>
    </xf>
    <xf numFmtId="0" fontId="10" fillId="0" borderId="25" xfId="2386" applyFont="1" applyBorder="1" applyAlignment="1">
      <alignment horizontal="center" vertical="center"/>
    </xf>
    <xf numFmtId="0" fontId="10" fillId="0" borderId="13" xfId="2386" applyFont="1" applyBorder="1" applyAlignment="1">
      <alignment horizontal="center" vertical="center"/>
    </xf>
    <xf numFmtId="178" fontId="10" fillId="0" borderId="9" xfId="0" applyFont="1" applyBorder="1" applyAlignment="1">
      <alignment horizontal="center" vertical="center"/>
    </xf>
    <xf numFmtId="186" fontId="1" fillId="0" borderId="2" xfId="0" applyNumberFormat="1" applyFont="1" applyBorder="1" applyAlignment="1">
      <alignment horizontal="center" vertical="center"/>
    </xf>
    <xf numFmtId="186" fontId="1" fillId="0" borderId="8" xfId="0" applyNumberFormat="1" applyFont="1" applyBorder="1" applyAlignment="1">
      <alignment horizontal="center" vertical="center"/>
    </xf>
    <xf numFmtId="186" fontId="7" fillId="0" borderId="2" xfId="0" applyNumberFormat="1" applyFont="1" applyBorder="1" applyAlignment="1">
      <alignment horizontal="center" vertical="center" wrapText="1"/>
    </xf>
    <xf numFmtId="186" fontId="7" fillId="0" borderId="8" xfId="0" applyNumberFormat="1" applyFont="1" applyBorder="1" applyAlignment="1">
      <alignment horizontal="center" vertical="center" wrapText="1"/>
    </xf>
    <xf numFmtId="186" fontId="1" fillId="0" borderId="2" xfId="0" applyNumberFormat="1" applyFont="1" applyBorder="1" applyAlignment="1">
      <alignment horizontal="center" vertical="center" wrapText="1"/>
    </xf>
    <xf numFmtId="186" fontId="1" fillId="0" borderId="8" xfId="0" applyNumberFormat="1" applyFont="1" applyBorder="1" applyAlignment="1">
      <alignment horizontal="center" vertical="center" wrapText="1"/>
    </xf>
    <xf numFmtId="186" fontId="7" fillId="0" borderId="23" xfId="0" applyNumberFormat="1" applyFont="1" applyBorder="1" applyAlignment="1">
      <alignment horizontal="center" vertical="center" wrapText="1"/>
    </xf>
    <xf numFmtId="186" fontId="7" fillId="0" borderId="24" xfId="0" applyNumberFormat="1" applyFont="1" applyBorder="1" applyAlignment="1">
      <alignment horizontal="center" vertical="center" wrapText="1"/>
    </xf>
    <xf numFmtId="186" fontId="7" fillId="0" borderId="2" xfId="0" applyNumberFormat="1" applyFont="1" applyBorder="1" applyAlignment="1">
      <alignment horizontal="center" vertical="center"/>
    </xf>
    <xf numFmtId="186" fontId="7" fillId="0" borderId="8" xfId="0" applyNumberFormat="1" applyFont="1" applyBorder="1" applyAlignment="1">
      <alignment horizontal="center" vertical="center"/>
    </xf>
    <xf numFmtId="186" fontId="1" fillId="2" borderId="2" xfId="0" applyNumberFormat="1" applyFont="1" applyFill="1" applyBorder="1" applyAlignment="1">
      <alignment horizontal="center" vertical="center"/>
    </xf>
    <xf numFmtId="186" fontId="1" fillId="2" borderId="8" xfId="0" applyNumberFormat="1" applyFont="1" applyFill="1" applyBorder="1" applyAlignment="1">
      <alignment horizontal="center" vertical="center"/>
    </xf>
    <xf numFmtId="178" fontId="5" fillId="0" borderId="14" xfId="0" applyFont="1" applyBorder="1" applyAlignment="1">
      <alignment horizontal="center" vertical="center"/>
    </xf>
    <xf numFmtId="178" fontId="5" fillId="0" borderId="15" xfId="0" applyFont="1" applyBorder="1" applyAlignment="1">
      <alignment horizontal="center" vertical="center"/>
    </xf>
    <xf numFmtId="178" fontId="5" fillId="0" borderId="1" xfId="0" applyFont="1" applyBorder="1" applyAlignment="1">
      <alignment horizontal="center" vertical="center" wrapText="1"/>
    </xf>
    <xf numFmtId="178" fontId="5" fillId="0" borderId="7" xfId="0" applyFont="1" applyBorder="1" applyAlignment="1">
      <alignment horizontal="center" vertical="center" wrapText="1"/>
    </xf>
    <xf numFmtId="178" fontId="5" fillId="0" borderId="2" xfId="0" applyFont="1" applyBorder="1" applyAlignment="1">
      <alignment horizontal="center" vertical="center" wrapText="1"/>
    </xf>
    <xf numFmtId="178" fontId="5" fillId="0" borderId="8" xfId="0" applyFont="1" applyBorder="1" applyAlignment="1">
      <alignment horizontal="center" vertical="center" wrapText="1"/>
    </xf>
    <xf numFmtId="186" fontId="7" fillId="0" borderId="1" xfId="0" applyNumberFormat="1" applyFont="1" applyBorder="1" applyAlignment="1">
      <alignment horizontal="center" vertical="center"/>
    </xf>
    <xf numFmtId="186" fontId="7" fillId="0" borderId="20" xfId="0" applyNumberFormat="1" applyFont="1" applyBorder="1" applyAlignment="1">
      <alignment horizontal="center" vertical="center"/>
    </xf>
    <xf numFmtId="186" fontId="7" fillId="0" borderId="7" xfId="0" applyNumberFormat="1" applyFont="1" applyBorder="1" applyAlignment="1">
      <alignment horizontal="center" vertical="center"/>
    </xf>
    <xf numFmtId="186" fontId="7" fillId="0" borderId="21" xfId="0" applyNumberFormat="1" applyFont="1" applyBorder="1" applyAlignment="1">
      <alignment horizontal="center" vertical="center"/>
    </xf>
    <xf numFmtId="178" fontId="6" fillId="0" borderId="3" xfId="0" applyFont="1" applyBorder="1" applyAlignment="1">
      <alignment horizontal="center" vertical="center" wrapText="1"/>
    </xf>
    <xf numFmtId="178" fontId="6" fillId="0" borderId="4" xfId="0" applyFont="1" applyBorder="1" applyAlignment="1">
      <alignment horizontal="center" vertical="center" wrapText="1"/>
    </xf>
    <xf numFmtId="178" fontId="6" fillId="0" borderId="5" xfId="0" applyFont="1" applyBorder="1" applyAlignment="1">
      <alignment horizontal="center" vertical="center" wrapText="1"/>
    </xf>
    <xf numFmtId="178" fontId="6" fillId="0" borderId="6" xfId="0" applyFont="1" applyBorder="1" applyAlignment="1">
      <alignment horizontal="center" vertical="center" wrapText="1"/>
    </xf>
    <xf numFmtId="178" fontId="1" fillId="0" borderId="6" xfId="0" applyFont="1" applyBorder="1" applyAlignment="1">
      <alignment horizontal="center" vertical="center"/>
    </xf>
    <xf numFmtId="178" fontId="1" fillId="0" borderId="4" xfId="0" applyFont="1" applyBorder="1" applyAlignment="1">
      <alignment horizontal="center" vertical="center"/>
    </xf>
    <xf numFmtId="178" fontId="1" fillId="0" borderId="5" xfId="0" applyFont="1" applyBorder="1" applyAlignment="1">
      <alignment horizontal="center" vertical="center"/>
    </xf>
    <xf numFmtId="178" fontId="5" fillId="0" borderId="12" xfId="0" applyFont="1" applyBorder="1" applyAlignment="1">
      <alignment horizontal="center" vertical="center"/>
    </xf>
    <xf numFmtId="186" fontId="8" fillId="0" borderId="0" xfId="0" applyNumberFormat="1" applyFont="1" applyAlignment="1">
      <alignment horizontal="center"/>
    </xf>
    <xf numFmtId="57" fontId="7" fillId="0" borderId="19" xfId="0" applyNumberFormat="1" applyFont="1" applyBorder="1" applyAlignment="1">
      <alignment horizontal="center" vertical="center"/>
    </xf>
    <xf numFmtId="57" fontId="7" fillId="0" borderId="19" xfId="0" applyNumberFormat="1" applyFont="1" applyBorder="1" applyAlignment="1">
      <alignment horizontal="center"/>
    </xf>
    <xf numFmtId="186" fontId="7" fillId="0" borderId="19" xfId="0" applyNumberFormat="1" applyFont="1" applyBorder="1" applyAlignment="1">
      <alignment horizontal="center"/>
    </xf>
    <xf numFmtId="0" fontId="11" fillId="0" borderId="9" xfId="2151" applyFont="1" applyBorder="1" applyAlignment="1">
      <alignment horizontal="center" vertical="center" wrapText="1"/>
    </xf>
    <xf numFmtId="0" fontId="11" fillId="0" borderId="26" xfId="2151" applyFont="1" applyBorder="1" applyAlignment="1">
      <alignment horizontal="center" vertical="center" wrapText="1"/>
    </xf>
    <xf numFmtId="0" fontId="11" fillId="0" borderId="8" xfId="2151" applyFont="1" applyBorder="1" applyAlignment="1">
      <alignment horizontal="center" vertical="center" wrapText="1"/>
    </xf>
  </cellXfs>
  <cellStyles count="5570">
    <cellStyle name=" 3]_x000d__x000a_Zoomed=1_x000d__x000a_Row=0_x000d__x000a_Column=0_x000d__x000a_Height=300_x000d__x000a_Width=300_x000d__x000a_FontName=細明體_x000d__x000a_FontStyle=0_x000d__x000a_FontSize=9_x000d__x000a_PrtFontName=Co" xfId="85" xr:uid="{00000000-0005-0000-0000-000064000000}"/>
    <cellStyle name=" 3]_x000d__x000a_Zoomed=1_x000d__x000a_Row=0_x000d__x000a_Column=0_x000d__x000a_Height=300_x000d__x000a_Width=300_x000d__x000a_FontName=細明體_x000d__x000a_FontStyle=0_x000d__x000a_FontSize=9_x000d__x000a_PrtFontName=Co 2" xfId="121" xr:uid="{00000000-0005-0000-0000-00008B000000}"/>
    <cellStyle name=" 3]_x000d__x000a_Zoomed=1_x000d__x000a_Row=0_x000d__x000a_Column=0_x000d__x000a_Height=300_x000d__x000a_Width=300_x000d__x000a_FontName=細明體_x000d__x000a_FontStyle=0_x000d__x000a_FontSize=9_x000d__x000a_PrtFontName=Co 3" xfId="144" xr:uid="{00000000-0005-0000-0000-0000A3000000}"/>
    <cellStyle name="??_S1PG" xfId="245" xr:uid="{00000000-0005-0000-0000-000024010000}"/>
    <cellStyle name="?痃%S&amp;F?_x0008_?o_x0006__x0007__x0001__x0001_" xfId="249" xr:uid="{00000000-0005-0000-0000-000028010000}"/>
    <cellStyle name="?痃%S&amp;F?_x0008_?o_x0006__x0007__x0001__x0001_ 10" xfId="265" xr:uid="{00000000-0005-0000-0000-000038010000}"/>
    <cellStyle name="?痃%S&amp;F?_x0008_?o_x0006__x0007__x0001__x0001_ 2" xfId="271" xr:uid="{00000000-0005-0000-0000-00003E010000}"/>
    <cellStyle name="?痃%S&amp;F?_x0008_?o_x0006__x0007__x0001__x0001_ 2 2" xfId="276" xr:uid="{00000000-0005-0000-0000-000043010000}"/>
    <cellStyle name="?痃%S&amp;F?_x0008_?o_x0006__x0007__x0001__x0001_ 2 3" xfId="278" xr:uid="{00000000-0005-0000-0000-000045010000}"/>
    <cellStyle name="?痃%S&amp;F?_x0008_?o_x0006__x0007__x0001__x0001_ 2 4" xfId="279" xr:uid="{00000000-0005-0000-0000-000046010000}"/>
    <cellStyle name="?痃%S&amp;F?_x0008_?o_x0006__x0007__x0001__x0001_ 3" xfId="106" xr:uid="{00000000-0005-0000-0000-00007A000000}"/>
    <cellStyle name="?痃%S&amp;F?_x0008_?o_x0006__x0007__x0001__x0001_ 3 2" xfId="287" xr:uid="{00000000-0005-0000-0000-00004E010000}"/>
    <cellStyle name="?痃%S&amp;F?_x0008_?o_x0006__x0007__x0001__x0001_ 3 3" xfId="295" xr:uid="{00000000-0005-0000-0000-000056010000}"/>
    <cellStyle name="?痃%S&amp;F?_x0008_?o_x0006__x0007__x0001__x0001_ 3 4" xfId="304" xr:uid="{00000000-0005-0000-0000-00005F010000}"/>
    <cellStyle name="?痃%S&amp;F?_x0008_?o_x0006__x0007__x0001__x0001_ 4" xfId="274" xr:uid="{00000000-0005-0000-0000-000041010000}"/>
    <cellStyle name="?痃%S&amp;F?_x0008_?o_x0006__x0007__x0001__x0001_ 4 2" xfId="309" xr:uid="{00000000-0005-0000-0000-000064010000}"/>
    <cellStyle name="?痃%S&amp;F?_x0008_?o_x0006__x0007__x0001__x0001_ 4 3" xfId="312" xr:uid="{00000000-0005-0000-0000-000067010000}"/>
    <cellStyle name="?痃%S&amp;F?_x0008_?o_x0006__x0007__x0001__x0001_ 4 4" xfId="321" xr:uid="{00000000-0005-0000-0000-000070010000}"/>
    <cellStyle name="?痃%S&amp;F?_x0008_?o_x0006__x0007__x0001__x0001_ 5" xfId="329" xr:uid="{00000000-0005-0000-0000-000078010000}"/>
    <cellStyle name="?痃%S&amp;F?_x0008_?o_x0006__x0007__x0001__x0001_ 5 2" xfId="331" xr:uid="{00000000-0005-0000-0000-00007A010000}"/>
    <cellStyle name="?痃%S&amp;F?_x0008_?o_x0006__x0007__x0001__x0001_ 5 3" xfId="335" xr:uid="{00000000-0005-0000-0000-00007E010000}"/>
    <cellStyle name="?痃%S&amp;F?_x0008_?o_x0006__x0007__x0001__x0001_ 5 4" xfId="340" xr:uid="{00000000-0005-0000-0000-000083010000}"/>
    <cellStyle name="?痃%S&amp;F?_x0008_?o_x0006__x0007__x0001__x0001_ 6" xfId="347" xr:uid="{00000000-0005-0000-0000-00008A010000}"/>
    <cellStyle name="?痃%S&amp;F?_x0008_?o_x0006__x0007__x0001__x0001_ 6 2" xfId="350" xr:uid="{00000000-0005-0000-0000-00008D010000}"/>
    <cellStyle name="?痃%S&amp;F?_x0008_?o_x0006__x0007__x0001__x0001_ 6 3" xfId="354" xr:uid="{00000000-0005-0000-0000-000091010000}"/>
    <cellStyle name="?痃%S&amp;F?_x0008_?o_x0006__x0007__x0001__x0001_ 6 4" xfId="358" xr:uid="{00000000-0005-0000-0000-000095010000}"/>
    <cellStyle name="?痃%S&amp;F?_x0008_?o_x0006__x0007__x0001__x0001_ 7" xfId="369" xr:uid="{00000000-0005-0000-0000-0000A0010000}"/>
    <cellStyle name="?痃%S&amp;F?_x0008_?o_x0006__x0007__x0001__x0001_ 7 2" xfId="374" xr:uid="{00000000-0005-0000-0000-0000A5010000}"/>
    <cellStyle name="?痃%S&amp;F?_x0008_?o_x0006__x0007__x0001__x0001_ 7 3" xfId="266" xr:uid="{00000000-0005-0000-0000-000039010000}"/>
    <cellStyle name="?痃%S&amp;F?_x0008_?o_x0006__x0007__x0001__x0001_ 7 4" xfId="99" xr:uid="{00000000-0005-0000-0000-000073000000}"/>
    <cellStyle name="?痃%S&amp;F?_x0008_?o_x0006__x0007__x0001__x0001_ 8" xfId="386" xr:uid="{00000000-0005-0000-0000-0000B1010000}"/>
    <cellStyle name="?痃%S&amp;F?_x0008_?o_x0006__x0007__x0001__x0001_ 8 2" xfId="397" xr:uid="{00000000-0005-0000-0000-0000BC010000}"/>
    <cellStyle name="?痃%S&amp;F?_x0008_?o_x0006__x0007__x0001__x0001_ 8 3" xfId="407" xr:uid="{00000000-0005-0000-0000-0000C6010000}"/>
    <cellStyle name="?痃%S&amp;F?_x0008_?o_x0006__x0007__x0001__x0001_ 8 4" xfId="412" xr:uid="{00000000-0005-0000-0000-0000CB010000}"/>
    <cellStyle name="?痃%S&amp;F?_x0008_?o_x0006__x0007__x0001__x0001_ 9" xfId="427" xr:uid="{00000000-0005-0000-0000-0000DA010000}"/>
    <cellStyle name="?痃%S&amp;F?_x0008_?o_x0006__x0007__x0001__x0001__期间费用--2014" xfId="431" xr:uid="{00000000-0005-0000-0000-0000DE010000}"/>
    <cellStyle name="_07-02计划（交发文）" xfId="286" xr:uid="{00000000-0005-0000-0000-00004D010000}"/>
    <cellStyle name="_07-02计划（交发文） 2" xfId="81" xr:uid="{00000000-0005-0000-0000-000060000000}"/>
    <cellStyle name="_07-02计划（交发文） 3" xfId="441" xr:uid="{00000000-0005-0000-0000-0000E8010000}"/>
    <cellStyle name="_08-07月汇总" xfId="443" xr:uid="{00000000-0005-0000-0000-0000EA010000}"/>
    <cellStyle name="_08-07月汇总 2" xfId="452" xr:uid="{00000000-0005-0000-0000-0000F3010000}"/>
    <cellStyle name="_08-07月汇总 3" xfId="463" xr:uid="{00000000-0005-0000-0000-0000FE010000}"/>
    <cellStyle name="_18齐鲁" xfId="475" xr:uid="{00000000-0005-0000-0000-00000A020000}"/>
    <cellStyle name="_18齐鲁 2" xfId="479" xr:uid="{00000000-0005-0000-0000-00000E020000}"/>
    <cellStyle name="_18齐鲁 3" xfId="481" xr:uid="{00000000-0005-0000-0000-000010020000}"/>
    <cellStyle name="_1季度报资产公司计划1" xfId="485" xr:uid="{00000000-0005-0000-0000-000014020000}"/>
    <cellStyle name="_1季度报资产公司计划1 2" xfId="497" xr:uid="{00000000-0005-0000-0000-000020020000}"/>
    <cellStyle name="_1季度报资产公司计划1 3" xfId="501" xr:uid="{00000000-0005-0000-0000-000024020000}"/>
    <cellStyle name="_1扬州" xfId="502" xr:uid="{00000000-0005-0000-0000-000025020000}"/>
    <cellStyle name="_1扬州 2" xfId="504" xr:uid="{00000000-0005-0000-0000-000027020000}"/>
    <cellStyle name="_1扬州 3" xfId="510" xr:uid="{00000000-0005-0000-0000-00002D020000}"/>
    <cellStyle name="_2006.10-仪化纤" xfId="523" xr:uid="{00000000-0005-0000-0000-00003A020000}"/>
    <cellStyle name="_2006.10-仪化纤 2" xfId="524" xr:uid="{00000000-0005-0000-0000-00003B020000}"/>
    <cellStyle name="_2006.10-仪化纤 3" xfId="526" xr:uid="{00000000-0005-0000-0000-00003D020000}"/>
    <cellStyle name="_2006年10月份效益预测-1-加图" xfId="70" xr:uid="{00000000-0005-0000-0000-000053000000}"/>
    <cellStyle name="_2006年10月份效益预测-1-加图 2" xfId="529" xr:uid="{00000000-0005-0000-0000-000040020000}"/>
    <cellStyle name="_2006年10月份效益预测-1-加图 3" xfId="531" xr:uid="{00000000-0005-0000-0000-000042020000}"/>
    <cellStyle name="_2006年生产情况" xfId="540" xr:uid="{00000000-0005-0000-0000-00004B020000}"/>
    <cellStyle name="_2006年生产情况 2" xfId="541" xr:uid="{00000000-0005-0000-0000-00004C020000}"/>
    <cellStyle name="_2006年生产情况 3" xfId="546" xr:uid="{00000000-0005-0000-0000-000051020000}"/>
    <cellStyle name="_2007年1季度建议计划" xfId="547" xr:uid="{00000000-0005-0000-0000-000052020000}"/>
    <cellStyle name="_2007年1季度建议计划 2" xfId="549" xr:uid="{00000000-0005-0000-0000-000054020000}"/>
    <cellStyle name="_2007年1季度建议计划 3" xfId="553" xr:uid="{00000000-0005-0000-0000-000058020000}"/>
    <cellStyle name="_2007年2季度建议计划" xfId="556" xr:uid="{00000000-0005-0000-0000-00005B020000}"/>
    <cellStyle name="_2007年2季度建议计划 2" xfId="560" xr:uid="{00000000-0005-0000-0000-00005F020000}"/>
    <cellStyle name="_2007年2季度建议计划 3" xfId="565" xr:uid="{00000000-0005-0000-0000-000064020000}"/>
    <cellStyle name="_2007年隐患治理项目统计表0919" xfId="35" xr:uid="{00000000-0005-0000-0000-000029000000}"/>
    <cellStyle name="_2007年隐患治理项目统计表0919 2" xfId="566" xr:uid="{00000000-0005-0000-0000-000065020000}"/>
    <cellStyle name="_2007年隐患治理项目统计表0919 3" xfId="570" xr:uid="{00000000-0005-0000-0000-000069020000}"/>
    <cellStyle name="_2008年计划" xfId="574" xr:uid="{00000000-0005-0000-0000-00006D020000}"/>
    <cellStyle name="_2008年计划 2" xfId="579" xr:uid="{00000000-0005-0000-0000-000072020000}"/>
    <cellStyle name="_2008年计划 3" xfId="586" xr:uid="{00000000-0005-0000-0000-000079020000}"/>
    <cellStyle name="_2008年压烧油计划" xfId="589" xr:uid="{00000000-0005-0000-0000-00007C020000}"/>
    <cellStyle name="_2008年压烧油计划 2" xfId="220" xr:uid="{00000000-0005-0000-0000-000004010000}"/>
    <cellStyle name="_2008年压烧油计划 3" xfId="196" xr:uid="{00000000-0005-0000-0000-0000E3000000}"/>
    <cellStyle name="_2008年压烧油计划_10-02计划" xfId="591" xr:uid="{00000000-0005-0000-0000-00007E020000}"/>
    <cellStyle name="_2008年压烧油计划_10-02计划 2" xfId="596" xr:uid="{00000000-0005-0000-0000-000083020000}"/>
    <cellStyle name="_2008年压烧油计划_10-02计划 3" xfId="599" xr:uid="{00000000-0005-0000-0000-000086020000}"/>
    <cellStyle name="_2008年压烧油计划_2009年预安排报表格式-打印版" xfId="605" xr:uid="{00000000-0005-0000-0000-00008C020000}"/>
    <cellStyle name="_2008年压烧油计划_2009年预安排报表格式-打印版 2" xfId="608" xr:uid="{00000000-0005-0000-0000-00008F020000}"/>
    <cellStyle name="_2008年压烧油计划_2009年预安排报表格式-打印版 3" xfId="612" xr:uid="{00000000-0005-0000-0000-000093020000}"/>
    <cellStyle name="_2008年压烧油计划_2010年公用计划" xfId="617" xr:uid="{00000000-0005-0000-0000-000098020000}"/>
    <cellStyle name="_2008年压烧油计划_2010年公用计划 2" xfId="621" xr:uid="{00000000-0005-0000-0000-00009C020000}"/>
    <cellStyle name="_2008年压烧油计划_2010年公用计划 3" xfId="624" xr:uid="{00000000-0005-0000-0000-00009F020000}"/>
    <cellStyle name="_2009年南化公司生产经营建议计划" xfId="626" xr:uid="{00000000-0005-0000-0000-0000A1020000}"/>
    <cellStyle name="_2009年南化公司生产经营建议计划 2" xfId="185" xr:uid="{00000000-0005-0000-0000-0000D5000000}"/>
    <cellStyle name="_2009年南化公司生产经营建议计划 3" xfId="627" xr:uid="{00000000-0005-0000-0000-0000A2020000}"/>
    <cellStyle name="_2011年化工业务预算" xfId="629" xr:uid="{00000000-0005-0000-0000-0000A4020000}"/>
    <cellStyle name="_2011年化工业务预算 2" xfId="637" xr:uid="{00000000-0005-0000-0000-0000AC020000}"/>
    <cellStyle name="_2011年化工业务预算 3" xfId="649" xr:uid="{00000000-0005-0000-0000-0000B8020000}"/>
    <cellStyle name="_2高桥" xfId="636" xr:uid="{00000000-0005-0000-0000-0000AB020000}"/>
    <cellStyle name="_2高桥 2" xfId="651" xr:uid="{00000000-0005-0000-0000-0000BA020000}"/>
    <cellStyle name="_2高桥 3" xfId="656" xr:uid="{00000000-0005-0000-0000-0000BF020000}"/>
    <cellStyle name="_4东方" xfId="165" xr:uid="{00000000-0005-0000-0000-0000BC000000}"/>
    <cellStyle name="_4东方 2" xfId="33" xr:uid="{00000000-0005-0000-0000-000026000000}"/>
    <cellStyle name="_4东方 3" xfId="227" xr:uid="{00000000-0005-0000-0000-00000B010000}"/>
    <cellStyle name="_Book1" xfId="662" xr:uid="{00000000-0005-0000-0000-0000C5020000}"/>
    <cellStyle name="_Book1 2" xfId="677" xr:uid="{00000000-0005-0000-0000-0000D4020000}"/>
    <cellStyle name="_Book1 3" xfId="689" xr:uid="{00000000-0005-0000-0000-0000E0020000}"/>
    <cellStyle name="_BUY" xfId="693" xr:uid="{00000000-0005-0000-0000-0000E4020000}"/>
    <cellStyle name="_BUY 2" xfId="698" xr:uid="{00000000-0005-0000-0000-0000E9020000}"/>
    <cellStyle name="_BUY 3" xfId="702" xr:uid="{00000000-0005-0000-0000-0000ED020000}"/>
    <cellStyle name="_BUY_CaseC-JS-多周期应用789" xfId="706" xr:uid="{00000000-0005-0000-0000-0000F1020000}"/>
    <cellStyle name="_BUY_CaseC-JS-多周期应用789 2" xfId="718" xr:uid="{00000000-0005-0000-0000-0000FD020000}"/>
    <cellStyle name="_BUY_CaseC-JS-多周期应用789 3" xfId="726" xr:uid="{00000000-0005-0000-0000-000005030000}"/>
    <cellStyle name="_BUY_CaseC-JS-多周期应用789_报表" xfId="216" xr:uid="{00000000-0005-0000-0000-000000010000}"/>
    <cellStyle name="_BUY_CaseC-JS-多周期应用789_报表 2" xfId="734" xr:uid="{00000000-0005-0000-0000-00000D030000}"/>
    <cellStyle name="_BUY_CaseC-JS-多周期应用789_报表 3" xfId="744" xr:uid="{00000000-0005-0000-0000-000017030000}"/>
    <cellStyle name="_CASE1" xfId="747" xr:uid="{00000000-0005-0000-0000-00001A030000}"/>
    <cellStyle name="_CASE1 2" xfId="750" xr:uid="{00000000-0005-0000-0000-00001D030000}"/>
    <cellStyle name="_CASE1 3" xfId="752" xr:uid="{00000000-0005-0000-0000-00001F030000}"/>
    <cellStyle name="_CASE2" xfId="710" xr:uid="{00000000-0005-0000-0000-0000F5020000}"/>
    <cellStyle name="_CASE2 (2)" xfId="765" xr:uid="{00000000-0005-0000-0000-00002C030000}"/>
    <cellStyle name="_CASE2 (2) 2" xfId="775" xr:uid="{00000000-0005-0000-0000-000036030000}"/>
    <cellStyle name="_CASE2 (2) 3" xfId="781" xr:uid="{00000000-0005-0000-0000-00003C030000}"/>
    <cellStyle name="_CASE2 2" xfId="721" xr:uid="{00000000-0005-0000-0000-000000030000}"/>
    <cellStyle name="_CASE2 3" xfId="730" xr:uid="{00000000-0005-0000-0000-000009030000}"/>
    <cellStyle name="_CASE3" xfId="786" xr:uid="{00000000-0005-0000-0000-000041030000}"/>
    <cellStyle name="_CASE3 2" xfId="794" xr:uid="{00000000-0005-0000-0000-000049030000}"/>
    <cellStyle name="_CASE3 3" xfId="263" xr:uid="{00000000-0005-0000-0000-000036010000}"/>
    <cellStyle name="_SELL" xfId="86" xr:uid="{00000000-0005-0000-0000-000065000000}"/>
    <cellStyle name="_SELL 2" xfId="118" xr:uid="{00000000-0005-0000-0000-000088000000}"/>
    <cellStyle name="_SELL 3" xfId="135" xr:uid="{00000000-0005-0000-0000-00009A000000}"/>
    <cellStyle name="_SELL_CaseC-JS-多周期应用789" xfId="798" xr:uid="{00000000-0005-0000-0000-00004D030000}"/>
    <cellStyle name="_SELL_CaseC-JS-多周期应用789 2" xfId="803" xr:uid="{00000000-0005-0000-0000-000052030000}"/>
    <cellStyle name="_SELL_CaseC-JS-多周期应用789 3" xfId="809" xr:uid="{00000000-0005-0000-0000-000058030000}"/>
    <cellStyle name="_SELL_CaseC-JS-多周期应用789_报表" xfId="818" xr:uid="{00000000-0005-0000-0000-000061030000}"/>
    <cellStyle name="_SELL_CaseC-JS-多周期应用789_报表 2" xfId="822" xr:uid="{00000000-0005-0000-0000-000065030000}"/>
    <cellStyle name="_SELL_CaseC-JS-多周期应用789_报表 3" xfId="834" xr:uid="{00000000-0005-0000-0000-000071030000}"/>
    <cellStyle name="_Sheet1" xfId="841" xr:uid="{00000000-0005-0000-0000-000078030000}"/>
    <cellStyle name="_Sheet1 2" xfId="515" xr:uid="{00000000-0005-0000-0000-000032020000}"/>
    <cellStyle name="_Sheet1 3" xfId="842" xr:uid="{00000000-0005-0000-0000-000079030000}"/>
    <cellStyle name="_Sheet1_CaseC-JS-多周期应用789" xfId="713" xr:uid="{00000000-0005-0000-0000-0000F8020000}"/>
    <cellStyle name="_Sheet1_CaseC-JS-多周期应用789 2" xfId="653" xr:uid="{00000000-0005-0000-0000-0000BC020000}"/>
    <cellStyle name="_Sheet1_CaseC-JS-多周期应用789 3" xfId="854" xr:uid="{00000000-0005-0000-0000-000085030000}"/>
    <cellStyle name="_Sheet1_CaseC-JS-多周期应用789_报表" xfId="860" xr:uid="{00000000-0005-0000-0000-00008B030000}"/>
    <cellStyle name="_Sheet1_CaseC-JS-多周期应用789_报表 2" xfId="868" xr:uid="{00000000-0005-0000-0000-000093030000}"/>
    <cellStyle name="_Sheet1_CaseC-JS-多周期应用789_报表 3" xfId="876" xr:uid="{00000000-0005-0000-0000-00009B030000}"/>
    <cellStyle name="_SNAM" xfId="503" xr:uid="{00000000-0005-0000-0000-000026020000}"/>
    <cellStyle name="_SNAM 2" xfId="506" xr:uid="{00000000-0005-0000-0000-000029020000}"/>
    <cellStyle name="_SNAM 3" xfId="512" xr:uid="{00000000-0005-0000-0000-00002F020000}"/>
    <cellStyle name="_SNAM_CaseC-JS-多周期应用789" xfId="390" xr:uid="{00000000-0005-0000-0000-0000B5010000}"/>
    <cellStyle name="_SNAM_CaseC-JS-多周期应用789 2" xfId="399" xr:uid="{00000000-0005-0000-0000-0000BE010000}"/>
    <cellStyle name="_SNAM_CaseC-JS-多周期应用789 3" xfId="409" xr:uid="{00000000-0005-0000-0000-0000C8010000}"/>
    <cellStyle name="_SNAM_CaseC-JS-多周期应用789_报表" xfId="879" xr:uid="{00000000-0005-0000-0000-00009E030000}"/>
    <cellStyle name="_SNAM_CaseC-JS-多周期应用789_报表 2" xfId="534" xr:uid="{00000000-0005-0000-0000-000045020000}"/>
    <cellStyle name="_SNAM_CaseC-JS-多周期应用789_报表 3" xfId="881" xr:uid="{00000000-0005-0000-0000-0000A0030000}"/>
    <cellStyle name="_SPE4" xfId="111" xr:uid="{00000000-0005-0000-0000-00007F000000}"/>
    <cellStyle name="_SPE4 2" xfId="291" xr:uid="{00000000-0005-0000-0000-000052010000}"/>
    <cellStyle name="_SPE4 3" xfId="299" xr:uid="{00000000-0005-0000-0000-00005A010000}"/>
    <cellStyle name="_SPE4_CaseC-JS-多周期应用789" xfId="892" xr:uid="{00000000-0005-0000-0000-0000AB030000}"/>
    <cellStyle name="_SPE4_CaseC-JS-多周期应用789 2" xfId="898" xr:uid="{00000000-0005-0000-0000-0000B1030000}"/>
    <cellStyle name="_SPE4_CaseC-JS-多周期应用789 3" xfId="908" xr:uid="{00000000-0005-0000-0000-0000BB030000}"/>
    <cellStyle name="_SPE4_CaseC-JS-多周期应用789_报表" xfId="839" xr:uid="{00000000-0005-0000-0000-000076030000}"/>
    <cellStyle name="_SPE4_CaseC-JS-多周期应用789_报表 2" xfId="522" xr:uid="{00000000-0005-0000-0000-000039020000}"/>
    <cellStyle name="_SPE4_CaseC-JS-多周期应用789_报表 3" xfId="852" xr:uid="{00000000-0005-0000-0000-000083030000}"/>
    <cellStyle name="_SubmodelsC" xfId="910" xr:uid="{00000000-0005-0000-0000-0000BD030000}"/>
    <cellStyle name="_SubmodelsC 2" xfId="915" xr:uid="{00000000-0005-0000-0000-0000C2030000}"/>
    <cellStyle name="_SubmodelsC 3" xfId="919" xr:uid="{00000000-0005-0000-0000-0000C6030000}"/>
    <cellStyle name="_Supply&amp;demandC-QL" xfId="921" xr:uid="{00000000-0005-0000-0000-0000C8030000}"/>
    <cellStyle name="_Supply&amp;demandC-QL 2" xfId="928" xr:uid="{00000000-0005-0000-0000-0000CF030000}"/>
    <cellStyle name="_Supply&amp;demandC-QL 3" xfId="936" xr:uid="{00000000-0005-0000-0000-0000D7030000}"/>
    <cellStyle name="_巴陵" xfId="939" xr:uid="{00000000-0005-0000-0000-0000DA030000}"/>
    <cellStyle name="_巴陵 2" xfId="66" xr:uid="{00000000-0005-0000-0000-00004D000000}"/>
    <cellStyle name="_巴陵 3" xfId="460" xr:uid="{00000000-0005-0000-0000-0000FB010000}"/>
    <cellStyle name="_巴陵2007年1季度计划建议计划" xfId="548" xr:uid="{00000000-0005-0000-0000-000053020000}"/>
    <cellStyle name="_巴陵2007年1季度计划建议计划 2" xfId="551" xr:uid="{00000000-0005-0000-0000-000056020000}"/>
    <cellStyle name="_巴陵2007年1季度计划建议计划 3" xfId="555" xr:uid="{00000000-0005-0000-0000-00005A020000}"/>
    <cellStyle name="_巴陵2007年2季度计划建议计划" xfId="950" xr:uid="{00000000-0005-0000-0000-0000E5030000}"/>
    <cellStyle name="_巴陵2007年2季度计划建议计划 2" xfId="954" xr:uid="{00000000-0005-0000-0000-0000E9030000}"/>
    <cellStyle name="_巴陵2007年2季度计划建议计划 3" xfId="962" xr:uid="{00000000-0005-0000-0000-0000F1030000}"/>
    <cellStyle name="_表7" xfId="965" xr:uid="{00000000-0005-0000-0000-0000F4030000}"/>
    <cellStyle name="_表7 2" xfId="313" xr:uid="{00000000-0005-0000-0000-000068010000}"/>
    <cellStyle name="_表7 3" xfId="973" xr:uid="{00000000-0005-0000-0000-0000FC030000}"/>
    <cellStyle name="_表7_10-02计划" xfId="507" xr:uid="{00000000-0005-0000-0000-00002A020000}"/>
    <cellStyle name="_表7_10-02计划 2" xfId="368" xr:uid="{00000000-0005-0000-0000-00009F010000}"/>
    <cellStyle name="_表7_10-02计划 3" xfId="520" xr:uid="{00000000-0005-0000-0000-000037020000}"/>
    <cellStyle name="_表7_2009年预安排报表格式-打印版" xfId="72" xr:uid="{00000000-0005-0000-0000-000055000000}"/>
    <cellStyle name="_表7_2009年预安排报表格式-打印版 2" xfId="530" xr:uid="{00000000-0005-0000-0000-000041020000}"/>
    <cellStyle name="_表7_2009年预安排报表格式-打印版 3" xfId="532" xr:uid="{00000000-0005-0000-0000-000043020000}"/>
    <cellStyle name="_表7_2010年公用计划" xfId="979" xr:uid="{00000000-0005-0000-0000-000002040000}"/>
    <cellStyle name="_表7_2010年公用计划 2" xfId="980" xr:uid="{00000000-0005-0000-0000-000003040000}"/>
    <cellStyle name="_表7_2010年公用计划 3" xfId="984" xr:uid="{00000000-0005-0000-0000-000007040000}"/>
    <cellStyle name="_产品产销表-下达" xfId="51" xr:uid="{00000000-0005-0000-0000-00003A000000}"/>
    <cellStyle name="_产品产销表-下达 2" xfId="992" xr:uid="{00000000-0005-0000-0000-00000F040000}"/>
    <cellStyle name="_产品产销表-下达 3" xfId="998" xr:uid="{00000000-0005-0000-0000-000015040000}"/>
    <cellStyle name="_产品调查表-6月26日" xfId="174" xr:uid="{00000000-0005-0000-0000-0000C7000000}"/>
    <cellStyle name="_产品调查表-6月26日 2" xfId="1002" xr:uid="{00000000-0005-0000-0000-000019040000}"/>
    <cellStyle name="_产品调查表-6月26日 3" xfId="1006" xr:uid="{00000000-0005-0000-0000-00001D040000}"/>
    <cellStyle name="_附表7" xfId="1009" xr:uid="{00000000-0005-0000-0000-000020040000}"/>
    <cellStyle name="_附表7 2" xfId="1011" xr:uid="{00000000-0005-0000-0000-000022040000}"/>
    <cellStyle name="_附表7 3" xfId="1015" xr:uid="{00000000-0005-0000-0000-000026040000}"/>
    <cellStyle name="_复件 5巴陵" xfId="1019" xr:uid="{00000000-0005-0000-0000-00002A040000}"/>
    <cellStyle name="_复件 5巴陵 2" xfId="1022" xr:uid="{00000000-0005-0000-0000-00002D040000}"/>
    <cellStyle name="_复件 5巴陵 3" xfId="1024" xr:uid="{00000000-0005-0000-0000-00002F040000}"/>
    <cellStyle name="_合并表格" xfId="1033" xr:uid="{00000000-0005-0000-0000-000038040000}"/>
    <cellStyle name="_合并表格 2" xfId="580" xr:uid="{00000000-0005-0000-0000-000073020000}"/>
    <cellStyle name="_合并表格 3" xfId="1034" xr:uid="{00000000-0005-0000-0000-000039040000}"/>
    <cellStyle name="_合成纤维月度计划2007.7" xfId="1037" xr:uid="{00000000-0005-0000-0000-00003C040000}"/>
    <cellStyle name="_合成纤维月度计划2007.7 2" xfId="1040" xr:uid="{00000000-0005-0000-0000-00003F040000}"/>
    <cellStyle name="_合成纤维月度计划2007.7 3" xfId="1041" xr:uid="{00000000-0005-0000-0000-000040040000}"/>
    <cellStyle name="_化工计划优化报表(四季度）" xfId="1048" xr:uid="{00000000-0005-0000-0000-000047040000}"/>
    <cellStyle name="_化工计划优化报表(四季度） 2" xfId="1051" xr:uid="{00000000-0005-0000-0000-00004A040000}"/>
    <cellStyle name="_化工计划优化报表(四季度） 3" xfId="1054" xr:uid="{00000000-0005-0000-0000-00004D040000}"/>
    <cellStyle name="_化工计划优化报表722" xfId="1058" xr:uid="{00000000-0005-0000-0000-000051040000}"/>
    <cellStyle name="_化工计划优化报表722 2" xfId="1065" xr:uid="{00000000-0005-0000-0000-000058040000}"/>
    <cellStyle name="_化工计划优化报表722 3" xfId="152" xr:uid="{00000000-0005-0000-0000-0000AC000000}"/>
    <cellStyle name="_化工计划优化报表8" xfId="1070" xr:uid="{00000000-0005-0000-0000-00005D040000}"/>
    <cellStyle name="_化工计划优化报表8 2" xfId="1071" xr:uid="{00000000-0005-0000-0000-00005E040000}"/>
    <cellStyle name="_化工计划优化报表8 3" xfId="90" xr:uid="{00000000-0005-0000-0000-000069000000}"/>
    <cellStyle name="_汇报材料－附表" xfId="1074" xr:uid="{00000000-0005-0000-0000-000061040000}"/>
    <cellStyle name="_汇报材料－附表 2" xfId="410" xr:uid="{00000000-0005-0000-0000-0000C9010000}"/>
    <cellStyle name="_汇报材料－附表 3" xfId="418" xr:uid="{00000000-0005-0000-0000-0000D1010000}"/>
    <cellStyle name="_炼油部" xfId="11" xr:uid="{00000000-0005-0000-0000-00000E000000}"/>
    <cellStyle name="_炼油部 2" xfId="527" xr:uid="{00000000-0005-0000-0000-00003E020000}"/>
    <cellStyle name="_炼油部 3" xfId="1076" xr:uid="{00000000-0005-0000-0000-000063040000}"/>
    <cellStyle name="_炼油部_10-02计划" xfId="970" xr:uid="{00000000-0005-0000-0000-0000F9030000}"/>
    <cellStyle name="_炼油部_10-02计划 2" xfId="318" xr:uid="{00000000-0005-0000-0000-00006D010000}"/>
    <cellStyle name="_炼油部_10-02计划 3" xfId="978" xr:uid="{00000000-0005-0000-0000-000001040000}"/>
    <cellStyle name="_炼油部_2009年预安排报表格式-打印版" xfId="1047" xr:uid="{00000000-0005-0000-0000-000046040000}"/>
    <cellStyle name="_炼油部_2009年预安排报表格式-打印版 2" xfId="1082" xr:uid="{00000000-0005-0000-0000-000069040000}"/>
    <cellStyle name="_炼油部_2009年预安排报表格式-打印版 3" xfId="1086" xr:uid="{00000000-0005-0000-0000-00006D040000}"/>
    <cellStyle name="_炼油部_2010年公用计划" xfId="1087" xr:uid="{00000000-0005-0000-0000-00006E040000}"/>
    <cellStyle name="_炼油部_2010年公用计划 2" xfId="1088" xr:uid="{00000000-0005-0000-0000-00006F040000}"/>
    <cellStyle name="_炼油部_2010年公用计划 3" xfId="1" xr:uid="{00000000-0005-0000-0000-000001000000}"/>
    <cellStyle name="_齐鲁装置-解建平" xfId="1090" xr:uid="{00000000-0005-0000-0000-000071040000}"/>
    <cellStyle name="_齐鲁装置-解建平 2" xfId="1093" xr:uid="{00000000-0005-0000-0000-000074040000}"/>
    <cellStyle name="_齐鲁装置-解建平 3" xfId="84" xr:uid="{00000000-0005-0000-0000-000063000000}"/>
    <cellStyle name="_上海化工计划优化报表8月" xfId="1094" xr:uid="{00000000-0005-0000-0000-000075040000}"/>
    <cellStyle name="_上海化工计划优化报表8月 2" xfId="1096" xr:uid="{00000000-0005-0000-0000-000077040000}"/>
    <cellStyle name="_上海化工计划优化报表8月 3" xfId="1099" xr:uid="{00000000-0005-0000-0000-00007A040000}"/>
    <cellStyle name="_王文波－Supply&amp;DemandC-化工" xfId="645" xr:uid="{00000000-0005-0000-0000-0000B4020000}"/>
    <cellStyle name="_王文波－Supply&amp;DemandC-化工 2" xfId="1101" xr:uid="{00000000-0005-0000-0000-00007C040000}"/>
    <cellStyle name="_王文波－Supply&amp;DemandC-化工 3" xfId="1102" xr:uid="{00000000-0005-0000-0000-00007D040000}"/>
    <cellStyle name="_修改后的丁苯橡胶装置模型" xfId="1103" xr:uid="{00000000-0005-0000-0000-00007E040000}"/>
    <cellStyle name="_修改后的丁苯橡胶装置模型 2" xfId="937" xr:uid="{00000000-0005-0000-0000-0000D8030000}"/>
    <cellStyle name="_修改后的丁苯橡胶装置模型 3" xfId="1106" xr:uid="{00000000-0005-0000-0000-000081040000}"/>
    <cellStyle name="_扬子石化流程图(上报化工事业部)6月" xfId="1111" xr:uid="{00000000-0005-0000-0000-000086040000}"/>
    <cellStyle name="_扬子石化流程图(上报化工事业部)6月 2" xfId="1112" xr:uid="{00000000-0005-0000-0000-000087040000}"/>
    <cellStyle name="_扬子石化流程图(上报化工事业部)6月 3" xfId="1115" xr:uid="{00000000-0005-0000-0000-00008A040000}"/>
    <cellStyle name="_仪征2006年8月份生产经营计划" xfId="959" xr:uid="{00000000-0005-0000-0000-0000EE030000}"/>
    <cellStyle name="_仪征2006年8月份生产经营计划 2" xfId="43" xr:uid="{00000000-0005-0000-0000-000032000000}"/>
    <cellStyle name="_仪征2006年8月份生产经营计划 3" xfId="535" xr:uid="{00000000-0005-0000-0000-000046020000}"/>
    <cellStyle name="_仪征2006年四季度生产经营计划" xfId="779" xr:uid="{00000000-0005-0000-0000-00003A030000}"/>
    <cellStyle name="_仪征2006年四季度生产经营计划 2" xfId="972" xr:uid="{00000000-0005-0000-0000-0000FB030000}"/>
    <cellStyle name="_仪征2006年四季度生产经营计划 3" xfId="1117" xr:uid="{00000000-0005-0000-0000-00008C040000}"/>
    <cellStyle name="_仪征资产分公司2009年2季度对接后计划0309" xfId="1121" xr:uid="{00000000-0005-0000-0000-000090040000}"/>
    <cellStyle name="_仪征资产分公司2009年2季度对接后计划0309 2" xfId="1128" xr:uid="{00000000-0005-0000-0000-000097040000}"/>
    <cellStyle name="_仪征资产分公司2009年2季度对接后计划0309 3" xfId="1130" xr:uid="{00000000-0005-0000-0000-000099040000}"/>
    <cellStyle name="_隐患" xfId="1072" xr:uid="{00000000-0005-0000-0000-00005F040000}"/>
    <cellStyle name="_隐患 2" xfId="1138" xr:uid="{00000000-0005-0000-0000-0000A1040000}"/>
    <cellStyle name="_隐患 3" xfId="1139" xr:uid="{00000000-0005-0000-0000-0000A2040000}"/>
    <cellStyle name="_指标汇总分析201006" xfId="1122" xr:uid="{00000000-0005-0000-0000-000091040000}"/>
    <cellStyle name="_指标汇总分析201006 2" xfId="1140" xr:uid="{00000000-0005-0000-0000-0000A3040000}"/>
    <cellStyle name="_指标汇总分析201006 3" xfId="1146" xr:uid="{00000000-0005-0000-0000-0000A9040000}"/>
    <cellStyle name="_总表9-19(除去炼油）" xfId="492" xr:uid="{00000000-0005-0000-0000-00001B020000}"/>
    <cellStyle name="_总表9-19(除去炼油） 2" xfId="474" xr:uid="{00000000-0005-0000-0000-000009020000}"/>
    <cellStyle name="_总表9-19(除去炼油） 3" xfId="25" xr:uid="{00000000-0005-0000-0000-00001D000000}"/>
    <cellStyle name="0,0_x000d__x000a_NA_x000d__x000a_" xfId="122" xr:uid="{00000000-0005-0000-0000-00008C000000}"/>
    <cellStyle name="0,0_x000d__x000a_NA_x000d__x000a_ 2" xfId="1149" xr:uid="{00000000-0005-0000-0000-0000AC040000}"/>
    <cellStyle name="0,0_x000d__x000a_NA_x000d__x000a_ 2 2" xfId="814" xr:uid="{00000000-0005-0000-0000-00005D030000}"/>
    <cellStyle name="0,0_x000d__x000a_NA_x000d__x000a_ 2 3" xfId="1158" xr:uid="{00000000-0005-0000-0000-0000B5040000}"/>
    <cellStyle name="0,0_x000d__x000a_NA_x000d__x000a_ 3" xfId="1161" xr:uid="{00000000-0005-0000-0000-0000B8040000}"/>
    <cellStyle name="0,0_x000d__x000a_NA_x000d__x000a_ 4" xfId="1170" xr:uid="{00000000-0005-0000-0000-0000C1040000}"/>
    <cellStyle name="0,0_x000d__x000a_NA_x000d__x000a__09年计划安排表格12-08" xfId="1175" xr:uid="{00000000-0005-0000-0000-0000C6040000}"/>
    <cellStyle name="0.00" xfId="1178" xr:uid="{00000000-0005-0000-0000-0000C9040000}"/>
    <cellStyle name="0.00 2" xfId="1182" xr:uid="{00000000-0005-0000-0000-0000CD040000}"/>
    <cellStyle name="111" xfId="1184" xr:uid="{00000000-0005-0000-0000-0000CF040000}"/>
    <cellStyle name="20% - 强调文字颜色 1 10" xfId="669" xr:uid="{00000000-0005-0000-0000-0000CC020000}"/>
    <cellStyle name="20% - 强调文字颜色 1 10 2" xfId="671" xr:uid="{00000000-0005-0000-0000-0000CE020000}"/>
    <cellStyle name="20% - 强调文字颜色 1 10 2 2" xfId="1116" xr:uid="{00000000-0005-0000-0000-00008B040000}"/>
    <cellStyle name="20% - 强调文字颜色 1 10 2 3" xfId="1186" xr:uid="{00000000-0005-0000-0000-0000D1040000}"/>
    <cellStyle name="20% - 强调文字颜色 1 10 3" xfId="682" xr:uid="{00000000-0005-0000-0000-0000D9020000}"/>
    <cellStyle name="20% - 强调文字颜色 1 10 4" xfId="1057" xr:uid="{00000000-0005-0000-0000-000050040000}"/>
    <cellStyle name="20% - 强调文字颜色 1 11" xfId="61" xr:uid="{00000000-0005-0000-0000-000047000000}"/>
    <cellStyle name="20% - 强调文字颜色 1 11 2" xfId="1189" xr:uid="{00000000-0005-0000-0000-0000D4040000}"/>
    <cellStyle name="20% - 强调文字颜色 1 12" xfId="1193" xr:uid="{00000000-0005-0000-0000-0000D8040000}"/>
    <cellStyle name="20% - 强调文字颜色 1 12 2" xfId="1199" xr:uid="{00000000-0005-0000-0000-0000DE040000}"/>
    <cellStyle name="20% - 强调文字颜色 1 13" xfId="1202" xr:uid="{00000000-0005-0000-0000-0000E1040000}"/>
    <cellStyle name="20% - 强调文字颜色 1 13 2" xfId="8" xr:uid="{00000000-0005-0000-0000-00000B000000}"/>
    <cellStyle name="20% - 强调文字颜色 1 14" xfId="1206" xr:uid="{00000000-0005-0000-0000-0000E5040000}"/>
    <cellStyle name="20% - 强调文字颜色 1 14 2" xfId="1208" xr:uid="{00000000-0005-0000-0000-0000E7040000}"/>
    <cellStyle name="20% - 强调文字颜色 1 2" xfId="1098" xr:uid="{00000000-0005-0000-0000-000079040000}"/>
    <cellStyle name="20% - 强调文字颜色 1 2 10" xfId="1210" xr:uid="{00000000-0005-0000-0000-0000E9040000}"/>
    <cellStyle name="20% - 强调文字颜色 1 2 10 2" xfId="609" xr:uid="{00000000-0005-0000-0000-000090020000}"/>
    <cellStyle name="20% - 强调文字颜色 1 2 11" xfId="948" xr:uid="{00000000-0005-0000-0000-0000E3030000}"/>
    <cellStyle name="20% - 强调文字颜色 1 2 11 2" xfId="956" xr:uid="{00000000-0005-0000-0000-0000EB030000}"/>
    <cellStyle name="20% - 强调文字颜色 1 2 12" xfId="1216" xr:uid="{00000000-0005-0000-0000-0000EF040000}"/>
    <cellStyle name="20% - 强调文字颜色 1 2 13" xfId="1224" xr:uid="{00000000-0005-0000-0000-0000F7040000}"/>
    <cellStyle name="20% - 强调文字颜色 1 2 14" xfId="1226" xr:uid="{00000000-0005-0000-0000-0000F9040000}"/>
    <cellStyle name="20% - 强调文字颜色 1 2 15" xfId="1233" xr:uid="{00000000-0005-0000-0000-000000050000}"/>
    <cellStyle name="20% - 强调文字颜色 1 2 16" xfId="660" xr:uid="{00000000-0005-0000-0000-0000C3020000}"/>
    <cellStyle name="20% - 强调文字颜色 1 2 2" xfId="349" xr:uid="{00000000-0005-0000-0000-00008C010000}"/>
    <cellStyle name="20% - 强调文字颜色 1 2 2 10" xfId="1237" xr:uid="{00000000-0005-0000-0000-000004050000}"/>
    <cellStyle name="20% - 强调文字颜色 1 2 2 2" xfId="353" xr:uid="{00000000-0005-0000-0000-000090010000}"/>
    <cellStyle name="20% - 强调文字颜色 1 2 2 2 2" xfId="545" xr:uid="{00000000-0005-0000-0000-000050020000}"/>
    <cellStyle name="20% - 强调文字颜色 1 2 2 2 3" xfId="587" xr:uid="{00000000-0005-0000-0000-00007A020000}"/>
    <cellStyle name="20% - 强调文字颜色 1 2 2 3" xfId="357" xr:uid="{00000000-0005-0000-0000-000094010000}"/>
    <cellStyle name="20% - 强调文字颜色 1 2 2 3 2" xfId="1205" xr:uid="{00000000-0005-0000-0000-0000E4040000}"/>
    <cellStyle name="20% - 强调文字颜色 1 2 2 3 3" xfId="1241" xr:uid="{00000000-0005-0000-0000-000008050000}"/>
    <cellStyle name="20% - 强调文字颜色 1 2 2 4" xfId="367" xr:uid="{00000000-0005-0000-0000-00009E010000}"/>
    <cellStyle name="20% - 强调文字颜色 1 2 2 5" xfId="519" xr:uid="{00000000-0005-0000-0000-000036020000}"/>
    <cellStyle name="20% - 强调文字颜色 1 2 2 6" xfId="846" xr:uid="{00000000-0005-0000-0000-00007D030000}"/>
    <cellStyle name="20% - 强调文字颜色 1 2 2 7" xfId="1243" xr:uid="{00000000-0005-0000-0000-00000A050000}"/>
    <cellStyle name="20% - 强调文字颜色 1 2 2 8" xfId="1244" xr:uid="{00000000-0005-0000-0000-00000B050000}"/>
    <cellStyle name="20% - 强调文字颜色 1 2 2 9" xfId="1245" xr:uid="{00000000-0005-0000-0000-00000C050000}"/>
    <cellStyle name="20% - 强调文字颜色 1 2 3" xfId="373" xr:uid="{00000000-0005-0000-0000-0000A4010000}"/>
    <cellStyle name="20% - 强调文字颜色 1 2 3 2" xfId="380" xr:uid="{00000000-0005-0000-0000-0000AB010000}"/>
    <cellStyle name="20% - 强调文字颜色 1 2 3 2 2" xfId="931" xr:uid="{00000000-0005-0000-0000-0000D2030000}"/>
    <cellStyle name="20% - 强调文字颜色 1 2 3 3" xfId="269" xr:uid="{00000000-0005-0000-0000-00003C010000}"/>
    <cellStyle name="20% - 强调文字颜色 1 2 3 4" xfId="104" xr:uid="{00000000-0005-0000-0000-000078000000}"/>
    <cellStyle name="20% - 强调文字颜色 1 2 4" xfId="382" xr:uid="{00000000-0005-0000-0000-0000AD010000}"/>
    <cellStyle name="20% - 强调文字颜色 1 2 4 2" xfId="395" xr:uid="{00000000-0005-0000-0000-0000BA010000}"/>
    <cellStyle name="20% - 强调文字颜色 1 2 4 2 2" xfId="1251" xr:uid="{00000000-0005-0000-0000-000012050000}"/>
    <cellStyle name="20% - 强调文字颜色 1 2 4 3" xfId="405" xr:uid="{00000000-0005-0000-0000-0000C4010000}"/>
    <cellStyle name="20% - 强调文字颜色 1 2 4 4" xfId="416" xr:uid="{00000000-0005-0000-0000-0000CF010000}"/>
    <cellStyle name="20% - 强调文字颜色 1 2 5" xfId="419" xr:uid="{00000000-0005-0000-0000-0000D2010000}"/>
    <cellStyle name="20% - 强调文字颜色 1 2 5 2" xfId="1254" xr:uid="{00000000-0005-0000-0000-000015050000}"/>
    <cellStyle name="20% - 强调文字颜色 1 2 5 2 2" xfId="190" xr:uid="{00000000-0005-0000-0000-0000DB000000}"/>
    <cellStyle name="20% - 强调文字颜色 1 2 5 3" xfId="559" xr:uid="{00000000-0005-0000-0000-00005E020000}"/>
    <cellStyle name="20% - 强调文字颜色 1 2 5 4" xfId="563" xr:uid="{00000000-0005-0000-0000-000062020000}"/>
    <cellStyle name="20% - 强调文字颜色 1 2 6" xfId="1255" xr:uid="{00000000-0005-0000-0000-000016050000}"/>
    <cellStyle name="20% - 强调文字颜色 1 2 6 2" xfId="1265" xr:uid="{00000000-0005-0000-0000-000020050000}"/>
    <cellStyle name="20% - 强调文字颜色 1 2 6 2 2" xfId="39" xr:uid="{00000000-0005-0000-0000-00002D000000}"/>
    <cellStyle name="20% - 强调文字颜色 1 2 6 3" xfId="186" xr:uid="{00000000-0005-0000-0000-0000D7000000}"/>
    <cellStyle name="20% - 强调文字颜色 1 2 6 4" xfId="1266" xr:uid="{00000000-0005-0000-0000-000021050000}"/>
    <cellStyle name="20% - 强调文字颜色 1 2 7" xfId="1269" xr:uid="{00000000-0005-0000-0000-000024050000}"/>
    <cellStyle name="20% - 强调文字颜色 1 2 7 2" xfId="1272" xr:uid="{00000000-0005-0000-0000-000027050000}"/>
    <cellStyle name="20% - 强调文字颜色 1 2 7 2 2" xfId="1273" xr:uid="{00000000-0005-0000-0000-000028050000}"/>
    <cellStyle name="20% - 强调文字颜色 1 2 7 3" xfId="1275" xr:uid="{00000000-0005-0000-0000-00002A050000}"/>
    <cellStyle name="20% - 强调文字颜色 1 2 7 4" xfId="592" xr:uid="{00000000-0005-0000-0000-00007F020000}"/>
    <cellStyle name="20% - 强调文字颜色 1 2 8" xfId="756" xr:uid="{00000000-0005-0000-0000-000023030000}"/>
    <cellStyle name="20% - 强调文字颜色 1 2 8 2" xfId="768" xr:uid="{00000000-0005-0000-0000-00002F030000}"/>
    <cellStyle name="20% - 强调文字颜色 1 2 8 3" xfId="776" xr:uid="{00000000-0005-0000-0000-000037030000}"/>
    <cellStyle name="20% - 强调文字颜色 1 2 9" xfId="886" xr:uid="{00000000-0005-0000-0000-0000A5030000}"/>
    <cellStyle name="20% - 强调文字颜色 1 2 9 2" xfId="894" xr:uid="{00000000-0005-0000-0000-0000AD030000}"/>
    <cellStyle name="20% - 强调文字颜色 1 2 9 3" xfId="904" xr:uid="{00000000-0005-0000-0000-0000B7030000}"/>
    <cellStyle name="20% - 强调文字颜色 1 2_成本利润预算(公司目标)" xfId="1197" xr:uid="{00000000-0005-0000-0000-0000DC040000}"/>
    <cellStyle name="20% - 强调文字颜色 1 3" xfId="1281" xr:uid="{00000000-0005-0000-0000-000030050000}"/>
    <cellStyle name="20% - 强调文字颜色 1 3 10" xfId="283" xr:uid="{00000000-0005-0000-0000-00004A010000}"/>
    <cellStyle name="20% - 强调文字颜色 1 3 10 2" xfId="53" xr:uid="{00000000-0005-0000-0000-00003D000000}"/>
    <cellStyle name="20% - 强调文字颜色 1 3 11" xfId="692" xr:uid="{00000000-0005-0000-0000-0000E3020000}"/>
    <cellStyle name="20% - 强调文字颜色 1 3 11 2" xfId="696" xr:uid="{00000000-0005-0000-0000-0000E7020000}"/>
    <cellStyle name="20% - 强调文字颜色 1 3 12" xfId="1284" xr:uid="{00000000-0005-0000-0000-000033050000}"/>
    <cellStyle name="20% - 强调文字颜色 1 3 2" xfId="1288" xr:uid="{00000000-0005-0000-0000-000037050000}"/>
    <cellStyle name="20% - 强调文字颜色 1 3 2 2" xfId="514" xr:uid="{00000000-0005-0000-0000-000031020000}"/>
    <cellStyle name="20% - 强调文字颜色 1 3 3" xfId="569" xr:uid="{00000000-0005-0000-0000-000068020000}"/>
    <cellStyle name="20% - 强调文字颜色 1 3 3 2" xfId="1290" xr:uid="{00000000-0005-0000-0000-000039050000}"/>
    <cellStyle name="20% - 强调文字颜色 1 3 4" xfId="572" xr:uid="{00000000-0005-0000-0000-00006B020000}"/>
    <cellStyle name="20% - 强调文字颜色 1 3 4 2" xfId="1292" xr:uid="{00000000-0005-0000-0000-00003B050000}"/>
    <cellStyle name="20% - 强调文字颜色 1 3 5" xfId="1294" xr:uid="{00000000-0005-0000-0000-00003D050000}"/>
    <cellStyle name="20% - 强调文字颜色 1 3 5 2" xfId="429" xr:uid="{00000000-0005-0000-0000-0000DC010000}"/>
    <cellStyle name="20% - 强调文字颜色 1 3 6" xfId="1297" xr:uid="{00000000-0005-0000-0000-000040050000}"/>
    <cellStyle name="20% - 强调文字颜色 1 3 6 2" xfId="1304" xr:uid="{00000000-0005-0000-0000-000047050000}"/>
    <cellStyle name="20% - 强调文字颜色 1 3 7" xfId="1305" xr:uid="{00000000-0005-0000-0000-000048050000}"/>
    <cellStyle name="20% - 强调文字颜色 1 3 7 2" xfId="1309" xr:uid="{00000000-0005-0000-0000-00004C050000}"/>
    <cellStyle name="20% - 强调文字颜色 1 3 8" xfId="1059" xr:uid="{00000000-0005-0000-0000-000052040000}"/>
    <cellStyle name="20% - 强调文字颜色 1 3 8 2" xfId="1312" xr:uid="{00000000-0005-0000-0000-00004F050000}"/>
    <cellStyle name="20% - 强调文字颜色 1 3 9" xfId="145" xr:uid="{00000000-0005-0000-0000-0000A5000000}"/>
    <cellStyle name="20% - 强调文字颜色 1 3 9 2" xfId="1316" xr:uid="{00000000-0005-0000-0000-000053050000}"/>
    <cellStyle name="20% - 强调文字颜色 1 4" xfId="1307" xr:uid="{00000000-0005-0000-0000-00004A050000}"/>
    <cellStyle name="20% - 强调文字颜色 1 4 10" xfId="102" xr:uid="{00000000-0005-0000-0000-000076000000}"/>
    <cellStyle name="20% - 强调文字颜色 1 4 10 2" xfId="285" xr:uid="{00000000-0005-0000-0000-00004C010000}"/>
    <cellStyle name="20% - 强调文字颜色 1 4 11" xfId="272" xr:uid="{00000000-0005-0000-0000-00003F010000}"/>
    <cellStyle name="20% - 强调文字颜色 1 4 11 2" xfId="306" xr:uid="{00000000-0005-0000-0000-000061010000}"/>
    <cellStyle name="20% - 强调文字颜色 1 4 12" xfId="323" xr:uid="{00000000-0005-0000-0000-000072010000}"/>
    <cellStyle name="20% - 强调文字颜色 1 4 13" xfId="346" xr:uid="{00000000-0005-0000-0000-000089010000}"/>
    <cellStyle name="20% - 强调文字颜色 1 4 2" xfId="615" xr:uid="{00000000-0005-0000-0000-000096020000}"/>
    <cellStyle name="20% - 强调文字颜色 1 4 2 2" xfId="619" xr:uid="{00000000-0005-0000-0000-00009A020000}"/>
    <cellStyle name="20% - 强调文字颜色 1 4 3" xfId="171" xr:uid="{00000000-0005-0000-0000-0000C4000000}"/>
    <cellStyle name="20% - 强调文字颜色 1 4 3 2" xfId="883" xr:uid="{00000000-0005-0000-0000-0000A2030000}"/>
    <cellStyle name="20% - 强调文字颜色 1 4 4" xfId="1318" xr:uid="{00000000-0005-0000-0000-000055050000}"/>
    <cellStyle name="20% - 强调文字颜色 1 4 4 2" xfId="202" xr:uid="{00000000-0005-0000-0000-0000EC000000}"/>
    <cellStyle name="20% - 强调文字颜色 1 4 5" xfId="1319" xr:uid="{00000000-0005-0000-0000-000056050000}"/>
    <cellStyle name="20% - 强调文字颜色 1 4 5 2" xfId="1323" xr:uid="{00000000-0005-0000-0000-00005A050000}"/>
    <cellStyle name="20% - 强调文字颜色 1 4 6" xfId="1324" xr:uid="{00000000-0005-0000-0000-00005B050000}"/>
    <cellStyle name="20% - 强调文字颜色 1 4 6 2" xfId="1326" xr:uid="{00000000-0005-0000-0000-00005D050000}"/>
    <cellStyle name="20% - 强调文字颜色 1 4 7" xfId="1327" xr:uid="{00000000-0005-0000-0000-00005E050000}"/>
    <cellStyle name="20% - 强调文字颜色 1 4 7 2" xfId="1075" xr:uid="{00000000-0005-0000-0000-000062040000}"/>
    <cellStyle name="20% - 强调文字颜色 1 4 8" xfId="1328" xr:uid="{00000000-0005-0000-0000-00005F050000}"/>
    <cellStyle name="20% - 强调文字颜色 1 4 8 2" xfId="807" xr:uid="{00000000-0005-0000-0000-000056030000}"/>
    <cellStyle name="20% - 强调文字颜色 1 4 9" xfId="1330" xr:uid="{00000000-0005-0000-0000-000061050000}"/>
    <cellStyle name="20% - 强调文字颜色 1 4 9 2" xfId="1017" xr:uid="{00000000-0005-0000-0000-000028040000}"/>
    <cellStyle name="20% - 强调文字颜色 1 5" xfId="1333" xr:uid="{00000000-0005-0000-0000-000064050000}"/>
    <cellStyle name="20% - 强调文字颜色 1 5 2" xfId="1105" xr:uid="{00000000-0005-0000-0000-000080040000}"/>
    <cellStyle name="20% - 强调文字颜色 1 5 2 2" xfId="994" xr:uid="{00000000-0005-0000-0000-000011040000}"/>
    <cellStyle name="20% - 强调文字颜色 1 5 3" xfId="1335" xr:uid="{00000000-0005-0000-0000-000066050000}"/>
    <cellStyle name="20% - 强调文字颜色 1 5 4" xfId="552" xr:uid="{00000000-0005-0000-0000-000057020000}"/>
    <cellStyle name="20% - 强调文字颜色 1 6" xfId="1337" xr:uid="{00000000-0005-0000-0000-000068050000}"/>
    <cellStyle name="20% - 强调文字颜色 1 6 2" xfId="1157" xr:uid="{00000000-0005-0000-0000-0000B4040000}"/>
    <cellStyle name="20% - 强调文字颜色 1 6 2 2" xfId="22" xr:uid="{00000000-0005-0000-0000-00001A000000}"/>
    <cellStyle name="20% - 强调文字颜色 1 6 3" xfId="1339" xr:uid="{00000000-0005-0000-0000-00006A050000}"/>
    <cellStyle name="20% - 强调文字颜色 1 6 4" xfId="1340" xr:uid="{00000000-0005-0000-0000-00006B050000}"/>
    <cellStyle name="20% - 强调文字颜色 1 7" xfId="1342" xr:uid="{00000000-0005-0000-0000-00006D050000}"/>
    <cellStyle name="20% - 强调文字颜色 1 7 2" xfId="1346" xr:uid="{00000000-0005-0000-0000-000071050000}"/>
    <cellStyle name="20% - 强调文字颜色 1 7 2 2" xfId="1347" xr:uid="{00000000-0005-0000-0000-000072050000}"/>
    <cellStyle name="20% - 强调文字颜色 1 7 2 3" xfId="1349" xr:uid="{00000000-0005-0000-0000-000074050000}"/>
    <cellStyle name="20% - 强调文字颜色 1 7 3" xfId="1144" xr:uid="{00000000-0005-0000-0000-0000A7040000}"/>
    <cellStyle name="20% - 强调文字颜色 1 7 4" xfId="1148" xr:uid="{00000000-0005-0000-0000-0000AB040000}"/>
    <cellStyle name="20% - 强调文字颜色 1 8" xfId="1351" xr:uid="{00000000-0005-0000-0000-000076050000}"/>
    <cellStyle name="20% - 强调文字颜色 1 8 2" xfId="1353" xr:uid="{00000000-0005-0000-0000-000078050000}"/>
    <cellStyle name="20% - 强调文字颜色 1 8 2 2" xfId="1355" xr:uid="{00000000-0005-0000-0000-00007A050000}"/>
    <cellStyle name="20% - 强调文字颜色 1 8 2 3" xfId="1358" xr:uid="{00000000-0005-0000-0000-00007D050000}"/>
    <cellStyle name="20% - 强调文字颜色 1 8 3" xfId="1360" xr:uid="{00000000-0005-0000-0000-00007F050000}"/>
    <cellStyle name="20% - 强调文字颜色 1 8 4" xfId="1362" xr:uid="{00000000-0005-0000-0000-000081050000}"/>
    <cellStyle name="20% - 强调文字颜色 1 9" xfId="717" xr:uid="{00000000-0005-0000-0000-0000FC020000}"/>
    <cellStyle name="20% - 强调文字颜色 1 9 2" xfId="654" xr:uid="{00000000-0005-0000-0000-0000BD020000}"/>
    <cellStyle name="20% - 强调文字颜色 1 9 2 2" xfId="221" xr:uid="{00000000-0005-0000-0000-000005010000}"/>
    <cellStyle name="20% - 强调文字颜色 1 9 2 3" xfId="232" xr:uid="{00000000-0005-0000-0000-000012010000}"/>
    <cellStyle name="20% - 强调文字颜色 1 9 3" xfId="856" xr:uid="{00000000-0005-0000-0000-000087030000}"/>
    <cellStyle name="20% - 强调文字颜色 1 9 4" xfId="1363" xr:uid="{00000000-0005-0000-0000-000082050000}"/>
    <cellStyle name="20% - 强调文字颜色 2 10" xfId="1369" xr:uid="{00000000-0005-0000-0000-000088050000}"/>
    <cellStyle name="20% - 强调文字颜色 2 10 2" xfId="1378" xr:uid="{00000000-0005-0000-0000-000091050000}"/>
    <cellStyle name="20% - 强调文字颜色 2 10 2 2" xfId="738" xr:uid="{00000000-0005-0000-0000-000011030000}"/>
    <cellStyle name="20% - 强调文字颜色 2 10 2 3" xfId="1379" xr:uid="{00000000-0005-0000-0000-000092050000}"/>
    <cellStyle name="20% - 强调文字颜色 2 10 3" xfId="1384" xr:uid="{00000000-0005-0000-0000-000097050000}"/>
    <cellStyle name="20% - 强调文字颜色 2 10 4" xfId="1179" xr:uid="{00000000-0005-0000-0000-0000CA040000}"/>
    <cellStyle name="20% - 强调文字颜色 2 11" xfId="1394" xr:uid="{00000000-0005-0000-0000-0000A1050000}"/>
    <cellStyle name="20% - 强调文字颜色 2 11 2" xfId="1400" xr:uid="{00000000-0005-0000-0000-0000A7050000}"/>
    <cellStyle name="20% - 强调文字颜色 2 12" xfId="1404" xr:uid="{00000000-0005-0000-0000-0000AB050000}"/>
    <cellStyle name="20% - 强调文字颜色 2 12 2" xfId="252" xr:uid="{00000000-0005-0000-0000-00002B010000}"/>
    <cellStyle name="20% - 强调文字颜色 2 13" xfId="1409" xr:uid="{00000000-0005-0000-0000-0000B0050000}"/>
    <cellStyle name="20% - 强调文字颜色 2 13 2" xfId="1413" xr:uid="{00000000-0005-0000-0000-0000B4050000}"/>
    <cellStyle name="20% - 强调文字颜色 2 14" xfId="1417" xr:uid="{00000000-0005-0000-0000-0000B8050000}"/>
    <cellStyle name="20% - 强调文字颜色 2 14 2" xfId="1422" xr:uid="{00000000-0005-0000-0000-0000BD050000}"/>
    <cellStyle name="20% - 强调文字颜色 2 2" xfId="1423" xr:uid="{00000000-0005-0000-0000-0000BE050000}"/>
    <cellStyle name="20% - 强调文字颜色 2 2 10" xfId="1427" xr:uid="{00000000-0005-0000-0000-0000C2050000}"/>
    <cellStyle name="20% - 强调文字颜色 2 2 10 2" xfId="632" xr:uid="{00000000-0005-0000-0000-0000A7020000}"/>
    <cellStyle name="20% - 强调文字颜色 2 2 11" xfId="1430" xr:uid="{00000000-0005-0000-0000-0000C5050000}"/>
    <cellStyle name="20% - 强调文字颜色 2 2 11 2" xfId="449" xr:uid="{00000000-0005-0000-0000-0000F0010000}"/>
    <cellStyle name="20% - 强调文字颜色 2 2 12" xfId="1435" xr:uid="{00000000-0005-0000-0000-0000CA050000}"/>
    <cellStyle name="20% - 强调文字颜色 2 2 13" xfId="1438" xr:uid="{00000000-0005-0000-0000-0000CD050000}"/>
    <cellStyle name="20% - 强调文字颜色 2 2 14" xfId="1441" xr:uid="{00000000-0005-0000-0000-0000D0050000}"/>
    <cellStyle name="20% - 强调文字颜色 2 2 15" xfId="1444" xr:uid="{00000000-0005-0000-0000-0000D3050000}"/>
    <cellStyle name="20% - 强调文字颜色 2 2 16" xfId="1446" xr:uid="{00000000-0005-0000-0000-0000D5050000}"/>
    <cellStyle name="20% - 强调文字颜色 2 2 2" xfId="1448" xr:uid="{00000000-0005-0000-0000-0000D7050000}"/>
    <cellStyle name="20% - 强调文字颜色 2 2 2 10" xfId="1108" xr:uid="{00000000-0005-0000-0000-000083040000}"/>
    <cellStyle name="20% - 强调文字颜色 2 2 2 2" xfId="708" xr:uid="{00000000-0005-0000-0000-0000F3020000}"/>
    <cellStyle name="20% - 强调文字颜色 2 2 2 2 2" xfId="716" xr:uid="{00000000-0005-0000-0000-0000FB020000}"/>
    <cellStyle name="20% - 强调文字颜色 2 2 2 2 3" xfId="725" xr:uid="{00000000-0005-0000-0000-000004030000}"/>
    <cellStyle name="20% - 强调文字颜色 2 2 2 3" xfId="784" xr:uid="{00000000-0005-0000-0000-00003F030000}"/>
    <cellStyle name="20% - 强调文字颜色 2 2 2 3 2" xfId="787" xr:uid="{00000000-0005-0000-0000-000042030000}"/>
    <cellStyle name="20% - 强调文字颜色 2 2 2 3 3" xfId="258" xr:uid="{00000000-0005-0000-0000-000031010000}"/>
    <cellStyle name="20% - 强调文字颜色 2 2 2 4" xfId="1452" xr:uid="{00000000-0005-0000-0000-0000DB050000}"/>
    <cellStyle name="20% - 强调文字颜色 2 2 2 5" xfId="789" xr:uid="{00000000-0005-0000-0000-000044030000}"/>
    <cellStyle name="20% - 强调文字颜色 2 2 2 6" xfId="255" xr:uid="{00000000-0005-0000-0000-00002E010000}"/>
    <cellStyle name="20% - 强调文字颜色 2 2 2 7" xfId="1453" xr:uid="{00000000-0005-0000-0000-0000DC050000}"/>
    <cellStyle name="20% - 强调文字颜色 2 2 2 8" xfId="1456" xr:uid="{00000000-0005-0000-0000-0000DF050000}"/>
    <cellStyle name="20% - 强调文字颜色 2 2 2 9" xfId="1066" xr:uid="{00000000-0005-0000-0000-000059040000}"/>
    <cellStyle name="20% - 强调文字颜色 2 2 3" xfId="1458" xr:uid="{00000000-0005-0000-0000-0000E1050000}"/>
    <cellStyle name="20% - 强调文字颜色 2 2 3 2" xfId="946" xr:uid="{00000000-0005-0000-0000-0000E1030000}"/>
    <cellStyle name="20% - 强调文字颜色 2 2 3 2 2" xfId="953" xr:uid="{00000000-0005-0000-0000-0000E8030000}"/>
    <cellStyle name="20% - 强调文字颜色 2 2 3 3" xfId="1214" xr:uid="{00000000-0005-0000-0000-0000ED040000}"/>
    <cellStyle name="20% - 强调文字颜色 2 2 3 4" xfId="1222" xr:uid="{00000000-0005-0000-0000-0000F5040000}"/>
    <cellStyle name="20% - 强调文字颜色 2 2 4" xfId="445" xr:uid="{00000000-0005-0000-0000-0000EC010000}"/>
    <cellStyle name="20% - 强调文字颜色 2 2 4 2" xfId="458" xr:uid="{00000000-0005-0000-0000-0000F9010000}"/>
    <cellStyle name="20% - 强调文字颜色 2 2 4 2 2" xfId="1462" xr:uid="{00000000-0005-0000-0000-0000E5050000}"/>
    <cellStyle name="20% - 强调文字颜色 2 2 4 3" xfId="466" xr:uid="{00000000-0005-0000-0000-000001020000}"/>
    <cellStyle name="20% - 强调文字颜色 2 2 4 4" xfId="1465" xr:uid="{00000000-0005-0000-0000-0000E8050000}"/>
    <cellStyle name="20% - 强调文字颜色 2 2 5" xfId="1468" xr:uid="{00000000-0005-0000-0000-0000EB050000}"/>
    <cellStyle name="20% - 强调文字颜色 2 2 5 2" xfId="1471" xr:uid="{00000000-0005-0000-0000-0000EE050000}"/>
    <cellStyle name="20% - 强调文字颜色 2 2 5 2 2" xfId="1473" xr:uid="{00000000-0005-0000-0000-0000F0050000}"/>
    <cellStyle name="20% - 强调文字颜色 2 2 5 3" xfId="1478" xr:uid="{00000000-0005-0000-0000-0000F5050000}"/>
    <cellStyle name="20% - 强调文字颜色 2 2 5 4" xfId="1480" xr:uid="{00000000-0005-0000-0000-0000F7050000}"/>
    <cellStyle name="20% - 强调文字颜色 2 2 6" xfId="1485" xr:uid="{00000000-0005-0000-0000-0000FC050000}"/>
    <cellStyle name="20% - 强调文字颜色 2 2 6 2" xfId="1486" xr:uid="{00000000-0005-0000-0000-0000FD050000}"/>
    <cellStyle name="20% - 强调文字颜色 2 2 6 2 2" xfId="1488" xr:uid="{00000000-0005-0000-0000-0000FF050000}"/>
    <cellStyle name="20% - 强调文字颜色 2 2 6 3" xfId="1489" xr:uid="{00000000-0005-0000-0000-000000060000}"/>
    <cellStyle name="20% - 强调文字颜色 2 2 6 4" xfId="1490" xr:uid="{00000000-0005-0000-0000-000001060000}"/>
    <cellStyle name="20% - 强调文字颜色 2 2 7" xfId="1492" xr:uid="{00000000-0005-0000-0000-000003060000}"/>
    <cellStyle name="20% - 强调文字颜色 2 2 7 2" xfId="1493" xr:uid="{00000000-0005-0000-0000-000004060000}"/>
    <cellStyle name="20% - 强调文字颜色 2 2 7 2 2" xfId="57" xr:uid="{00000000-0005-0000-0000-000042000000}"/>
    <cellStyle name="20% - 强调文字颜色 2 2 7 3" xfId="1495" xr:uid="{00000000-0005-0000-0000-000006060000}"/>
    <cellStyle name="20% - 强调文字颜色 2 2 7 4" xfId="1497" xr:uid="{00000000-0005-0000-0000-000008060000}"/>
    <cellStyle name="20% - 强调文字颜色 2 2 8" xfId="1498" xr:uid="{00000000-0005-0000-0000-000009060000}"/>
    <cellStyle name="20% - 强调文字颜色 2 2 8 2" xfId="1499" xr:uid="{00000000-0005-0000-0000-00000A060000}"/>
    <cellStyle name="20% - 强调文字颜色 2 2 8 3" xfId="1500" xr:uid="{00000000-0005-0000-0000-00000B060000}"/>
    <cellStyle name="20% - 强调文字颜色 2 2 9" xfId="769" xr:uid="{00000000-0005-0000-0000-000030030000}"/>
    <cellStyle name="20% - 强调文字颜色 2 2 9 2" xfId="1109" xr:uid="{00000000-0005-0000-0000-000084040000}"/>
    <cellStyle name="20% - 强调文字颜色 2 2 9 3" xfId="1501" xr:uid="{00000000-0005-0000-0000-00000C060000}"/>
    <cellStyle name="20% - 强调文字颜色 2 2_成本利润预算(公司目标)" xfId="1285" xr:uid="{00000000-0005-0000-0000-000034050000}"/>
    <cellStyle name="20% - 强调文字颜色 2 3" xfId="1506" xr:uid="{00000000-0005-0000-0000-000011060000}"/>
    <cellStyle name="20% - 强调文字颜色 2 3 10" xfId="1509" xr:uid="{00000000-0005-0000-0000-000014060000}"/>
    <cellStyle name="20% - 强调文字颜色 2 3 10 2" xfId="1511" xr:uid="{00000000-0005-0000-0000-000016060000}"/>
    <cellStyle name="20% - 强调文字颜色 2 3 11" xfId="1514" xr:uid="{00000000-0005-0000-0000-000019060000}"/>
    <cellStyle name="20% - 强调文字颜色 2 3 11 2" xfId="1516" xr:uid="{00000000-0005-0000-0000-00001B060000}"/>
    <cellStyle name="20% - 强调文字颜色 2 3 12" xfId="1519" xr:uid="{00000000-0005-0000-0000-00001E060000}"/>
    <cellStyle name="20% - 强调文字颜色 2 3 2" xfId="1525" xr:uid="{00000000-0005-0000-0000-000024060000}"/>
    <cellStyle name="20% - 强调文字颜色 2 3 2 2" xfId="1534" xr:uid="{00000000-0005-0000-0000-00002D060000}"/>
    <cellStyle name="20% - 强调文字颜色 2 3 3" xfId="866" xr:uid="{00000000-0005-0000-0000-000091030000}"/>
    <cellStyle name="20% - 强调文字颜色 2 3 3 2" xfId="1543" xr:uid="{00000000-0005-0000-0000-000036060000}"/>
    <cellStyle name="20% - 强调文字颜色 2 3 4" xfId="874" xr:uid="{00000000-0005-0000-0000-000099030000}"/>
    <cellStyle name="20% - 强调文字颜色 2 3 4 2" xfId="830" xr:uid="{00000000-0005-0000-0000-00006D030000}"/>
    <cellStyle name="20% - 强调文字颜色 2 3 5" xfId="1547" xr:uid="{00000000-0005-0000-0000-00003A060000}"/>
    <cellStyle name="20% - 强调文字颜色 2 3 5 2" xfId="1554" xr:uid="{00000000-0005-0000-0000-000041060000}"/>
    <cellStyle name="20% - 强调文字颜色 2 3 6" xfId="15" xr:uid="{00000000-0005-0000-0000-000013000000}"/>
    <cellStyle name="20% - 强调文字颜色 2 3 6 2" xfId="1561" xr:uid="{00000000-0005-0000-0000-000048060000}"/>
    <cellStyle name="20% - 强调文字颜色 2 3 7" xfId="983" xr:uid="{00000000-0005-0000-0000-000006040000}"/>
    <cellStyle name="20% - 强调文字颜色 2 3 7 2" xfId="1564" xr:uid="{00000000-0005-0000-0000-00004B060000}"/>
    <cellStyle name="20% - 强调文字颜色 2 3 8" xfId="988" xr:uid="{00000000-0005-0000-0000-00000B040000}"/>
    <cellStyle name="20% - 强调文字颜色 2 3 8 2" xfId="1569" xr:uid="{00000000-0005-0000-0000-000050060000}"/>
    <cellStyle name="20% - 强调文字颜色 2 3 9" xfId="897" xr:uid="{00000000-0005-0000-0000-0000B0030000}"/>
    <cellStyle name="20% - 强调文字颜色 2 3 9 2" xfId="1575" xr:uid="{00000000-0005-0000-0000-000056060000}"/>
    <cellStyle name="20% - 强调文字颜色 2 4" xfId="1580" xr:uid="{00000000-0005-0000-0000-00005B060000}"/>
    <cellStyle name="20% - 强调文字颜色 2 4 10" xfId="616" xr:uid="{00000000-0005-0000-0000-000097020000}"/>
    <cellStyle name="20% - 强调文字颜色 2 4 10 2" xfId="620" xr:uid="{00000000-0005-0000-0000-00009B020000}"/>
    <cellStyle name="20% - 强调文字颜色 2 4 11" xfId="1584" xr:uid="{00000000-0005-0000-0000-00005F060000}"/>
    <cellStyle name="20% - 强调文字颜色 2 4 11 2" xfId="1589" xr:uid="{00000000-0005-0000-0000-000064060000}"/>
    <cellStyle name="20% - 强调文字颜色 2 4 12" xfId="1590" xr:uid="{00000000-0005-0000-0000-000065060000}"/>
    <cellStyle name="20% - 强调文字颜色 2 4 13" xfId="1592" xr:uid="{00000000-0005-0000-0000-000067060000}"/>
    <cellStyle name="20% - 强调文字颜色 2 4 2" xfId="159" xr:uid="{00000000-0005-0000-0000-0000B6000000}"/>
    <cellStyle name="20% - 强调文字颜色 2 4 2 2" xfId="1597" xr:uid="{00000000-0005-0000-0000-00006C060000}"/>
    <cellStyle name="20% - 强调文字颜色 2 4 3" xfId="914" xr:uid="{00000000-0005-0000-0000-0000C1030000}"/>
    <cellStyle name="20% - 强调文字颜色 2 4 3 2" xfId="849" xr:uid="{00000000-0005-0000-0000-000080030000}"/>
    <cellStyle name="20% - 强调文字颜色 2 4 4" xfId="918" xr:uid="{00000000-0005-0000-0000-0000C5030000}"/>
    <cellStyle name="20% - 强调文字颜色 2 4 4 2" xfId="327" xr:uid="{00000000-0005-0000-0000-000076010000}"/>
    <cellStyle name="20% - 强调文字颜色 2 4 5" xfId="1598" xr:uid="{00000000-0005-0000-0000-00006D060000}"/>
    <cellStyle name="20% - 强调文字颜色 2 4 5 2" xfId="1600" xr:uid="{00000000-0005-0000-0000-00006F060000}"/>
    <cellStyle name="20% - 强调文字颜色 2 4 6" xfId="1601" xr:uid="{00000000-0005-0000-0000-000070060000}"/>
    <cellStyle name="20% - 强调文字颜色 2 4 6 2" xfId="1604" xr:uid="{00000000-0005-0000-0000-000073060000}"/>
    <cellStyle name="20% - 强调文字颜色 2 4 7" xfId="1104" xr:uid="{00000000-0005-0000-0000-00007F040000}"/>
    <cellStyle name="20% - 强调文字颜色 2 4 7 2" xfId="938" xr:uid="{00000000-0005-0000-0000-0000D9030000}"/>
    <cellStyle name="20% - 强调文字颜色 2 4 8" xfId="1153" xr:uid="{00000000-0005-0000-0000-0000B0040000}"/>
    <cellStyle name="20% - 强调文字颜色 2 4 8 2" xfId="813" xr:uid="{00000000-0005-0000-0000-00005C030000}"/>
    <cellStyle name="20% - 强调文字颜色 2 4 9" xfId="1166" xr:uid="{00000000-0005-0000-0000-0000BD040000}"/>
    <cellStyle name="20% - 强调文字颜色 2 4 9 2" xfId="1607" xr:uid="{00000000-0005-0000-0000-000076060000}"/>
    <cellStyle name="20% - 强调文字颜色 2 5" xfId="1608" xr:uid="{00000000-0005-0000-0000-000077060000}"/>
    <cellStyle name="20% - 强调文字颜色 2 5 2" xfId="1610" xr:uid="{00000000-0005-0000-0000-000079060000}"/>
    <cellStyle name="20% - 强调文字颜色 2 5 2 2" xfId="1612" xr:uid="{00000000-0005-0000-0000-00007B060000}"/>
    <cellStyle name="20% - 强调文字颜色 2 5 3" xfId="1613" xr:uid="{00000000-0005-0000-0000-00007C060000}"/>
    <cellStyle name="20% - 强调文字颜色 2 5 4" xfId="1614" xr:uid="{00000000-0005-0000-0000-00007D060000}"/>
    <cellStyle name="20% - 强调文字颜色 2 6" xfId="703" xr:uid="{00000000-0005-0000-0000-0000EE020000}"/>
    <cellStyle name="20% - 强调文字颜色 2 6 2" xfId="712" xr:uid="{00000000-0005-0000-0000-0000F7020000}"/>
    <cellStyle name="20% - 强调文字颜色 2 6 2 2" xfId="652" xr:uid="{00000000-0005-0000-0000-0000BB020000}"/>
    <cellStyle name="20% - 强调文字颜色 2 6 3" xfId="723" xr:uid="{00000000-0005-0000-0000-000002030000}"/>
    <cellStyle name="20% - 强调文字颜色 2 6 4" xfId="1615" xr:uid="{00000000-0005-0000-0000-00007E060000}"/>
    <cellStyle name="20% - 强调文字颜色 2 7" xfId="782" xr:uid="{00000000-0005-0000-0000-00003D030000}"/>
    <cellStyle name="20% - 强调文字颜色 2 7 2" xfId="790" xr:uid="{00000000-0005-0000-0000-000045030000}"/>
    <cellStyle name="20% - 强调文字颜色 2 7 2 2" xfId="1617" xr:uid="{00000000-0005-0000-0000-000080060000}"/>
    <cellStyle name="20% - 强调文字颜色 2 7 2 3" xfId="1078" xr:uid="{00000000-0005-0000-0000-000065040000}"/>
    <cellStyle name="20% - 强调文字颜色 2 7 3" xfId="256" xr:uid="{00000000-0005-0000-0000-00002F010000}"/>
    <cellStyle name="20% - 强调文字颜色 2 7 4" xfId="1454" xr:uid="{00000000-0005-0000-0000-0000DD050000}"/>
    <cellStyle name="20% - 强调文字颜色 2 8" xfId="1450" xr:uid="{00000000-0005-0000-0000-0000D9050000}"/>
    <cellStyle name="20% - 强调文字颜色 2 8 2" xfId="1623" xr:uid="{00000000-0005-0000-0000-000086060000}"/>
    <cellStyle name="20% - 强调文字颜色 2 8 2 2" xfId="1633" xr:uid="{00000000-0005-0000-0000-000090060000}"/>
    <cellStyle name="20% - 强调文字颜色 2 8 2 3" xfId="1646" xr:uid="{00000000-0005-0000-0000-00009D060000}"/>
    <cellStyle name="20% - 强调文字颜色 2 8 3" xfId="1647" xr:uid="{00000000-0005-0000-0000-00009E060000}"/>
    <cellStyle name="20% - 强调文字颜色 2 8 4" xfId="663" xr:uid="{00000000-0005-0000-0000-0000C6020000}"/>
    <cellStyle name="20% - 强调文字颜色 2 9" xfId="788" xr:uid="{00000000-0005-0000-0000-000043030000}"/>
    <cellStyle name="20% - 强调文字颜色 2 9 2" xfId="1620" xr:uid="{00000000-0005-0000-0000-000083060000}"/>
    <cellStyle name="20% - 强调文字颜色 2 9 2 2" xfId="387" xr:uid="{00000000-0005-0000-0000-0000B2010000}"/>
    <cellStyle name="20% - 强调文字颜色 2 9 2 3" xfId="428" xr:uid="{00000000-0005-0000-0000-0000DB010000}"/>
    <cellStyle name="20% - 强调文字颜色 2 9 3" xfId="1080" xr:uid="{00000000-0005-0000-0000-000067040000}"/>
    <cellStyle name="20% - 强调文字颜色 2 9 4" xfId="1083" xr:uid="{00000000-0005-0000-0000-00006A040000}"/>
    <cellStyle name="20% - 强调文字颜色 3 10" xfId="423" xr:uid="{00000000-0005-0000-0000-0000D6010000}"/>
    <cellStyle name="20% - 强调文字颜色 3 10 2" xfId="1253" xr:uid="{00000000-0005-0000-0000-000014050000}"/>
    <cellStyle name="20% - 强调文字颜色 3 10 2 2" xfId="188" xr:uid="{00000000-0005-0000-0000-0000D9000000}"/>
    <cellStyle name="20% - 强调文字颜色 3 10 2 3" xfId="1653" xr:uid="{00000000-0005-0000-0000-0000A4060000}"/>
    <cellStyle name="20% - 强调文字颜色 3 10 3" xfId="558" xr:uid="{00000000-0005-0000-0000-00005D020000}"/>
    <cellStyle name="20% - 强调文字颜色 3 10 4" xfId="562" xr:uid="{00000000-0005-0000-0000-000061020000}"/>
    <cellStyle name="20% - 强调文字颜色 3 11" xfId="1258" xr:uid="{00000000-0005-0000-0000-000019050000}"/>
    <cellStyle name="20% - 强调文字颜色 3 11 2" xfId="1263" xr:uid="{00000000-0005-0000-0000-00001E050000}"/>
    <cellStyle name="20% - 强调文字颜色 3 12" xfId="1268" xr:uid="{00000000-0005-0000-0000-000023050000}"/>
    <cellStyle name="20% - 强调文字颜色 3 12 2" xfId="1271" xr:uid="{00000000-0005-0000-0000-000026050000}"/>
    <cellStyle name="20% - 强调文字颜色 3 13" xfId="755" xr:uid="{00000000-0005-0000-0000-000022030000}"/>
    <cellStyle name="20% - 强调文字颜色 3 13 2" xfId="767" xr:uid="{00000000-0005-0000-0000-00002E030000}"/>
    <cellStyle name="20% - 强调文字颜色 3 14" xfId="885" xr:uid="{00000000-0005-0000-0000-0000A4030000}"/>
    <cellStyle name="20% - 强调文字颜色 3 14 2" xfId="893" xr:uid="{00000000-0005-0000-0000-0000AC030000}"/>
    <cellStyle name="20% - 强调文字颜色 3 2" xfId="1656" xr:uid="{00000000-0005-0000-0000-0000A7060000}"/>
    <cellStyle name="20% - 强调文字颜色 3 2 10" xfId="1050" xr:uid="{00000000-0005-0000-0000-000049040000}"/>
    <cellStyle name="20% - 强调文字颜色 3 2 10 2" xfId="1662" xr:uid="{00000000-0005-0000-0000-0000AD060000}"/>
    <cellStyle name="20% - 强调文字颜色 3 2 11" xfId="1053" xr:uid="{00000000-0005-0000-0000-00004C040000}"/>
    <cellStyle name="20% - 强调文字颜色 3 2 11 2" xfId="138" xr:uid="{00000000-0005-0000-0000-00009D000000}"/>
    <cellStyle name="20% - 强调文字颜色 3 2 12" xfId="1663" xr:uid="{00000000-0005-0000-0000-0000AE060000}"/>
    <cellStyle name="20% - 强调文字颜色 3 2 13" xfId="1665" xr:uid="{00000000-0005-0000-0000-0000B0060000}"/>
    <cellStyle name="20% - 强调文字颜色 3 2 14" xfId="1668" xr:uid="{00000000-0005-0000-0000-0000B3060000}"/>
    <cellStyle name="20% - 强调文字颜色 3 2 15" xfId="1669" xr:uid="{00000000-0005-0000-0000-0000B4060000}"/>
    <cellStyle name="20% - 强调文字颜色 3 2 16" xfId="1671" xr:uid="{00000000-0005-0000-0000-0000B6060000}"/>
    <cellStyle name="20% - 强调文字颜色 3 2 2" xfId="1674" xr:uid="{00000000-0005-0000-0000-0000B9060000}"/>
    <cellStyle name="20% - 强调文字颜色 3 2 2 10" xfId="1676" xr:uid="{00000000-0005-0000-0000-0000BB060000}"/>
    <cellStyle name="20% - 强调文字颜色 3 2 2 2" xfId="1680" xr:uid="{00000000-0005-0000-0000-0000BF060000}"/>
    <cellStyle name="20% - 强调文字颜色 3 2 2 2 2" xfId="1682" xr:uid="{00000000-0005-0000-0000-0000C1060000}"/>
    <cellStyle name="20% - 强调文字颜色 3 2 2 2 3" xfId="1300" xr:uid="{00000000-0005-0000-0000-000043050000}"/>
    <cellStyle name="20% - 强调文字颜色 3 2 2 3" xfId="1196" xr:uid="{00000000-0005-0000-0000-0000DB040000}"/>
    <cellStyle name="20% - 强调文字颜色 3 2 2 3 2" xfId="1683" xr:uid="{00000000-0005-0000-0000-0000C2060000}"/>
    <cellStyle name="20% - 强调文字颜色 3 2 2 3 3" xfId="1308" xr:uid="{00000000-0005-0000-0000-00004B050000}"/>
    <cellStyle name="20% - 强调文字颜色 3 2 2 4" xfId="1685" xr:uid="{00000000-0005-0000-0000-0000C4060000}"/>
    <cellStyle name="20% - 强调文字颜色 3 2 2 5" xfId="1686" xr:uid="{00000000-0005-0000-0000-0000C5060000}"/>
    <cellStyle name="20% - 强调文字颜色 3 2 2 6" xfId="1689" xr:uid="{00000000-0005-0000-0000-0000C8060000}"/>
    <cellStyle name="20% - 强调文字颜色 3 2 2 7" xfId="1694" xr:uid="{00000000-0005-0000-0000-0000CD060000}"/>
    <cellStyle name="20% - 强调文字颜色 3 2 2 8" xfId="1695" xr:uid="{00000000-0005-0000-0000-0000CE060000}"/>
    <cellStyle name="20% - 强调文字颜色 3 2 2 9" xfId="1701" xr:uid="{00000000-0005-0000-0000-0000D4060000}"/>
    <cellStyle name="20% - 强调文字颜色 3 2 3" xfId="1706" xr:uid="{00000000-0005-0000-0000-0000D9060000}"/>
    <cellStyle name="20% - 强调文字颜色 3 2 3 2" xfId="1711" xr:uid="{00000000-0005-0000-0000-0000DE060000}"/>
    <cellStyle name="20% - 强调文字颜色 3 2 3 2 2" xfId="1712" xr:uid="{00000000-0005-0000-0000-0000DF060000}"/>
    <cellStyle name="20% - 强调文字颜色 3 2 3 3" xfId="10" xr:uid="{00000000-0005-0000-0000-00000D000000}"/>
    <cellStyle name="20% - 强调文字颜色 3 2 3 4" xfId="1717" xr:uid="{00000000-0005-0000-0000-0000E4060000}"/>
    <cellStyle name="20% - 强调文字颜色 3 2 4" xfId="1723" xr:uid="{00000000-0005-0000-0000-0000EA060000}"/>
    <cellStyle name="20% - 强调文字颜色 3 2 4 2" xfId="1726" xr:uid="{00000000-0005-0000-0000-0000ED060000}"/>
    <cellStyle name="20% - 强调文字颜色 3 2 4 2 2" xfId="297" xr:uid="{00000000-0005-0000-0000-000058010000}"/>
    <cellStyle name="20% - 强调文字颜色 3 2 4 3" xfId="1730" xr:uid="{00000000-0005-0000-0000-0000F1060000}"/>
    <cellStyle name="20% - 强调文字颜色 3 2 4 4" xfId="1733" xr:uid="{00000000-0005-0000-0000-0000F4060000}"/>
    <cellStyle name="20% - 强调文字颜色 3 2 5" xfId="1734" xr:uid="{00000000-0005-0000-0000-0000F5060000}"/>
    <cellStyle name="20% - 强调文字颜色 3 2 5 2" xfId="1738" xr:uid="{00000000-0005-0000-0000-0000F9060000}"/>
    <cellStyle name="20% - 强调文字颜色 3 2 5 2 2" xfId="1739" xr:uid="{00000000-0005-0000-0000-0000FA060000}"/>
    <cellStyle name="20% - 强调文字颜色 3 2 5 3" xfId="1740" xr:uid="{00000000-0005-0000-0000-0000FB060000}"/>
    <cellStyle name="20% - 强调文字颜色 3 2 5 4" xfId="1741" xr:uid="{00000000-0005-0000-0000-0000FC060000}"/>
    <cellStyle name="20% - 强调文字颜色 3 2 6" xfId="1742" xr:uid="{00000000-0005-0000-0000-0000FD060000}"/>
    <cellStyle name="20% - 强调文字颜色 3 2 6 2" xfId="1746" xr:uid="{00000000-0005-0000-0000-000001070000}"/>
    <cellStyle name="20% - 强调文字颜色 3 2 6 2 2" xfId="1748" xr:uid="{00000000-0005-0000-0000-000003070000}"/>
    <cellStyle name="20% - 强调文字颜色 3 2 6 3" xfId="1750" xr:uid="{00000000-0005-0000-0000-000005070000}"/>
    <cellStyle name="20% - 强调文字颜色 3 2 6 4" xfId="630" xr:uid="{00000000-0005-0000-0000-0000A5020000}"/>
    <cellStyle name="20% - 强调文字颜色 3 2 7" xfId="1751" xr:uid="{00000000-0005-0000-0000-000006070000}"/>
    <cellStyle name="20% - 强调文字颜色 3 2 7 2" xfId="1752" xr:uid="{00000000-0005-0000-0000-000007070000}"/>
    <cellStyle name="20% - 强调文字颜色 3 2 7 2 2" xfId="711" xr:uid="{00000000-0005-0000-0000-0000F6020000}"/>
    <cellStyle name="20% - 强调文字颜色 3 2 7 3" xfId="1753" xr:uid="{00000000-0005-0000-0000-000008070000}"/>
    <cellStyle name="20% - 强调文字颜色 3 2 7 4" xfId="448" xr:uid="{00000000-0005-0000-0000-0000EF010000}"/>
    <cellStyle name="20% - 强调文字颜色 3 2 8" xfId="1754" xr:uid="{00000000-0005-0000-0000-000009070000}"/>
    <cellStyle name="20% - 强调文字颜色 3 2 8 2" xfId="1756" xr:uid="{00000000-0005-0000-0000-00000B070000}"/>
    <cellStyle name="20% - 强调文字颜色 3 2 8 3" xfId="1759" xr:uid="{00000000-0005-0000-0000-00000E070000}"/>
    <cellStyle name="20% - 强调文字颜色 3 2 9" xfId="1310" xr:uid="{00000000-0005-0000-0000-00004D050000}"/>
    <cellStyle name="20% - 强调文字颜色 3 2 9 2" xfId="1760" xr:uid="{00000000-0005-0000-0000-00000F070000}"/>
    <cellStyle name="20% - 强调文字颜色 3 2 9 3" xfId="1761" xr:uid="{00000000-0005-0000-0000-000010070000}"/>
    <cellStyle name="20% - 强调文字颜色 3 2_成本利润预算(公司目标)" xfId="1322" xr:uid="{00000000-0005-0000-0000-000059050000}"/>
    <cellStyle name="20% - 强调文字颜色 3 3" xfId="1770" xr:uid="{00000000-0005-0000-0000-000019070000}"/>
    <cellStyle name="20% - 强调文字颜色 3 3 10" xfId="1775" xr:uid="{00000000-0005-0000-0000-00001E070000}"/>
    <cellStyle name="20% - 强调文字颜色 3 3 10 2" xfId="1779" xr:uid="{00000000-0005-0000-0000-000022070000}"/>
    <cellStyle name="20% - 强调文字颜色 3 3 11" xfId="1781" xr:uid="{00000000-0005-0000-0000-000024070000}"/>
    <cellStyle name="20% - 强调文字颜色 3 3 11 2" xfId="1784" xr:uid="{00000000-0005-0000-0000-000027070000}"/>
    <cellStyle name="20% - 强调文字颜色 3 3 12" xfId="1113" xr:uid="{00000000-0005-0000-0000-000088040000}"/>
    <cellStyle name="20% - 强调文字颜色 3 3 2" xfId="242" xr:uid="{00000000-0005-0000-0000-00001F010000}"/>
    <cellStyle name="20% - 强调文字颜色 3 3 2 2" xfId="1789" xr:uid="{00000000-0005-0000-0000-00002C070000}"/>
    <cellStyle name="20% - 强调文字颜色 3 3 3" xfId="1126" xr:uid="{00000000-0005-0000-0000-000095040000}"/>
    <cellStyle name="20% - 强调文字颜色 3 3 3 2" xfId="1791" xr:uid="{00000000-0005-0000-0000-00002E070000}"/>
    <cellStyle name="20% - 强调文字颜色 3 3 4" xfId="1137" xr:uid="{00000000-0005-0000-0000-0000A0040000}"/>
    <cellStyle name="20% - 强调文字颜色 3 3 4 2" xfId="1797" xr:uid="{00000000-0005-0000-0000-000034070000}"/>
    <cellStyle name="20% - 强调文字颜色 3 3 5" xfId="1803" xr:uid="{00000000-0005-0000-0000-00003A070000}"/>
    <cellStyle name="20% - 强调文字颜色 3 3 5 2" xfId="1807" xr:uid="{00000000-0005-0000-0000-00003E070000}"/>
    <cellStyle name="20% - 强调文字颜色 3 3 6" xfId="1813" xr:uid="{00000000-0005-0000-0000-000044070000}"/>
    <cellStyle name="20% - 强调文字颜色 3 3 6 2" xfId="1817" xr:uid="{00000000-0005-0000-0000-000048070000}"/>
    <cellStyle name="20% - 强调文字颜色 3 3 7" xfId="1822" xr:uid="{00000000-0005-0000-0000-00004D070000}"/>
    <cellStyle name="20% - 强调文字颜色 3 3 7 2" xfId="1826" xr:uid="{00000000-0005-0000-0000-000051070000}"/>
    <cellStyle name="20% - 强调文字颜色 3 3 8" xfId="194" xr:uid="{00000000-0005-0000-0000-0000E1000000}"/>
    <cellStyle name="20% - 强调文字颜色 3 3 8 2" xfId="1830" xr:uid="{00000000-0005-0000-0000-000055070000}"/>
    <cellStyle name="20% - 强调文字颜色 3 3 9" xfId="1315" xr:uid="{00000000-0005-0000-0000-000052050000}"/>
    <cellStyle name="20% - 强调文字颜色 3 3 9 2" xfId="1832" xr:uid="{00000000-0005-0000-0000-000057070000}"/>
    <cellStyle name="20% - 强调文字颜色 3 4" xfId="1839" xr:uid="{00000000-0005-0000-0000-00005E070000}"/>
    <cellStyle name="20% - 强调文字颜色 3 4 10" xfId="1840" xr:uid="{00000000-0005-0000-0000-00005F070000}"/>
    <cellStyle name="20% - 强调文字颜色 3 4 10 2" xfId="1842" xr:uid="{00000000-0005-0000-0000-000061070000}"/>
    <cellStyle name="20% - 强调文字颜色 3 4 11" xfId="1844" xr:uid="{00000000-0005-0000-0000-000063070000}"/>
    <cellStyle name="20% - 强调文字颜色 3 4 11 2" xfId="1851" xr:uid="{00000000-0005-0000-0000-00006A070000}"/>
    <cellStyle name="20% - 强调文字颜色 3 4 12" xfId="1853" xr:uid="{00000000-0005-0000-0000-00006C070000}"/>
    <cellStyle name="20% - 强调文字颜色 3 4 13" xfId="1860" xr:uid="{00000000-0005-0000-0000-000073070000}"/>
    <cellStyle name="20% - 强调文字颜色 3 4 2" xfId="1863" xr:uid="{00000000-0005-0000-0000-000076070000}"/>
    <cellStyle name="20% - 强调文字颜色 3 4 2 2" xfId="728" xr:uid="{00000000-0005-0000-0000-000007030000}"/>
    <cellStyle name="20% - 强调文字颜色 3 4 3" xfId="1865" xr:uid="{00000000-0005-0000-0000-000078070000}"/>
    <cellStyle name="20% - 强调文字颜色 3 4 3 2" xfId="260" xr:uid="{00000000-0005-0000-0000-000033010000}"/>
    <cellStyle name="20% - 强调文字颜色 3 4 4" xfId="1870" xr:uid="{00000000-0005-0000-0000-00007D070000}"/>
    <cellStyle name="20% - 强调文字颜色 3 4 4 2" xfId="1231" xr:uid="{00000000-0005-0000-0000-0000FE040000}"/>
    <cellStyle name="20% - 强调文字颜色 3 4 5" xfId="1874" xr:uid="{00000000-0005-0000-0000-000081070000}"/>
    <cellStyle name="20% - 强调文字颜色 3 4 5 2" xfId="1875" xr:uid="{00000000-0005-0000-0000-000082070000}"/>
    <cellStyle name="20% - 强调文字颜色 3 4 6" xfId="1878" xr:uid="{00000000-0005-0000-0000-000085070000}"/>
    <cellStyle name="20% - 强调文字颜色 3 4 6 2" xfId="1431" xr:uid="{00000000-0005-0000-0000-0000C6050000}"/>
    <cellStyle name="20% - 强调文字颜色 3 4 7" xfId="1880" xr:uid="{00000000-0005-0000-0000-000087070000}"/>
    <cellStyle name="20% - 强调文字颜色 3 4 7 2" xfId="1881" xr:uid="{00000000-0005-0000-0000-000088070000}"/>
    <cellStyle name="20% - 强调文字颜色 3 4 8" xfId="1883" xr:uid="{00000000-0005-0000-0000-00008A070000}"/>
    <cellStyle name="20% - 强调文字颜色 3 4 8 2" xfId="1885" xr:uid="{00000000-0005-0000-0000-00008C070000}"/>
    <cellStyle name="20% - 强调文字颜色 3 4 9" xfId="1886" xr:uid="{00000000-0005-0000-0000-00008D070000}"/>
    <cellStyle name="20% - 强调文字颜色 3 4 9 2" xfId="88" xr:uid="{00000000-0005-0000-0000-000067000000}"/>
    <cellStyle name="20% - 强调文字颜色 3 5" xfId="1891" xr:uid="{00000000-0005-0000-0000-000092070000}"/>
    <cellStyle name="20% - 强调文字颜色 3 5 2" xfId="1892" xr:uid="{00000000-0005-0000-0000-000093070000}"/>
    <cellStyle name="20% - 强调文字颜色 3 5 2 2" xfId="961" xr:uid="{00000000-0005-0000-0000-0000F0030000}"/>
    <cellStyle name="20% - 强调文字颜色 3 5 3" xfId="1893" xr:uid="{00000000-0005-0000-0000-000094070000}"/>
    <cellStyle name="20% - 强调文字颜色 3 5 4" xfId="470" xr:uid="{00000000-0005-0000-0000-000005020000}"/>
    <cellStyle name="20% - 强调文字颜色 3 6" xfId="942" xr:uid="{00000000-0005-0000-0000-0000DD030000}"/>
    <cellStyle name="20% - 强调文字颜色 3 6 2" xfId="951" xr:uid="{00000000-0005-0000-0000-0000E6030000}"/>
    <cellStyle name="20% - 强调文字颜色 3 6 2 2" xfId="48" xr:uid="{00000000-0005-0000-0000-000037000000}"/>
    <cellStyle name="20% - 强调文字颜色 3 6 3" xfId="1894" xr:uid="{00000000-0005-0000-0000-000095070000}"/>
    <cellStyle name="20% - 强调文字颜色 3 6 4" xfId="1896" xr:uid="{00000000-0005-0000-0000-000097070000}"/>
    <cellStyle name="20% - 强调文字颜色 3 7" xfId="1212" xr:uid="{00000000-0005-0000-0000-0000EB040000}"/>
    <cellStyle name="20% - 强调文字颜色 3 7 2" xfId="1899" xr:uid="{00000000-0005-0000-0000-00009A070000}"/>
    <cellStyle name="20% - 强调文字颜色 3 7 2 2" xfId="1900" xr:uid="{00000000-0005-0000-0000-00009B070000}"/>
    <cellStyle name="20% - 强调文字颜色 3 7 2 3" xfId="1903" xr:uid="{00000000-0005-0000-0000-00009E070000}"/>
    <cellStyle name="20% - 强调文字颜色 3 7 3" xfId="1905" xr:uid="{00000000-0005-0000-0000-0000A0070000}"/>
    <cellStyle name="20% - 强调文字颜色 3 7 4" xfId="1174" xr:uid="{00000000-0005-0000-0000-0000C5040000}"/>
    <cellStyle name="20% - 强调文字颜色 3 8" xfId="1217" xr:uid="{00000000-0005-0000-0000-0000F0040000}"/>
    <cellStyle name="20% - 强调文字颜色 3 8 2" xfId="1906" xr:uid="{00000000-0005-0000-0000-0000A1070000}"/>
    <cellStyle name="20% - 强调文字颜色 3 8 2 2" xfId="1907" xr:uid="{00000000-0005-0000-0000-0000A2070000}"/>
    <cellStyle name="20% - 强调文字颜色 3 8 2 3" xfId="1911" xr:uid="{00000000-0005-0000-0000-0000A6070000}"/>
    <cellStyle name="20% - 强调文字颜色 3 8 3" xfId="1912" xr:uid="{00000000-0005-0000-0000-0000A7070000}"/>
    <cellStyle name="20% - 强调文字颜色 3 8 4" xfId="1914" xr:uid="{00000000-0005-0000-0000-0000A9070000}"/>
    <cellStyle name="20% - 强调文字颜色 3 9" xfId="1622" xr:uid="{00000000-0005-0000-0000-000085060000}"/>
    <cellStyle name="20% - 强调文字颜色 3 9 2" xfId="1629" xr:uid="{00000000-0005-0000-0000-00008C060000}"/>
    <cellStyle name="20% - 强调文字颜色 3 9 2 2" xfId="1916" xr:uid="{00000000-0005-0000-0000-0000AB070000}"/>
    <cellStyle name="20% - 强调文字颜色 3 9 2 3" xfId="1920" xr:uid="{00000000-0005-0000-0000-0000AF070000}"/>
    <cellStyle name="20% - 强调文字颜色 3 9 3" xfId="1639" xr:uid="{00000000-0005-0000-0000-000096060000}"/>
    <cellStyle name="20% - 强调文字颜色 3 9 4" xfId="1921" xr:uid="{00000000-0005-0000-0000-0000B0070000}"/>
    <cellStyle name="20% - 强调文字颜色 4 10" xfId="1926" xr:uid="{00000000-0005-0000-0000-0000B5070000}"/>
    <cellStyle name="20% - 强调文字颜色 4 10 2" xfId="1928" xr:uid="{00000000-0005-0000-0000-0000B7070000}"/>
    <cellStyle name="20% - 强调文字颜色 4 10 2 2" xfId="1930" xr:uid="{00000000-0005-0000-0000-0000B9070000}"/>
    <cellStyle name="20% - 强调文字颜色 4 10 2 3" xfId="1536" xr:uid="{00000000-0005-0000-0000-00002F060000}"/>
    <cellStyle name="20% - 强调文字颜色 4 10 3" xfId="816" xr:uid="{00000000-0005-0000-0000-00005F030000}"/>
    <cellStyle name="20% - 强调文字颜色 4 10 4" xfId="1932" xr:uid="{00000000-0005-0000-0000-0000BB070000}"/>
    <cellStyle name="20% - 强调文字颜色 4 11" xfId="1935" xr:uid="{00000000-0005-0000-0000-0000BE070000}"/>
    <cellStyle name="20% - 强调文字颜色 4 11 2" xfId="838" xr:uid="{00000000-0005-0000-0000-000075030000}"/>
    <cellStyle name="20% - 强调文字颜色 4 12" xfId="246" xr:uid="{00000000-0005-0000-0000-000025010000}"/>
    <cellStyle name="20% - 强调文字颜色 4 12 2" xfId="1938" xr:uid="{00000000-0005-0000-0000-0000C1070000}"/>
    <cellStyle name="20% - 强调文字颜色 4 13" xfId="1940" xr:uid="{00000000-0005-0000-0000-0000C3070000}"/>
    <cellStyle name="20% - 强调文字颜色 4 13 2" xfId="647" xr:uid="{00000000-0005-0000-0000-0000B6020000}"/>
    <cellStyle name="20% - 强调文字颜色 4 14" xfId="1941" xr:uid="{00000000-0005-0000-0000-0000C4070000}"/>
    <cellStyle name="20% - 强调文字颜色 4 14 2" xfId="1942" xr:uid="{00000000-0005-0000-0000-0000C5070000}"/>
    <cellStyle name="20% - 强调文字颜色 4 2" xfId="732" xr:uid="{00000000-0005-0000-0000-00000B030000}"/>
    <cellStyle name="20% - 强调文字颜色 4 2 10" xfId="437" xr:uid="{00000000-0005-0000-0000-0000E4010000}"/>
    <cellStyle name="20% - 强调文字颜色 4 2 10 2" xfId="1945" xr:uid="{00000000-0005-0000-0000-0000C8070000}"/>
    <cellStyle name="20% - 强调文字颜色 4 2 11" xfId="1950" xr:uid="{00000000-0005-0000-0000-0000CD070000}"/>
    <cellStyle name="20% - 强调文字颜色 4 2 11 2" xfId="1952" xr:uid="{00000000-0005-0000-0000-0000CF070000}"/>
    <cellStyle name="20% - 强调文字颜色 4 2 12" xfId="1958" xr:uid="{00000000-0005-0000-0000-0000D5070000}"/>
    <cellStyle name="20% - 强调文字颜色 4 2 13" xfId="1961" xr:uid="{00000000-0005-0000-0000-0000D8070000}"/>
    <cellStyle name="20% - 强调文字颜色 4 2 14" xfId="1963" xr:uid="{00000000-0005-0000-0000-0000DA070000}"/>
    <cellStyle name="20% - 强调文字颜色 4 2 15" xfId="1549" xr:uid="{00000000-0005-0000-0000-00003C060000}"/>
    <cellStyle name="20% - 强调文字颜色 4 2 16" xfId="1965" xr:uid="{00000000-0005-0000-0000-0000DC070000}"/>
    <cellStyle name="20% - 强调文字颜色 4 2 2" xfId="1967" xr:uid="{00000000-0005-0000-0000-0000DE070000}"/>
    <cellStyle name="20% - 强调文字颜色 4 2 2 10" xfId="1968" xr:uid="{00000000-0005-0000-0000-0000DF070000}"/>
    <cellStyle name="20% - 强调文字颜色 4 2 2 2" xfId="1134" xr:uid="{00000000-0005-0000-0000-00009D040000}"/>
    <cellStyle name="20% - 强调文字颜色 4 2 2 2 2" xfId="1795" xr:uid="{00000000-0005-0000-0000-000032070000}"/>
    <cellStyle name="20% - 强调文字颜色 4 2 2 2 3" xfId="1971" xr:uid="{00000000-0005-0000-0000-0000E2070000}"/>
    <cellStyle name="20% - 强调文字颜色 4 2 2 3" xfId="1802" xr:uid="{00000000-0005-0000-0000-000039070000}"/>
    <cellStyle name="20% - 强调文字颜色 4 2 2 3 2" xfId="1806" xr:uid="{00000000-0005-0000-0000-00003D070000}"/>
    <cellStyle name="20% - 强调文字颜色 4 2 2 3 3" xfId="1972" xr:uid="{00000000-0005-0000-0000-0000E3070000}"/>
    <cellStyle name="20% - 强调文字颜色 4 2 2 4" xfId="1812" xr:uid="{00000000-0005-0000-0000-000043070000}"/>
    <cellStyle name="20% - 强调文字颜色 4 2 2 5" xfId="1821" xr:uid="{00000000-0005-0000-0000-00004C070000}"/>
    <cellStyle name="20% - 强调文字颜色 4 2 2 6" xfId="193" xr:uid="{00000000-0005-0000-0000-0000E0000000}"/>
    <cellStyle name="20% - 强调文字颜色 4 2 2 7" xfId="1313" xr:uid="{00000000-0005-0000-0000-000050050000}"/>
    <cellStyle name="20% - 强调文字颜色 4 2 2 8" xfId="1211" xr:uid="{00000000-0005-0000-0000-0000EA040000}"/>
    <cellStyle name="20% - 强调文字颜色 4 2 2 9" xfId="949" xr:uid="{00000000-0005-0000-0000-0000E4030000}"/>
    <cellStyle name="20% - 强调文字颜色 4 2 3" xfId="1974" xr:uid="{00000000-0005-0000-0000-0000E5070000}"/>
    <cellStyle name="20% - 强调文字颜色 4 2 3 2" xfId="1867" xr:uid="{00000000-0005-0000-0000-00007A070000}"/>
    <cellStyle name="20% - 强调文字颜色 4 2 3 2 2" xfId="1229" xr:uid="{00000000-0005-0000-0000-0000FC040000}"/>
    <cellStyle name="20% - 强调文字颜色 4 2 3 3" xfId="1872" xr:uid="{00000000-0005-0000-0000-00007F070000}"/>
    <cellStyle name="20% - 强调文字颜色 4 2 3 4" xfId="1876" xr:uid="{00000000-0005-0000-0000-000083070000}"/>
    <cellStyle name="20% - 强调文字颜色 4 2 4" xfId="488" xr:uid="{00000000-0005-0000-0000-000017020000}"/>
    <cellStyle name="20% - 强调文字颜色 4 2 4 2" xfId="473" xr:uid="{00000000-0005-0000-0000-000008020000}"/>
    <cellStyle name="20% - 强调文字颜色 4 2 4 2 2" xfId="478" xr:uid="{00000000-0005-0000-0000-00000D020000}"/>
    <cellStyle name="20% - 强调文字颜色 4 2 4 3" xfId="24" xr:uid="{00000000-0005-0000-0000-00001C000000}"/>
    <cellStyle name="20% - 强调文字颜色 4 2 4 4" xfId="1975" xr:uid="{00000000-0005-0000-0000-0000E6070000}"/>
    <cellStyle name="20% - 强调文字颜色 4 2 5" xfId="1977" xr:uid="{00000000-0005-0000-0000-0000E8070000}"/>
    <cellStyle name="20% - 强调文字颜色 4 2 5 2" xfId="1895" xr:uid="{00000000-0005-0000-0000-000096070000}"/>
    <cellStyle name="20% - 强调文字颜色 4 2 5 2 2" xfId="1772" xr:uid="{00000000-0005-0000-0000-00001B070000}"/>
    <cellStyle name="20% - 强调文字颜色 4 2 5 3" xfId="1978" xr:uid="{00000000-0005-0000-0000-0000E9070000}"/>
    <cellStyle name="20% - 强调文字颜色 4 2 5 4" xfId="1979" xr:uid="{00000000-0005-0000-0000-0000EA070000}"/>
    <cellStyle name="20% - 强调文字颜色 4 2 6" xfId="1981" xr:uid="{00000000-0005-0000-0000-0000EC070000}"/>
    <cellStyle name="20% - 强调文字颜色 4 2 6 2" xfId="1172" xr:uid="{00000000-0005-0000-0000-0000C3040000}"/>
    <cellStyle name="20% - 强调文字颜色 4 2 6 2 2" xfId="1982" xr:uid="{00000000-0005-0000-0000-0000ED070000}"/>
    <cellStyle name="20% - 强调文字颜色 4 2 6 3" xfId="54" xr:uid="{00000000-0005-0000-0000-00003E000000}"/>
    <cellStyle name="20% - 强调文字颜色 4 2 6 4" xfId="1984" xr:uid="{00000000-0005-0000-0000-0000EF070000}"/>
    <cellStyle name="20% - 强调文字颜色 4 2 7" xfId="1985" xr:uid="{00000000-0005-0000-0000-0000F0070000}"/>
    <cellStyle name="20% - 强调文字颜色 4 2 7 2" xfId="1913" xr:uid="{00000000-0005-0000-0000-0000A8070000}"/>
    <cellStyle name="20% - 强调文字颜色 4 2 7 2 2" xfId="1986" xr:uid="{00000000-0005-0000-0000-0000F1070000}"/>
    <cellStyle name="20% - 强调文字颜色 4 2 7 3" xfId="1987" xr:uid="{00000000-0005-0000-0000-0000F2070000}"/>
    <cellStyle name="20% - 强调文字颜色 4 2 7 4" xfId="1988" xr:uid="{00000000-0005-0000-0000-0000F3070000}"/>
    <cellStyle name="20% - 强调文字颜色 4 2 8" xfId="1990" xr:uid="{00000000-0005-0000-0000-0000F5070000}"/>
    <cellStyle name="20% - 强调文字颜色 4 2 8 2" xfId="1924" xr:uid="{00000000-0005-0000-0000-0000B3070000}"/>
    <cellStyle name="20% - 强调文字颜色 4 2 8 3" xfId="1994" xr:uid="{00000000-0005-0000-0000-0000F9070000}"/>
    <cellStyle name="20% - 强调文字颜色 4 2 9" xfId="806" xr:uid="{00000000-0005-0000-0000-000055030000}"/>
    <cellStyle name="20% - 强调文字颜色 4 2 9 2" xfId="1996" xr:uid="{00000000-0005-0000-0000-0000FB070000}"/>
    <cellStyle name="20% - 强调文字颜色 4 2 9 3" xfId="1998" xr:uid="{00000000-0005-0000-0000-0000FD070000}"/>
    <cellStyle name="20% - 强调文字颜色 4 2_成本利润预算(公司目标)" xfId="1999" xr:uid="{00000000-0005-0000-0000-0000FE070000}"/>
    <cellStyle name="20% - 强调文字颜色 4 3" xfId="741" xr:uid="{00000000-0005-0000-0000-000014030000}"/>
    <cellStyle name="20% - 强调文字颜色 4 3 10" xfId="1064" xr:uid="{00000000-0005-0000-0000-000057040000}"/>
    <cellStyle name="20% - 强调文字颜色 4 3 10 2" xfId="1578" xr:uid="{00000000-0005-0000-0000-000059060000}"/>
    <cellStyle name="20% - 强调文字颜色 4 3 11" xfId="149" xr:uid="{00000000-0005-0000-0000-0000A9000000}"/>
    <cellStyle name="20% - 强调文字颜色 4 3 11 2" xfId="1834" xr:uid="{00000000-0005-0000-0000-000059070000}"/>
    <cellStyle name="20% - 强调文字颜色 4 3 12" xfId="2002" xr:uid="{00000000-0005-0000-0000-000001080000}"/>
    <cellStyle name="20% - 强调文字颜色 4 3 2" xfId="2004" xr:uid="{00000000-0005-0000-0000-000003080000}"/>
    <cellStyle name="20% - 强调文字颜色 4 3 2 2" xfId="2009" xr:uid="{00000000-0005-0000-0000-000008080000}"/>
    <cellStyle name="20% - 强调文字颜色 4 3 3" xfId="2011" xr:uid="{00000000-0005-0000-0000-00000A080000}"/>
    <cellStyle name="20% - 强调文字颜色 4 3 3 2" xfId="1391" xr:uid="{00000000-0005-0000-0000-00009E050000}"/>
    <cellStyle name="20% - 强调文字颜色 4 3 4" xfId="2006" xr:uid="{00000000-0005-0000-0000-000005080000}"/>
    <cellStyle name="20% - 强调文字颜色 4 3 4 2" xfId="134" xr:uid="{00000000-0005-0000-0000-000099000000}"/>
    <cellStyle name="20% - 强调文字颜色 4 3 5" xfId="2012" xr:uid="{00000000-0005-0000-0000-00000B080000}"/>
    <cellStyle name="20% - 强调文字颜色 4 3 5 2" xfId="539" xr:uid="{00000000-0005-0000-0000-00004A020000}"/>
    <cellStyle name="20% - 强调文字颜色 4 3 6" xfId="2013" xr:uid="{00000000-0005-0000-0000-00000C080000}"/>
    <cellStyle name="20% - 强调文字颜色 4 3 6 2" xfId="925" xr:uid="{00000000-0005-0000-0000-0000CC030000}"/>
    <cellStyle name="20% - 强调文字颜色 4 3 7" xfId="2014" xr:uid="{00000000-0005-0000-0000-00000D080000}"/>
    <cellStyle name="20% - 强调文字颜色 4 3 7 2" xfId="2017" xr:uid="{00000000-0005-0000-0000-000010080000}"/>
    <cellStyle name="20% - 强调文字颜色 4 3 8" xfId="1012" xr:uid="{00000000-0005-0000-0000-000023040000}"/>
    <cellStyle name="20% - 强调文字颜色 4 3 8 2" xfId="1261" xr:uid="{00000000-0005-0000-0000-00001C050000}"/>
    <cellStyle name="20% - 强调文字颜色 4 3 9" xfId="1016" xr:uid="{00000000-0005-0000-0000-000027040000}"/>
    <cellStyle name="20% - 强调文字颜色 4 3 9 2" xfId="1299" xr:uid="{00000000-0005-0000-0000-000042050000}"/>
    <cellStyle name="20% - 强调文字颜色 4 4" xfId="1382" xr:uid="{00000000-0005-0000-0000-000095050000}"/>
    <cellStyle name="20% - 强调文字颜色 4 4 10" xfId="2018" xr:uid="{00000000-0005-0000-0000-000011080000}"/>
    <cellStyle name="20% - 强调文字颜色 4 4 10 2" xfId="464" xr:uid="{00000000-0005-0000-0000-0000FF010000}"/>
    <cellStyle name="20% - 强调文字颜色 4 4 11" xfId="2023" xr:uid="{00000000-0005-0000-0000-000016080000}"/>
    <cellStyle name="20% - 强调文字颜色 4 4 11 2" xfId="1476" xr:uid="{00000000-0005-0000-0000-0000F3050000}"/>
    <cellStyle name="20% - 强调文字颜色 4 4 12" xfId="2028" xr:uid="{00000000-0005-0000-0000-00001B080000}"/>
    <cellStyle name="20% - 强调文字颜色 4 4 13" xfId="2030" xr:uid="{00000000-0005-0000-0000-00001D080000}"/>
    <cellStyle name="20% - 强调文字颜色 4 4 2" xfId="92" xr:uid="{00000000-0005-0000-0000-00006B000000}"/>
    <cellStyle name="20% - 强调文字颜色 4 4 2 2" xfId="129" xr:uid="{00000000-0005-0000-0000-000093000000}"/>
    <cellStyle name="20% - 强调文字颜色 4 4 3" xfId="1365" xr:uid="{00000000-0005-0000-0000-000084050000}"/>
    <cellStyle name="20% - 强调文字颜色 4 4 3 2" xfId="1371" xr:uid="{00000000-0005-0000-0000-00008A050000}"/>
    <cellStyle name="20% - 强调文字颜色 4 4 4" xfId="1389" xr:uid="{00000000-0005-0000-0000-00009C050000}"/>
    <cellStyle name="20% - 强调文字颜色 4 4 4 2" xfId="1397" xr:uid="{00000000-0005-0000-0000-0000A4050000}"/>
    <cellStyle name="20% - 强调文字颜色 4 4 5" xfId="1406" xr:uid="{00000000-0005-0000-0000-0000AD050000}"/>
    <cellStyle name="20% - 强调文字颜色 4 4 5 2" xfId="254" xr:uid="{00000000-0005-0000-0000-00002D010000}"/>
    <cellStyle name="20% - 强调文字颜色 4 4 6" xfId="1410" xr:uid="{00000000-0005-0000-0000-0000B1050000}"/>
    <cellStyle name="20% - 强调文字颜色 4 4 6 2" xfId="1415" xr:uid="{00000000-0005-0000-0000-0000B6050000}"/>
    <cellStyle name="20% - 强调文字颜色 4 4 7" xfId="1418" xr:uid="{00000000-0005-0000-0000-0000B9050000}"/>
    <cellStyle name="20% - 强调文字颜色 4 4 7 2" xfId="1419" xr:uid="{00000000-0005-0000-0000-0000BA050000}"/>
    <cellStyle name="20% - 强调文字颜色 4 4 8" xfId="2032" xr:uid="{00000000-0005-0000-0000-00001F080000}"/>
    <cellStyle name="20% - 强调文字颜色 4 4 8 2" xfId="1482" xr:uid="{00000000-0005-0000-0000-0000F9050000}"/>
    <cellStyle name="20% - 强调文字颜色 4 4 9" xfId="2035" xr:uid="{00000000-0005-0000-0000-000022080000}"/>
    <cellStyle name="20% - 强调文字颜色 4 4 9 2" xfId="17" xr:uid="{00000000-0005-0000-0000-000015000000}"/>
    <cellStyle name="20% - 强调文字颜色 4 5" xfId="2037" xr:uid="{00000000-0005-0000-0000-000024080000}"/>
    <cellStyle name="20% - 强调文字颜色 4 5 2" xfId="2038" xr:uid="{00000000-0005-0000-0000-000025080000}"/>
    <cellStyle name="20% - 强调文字颜色 4 5 2 2" xfId="2040" xr:uid="{00000000-0005-0000-0000-000027080000}"/>
    <cellStyle name="20% - 强调文字颜色 4 5 3" xfId="117" xr:uid="{00000000-0005-0000-0000-000087000000}"/>
    <cellStyle name="20% - 强调文字颜色 4 5 4" xfId="132" xr:uid="{00000000-0005-0000-0000-000097000000}"/>
    <cellStyle name="20% - 强调文字颜色 4 6" xfId="454" xr:uid="{00000000-0005-0000-0000-0000F5010000}"/>
    <cellStyle name="20% - 强调文字颜色 4 6 2" xfId="1461" xr:uid="{00000000-0005-0000-0000-0000E4050000}"/>
    <cellStyle name="20% - 强调文字颜色 4 6 2 2" xfId="2042" xr:uid="{00000000-0005-0000-0000-000029080000}"/>
    <cellStyle name="20% - 强调文字颜色 4 6 3" xfId="45" xr:uid="{00000000-0005-0000-0000-000034000000}"/>
    <cellStyle name="20% - 强调文字颜色 4 6 4" xfId="537" xr:uid="{00000000-0005-0000-0000-000048020000}"/>
    <cellStyle name="20% - 强调文字颜色 4 7" xfId="461" xr:uid="{00000000-0005-0000-0000-0000FC010000}"/>
    <cellStyle name="20% - 强调文字颜色 4 7 2" xfId="195" xr:uid="{00000000-0005-0000-0000-0000E2000000}"/>
    <cellStyle name="20% - 强调文字颜色 4 7 2 2" xfId="2044" xr:uid="{00000000-0005-0000-0000-00002B080000}"/>
    <cellStyle name="20% - 强调文字颜色 4 7 2 3" xfId="2048" xr:uid="{00000000-0005-0000-0000-00002F080000}"/>
    <cellStyle name="20% - 强调文字颜色 4 7 3" xfId="175" xr:uid="{00000000-0005-0000-0000-0000C8000000}"/>
    <cellStyle name="20% - 强调文字颜色 4 7 4" xfId="923" xr:uid="{00000000-0005-0000-0000-0000CA030000}"/>
    <cellStyle name="20% - 强调文字颜色 4 8" xfId="1464" xr:uid="{00000000-0005-0000-0000-0000E7050000}"/>
    <cellStyle name="20% - 强调文字颜色 4 8 2" xfId="2049" xr:uid="{00000000-0005-0000-0000-000030080000}"/>
    <cellStyle name="20% - 强调文字颜色 4 8 2 2" xfId="1095" xr:uid="{00000000-0005-0000-0000-000076040000}"/>
    <cellStyle name="20% - 强调文字颜色 4 8 2 3" xfId="2050" xr:uid="{00000000-0005-0000-0000-000031080000}"/>
    <cellStyle name="20% - 强调文字颜色 4 8 3" xfId="2052" xr:uid="{00000000-0005-0000-0000-000033080000}"/>
    <cellStyle name="20% - 强调文字颜色 4 8 4" xfId="2016" xr:uid="{00000000-0005-0000-0000-00000F080000}"/>
    <cellStyle name="20% - 强调文字颜色 4 9" xfId="1619" xr:uid="{00000000-0005-0000-0000-000082060000}"/>
    <cellStyle name="20% - 强调文字颜色 4 9 2" xfId="385" xr:uid="{00000000-0005-0000-0000-0000B0010000}"/>
    <cellStyle name="20% - 强调文字颜色 4 9 2 2" xfId="396" xr:uid="{00000000-0005-0000-0000-0000BB010000}"/>
    <cellStyle name="20% - 强调文字颜色 4 9 2 3" xfId="406" xr:uid="{00000000-0005-0000-0000-0000C5010000}"/>
    <cellStyle name="20% - 强调文字颜色 4 9 3" xfId="424" xr:uid="{00000000-0005-0000-0000-0000D7010000}"/>
    <cellStyle name="20% - 强调文字颜色 4 9 4" xfId="1259" xr:uid="{00000000-0005-0000-0000-00001A050000}"/>
    <cellStyle name="20% - 强调文字颜色 5 10" xfId="1131" xr:uid="{00000000-0005-0000-0000-00009A040000}"/>
    <cellStyle name="20% - 强调文字颜色 5 10 2" xfId="1793" xr:uid="{00000000-0005-0000-0000-000030070000}"/>
    <cellStyle name="20% - 强调文字颜色 5 10 2 2" xfId="2055" xr:uid="{00000000-0005-0000-0000-000036080000}"/>
    <cellStyle name="20% - 强调文字颜色 5 10 2 3" xfId="2061" xr:uid="{00000000-0005-0000-0000-00003C080000}"/>
    <cellStyle name="20% - 强调文字颜色 5 10 3" xfId="1970" xr:uid="{00000000-0005-0000-0000-0000E1070000}"/>
    <cellStyle name="20% - 强调文字颜色 5 10 4" xfId="2064" xr:uid="{00000000-0005-0000-0000-00003F080000}"/>
    <cellStyle name="20% - 强调文字颜色 5 11" xfId="1799" xr:uid="{00000000-0005-0000-0000-000036070000}"/>
    <cellStyle name="20% - 强调文字颜色 5 11 2" xfId="1805" xr:uid="{00000000-0005-0000-0000-00003C070000}"/>
    <cellStyle name="20% - 强调文字颜色 5 12" xfId="1810" xr:uid="{00000000-0005-0000-0000-000041070000}"/>
    <cellStyle name="20% - 强调文字颜色 5 12 2" xfId="1815" xr:uid="{00000000-0005-0000-0000-000046070000}"/>
    <cellStyle name="20% - 强调文字颜色 5 13" xfId="1820" xr:uid="{00000000-0005-0000-0000-00004B070000}"/>
    <cellStyle name="20% - 强调文字颜色 5 13 2" xfId="1825" xr:uid="{00000000-0005-0000-0000-000050070000}"/>
    <cellStyle name="20% - 强调文字颜色 5 14" xfId="192" xr:uid="{00000000-0005-0000-0000-0000DE000000}"/>
    <cellStyle name="20% - 强调文字颜色 5 14 2" xfId="1829" xr:uid="{00000000-0005-0000-0000-000054070000}"/>
    <cellStyle name="20% - 强调文字颜色 5 2" xfId="2066" xr:uid="{00000000-0005-0000-0000-000041080000}"/>
    <cellStyle name="20% - 强调文字颜色 5 2 10" xfId="2069" xr:uid="{00000000-0005-0000-0000-000044080000}"/>
    <cellStyle name="20% - 强调文字颜色 5 2 10 2" xfId="68" xr:uid="{00000000-0005-0000-0000-000051000000}"/>
    <cellStyle name="20% - 强调文字颜色 5 2 11" xfId="2070" xr:uid="{00000000-0005-0000-0000-000045080000}"/>
    <cellStyle name="20% - 强调文字颜色 5 2 11 2" xfId="1697" xr:uid="{00000000-0005-0000-0000-0000D0060000}"/>
    <cellStyle name="20% - 强调文字颜色 5 2 12" xfId="1565" xr:uid="{00000000-0005-0000-0000-00004C060000}"/>
    <cellStyle name="20% - 强调文字颜色 5 2 13" xfId="2073" xr:uid="{00000000-0005-0000-0000-000048080000}"/>
    <cellStyle name="20% - 强调文字颜色 5 2 14" xfId="2075" xr:uid="{00000000-0005-0000-0000-00004A080000}"/>
    <cellStyle name="20% - 强调文字颜色 5 2 15" xfId="1191" xr:uid="{00000000-0005-0000-0000-0000D6040000}"/>
    <cellStyle name="20% - 强调文字颜色 5 2 16" xfId="2078" xr:uid="{00000000-0005-0000-0000-00004D080000}"/>
    <cellStyle name="20% - 强调文字颜色 5 2 2" xfId="681" xr:uid="{00000000-0005-0000-0000-0000D8020000}"/>
    <cellStyle name="20% - 强调文字颜色 5 2 2 10" xfId="1079" xr:uid="{00000000-0005-0000-0000-000066040000}"/>
    <cellStyle name="20% - 强调文字颜色 5 2 2 2" xfId="759" xr:uid="{00000000-0005-0000-0000-000026030000}"/>
    <cellStyle name="20% - 强调文字颜色 5 2 2 2 2" xfId="772" xr:uid="{00000000-0005-0000-0000-000033030000}"/>
    <cellStyle name="20% - 强调文字颜色 5 2 2 2 3" xfId="778" xr:uid="{00000000-0005-0000-0000-000039030000}"/>
    <cellStyle name="20% - 强调文字颜色 5 2 2 3" xfId="889" xr:uid="{00000000-0005-0000-0000-0000A8030000}"/>
    <cellStyle name="20% - 强调文字颜色 5 2 2 3 2" xfId="901" xr:uid="{00000000-0005-0000-0000-0000B4030000}"/>
    <cellStyle name="20% - 强调文字颜色 5 2 2 3 3" xfId="906" xr:uid="{00000000-0005-0000-0000-0000B9030000}"/>
    <cellStyle name="20% - 强调文字颜色 5 2 2 4" xfId="2081" xr:uid="{00000000-0005-0000-0000-000050080000}"/>
    <cellStyle name="20% - 强调文字颜色 5 2 2 5" xfId="2084" xr:uid="{00000000-0005-0000-0000-000053080000}"/>
    <cellStyle name="20% - 强调文字颜色 5 2 2 6" xfId="1849" xr:uid="{00000000-0005-0000-0000-000068070000}"/>
    <cellStyle name="20% - 强调文字颜色 5 2 2 7" xfId="1573" xr:uid="{00000000-0005-0000-0000-000054060000}"/>
    <cellStyle name="20% - 强调文字颜色 5 2 2 8" xfId="2089" xr:uid="{00000000-0005-0000-0000-000058080000}"/>
    <cellStyle name="20% - 强调文字颜色 5 2 2 9" xfId="2093" xr:uid="{00000000-0005-0000-0000-00005C080000}"/>
    <cellStyle name="20% - 强调文字颜色 5 2 3" xfId="1056" xr:uid="{00000000-0005-0000-0000-00004F040000}"/>
    <cellStyle name="20% - 强调文字颜色 5 2 3 2" xfId="1062" xr:uid="{00000000-0005-0000-0000-000055040000}"/>
    <cellStyle name="20% - 强调文字颜色 5 2 3 2 2" xfId="1577" xr:uid="{00000000-0005-0000-0000-000058060000}"/>
    <cellStyle name="20% - 强调文字颜色 5 2 3 3" xfId="148" xr:uid="{00000000-0005-0000-0000-0000A8000000}"/>
    <cellStyle name="20% - 强调文字颜色 5 2 3 4" xfId="2001" xr:uid="{00000000-0005-0000-0000-000000080000}"/>
    <cellStyle name="20% - 强调文字颜色 5 2 4" xfId="2095" xr:uid="{00000000-0005-0000-0000-00005E080000}"/>
    <cellStyle name="20% - 强调文字颜色 5 2 4 2" xfId="2100" xr:uid="{00000000-0005-0000-0000-000063080000}"/>
    <cellStyle name="20% - 强调文字颜色 5 2 4 2 2" xfId="810" xr:uid="{00000000-0005-0000-0000-000059030000}"/>
    <cellStyle name="20% - 强调文字颜色 5 2 4 3" xfId="2103" xr:uid="{00000000-0005-0000-0000-000066080000}"/>
    <cellStyle name="20% - 强调文字颜色 5 2 4 4" xfId="2105" xr:uid="{00000000-0005-0000-0000-000068080000}"/>
    <cellStyle name="20% - 强调文字颜色 5 2 5" xfId="2108" xr:uid="{00000000-0005-0000-0000-00006B080000}"/>
    <cellStyle name="20% - 强调文字颜色 5 2 5 2" xfId="2111" xr:uid="{00000000-0005-0000-0000-00006E080000}"/>
    <cellStyle name="20% - 强调文字颜色 5 2 5 2 2" xfId="2115" xr:uid="{00000000-0005-0000-0000-000072080000}"/>
    <cellStyle name="20% - 强调文字颜色 5 2 5 3" xfId="2119" xr:uid="{00000000-0005-0000-0000-000076080000}"/>
    <cellStyle name="20% - 强调文字颜色 5 2 5 4" xfId="2124" xr:uid="{00000000-0005-0000-0000-00007B080000}"/>
    <cellStyle name="20% - 强调文字颜色 5 2 6" xfId="2126" xr:uid="{00000000-0005-0000-0000-00007D080000}"/>
    <cellStyle name="20% - 强调文字颜色 5 2 6 2" xfId="1859" xr:uid="{00000000-0005-0000-0000-000072070000}"/>
    <cellStyle name="20% - 强调文字颜色 5 2 6 2 2" xfId="2133" xr:uid="{00000000-0005-0000-0000-000084080000}"/>
    <cellStyle name="20% - 强调文字颜色 5 2 6 3" xfId="1028" xr:uid="{00000000-0005-0000-0000-000033040000}"/>
    <cellStyle name="20% - 强调文字颜色 5 2 6 4" xfId="2139" xr:uid="{00000000-0005-0000-0000-00008A080000}"/>
    <cellStyle name="20% - 强调文字颜色 5 2 7" xfId="333" xr:uid="{00000000-0005-0000-0000-00007C010000}"/>
    <cellStyle name="20% - 强调文字颜色 5 2 7 2" xfId="2142" xr:uid="{00000000-0005-0000-0000-00008D080000}"/>
    <cellStyle name="20% - 强调文字颜色 5 2 7 2 2" xfId="642" xr:uid="{00000000-0005-0000-0000-0000B1020000}"/>
    <cellStyle name="20% - 强调文字颜色 5 2 7 3" xfId="2149" xr:uid="{00000000-0005-0000-0000-000094080000}"/>
    <cellStyle name="20% - 强调文字颜色 5 2 7 4" xfId="2156" xr:uid="{00000000-0005-0000-0000-00009B080000}"/>
    <cellStyle name="20% - 强调文字颜色 5 2 8" xfId="336" xr:uid="{00000000-0005-0000-0000-00007F010000}"/>
    <cellStyle name="20% - 强调文字颜色 5 2 8 2" xfId="2022" xr:uid="{00000000-0005-0000-0000-000015080000}"/>
    <cellStyle name="20% - 强调文字颜色 5 2 8 3" xfId="2026" xr:uid="{00000000-0005-0000-0000-000019080000}"/>
    <cellStyle name="20% - 强调文字颜色 5 2 9" xfId="343" xr:uid="{00000000-0005-0000-0000-000086010000}"/>
    <cellStyle name="20% - 强调文字颜色 5 2 9 2" xfId="2162" xr:uid="{00000000-0005-0000-0000-0000A1080000}"/>
    <cellStyle name="20% - 强调文字颜色 5 2 9 3" xfId="2164" xr:uid="{00000000-0005-0000-0000-0000A3080000}"/>
    <cellStyle name="20% - 强调文字颜色 5 2_成本利润预算(公司目标)" xfId="2165" xr:uid="{00000000-0005-0000-0000-0000A4080000}"/>
    <cellStyle name="20% - 强调文字颜色 5 3" xfId="2169" xr:uid="{00000000-0005-0000-0000-0000A8080000}"/>
    <cellStyle name="20% - 强调文字颜色 5 3 10" xfId="576" xr:uid="{00000000-0005-0000-0000-00006F020000}"/>
    <cellStyle name="20% - 强调文字颜色 5 3 10 2" xfId="417" xr:uid="{00000000-0005-0000-0000-0000D0010000}"/>
    <cellStyle name="20% - 强调文字颜色 5 3 11" xfId="582" xr:uid="{00000000-0005-0000-0000-000075020000}"/>
    <cellStyle name="20% - 强调文字颜色 5 3 11 2" xfId="2171" xr:uid="{00000000-0005-0000-0000-0000AA080000}"/>
    <cellStyle name="20% - 强调文字颜色 5 3 12" xfId="1036" xr:uid="{00000000-0005-0000-0000-00003B040000}"/>
    <cellStyle name="20% - 强调文字颜色 5 3 2" xfId="2077" xr:uid="{00000000-0005-0000-0000-00004C080000}"/>
    <cellStyle name="20% - 强调文字颜色 5 3 2 2" xfId="2174" xr:uid="{00000000-0005-0000-0000-0000AD080000}"/>
    <cellStyle name="20% - 强调文字颜色 5 3 3" xfId="116" xr:uid="{00000000-0005-0000-0000-000085000000}"/>
    <cellStyle name="20% - 强调文字颜色 5 3 3 2" xfId="2177" xr:uid="{00000000-0005-0000-0000-0000B0080000}"/>
    <cellStyle name="20% - 强调文字颜色 5 3 4" xfId="126" xr:uid="{00000000-0005-0000-0000-000090000000}"/>
    <cellStyle name="20% - 强调文字颜色 5 3 4 2" xfId="2180" xr:uid="{00000000-0005-0000-0000-0000B3080000}"/>
    <cellStyle name="20% - 强调文字颜色 5 3 5" xfId="155" xr:uid="{00000000-0005-0000-0000-0000AF000000}"/>
    <cellStyle name="20% - 强调文字颜色 5 3 5 2" xfId="2185" xr:uid="{00000000-0005-0000-0000-0000B8080000}"/>
    <cellStyle name="20% - 强调文字颜色 5 3 6" xfId="75" xr:uid="{00000000-0005-0000-0000-000058000000}"/>
    <cellStyle name="20% - 强调文字颜色 5 3 6 2" xfId="2189" xr:uid="{00000000-0005-0000-0000-0000BC080000}"/>
    <cellStyle name="20% - 强调文字颜色 5 3 7" xfId="351" xr:uid="{00000000-0005-0000-0000-00008E010000}"/>
    <cellStyle name="20% - 强调文字颜色 5 3 7 2" xfId="542" xr:uid="{00000000-0005-0000-0000-00004D020000}"/>
    <cellStyle name="20% - 强调文字颜色 5 3 8" xfId="355" xr:uid="{00000000-0005-0000-0000-000092010000}"/>
    <cellStyle name="20% - 强调文字颜色 5 3 8 2" xfId="1204" xr:uid="{00000000-0005-0000-0000-0000E3040000}"/>
    <cellStyle name="20% - 强调文字颜色 5 3 9" xfId="360" xr:uid="{00000000-0005-0000-0000-000097010000}"/>
    <cellStyle name="20% - 强调文字颜色 5 3 9 2" xfId="2190" xr:uid="{00000000-0005-0000-0000-0000BD080000}"/>
    <cellStyle name="20% - 强调文字颜色 5 4" xfId="991" xr:uid="{00000000-0005-0000-0000-00000E040000}"/>
    <cellStyle name="20% - 强调文字颜色 5 4 10" xfId="1334" xr:uid="{00000000-0005-0000-0000-000065050000}"/>
    <cellStyle name="20% - 强调文字颜色 5 4 10 2" xfId="1107" xr:uid="{00000000-0005-0000-0000-000082040000}"/>
    <cellStyle name="20% - 强调文字颜色 5 4 11" xfId="1338" xr:uid="{00000000-0005-0000-0000-000069050000}"/>
    <cellStyle name="20% - 强调文字颜色 5 4 11 2" xfId="1159" xr:uid="{00000000-0005-0000-0000-0000B6040000}"/>
    <cellStyle name="20% - 强调文字颜色 5 4 12" xfId="1343" xr:uid="{00000000-0005-0000-0000-00006E050000}"/>
    <cellStyle name="20% - 强调文字颜色 5 4 13" xfId="1352" xr:uid="{00000000-0005-0000-0000-000077050000}"/>
    <cellStyle name="20% - 强调文字颜色 5 4 2" xfId="2195" xr:uid="{00000000-0005-0000-0000-0000C2080000}"/>
    <cellStyle name="20% - 强调文字颜色 5 4 2 2" xfId="1503" xr:uid="{00000000-0005-0000-0000-00000E060000}"/>
    <cellStyle name="20% - 强调文字颜色 5 4 3" xfId="2199" xr:uid="{00000000-0005-0000-0000-0000C6080000}"/>
    <cellStyle name="20% - 强调文字颜色 5 4 3 2" xfId="1764" xr:uid="{00000000-0005-0000-0000-000013070000}"/>
    <cellStyle name="20% - 强调文字颜色 5 4 4" xfId="1375" xr:uid="{00000000-0005-0000-0000-00008E050000}"/>
    <cellStyle name="20% - 强调文字颜色 5 4 4 2" xfId="737" xr:uid="{00000000-0005-0000-0000-000010030000}"/>
    <cellStyle name="20% - 强调文字颜色 5 4 5" xfId="1386" xr:uid="{00000000-0005-0000-0000-000099050000}"/>
    <cellStyle name="20% - 强调文字颜色 5 4 5 2" xfId="2170" xr:uid="{00000000-0005-0000-0000-0000A9080000}"/>
    <cellStyle name="20% - 强调文字颜色 5 4 6" xfId="1180" xr:uid="{00000000-0005-0000-0000-0000CB040000}"/>
    <cellStyle name="20% - 强调文字颜色 5 4 6 2" xfId="2203" xr:uid="{00000000-0005-0000-0000-0000CA080000}"/>
    <cellStyle name="20% - 强调文字颜色 5 4 7" xfId="375" xr:uid="{00000000-0005-0000-0000-0000A6010000}"/>
    <cellStyle name="20% - 强调文字颜色 5 4 7 2" xfId="929" xr:uid="{00000000-0005-0000-0000-0000D0030000}"/>
    <cellStyle name="20% - 强调文字颜色 5 4 8" xfId="267" xr:uid="{00000000-0005-0000-0000-00003A010000}"/>
    <cellStyle name="20% - 强调文字颜色 5 4 8 2" xfId="2205" xr:uid="{00000000-0005-0000-0000-0000CC080000}"/>
    <cellStyle name="20% - 强调文字颜色 5 4 9" xfId="101" xr:uid="{00000000-0005-0000-0000-000075000000}"/>
    <cellStyle name="20% - 强调文字颜色 5 4 9 2" xfId="284" xr:uid="{00000000-0005-0000-0000-00004B010000}"/>
    <cellStyle name="20% - 强调文字颜色 5 5" xfId="997" xr:uid="{00000000-0005-0000-0000-000014040000}"/>
    <cellStyle name="20% - 强调文字颜色 5 5 2" xfId="797" xr:uid="{00000000-0005-0000-0000-00004C030000}"/>
    <cellStyle name="20% - 强调文字颜色 5 5 2 2" xfId="799" xr:uid="{00000000-0005-0000-0000-00004E030000}"/>
    <cellStyle name="20% - 强调文字颜色 5 5 3" xfId="2208" xr:uid="{00000000-0005-0000-0000-0000CF080000}"/>
    <cellStyle name="20% - 强调文字颜色 5 5 4" xfId="1395" xr:uid="{00000000-0005-0000-0000-0000A2050000}"/>
    <cellStyle name="20% - 强调文字颜色 5 6" xfId="1470" xr:uid="{00000000-0005-0000-0000-0000ED050000}"/>
    <cellStyle name="20% - 强调文字颜色 5 6 2" xfId="1472" xr:uid="{00000000-0005-0000-0000-0000EF050000}"/>
    <cellStyle name="20% - 强调文字颜色 5 6 2 2" xfId="2209" xr:uid="{00000000-0005-0000-0000-0000D0080000}"/>
    <cellStyle name="20% - 强调文字颜色 5 6 3" xfId="2166" xr:uid="{00000000-0005-0000-0000-0000A5080000}"/>
    <cellStyle name="20% - 强调文字颜色 5 6 4" xfId="253" xr:uid="{00000000-0005-0000-0000-00002C010000}"/>
    <cellStyle name="20% - 强调文字颜色 5 7" xfId="1477" xr:uid="{00000000-0005-0000-0000-0000F4050000}"/>
    <cellStyle name="20% - 强调文字颜色 5 7 2" xfId="2210" xr:uid="{00000000-0005-0000-0000-0000D1080000}"/>
    <cellStyle name="20% - 强调文字颜色 5 7 2 2" xfId="2215" xr:uid="{00000000-0005-0000-0000-0000D6080000}"/>
    <cellStyle name="20% - 强调文字颜色 5 7 2 3" xfId="2129" xr:uid="{00000000-0005-0000-0000-000080080000}"/>
    <cellStyle name="20% - 强调文字颜色 5 7 3" xfId="573" xr:uid="{00000000-0005-0000-0000-00006C020000}"/>
    <cellStyle name="20% - 强调文字颜色 5 7 4" xfId="1414" xr:uid="{00000000-0005-0000-0000-0000B5050000}"/>
    <cellStyle name="20% - 强调文字颜色 5 8" xfId="1479" xr:uid="{00000000-0005-0000-0000-0000F6050000}"/>
    <cellStyle name="20% - 强调文字颜色 5 8 2" xfId="2216" xr:uid="{00000000-0005-0000-0000-0000D7080000}"/>
    <cellStyle name="20% - 强调文字颜色 5 8 2 2" xfId="634" xr:uid="{00000000-0005-0000-0000-0000A9020000}"/>
    <cellStyle name="20% - 强调文字颜色 5 8 2 3" xfId="638" xr:uid="{00000000-0005-0000-0000-0000AD020000}"/>
    <cellStyle name="20% - 强调文字颜色 5 8 3" xfId="2217" xr:uid="{00000000-0005-0000-0000-0000D8080000}"/>
    <cellStyle name="20% - 强调文字颜色 5 8 4" xfId="1420" xr:uid="{00000000-0005-0000-0000-0000BB050000}"/>
    <cellStyle name="20% - 强调文字颜色 5 9" xfId="2218" xr:uid="{00000000-0005-0000-0000-0000D9080000}"/>
    <cellStyle name="20% - 强调文字颜色 5 9 2" xfId="446" xr:uid="{00000000-0005-0000-0000-0000ED010000}"/>
    <cellStyle name="20% - 强调文字颜色 5 9 2 2" xfId="456" xr:uid="{00000000-0005-0000-0000-0000F7010000}"/>
    <cellStyle name="20% - 强调文字颜色 5 9 2 3" xfId="469" xr:uid="{00000000-0005-0000-0000-000004020000}"/>
    <cellStyle name="20% - 强调文字颜色 5 9 3" xfId="1466" xr:uid="{00000000-0005-0000-0000-0000E9050000}"/>
    <cellStyle name="20% - 强调文字颜色 5 9 4" xfId="1483" xr:uid="{00000000-0005-0000-0000-0000FA050000}"/>
    <cellStyle name="20% - 强调文字颜色 6 10" xfId="2219" xr:uid="{00000000-0005-0000-0000-0000DA080000}"/>
    <cellStyle name="20% - 强调文字颜色 6 10 2" xfId="2221" xr:uid="{00000000-0005-0000-0000-0000DC080000}"/>
    <cellStyle name="20% - 强调文字颜色 6 10 2 2" xfId="2225" xr:uid="{00000000-0005-0000-0000-0000E0080000}"/>
    <cellStyle name="20% - 强调文字颜色 6 10 2 3" xfId="217" xr:uid="{00000000-0005-0000-0000-000001010000}"/>
    <cellStyle name="20% - 强调文字颜色 6 10 3" xfId="2230" xr:uid="{00000000-0005-0000-0000-0000E5080000}"/>
    <cellStyle name="20% - 强调文字颜色 6 10 4" xfId="2233" xr:uid="{00000000-0005-0000-0000-0000E8080000}"/>
    <cellStyle name="20% - 强调文字颜色 6 11" xfId="2238" xr:uid="{00000000-0005-0000-0000-0000ED080000}"/>
    <cellStyle name="20% - 强调文字颜色 6 11 2" xfId="2239" xr:uid="{00000000-0005-0000-0000-0000EE080000}"/>
    <cellStyle name="20% - 强调文字颜色 6 12" xfId="2243" xr:uid="{00000000-0005-0000-0000-0000F2080000}"/>
    <cellStyle name="20% - 强调文字颜色 6 12 2" xfId="2249" xr:uid="{00000000-0005-0000-0000-0000F8080000}"/>
    <cellStyle name="20% - 强调文字颜色 6 13" xfId="2250" xr:uid="{00000000-0005-0000-0000-0000F9080000}"/>
    <cellStyle name="20% - 强调文字颜色 6 13 2" xfId="1044" xr:uid="{00000000-0005-0000-0000-000043040000}"/>
    <cellStyle name="20% - 强调文字颜色 6 14" xfId="277" xr:uid="{00000000-0005-0000-0000-000044010000}"/>
    <cellStyle name="20% - 强调文字颜色 6 14 2" xfId="2256" xr:uid="{00000000-0005-0000-0000-0000FF080000}"/>
    <cellStyle name="20% - 强调文字颜色 6 2" xfId="2259" xr:uid="{00000000-0005-0000-0000-000002090000}"/>
    <cellStyle name="20% - 强调文字颜色 6 2 10" xfId="2088" xr:uid="{00000000-0005-0000-0000-000057080000}"/>
    <cellStyle name="20% - 强调文字颜色 6 2 10 2" xfId="1240" xr:uid="{00000000-0005-0000-0000-000007050000}"/>
    <cellStyle name="20% - 强调文字颜色 6 2 11" xfId="2092" xr:uid="{00000000-0005-0000-0000-00005B080000}"/>
    <cellStyle name="20% - 强调文字颜色 6 2 11 2" xfId="2260" xr:uid="{00000000-0005-0000-0000-000003090000}"/>
    <cellStyle name="20% - 强调文字颜色 6 2 12" xfId="6" xr:uid="{00000000-0005-0000-0000-000009000000}"/>
    <cellStyle name="20% - 强调文字颜色 6 2 13" xfId="795" xr:uid="{00000000-0005-0000-0000-00004A030000}"/>
    <cellStyle name="20% - 强调文字颜色 6 2 14" xfId="2206" xr:uid="{00000000-0005-0000-0000-0000CD080000}"/>
    <cellStyle name="20% - 强调文字颜色 6 2 15" xfId="1401" xr:uid="{00000000-0005-0000-0000-0000A8050000}"/>
    <cellStyle name="20% - 强调文字颜色 6 2 16" xfId="2262" xr:uid="{00000000-0005-0000-0000-000005090000}"/>
    <cellStyle name="20% - 强调文字颜色 6 2 2" xfId="2264" xr:uid="{00000000-0005-0000-0000-000007090000}"/>
    <cellStyle name="20% - 强调文字颜色 6 2 2 10" xfId="2265" xr:uid="{00000000-0005-0000-0000-000008090000}"/>
    <cellStyle name="20% - 强调文字颜色 6 2 2 2" xfId="1321" xr:uid="{00000000-0005-0000-0000-000058050000}"/>
    <cellStyle name="20% - 强调文字颜色 6 2 2 2 2" xfId="2267" xr:uid="{00000000-0005-0000-0000-00000A090000}"/>
    <cellStyle name="20% - 强调文字颜色 6 2 2 2 3" xfId="2268" xr:uid="{00000000-0005-0000-0000-00000B090000}"/>
    <cellStyle name="20% - 强调文字颜色 6 2 2 3" xfId="2269" xr:uid="{00000000-0005-0000-0000-00000C090000}"/>
    <cellStyle name="20% - 强调文字颜色 6 2 2 3 2" xfId="2270" xr:uid="{00000000-0005-0000-0000-00000D090000}"/>
    <cellStyle name="20% - 强调文字颜色 6 2 2 3 3" xfId="442" xr:uid="{00000000-0005-0000-0000-0000E9010000}"/>
    <cellStyle name="20% - 强调文字颜色 6 2 2 4" xfId="859" xr:uid="{00000000-0005-0000-0000-00008A030000}"/>
    <cellStyle name="20% - 强调文字颜色 6 2 2 5" xfId="909" xr:uid="{00000000-0005-0000-0000-0000BC030000}"/>
    <cellStyle name="20% - 强调文字颜色 6 2 2 6" xfId="2271" xr:uid="{00000000-0005-0000-0000-00000E090000}"/>
    <cellStyle name="20% - 强调文字颜色 6 2 2 7" xfId="2272" xr:uid="{00000000-0005-0000-0000-00000F090000}"/>
    <cellStyle name="20% - 强调文字颜色 6 2 2 8" xfId="2273" xr:uid="{00000000-0005-0000-0000-000010090000}"/>
    <cellStyle name="20% - 强调文字颜色 6 2 2 9" xfId="1038" xr:uid="{00000000-0005-0000-0000-00003D040000}"/>
    <cellStyle name="20% - 强调文字颜色 6 2 3" xfId="2276" xr:uid="{00000000-0005-0000-0000-000013090000}"/>
    <cellStyle name="20% - 强调文字颜色 6 2 3 2" xfId="2277" xr:uid="{00000000-0005-0000-0000-000014090000}"/>
    <cellStyle name="20% - 强调文字颜色 6 2 3 2 2" xfId="2278" xr:uid="{00000000-0005-0000-0000-000015090000}"/>
    <cellStyle name="20% - 强调文字颜色 6 2 3 3" xfId="2280" xr:uid="{00000000-0005-0000-0000-000017090000}"/>
    <cellStyle name="20% - 强调文字颜色 6 2 3 4" xfId="1118" xr:uid="{00000000-0005-0000-0000-00008D040000}"/>
    <cellStyle name="20% - 强调文字颜色 6 2 4" xfId="2283" xr:uid="{00000000-0005-0000-0000-00001A090000}"/>
    <cellStyle name="20% - 强调文字颜色 6 2 4 2" xfId="2284" xr:uid="{00000000-0005-0000-0000-00001B090000}"/>
    <cellStyle name="20% - 强调文字颜色 6 2 4 2 2" xfId="2286" xr:uid="{00000000-0005-0000-0000-00001D090000}"/>
    <cellStyle name="20% - 强调文字颜色 6 2 4 3" xfId="2288" xr:uid="{00000000-0005-0000-0000-00001F090000}"/>
    <cellStyle name="20% - 强调文字颜色 6 2 4 4" xfId="2290" xr:uid="{00000000-0005-0000-0000-000021090000}"/>
    <cellStyle name="20% - 强调文字颜色 6 2 5" xfId="2293" xr:uid="{00000000-0005-0000-0000-000024090000}"/>
    <cellStyle name="20% - 强调文字颜色 6 2 5 2" xfId="804" xr:uid="{00000000-0005-0000-0000-000053030000}"/>
    <cellStyle name="20% - 强调文字颜色 6 2 5 2 2" xfId="1997" xr:uid="{00000000-0005-0000-0000-0000FC070000}"/>
    <cellStyle name="20% - 强调文字颜色 6 2 5 3" xfId="2295" xr:uid="{00000000-0005-0000-0000-000026090000}"/>
    <cellStyle name="20% - 强调文字颜色 6 2 5 4" xfId="2296" xr:uid="{00000000-0005-0000-0000-000027090000}"/>
    <cellStyle name="20% - 强调文字颜色 6 2 6" xfId="2298" xr:uid="{00000000-0005-0000-0000-000029090000}"/>
    <cellStyle name="20% - 强调文字颜色 6 2 6 2" xfId="1013" xr:uid="{00000000-0005-0000-0000-000024040000}"/>
    <cellStyle name="20% - 强调文字颜色 6 2 6 2 2" xfId="1296" xr:uid="{00000000-0005-0000-0000-00003F050000}"/>
    <cellStyle name="20% - 强调文字颜色 6 2 6 3" xfId="2299" xr:uid="{00000000-0005-0000-0000-00002A090000}"/>
    <cellStyle name="20% - 强调文字颜色 6 2 6 4" xfId="2300" xr:uid="{00000000-0005-0000-0000-00002B090000}"/>
    <cellStyle name="20% - 强调文字颜色 6 2 7" xfId="2302" xr:uid="{00000000-0005-0000-0000-00002D090000}"/>
    <cellStyle name="20% - 强调文字颜色 6 2 7 2" xfId="2034" xr:uid="{00000000-0005-0000-0000-000021080000}"/>
    <cellStyle name="20% - 强调文字颜色 6 2 7 2 2" xfId="14" xr:uid="{00000000-0005-0000-0000-000011000000}"/>
    <cellStyle name="20% - 强调文字颜色 6 2 7 3" xfId="2303" xr:uid="{00000000-0005-0000-0000-00002E090000}"/>
    <cellStyle name="20% - 强调文字颜色 6 2 7 4" xfId="2304" xr:uid="{00000000-0005-0000-0000-00002F090000}"/>
    <cellStyle name="20% - 强调文字颜色 6 2 8" xfId="2305" xr:uid="{00000000-0005-0000-0000-000030090000}"/>
    <cellStyle name="20% - 强调文字颜色 6 2 8 2" xfId="2307" xr:uid="{00000000-0005-0000-0000-000032090000}"/>
    <cellStyle name="20% - 强调文字颜色 6 2 8 3" xfId="20" xr:uid="{00000000-0005-0000-0000-000018000000}"/>
    <cellStyle name="20% - 强调文字颜色 6 2 9" xfId="2310" xr:uid="{00000000-0005-0000-0000-000035090000}"/>
    <cellStyle name="20% - 强调文字颜色 6 2 9 2" xfId="2311" xr:uid="{00000000-0005-0000-0000-000036090000}"/>
    <cellStyle name="20% - 强调文字颜色 6 2 9 3" xfId="2313" xr:uid="{00000000-0005-0000-0000-000038090000}"/>
    <cellStyle name="20% - 强调文字颜色 6 2_成本利润预算(公司目标)" xfId="2314" xr:uid="{00000000-0005-0000-0000-000039090000}"/>
    <cellStyle name="20% - 强调文字颜色 6 3" xfId="2201" xr:uid="{00000000-0005-0000-0000-0000C8080000}"/>
    <cellStyle name="20% - 强调文字颜色 6 3 10" xfId="2317" xr:uid="{00000000-0005-0000-0000-00003C090000}"/>
    <cellStyle name="20% - 强调文字颜色 6 3 10 2" xfId="2325" xr:uid="{00000000-0005-0000-0000-000044090000}"/>
    <cellStyle name="20% - 强调文字颜色 6 3 11" xfId="1521" xr:uid="{00000000-0005-0000-0000-000020060000}"/>
    <cellStyle name="20% - 强调文字颜色 6 3 11 2" xfId="1530" xr:uid="{00000000-0005-0000-0000-000029060000}"/>
    <cellStyle name="20% - 强调文字颜色 6 3 12" xfId="862" xr:uid="{00000000-0005-0000-0000-00008D030000}"/>
    <cellStyle name="20% - 强调文字颜色 6 3 2" xfId="554" xr:uid="{00000000-0005-0000-0000-000059020000}"/>
    <cellStyle name="20% - 强调文字颜色 6 3 2 2" xfId="280" xr:uid="{00000000-0005-0000-0000-000047010000}"/>
    <cellStyle name="20% - 强调文字颜色 6 3 3" xfId="2329" xr:uid="{00000000-0005-0000-0000-000048090000}"/>
    <cellStyle name="20% - 强调文字颜色 6 3 3 2" xfId="305" xr:uid="{00000000-0005-0000-0000-000060010000}"/>
    <cellStyle name="20% - 强调文字颜色 6 3 4" xfId="2041" xr:uid="{00000000-0005-0000-0000-000028080000}"/>
    <cellStyle name="20% - 强调文字颜色 6 3 4 2" xfId="322" xr:uid="{00000000-0005-0000-0000-000071010000}"/>
    <cellStyle name="20% - 强调文字颜色 6 3 5" xfId="184" xr:uid="{00000000-0005-0000-0000-0000D3000000}"/>
    <cellStyle name="20% - 强调文字颜色 6 3 5 2" xfId="342" xr:uid="{00000000-0005-0000-0000-000085010000}"/>
    <cellStyle name="20% - 强调文字颜色 6 3 6" xfId="505" xr:uid="{00000000-0005-0000-0000-000028020000}"/>
    <cellStyle name="20% - 强调文字颜色 6 3 6 2" xfId="359" xr:uid="{00000000-0005-0000-0000-000096010000}"/>
    <cellStyle name="20% - 强调文字颜色 6 3 7" xfId="511" xr:uid="{00000000-0005-0000-0000-00002E020000}"/>
    <cellStyle name="20% - 强调文字颜色 6 3 7 2" xfId="100" xr:uid="{00000000-0005-0000-0000-000074000000}"/>
    <cellStyle name="20% - 强调文字颜色 6 3 8" xfId="2330" xr:uid="{00000000-0005-0000-0000-000049090000}"/>
    <cellStyle name="20% - 强调文字颜色 6 3 8 2" xfId="413" xr:uid="{00000000-0005-0000-0000-0000CC010000}"/>
    <cellStyle name="20% - 强调文字颜色 6 3 9" xfId="2332" xr:uid="{00000000-0005-0000-0000-00004B090000}"/>
    <cellStyle name="20% - 强调文字颜色 6 3 9 2" xfId="564" xr:uid="{00000000-0005-0000-0000-000063020000}"/>
    <cellStyle name="20% - 强调文字颜色 6 4" xfId="2334" xr:uid="{00000000-0005-0000-0000-00004D090000}"/>
    <cellStyle name="20% - 强调文字颜色 6 4 10" xfId="1220" xr:uid="{00000000-0005-0000-0000-0000F3040000}"/>
    <cellStyle name="20% - 强调文字颜色 6 4 10 2" xfId="2339" xr:uid="{00000000-0005-0000-0000-000052090000}"/>
    <cellStyle name="20% - 强调文字颜色 6 4 11" xfId="1627" xr:uid="{00000000-0005-0000-0000-00008A060000}"/>
    <cellStyle name="20% - 强调文字颜色 6 4 11 2" xfId="1638" xr:uid="{00000000-0005-0000-0000-000095060000}"/>
    <cellStyle name="20% - 强调文字颜色 6 4 12" xfId="1651" xr:uid="{00000000-0005-0000-0000-0000A2060000}"/>
    <cellStyle name="20% - 强调文字颜色 6 4 13" xfId="667" xr:uid="{00000000-0005-0000-0000-0000CA020000}"/>
    <cellStyle name="20% - 强调文字颜色 6 4 2" xfId="2340" xr:uid="{00000000-0005-0000-0000-000053090000}"/>
    <cellStyle name="20% - 强调文字颜色 6 4 2 2" xfId="63" xr:uid="{00000000-0005-0000-0000-00004A000000}"/>
    <cellStyle name="20% - 强调文字颜色 6 4 3" xfId="2343" xr:uid="{00000000-0005-0000-0000-000056090000}"/>
    <cellStyle name="20% - 强调文字颜色 6 4 3 2" xfId="2347" xr:uid="{00000000-0005-0000-0000-00005A090000}"/>
    <cellStyle name="20% - 强调文字颜色 6 4 4" xfId="2349" xr:uid="{00000000-0005-0000-0000-00005C090000}"/>
    <cellStyle name="20% - 强调文字颜色 6 4 4 2" xfId="157" xr:uid="{00000000-0005-0000-0000-0000B3000000}"/>
    <cellStyle name="20% - 强调文字颜色 6 4 5" xfId="2352" xr:uid="{00000000-0005-0000-0000-00005F090000}"/>
    <cellStyle name="20% - 强调文字颜色 6 4 5 2" xfId="2308" xr:uid="{00000000-0005-0000-0000-000033090000}"/>
    <cellStyle name="20% - 强调文字颜色 6 4 6" xfId="2356" xr:uid="{00000000-0005-0000-0000-000063090000}"/>
    <cellStyle name="20% - 强调文字颜色 6 4 6 2" xfId="2331" xr:uid="{00000000-0005-0000-0000-00004A090000}"/>
    <cellStyle name="20% - 强调文字颜色 6 4 7" xfId="2357" xr:uid="{00000000-0005-0000-0000-000064090000}"/>
    <cellStyle name="20% - 强调文字颜色 6 4 7 2" xfId="1021" xr:uid="{00000000-0005-0000-0000-00002C040000}"/>
    <cellStyle name="20% - 强调文字颜色 6 4 8" xfId="2358" xr:uid="{00000000-0005-0000-0000-000065090000}"/>
    <cellStyle name="20% - 强调文字颜色 6 4 8 2" xfId="2360" xr:uid="{00000000-0005-0000-0000-000067090000}"/>
    <cellStyle name="20% - 强调文字颜色 6 4 9" xfId="1020" xr:uid="{00000000-0005-0000-0000-00002B040000}"/>
    <cellStyle name="20% - 强调文字颜色 6 4 9 2" xfId="1023" xr:uid="{00000000-0005-0000-0000-00002E040000}"/>
    <cellStyle name="20% - 强调文字颜色 6 5" xfId="2365" xr:uid="{00000000-0005-0000-0000-00006C090000}"/>
    <cellStyle name="20% - 强调文字颜色 6 5 2" xfId="2370" xr:uid="{00000000-0005-0000-0000-000071090000}"/>
    <cellStyle name="20% - 强调文字颜色 6 5 2 2" xfId="2372" xr:uid="{00000000-0005-0000-0000-000073090000}"/>
    <cellStyle name="20% - 强调文字颜色 6 5 3" xfId="2376" xr:uid="{00000000-0005-0000-0000-000077090000}"/>
    <cellStyle name="20% - 强调文字颜色 6 5 4" xfId="2378" xr:uid="{00000000-0005-0000-0000-000079090000}"/>
    <cellStyle name="20% - 强调文字颜色 6 6" xfId="2381" xr:uid="{00000000-0005-0000-0000-00007C090000}"/>
    <cellStyle name="20% - 强调文字颜色 6 6 2" xfId="2387" xr:uid="{00000000-0005-0000-0000-000082090000}"/>
    <cellStyle name="20% - 强调文字颜色 6 6 2 2" xfId="2390" xr:uid="{00000000-0005-0000-0000-000085090000}"/>
    <cellStyle name="20% - 强调文字颜色 6 6 3" xfId="2394" xr:uid="{00000000-0005-0000-0000-000089090000}"/>
    <cellStyle name="20% - 强调文字颜色 6 6 4" xfId="2396" xr:uid="{00000000-0005-0000-0000-00008B090000}"/>
    <cellStyle name="20% - 强调文字颜色 6 7" xfId="2400" xr:uid="{00000000-0005-0000-0000-00008F090000}"/>
    <cellStyle name="20% - 强调文字颜色 6 7 2" xfId="2405" xr:uid="{00000000-0005-0000-0000-000094090000}"/>
    <cellStyle name="20% - 强调文字颜色 6 7 2 2" xfId="2407" xr:uid="{00000000-0005-0000-0000-000096090000}"/>
    <cellStyle name="20% - 强调文字颜色 6 7 2 3" xfId="2408" xr:uid="{00000000-0005-0000-0000-000097090000}"/>
    <cellStyle name="20% - 强调文字颜色 6 7 3" xfId="2411" xr:uid="{00000000-0005-0000-0000-00009A090000}"/>
    <cellStyle name="20% - 强调文字颜色 6 7 4" xfId="2413" xr:uid="{00000000-0005-0000-0000-00009C090000}"/>
    <cellStyle name="20% - 强调文字颜色 6 8" xfId="2415" xr:uid="{00000000-0005-0000-0000-00009E090000}"/>
    <cellStyle name="20% - 强调文字颜色 6 8 2" xfId="2418" xr:uid="{00000000-0005-0000-0000-0000A1090000}"/>
    <cellStyle name="20% - 强调文字颜色 6 8 2 2" xfId="2421" xr:uid="{00000000-0005-0000-0000-0000A4090000}"/>
    <cellStyle name="20% - 强调文字颜色 6 8 2 3" xfId="2422" xr:uid="{00000000-0005-0000-0000-0000A5090000}"/>
    <cellStyle name="20% - 强调文字颜色 6 8 3" xfId="2424" xr:uid="{00000000-0005-0000-0000-0000A7090000}"/>
    <cellStyle name="20% - 强调文字颜色 6 8 4" xfId="2426" xr:uid="{00000000-0005-0000-0000-0000A9090000}"/>
    <cellStyle name="20% - 强调文字颜色 6 9" xfId="2428" xr:uid="{00000000-0005-0000-0000-0000AB090000}"/>
    <cellStyle name="20% - 强调文字颜色 6 9 2" xfId="1724" xr:uid="{00000000-0005-0000-0000-0000EB060000}"/>
    <cellStyle name="20% - 强调文字颜色 6 9 2 2" xfId="1728" xr:uid="{00000000-0005-0000-0000-0000EF060000}"/>
    <cellStyle name="20% - 强调文字颜色 6 9 2 3" xfId="1731" xr:uid="{00000000-0005-0000-0000-0000F2060000}"/>
    <cellStyle name="20% - 强调文字颜色 6 9 3" xfId="1737" xr:uid="{00000000-0005-0000-0000-0000F8060000}"/>
    <cellStyle name="20% - 强调文字颜色 6 9 4" xfId="1745" xr:uid="{00000000-0005-0000-0000-000000070000}"/>
    <cellStyle name="222" xfId="2429" xr:uid="{00000000-0005-0000-0000-0000AC090000}"/>
    <cellStyle name="333" xfId="2430" xr:uid="{00000000-0005-0000-0000-0000AD090000}"/>
    <cellStyle name="333 2" xfId="2431" xr:uid="{00000000-0005-0000-0000-0000AE090000}"/>
    <cellStyle name="333 3" xfId="2432" xr:uid="{00000000-0005-0000-0000-0000AF090000}"/>
    <cellStyle name="40% - 强调文字颜色 1 10" xfId="869" xr:uid="{00000000-0005-0000-0000-000094030000}"/>
    <cellStyle name="40% - 强调文字颜色 1 10 2" xfId="1535" xr:uid="{00000000-0005-0000-0000-00002E060000}"/>
    <cellStyle name="40% - 强调文字颜色 1 10 2 2" xfId="2436" xr:uid="{00000000-0005-0000-0000-0000B3090000}"/>
    <cellStyle name="40% - 强调文字颜色 1 10 2 3" xfId="971" xr:uid="{00000000-0005-0000-0000-0000FA030000}"/>
    <cellStyle name="40% - 强调文字颜色 1 10 3" xfId="2437" xr:uid="{00000000-0005-0000-0000-0000B4090000}"/>
    <cellStyle name="40% - 强调文字颜色 1 10 4" xfId="2439" xr:uid="{00000000-0005-0000-0000-0000B6090000}"/>
    <cellStyle name="40% - 强调文字颜色 1 11" xfId="877" xr:uid="{00000000-0005-0000-0000-00009C030000}"/>
    <cellStyle name="40% - 强调文字颜色 1 11 2" xfId="835" xr:uid="{00000000-0005-0000-0000-000072030000}"/>
    <cellStyle name="40% - 强调文字颜色 1 12" xfId="2440" xr:uid="{00000000-0005-0000-0000-0000B7090000}"/>
    <cellStyle name="40% - 强调文字颜色 1 12 2" xfId="1550" xr:uid="{00000000-0005-0000-0000-00003D060000}"/>
    <cellStyle name="40% - 强调文字颜色 1 13" xfId="2441" xr:uid="{00000000-0005-0000-0000-0000B8090000}"/>
    <cellStyle name="40% - 强调文字颜色 1 13 2" xfId="2443" xr:uid="{00000000-0005-0000-0000-0000BA090000}"/>
    <cellStyle name="40% - 强调文字颜色 1 14" xfId="2444" xr:uid="{00000000-0005-0000-0000-0000BB090000}"/>
    <cellStyle name="40% - 强调文字颜色 1 14 2" xfId="2446" xr:uid="{00000000-0005-0000-0000-0000BD090000}"/>
    <cellStyle name="40% - 强调文字颜色 1 2" xfId="2449" xr:uid="{00000000-0005-0000-0000-0000C0090000}"/>
    <cellStyle name="40% - 强调文字颜色 1 2 10" xfId="2453" xr:uid="{00000000-0005-0000-0000-0000C4090000}"/>
    <cellStyle name="40% - 强调文字颜色 1 2 10 2" xfId="2454" xr:uid="{00000000-0005-0000-0000-0000C5090000}"/>
    <cellStyle name="40% - 强调文字颜色 1 2 11" xfId="2457" xr:uid="{00000000-0005-0000-0000-0000C8090000}"/>
    <cellStyle name="40% - 强调文字颜色 1 2 11 2" xfId="2459" xr:uid="{00000000-0005-0000-0000-0000CA090000}"/>
    <cellStyle name="40% - 强调文字颜色 1 2 12" xfId="1302" xr:uid="{00000000-0005-0000-0000-000045050000}"/>
    <cellStyle name="40% - 强调文字颜色 1 2 13" xfId="41" xr:uid="{00000000-0005-0000-0000-00002F000000}"/>
    <cellStyle name="40% - 强调文字颜色 1 2 14" xfId="1183" xr:uid="{00000000-0005-0000-0000-0000CE040000}"/>
    <cellStyle name="40% - 强调文字颜色 1 2 15" xfId="2461" xr:uid="{00000000-0005-0000-0000-0000CC090000}"/>
    <cellStyle name="40% - 强调文字颜色 1 2 16" xfId="2462" xr:uid="{00000000-0005-0000-0000-0000CD090000}"/>
    <cellStyle name="40% - 强调文字颜色 1 2 2" xfId="2464" xr:uid="{00000000-0005-0000-0000-0000CF090000}"/>
    <cellStyle name="40% - 强调文字颜色 1 2 2 10" xfId="1278" xr:uid="{00000000-0005-0000-0000-00002D050000}"/>
    <cellStyle name="40% - 强调文字颜色 1 2 2 2" xfId="2466" xr:uid="{00000000-0005-0000-0000-0000D1090000}"/>
    <cellStyle name="40% - 强调文字颜色 1 2 2 2 2" xfId="2469" xr:uid="{00000000-0005-0000-0000-0000D4090000}"/>
    <cellStyle name="40% - 强调文字颜色 1 2 2 2 3" xfId="2471" xr:uid="{00000000-0005-0000-0000-0000D6090000}"/>
    <cellStyle name="40% - 强调文字颜色 1 2 2 3" xfId="2472" xr:uid="{00000000-0005-0000-0000-0000D7090000}"/>
    <cellStyle name="40% - 强调文字颜色 1 2 2 3 2" xfId="2474" xr:uid="{00000000-0005-0000-0000-0000D9090000}"/>
    <cellStyle name="40% - 强调文字颜色 1 2 2 3 3" xfId="34" xr:uid="{00000000-0005-0000-0000-000028000000}"/>
    <cellStyle name="40% - 强调文字颜色 1 2 2 4" xfId="2475" xr:uid="{00000000-0005-0000-0000-0000DA090000}"/>
    <cellStyle name="40% - 强调文字颜色 1 2 2 5" xfId="2477" xr:uid="{00000000-0005-0000-0000-0000DC090000}"/>
    <cellStyle name="40% - 强调文字颜色 1 2 2 6" xfId="2480" xr:uid="{00000000-0005-0000-0000-0000DF090000}"/>
    <cellStyle name="40% - 强调文字颜色 1 2 2 7" xfId="595" xr:uid="{00000000-0005-0000-0000-000082020000}"/>
    <cellStyle name="40% - 强调文字颜色 1 2 2 8" xfId="598" xr:uid="{00000000-0005-0000-0000-000085020000}"/>
    <cellStyle name="40% - 强调文字颜色 1 2 2 9" xfId="812" xr:uid="{00000000-0005-0000-0000-00005B030000}"/>
    <cellStyle name="40% - 强调文字颜色 1 2 3" xfId="2481" xr:uid="{00000000-0005-0000-0000-0000E0090000}"/>
    <cellStyle name="40% - 强调文字颜色 1 2 3 2" xfId="2484" xr:uid="{00000000-0005-0000-0000-0000E3090000}"/>
    <cellStyle name="40% - 强调文字颜色 1 2 3 2 2" xfId="2488" xr:uid="{00000000-0005-0000-0000-0000E7090000}"/>
    <cellStyle name="40% - 强调文字颜色 1 2 3 3" xfId="2489" xr:uid="{00000000-0005-0000-0000-0000E8090000}"/>
    <cellStyle name="40% - 强调文字颜色 1 2 3 4" xfId="2491" xr:uid="{00000000-0005-0000-0000-0000EA090000}"/>
    <cellStyle name="40% - 强调文字颜色 1 2 4" xfId="2493" xr:uid="{00000000-0005-0000-0000-0000EC090000}"/>
    <cellStyle name="40% - 强调文字颜色 1 2 4 2" xfId="2497" xr:uid="{00000000-0005-0000-0000-0000F0090000}"/>
    <cellStyle name="40% - 强调文字颜色 1 2 4 2 2" xfId="2500" xr:uid="{00000000-0005-0000-0000-0000F3090000}"/>
    <cellStyle name="40% - 强调文字颜色 1 2 4 3" xfId="1512" xr:uid="{00000000-0005-0000-0000-000017060000}"/>
    <cellStyle name="40% - 强调文字颜色 1 2 4 4" xfId="2501" xr:uid="{00000000-0005-0000-0000-0000F4090000}"/>
    <cellStyle name="40% - 强调文字颜色 1 2 5" xfId="2505" xr:uid="{00000000-0005-0000-0000-0000F8090000}"/>
    <cellStyle name="40% - 强调文字颜色 1 2 5 2" xfId="2506" xr:uid="{00000000-0005-0000-0000-0000F9090000}"/>
    <cellStyle name="40% - 强调文字颜色 1 2 5 2 2" xfId="2507" xr:uid="{00000000-0005-0000-0000-0000FA090000}"/>
    <cellStyle name="40% - 强调文字颜色 1 2 5 3" xfId="1515" xr:uid="{00000000-0005-0000-0000-00001A060000}"/>
    <cellStyle name="40% - 强调文字颜色 1 2 5 4" xfId="2508" xr:uid="{00000000-0005-0000-0000-0000FB090000}"/>
    <cellStyle name="40% - 强调文字颜色 1 2 6" xfId="829" xr:uid="{00000000-0005-0000-0000-00006C030000}"/>
    <cellStyle name="40% - 强调文字颜色 1 2 6 2" xfId="2511" xr:uid="{00000000-0005-0000-0000-0000FE090000}"/>
    <cellStyle name="40% - 强调文字颜色 1 2 6 2 2" xfId="2512" xr:uid="{00000000-0005-0000-0000-0000FF090000}"/>
    <cellStyle name="40% - 强调文字颜色 1 2 6 3" xfId="2515" xr:uid="{00000000-0005-0000-0000-0000020A0000}"/>
    <cellStyle name="40% - 强调文字颜色 1 2 6 4" xfId="2516" xr:uid="{00000000-0005-0000-0000-0000030A0000}"/>
    <cellStyle name="40% - 强调文字颜色 1 2 7" xfId="2520" xr:uid="{00000000-0005-0000-0000-0000070A0000}"/>
    <cellStyle name="40% - 强调文字颜色 1 2 7 2" xfId="2521" xr:uid="{00000000-0005-0000-0000-0000080A0000}"/>
    <cellStyle name="40% - 强调文字颜色 1 2 7 2 2" xfId="2525" xr:uid="{00000000-0005-0000-0000-00000C0A0000}"/>
    <cellStyle name="40% - 强调文字颜色 1 2 7 3" xfId="601" xr:uid="{00000000-0005-0000-0000-000088020000}"/>
    <cellStyle name="40% - 强调文字颜色 1 2 7 4" xfId="2527" xr:uid="{00000000-0005-0000-0000-00000E0A0000}"/>
    <cellStyle name="40% - 强调文字颜色 1 2 8" xfId="2532" xr:uid="{00000000-0005-0000-0000-0000130A0000}"/>
    <cellStyle name="40% - 强调文字颜色 1 2 8 2" xfId="1069" xr:uid="{00000000-0005-0000-0000-00005C040000}"/>
    <cellStyle name="40% - 强调文字颜色 1 2 8 3" xfId="2533" xr:uid="{00000000-0005-0000-0000-0000140A0000}"/>
    <cellStyle name="40% - 强调文字颜色 1 2 9" xfId="1628" xr:uid="{00000000-0005-0000-0000-00008B060000}"/>
    <cellStyle name="40% - 强调文字颜色 1 2 9 2" xfId="1915" xr:uid="{00000000-0005-0000-0000-0000AA070000}"/>
    <cellStyle name="40% - 强调文字颜色 1 2 9 3" xfId="1917" xr:uid="{00000000-0005-0000-0000-0000AC070000}"/>
    <cellStyle name="40% - 强调文字颜色 1 2_成本利润预算(公司目标)" xfId="2534" xr:uid="{00000000-0005-0000-0000-0000150A0000}"/>
    <cellStyle name="40% - 强调文字颜色 1 3" xfId="2538" xr:uid="{00000000-0005-0000-0000-0000190A0000}"/>
    <cellStyle name="40% - 强调文字颜色 1 3 10" xfId="2043" xr:uid="{00000000-0005-0000-0000-00002A080000}"/>
    <cellStyle name="40% - 强调文字颜色 1 3 10 2" xfId="686" xr:uid="{00000000-0005-0000-0000-0000DD020000}"/>
    <cellStyle name="40% - 强调文字颜色 1 3 11" xfId="2045" xr:uid="{00000000-0005-0000-0000-00002C080000}"/>
    <cellStyle name="40% - 强调文字颜色 1 3 11 2" xfId="2543" xr:uid="{00000000-0005-0000-0000-00001E0A0000}"/>
    <cellStyle name="40% - 强调文字颜色 1 3 12" xfId="2544" xr:uid="{00000000-0005-0000-0000-00001F0A0000}"/>
    <cellStyle name="40% - 强调文字颜色 1 3 2" xfId="2547" xr:uid="{00000000-0005-0000-0000-0000220A0000}"/>
    <cellStyle name="40% - 强调文字颜色 1 3 2 2" xfId="2227" xr:uid="{00000000-0005-0000-0000-0000E2080000}"/>
    <cellStyle name="40% - 强调文字颜色 1 3 3" xfId="2551" xr:uid="{00000000-0005-0000-0000-0000260A0000}"/>
    <cellStyle name="40% - 强调文字颜色 1 3 3 2" xfId="2554" xr:uid="{00000000-0005-0000-0000-0000290A0000}"/>
    <cellStyle name="40% - 强调文字颜色 1 3 4" xfId="2556" xr:uid="{00000000-0005-0000-0000-00002B0A0000}"/>
    <cellStyle name="40% - 强调文字颜色 1 3 4 2" xfId="2561" xr:uid="{00000000-0005-0000-0000-0000300A0000}"/>
    <cellStyle name="40% - 强调文字颜色 1 3 5" xfId="2563" xr:uid="{00000000-0005-0000-0000-0000320A0000}"/>
    <cellStyle name="40% - 强调文字颜色 1 3 5 2" xfId="2565" xr:uid="{00000000-0005-0000-0000-0000340A0000}"/>
    <cellStyle name="40% - 强调文字颜色 1 3 6" xfId="1553" xr:uid="{00000000-0005-0000-0000-000040060000}"/>
    <cellStyle name="40% - 强调文字颜色 1 3 6 2" xfId="2570" xr:uid="{00000000-0005-0000-0000-0000390A0000}"/>
    <cellStyle name="40% - 强调文字颜色 1 3 7" xfId="2571" xr:uid="{00000000-0005-0000-0000-00003A0A0000}"/>
    <cellStyle name="40% - 强调文字颜色 1 3 7 2" xfId="2574" xr:uid="{00000000-0005-0000-0000-00003D0A0000}"/>
    <cellStyle name="40% - 强调文字颜色 1 3 8" xfId="2575" xr:uid="{00000000-0005-0000-0000-00003E0A0000}"/>
    <cellStyle name="40% - 强调文字颜色 1 3 8 2" xfId="2576" xr:uid="{00000000-0005-0000-0000-00003F0A0000}"/>
    <cellStyle name="40% - 强调文字颜色 1 3 9" xfId="2578" xr:uid="{00000000-0005-0000-0000-0000410A0000}"/>
    <cellStyle name="40% - 强调文字颜色 1 3 9 2" xfId="2580" xr:uid="{00000000-0005-0000-0000-0000430A0000}"/>
    <cellStyle name="40% - 强调文字颜色 1 4" xfId="1771" xr:uid="{00000000-0005-0000-0000-00001A070000}"/>
    <cellStyle name="40% - 强调文字颜色 1 4 10" xfId="2581" xr:uid="{00000000-0005-0000-0000-0000440A0000}"/>
    <cellStyle name="40% - 强调文字颜色 1 4 10 2" xfId="1692" xr:uid="{00000000-0005-0000-0000-0000CB060000}"/>
    <cellStyle name="40% - 强调文字颜色 1 4 11" xfId="307" xr:uid="{00000000-0005-0000-0000-000062010000}"/>
    <cellStyle name="40% - 强调文字颜色 1 4 11 2" xfId="2584" xr:uid="{00000000-0005-0000-0000-0000470A0000}"/>
    <cellStyle name="40% - 强调文字颜色 1 4 12" xfId="310" xr:uid="{00000000-0005-0000-0000-000065010000}"/>
    <cellStyle name="40% - 强调文字颜色 1 4 13" xfId="319" xr:uid="{00000000-0005-0000-0000-00006E010000}"/>
    <cellStyle name="40% - 强调文字颜色 1 4 2" xfId="2586" xr:uid="{00000000-0005-0000-0000-0000490A0000}"/>
    <cellStyle name="40% - 强调文字颜色 1 4 2 2" xfId="2588" xr:uid="{00000000-0005-0000-0000-00004B0A0000}"/>
    <cellStyle name="40% - 强调文字颜色 1 4 3" xfId="2589" xr:uid="{00000000-0005-0000-0000-00004C0A0000}"/>
    <cellStyle name="40% - 强调文字颜色 1 4 3 2" xfId="2592" xr:uid="{00000000-0005-0000-0000-00004F0A0000}"/>
    <cellStyle name="40% - 强调文字颜色 1 4 4" xfId="2596" xr:uid="{00000000-0005-0000-0000-0000530A0000}"/>
    <cellStyle name="40% - 强调文字颜色 1 4 4 2" xfId="1666" xr:uid="{00000000-0005-0000-0000-0000B1060000}"/>
    <cellStyle name="40% - 强调文字颜色 1 4 5" xfId="2599" xr:uid="{00000000-0005-0000-0000-0000560A0000}"/>
    <cellStyle name="40% - 强调文字颜色 1 4 5 2" xfId="2605" xr:uid="{00000000-0005-0000-0000-00005C0A0000}"/>
    <cellStyle name="40% - 强调文字颜色 1 4 6" xfId="1560" xr:uid="{00000000-0005-0000-0000-000047060000}"/>
    <cellStyle name="40% - 强调文字颜色 1 4 6 2" xfId="440" xr:uid="{00000000-0005-0000-0000-0000E7010000}"/>
    <cellStyle name="40% - 强调文字颜色 1 4 7" xfId="2608" xr:uid="{00000000-0005-0000-0000-00005F0A0000}"/>
    <cellStyle name="40% - 强调文字颜色 1 4 7 2" xfId="2610" xr:uid="{00000000-0005-0000-0000-0000610A0000}"/>
    <cellStyle name="40% - 强调文字颜色 1 4 8" xfId="2612" xr:uid="{00000000-0005-0000-0000-0000630A0000}"/>
    <cellStyle name="40% - 强调文字颜色 1 4 8 2" xfId="2613" xr:uid="{00000000-0005-0000-0000-0000640A0000}"/>
    <cellStyle name="40% - 强调文字颜色 1 4 9" xfId="673" xr:uid="{00000000-0005-0000-0000-0000D0020000}"/>
    <cellStyle name="40% - 强调文字颜色 1 4 9 2" xfId="1114" xr:uid="{00000000-0005-0000-0000-000089040000}"/>
    <cellStyle name="40% - 强调文字颜色 1 5" xfId="2614" xr:uid="{00000000-0005-0000-0000-0000650A0000}"/>
    <cellStyle name="40% - 强调文字颜色 1 5 2" xfId="2617" xr:uid="{00000000-0005-0000-0000-0000680A0000}"/>
    <cellStyle name="40% - 强调文字颜色 1 5 2 2" xfId="2620" xr:uid="{00000000-0005-0000-0000-00006B0A0000}"/>
    <cellStyle name="40% - 强调文字颜色 1 5 3" xfId="1248" xr:uid="{00000000-0005-0000-0000-00000F050000}"/>
    <cellStyle name="40% - 强调文字颜色 1 5 4" xfId="2068" xr:uid="{00000000-0005-0000-0000-000043080000}"/>
    <cellStyle name="40% - 强调文字颜色 1 6" xfId="2621" xr:uid="{00000000-0005-0000-0000-00006C0A0000}"/>
    <cellStyle name="40% - 强调文字颜色 1 6 2" xfId="1185" xr:uid="{00000000-0005-0000-0000-0000D0040000}"/>
    <cellStyle name="40% - 强调文字颜色 1 6 2 2" xfId="150" xr:uid="{00000000-0005-0000-0000-0000AA000000}"/>
    <cellStyle name="40% - 强调文字颜色 1 6 3" xfId="2625" xr:uid="{00000000-0005-0000-0000-0000700A0000}"/>
    <cellStyle name="40% - 强调文字颜色 1 6 4" xfId="2628" xr:uid="{00000000-0005-0000-0000-0000730A0000}"/>
    <cellStyle name="40% - 强调文字颜色 1 7" xfId="2631" xr:uid="{00000000-0005-0000-0000-0000760A0000}"/>
    <cellStyle name="40% - 强调文字颜色 1 7 2" xfId="2635" xr:uid="{00000000-0005-0000-0000-00007A0A0000}"/>
    <cellStyle name="40% - 强调文字颜色 1 7 2 2" xfId="2636" xr:uid="{00000000-0005-0000-0000-00007B0A0000}"/>
    <cellStyle name="40% - 强调文字颜色 1 7 2 3" xfId="2638" xr:uid="{00000000-0005-0000-0000-00007D0A0000}"/>
    <cellStyle name="40% - 强调文字颜色 1 7 3" xfId="2641" xr:uid="{00000000-0005-0000-0000-0000800A0000}"/>
    <cellStyle name="40% - 强调文字颜色 1 7 4" xfId="2642" xr:uid="{00000000-0005-0000-0000-0000810A0000}"/>
    <cellStyle name="40% - 强调文字颜色 1 8" xfId="2644" xr:uid="{00000000-0005-0000-0000-0000830A0000}"/>
    <cellStyle name="40% - 强调文字颜色 1 8 2" xfId="151" xr:uid="{00000000-0005-0000-0000-0000AB000000}"/>
    <cellStyle name="40% - 强调文字颜色 1 8 2 2" xfId="1836" xr:uid="{00000000-0005-0000-0000-00005B070000}"/>
    <cellStyle name="40% - 强调文字颜色 1 8 2 3" xfId="1889" xr:uid="{00000000-0005-0000-0000-000090070000}"/>
    <cellStyle name="40% - 强调文字颜色 1 8 3" xfId="2646" xr:uid="{00000000-0005-0000-0000-0000850A0000}"/>
    <cellStyle name="40% - 强调文字颜色 1 8 4" xfId="2647" xr:uid="{00000000-0005-0000-0000-0000860A0000}"/>
    <cellStyle name="40% - 强调文字颜色 1 9" xfId="2649" xr:uid="{00000000-0005-0000-0000-0000880A0000}"/>
    <cellStyle name="40% - 强调文字颜色 1 9 2" xfId="2651" xr:uid="{00000000-0005-0000-0000-00008A0A0000}"/>
    <cellStyle name="40% - 强调文字颜色 1 9 2 2" xfId="2652" xr:uid="{00000000-0005-0000-0000-00008B0A0000}"/>
    <cellStyle name="40% - 强调文字颜色 1 9 2 3" xfId="1929" xr:uid="{00000000-0005-0000-0000-0000B8070000}"/>
    <cellStyle name="40% - 强调文字颜色 1 9 3" xfId="2655" xr:uid="{00000000-0005-0000-0000-00008E0A0000}"/>
    <cellStyle name="40% - 强调文字颜色 1 9 4" xfId="2214" xr:uid="{00000000-0005-0000-0000-0000D5080000}"/>
    <cellStyle name="40% - 强调文字颜色 2 10" xfId="2656" xr:uid="{00000000-0005-0000-0000-00008F0A0000}"/>
    <cellStyle name="40% - 强调文字颜色 2 10 2" xfId="2577" xr:uid="{00000000-0005-0000-0000-0000400A0000}"/>
    <cellStyle name="40% - 强调文字颜色 2 10 2 2" xfId="2579" xr:uid="{00000000-0005-0000-0000-0000420A0000}"/>
    <cellStyle name="40% - 强调文字颜色 2 10 2 3" xfId="2658" xr:uid="{00000000-0005-0000-0000-0000910A0000}"/>
    <cellStyle name="40% - 强调文字颜色 2 10 3" xfId="2660" xr:uid="{00000000-0005-0000-0000-0000930A0000}"/>
    <cellStyle name="40% - 强调文字颜色 2 10 4" xfId="1995" xr:uid="{00000000-0005-0000-0000-0000FA070000}"/>
    <cellStyle name="40% - 强调文字颜色 2 11" xfId="668" xr:uid="{00000000-0005-0000-0000-0000CB020000}"/>
    <cellStyle name="40% - 强调文字颜色 2 11 2" xfId="670" xr:uid="{00000000-0005-0000-0000-0000CD020000}"/>
    <cellStyle name="40% - 强调文字颜色 2 12" xfId="60" xr:uid="{00000000-0005-0000-0000-000046000000}"/>
    <cellStyle name="40% - 强调文字颜色 2 12 2" xfId="1188" xr:uid="{00000000-0005-0000-0000-0000D3040000}"/>
    <cellStyle name="40% - 强调文字颜色 2 13" xfId="1192" xr:uid="{00000000-0005-0000-0000-0000D7040000}"/>
    <cellStyle name="40% - 强调文字颜色 2 13 2" xfId="1198" xr:uid="{00000000-0005-0000-0000-0000DD040000}"/>
    <cellStyle name="40% - 强调文字颜色 2 14" xfId="1201" xr:uid="{00000000-0005-0000-0000-0000E0040000}"/>
    <cellStyle name="40% - 强调文字颜色 2 14 2" xfId="7" xr:uid="{00000000-0005-0000-0000-00000A000000}"/>
    <cellStyle name="40% - 强调文字颜色 2 2" xfId="2663" xr:uid="{00000000-0005-0000-0000-0000960A0000}"/>
    <cellStyle name="40% - 强调文字颜色 2 2 10" xfId="2665" xr:uid="{00000000-0005-0000-0000-0000980A0000}"/>
    <cellStyle name="40% - 强调文字颜色 2 2 10 2" xfId="2666" xr:uid="{00000000-0005-0000-0000-0000990A0000}"/>
    <cellStyle name="40% - 强调文字颜色 2 2 11" xfId="2670" xr:uid="{00000000-0005-0000-0000-00009D0A0000}"/>
    <cellStyle name="40% - 强调文字颜色 2 2 11 2" xfId="2671" xr:uid="{00000000-0005-0000-0000-00009E0A0000}"/>
    <cellStyle name="40% - 强调文字颜色 2 2 12" xfId="2675" xr:uid="{00000000-0005-0000-0000-0000A20A0000}"/>
    <cellStyle name="40% - 强调文字颜色 2 2 13" xfId="2676" xr:uid="{00000000-0005-0000-0000-0000A30A0000}"/>
    <cellStyle name="40% - 强调文字颜色 2 2 14" xfId="791" xr:uid="{00000000-0005-0000-0000-000046030000}"/>
    <cellStyle name="40% - 强调文字颜色 2 2 15" xfId="264" xr:uid="{00000000-0005-0000-0000-000037010000}"/>
    <cellStyle name="40% - 强调文字颜色 2 2 16" xfId="2677" xr:uid="{00000000-0005-0000-0000-0000A40A0000}"/>
    <cellStyle name="40% - 强调文字颜色 2 2 2" xfId="1698" xr:uid="{00000000-0005-0000-0000-0000D1060000}"/>
    <cellStyle name="40% - 强调文字颜色 2 2 2 10" xfId="2680" xr:uid="{00000000-0005-0000-0000-0000A70A0000}"/>
    <cellStyle name="40% - 强调文字颜色 2 2 2 2" xfId="2681" xr:uid="{00000000-0005-0000-0000-0000A80A0000}"/>
    <cellStyle name="40% - 强调文字颜色 2 2 2 2 2" xfId="2684" xr:uid="{00000000-0005-0000-0000-0000AB0A0000}"/>
    <cellStyle name="40% - 强调文字颜色 2 2 2 2 3" xfId="2686" xr:uid="{00000000-0005-0000-0000-0000AD0A0000}"/>
    <cellStyle name="40% - 强调文字颜色 2 2 2 3" xfId="2687" xr:uid="{00000000-0005-0000-0000-0000AE0A0000}"/>
    <cellStyle name="40% - 强调文字颜色 2 2 2 3 2" xfId="2690" xr:uid="{00000000-0005-0000-0000-0000B10A0000}"/>
    <cellStyle name="40% - 强调文字颜色 2 2 2 3 3" xfId="2693" xr:uid="{00000000-0005-0000-0000-0000B40A0000}"/>
    <cellStyle name="40% - 强调文字颜色 2 2 2 4" xfId="2696" xr:uid="{00000000-0005-0000-0000-0000B70A0000}"/>
    <cellStyle name="40% - 强调文字颜色 2 2 2 5" xfId="2699" xr:uid="{00000000-0005-0000-0000-0000BA0A0000}"/>
    <cellStyle name="40% - 强调文字颜色 2 2 2 6" xfId="2702" xr:uid="{00000000-0005-0000-0000-0000BD0A0000}"/>
    <cellStyle name="40% - 强调文字颜色 2 2 2 7" xfId="2703" xr:uid="{00000000-0005-0000-0000-0000BE0A0000}"/>
    <cellStyle name="40% - 强调文字颜色 2 2 2 8" xfId="482" xr:uid="{00000000-0005-0000-0000-000011020000}"/>
    <cellStyle name="40% - 强调文字颜色 2 2 2 9" xfId="1884" xr:uid="{00000000-0005-0000-0000-00008B070000}"/>
    <cellStyle name="40% - 强调文字颜色 2 2 3" xfId="2678" xr:uid="{00000000-0005-0000-0000-0000A50A0000}"/>
    <cellStyle name="40% - 强调文字颜色 2 2 3 2" xfId="2704" xr:uid="{00000000-0005-0000-0000-0000BF0A0000}"/>
    <cellStyle name="40% - 强调文字颜色 2 2 3 2 2" xfId="27" xr:uid="{00000000-0005-0000-0000-00001F000000}"/>
    <cellStyle name="40% - 强调文字颜色 2 2 3 3" xfId="2706" xr:uid="{00000000-0005-0000-0000-0000C10A0000}"/>
    <cellStyle name="40% - 强调文字颜色 2 2 3 4" xfId="281" xr:uid="{00000000-0005-0000-0000-000048010000}"/>
    <cellStyle name="40% - 强调文字颜色 2 2 4" xfId="109" xr:uid="{00000000-0005-0000-0000-00007D000000}"/>
    <cellStyle name="40% - 强调文字颜色 2 2 4 2" xfId="293" xr:uid="{00000000-0005-0000-0000-000054010000}"/>
    <cellStyle name="40% - 强调文字颜色 2 2 4 2 2" xfId="80" xr:uid="{00000000-0005-0000-0000-00005F000000}"/>
    <cellStyle name="40% - 强调文字颜色 2 2 4 3" xfId="301" xr:uid="{00000000-0005-0000-0000-00005C010000}"/>
    <cellStyle name="40% - 强调文字颜色 2 2 4 4" xfId="2709" xr:uid="{00000000-0005-0000-0000-0000C40A0000}"/>
    <cellStyle name="40% - 强调文字颜色 2 2 5" xfId="2712" xr:uid="{00000000-0005-0000-0000-0000C70A0000}"/>
    <cellStyle name="40% - 强调文字颜色 2 2 5 2" xfId="2713" xr:uid="{00000000-0005-0000-0000-0000C80A0000}"/>
    <cellStyle name="40% - 强调文字颜色 2 2 5 2 2" xfId="2716" xr:uid="{00000000-0005-0000-0000-0000CB0A0000}"/>
    <cellStyle name="40% - 强调文字颜色 2 2 5 3" xfId="2717" xr:uid="{00000000-0005-0000-0000-0000CC0A0000}"/>
    <cellStyle name="40% - 强调文字颜色 2 2 5 4" xfId="2718" xr:uid="{00000000-0005-0000-0000-0000CD0A0000}"/>
    <cellStyle name="40% - 强调文字颜色 2 2 6" xfId="326" xr:uid="{00000000-0005-0000-0000-000075010000}"/>
    <cellStyle name="40% - 强调文字颜色 2 2 6 2" xfId="2721" xr:uid="{00000000-0005-0000-0000-0000D00A0000}"/>
    <cellStyle name="40% - 强调文字颜色 2 2 6 2 2" xfId="2724" xr:uid="{00000000-0005-0000-0000-0000D30A0000}"/>
    <cellStyle name="40% - 强调文字颜色 2 2 6 3" xfId="2725" xr:uid="{00000000-0005-0000-0000-0000D40A0000}"/>
    <cellStyle name="40% - 强调文字颜色 2 2 6 4" xfId="2726" xr:uid="{00000000-0005-0000-0000-0000D50A0000}"/>
    <cellStyle name="40% - 强调文字颜色 2 2 7" xfId="348" xr:uid="{00000000-0005-0000-0000-00008B010000}"/>
    <cellStyle name="40% - 强调文字颜色 2 2 7 2" xfId="352" xr:uid="{00000000-0005-0000-0000-00008F010000}"/>
    <cellStyle name="40% - 强调文字颜色 2 2 7 2 2" xfId="544" xr:uid="{00000000-0005-0000-0000-00004F020000}"/>
    <cellStyle name="40% - 强调文字颜色 2 2 7 3" xfId="356" xr:uid="{00000000-0005-0000-0000-000093010000}"/>
    <cellStyle name="40% - 强调文字颜色 2 2 7 4" xfId="366" xr:uid="{00000000-0005-0000-0000-00009D010000}"/>
    <cellStyle name="40% - 强调文字颜色 2 2 8" xfId="372" xr:uid="{00000000-0005-0000-0000-0000A3010000}"/>
    <cellStyle name="40% - 强调文字颜色 2 2 8 2" xfId="379" xr:uid="{00000000-0005-0000-0000-0000AA010000}"/>
    <cellStyle name="40% - 强调文字颜色 2 2 8 3" xfId="268" xr:uid="{00000000-0005-0000-0000-00003B010000}"/>
    <cellStyle name="40% - 强调文字颜色 2 2 9" xfId="381" xr:uid="{00000000-0005-0000-0000-0000AC010000}"/>
    <cellStyle name="40% - 强调文字颜色 2 2 9 2" xfId="394" xr:uid="{00000000-0005-0000-0000-0000B9010000}"/>
    <cellStyle name="40% - 强调文字颜色 2 2 9 3" xfId="404" xr:uid="{00000000-0005-0000-0000-0000C3010000}"/>
    <cellStyle name="40% - 强调文字颜色 2 2_成本利润预算(公司目标)" xfId="1957" xr:uid="{00000000-0005-0000-0000-0000D4070000}"/>
    <cellStyle name="40% - 强调文字颜色 2 3" xfId="391" xr:uid="{00000000-0005-0000-0000-0000B6010000}"/>
    <cellStyle name="40% - 强调文字颜色 2 3 10" xfId="2695" xr:uid="{00000000-0005-0000-0000-0000B60A0000}"/>
    <cellStyle name="40% - 强调文字颜色 2 3 10 2" xfId="2728" xr:uid="{00000000-0005-0000-0000-0000D70A0000}"/>
    <cellStyle name="40% - 强调文字颜色 2 3 11" xfId="2698" xr:uid="{00000000-0005-0000-0000-0000B90A0000}"/>
    <cellStyle name="40% - 强调文字颜色 2 3 11 2" xfId="2730" xr:uid="{00000000-0005-0000-0000-0000D90A0000}"/>
    <cellStyle name="40% - 强调文字颜色 2 3 12" xfId="2701" xr:uid="{00000000-0005-0000-0000-0000BC0A0000}"/>
    <cellStyle name="40% - 强调文字颜色 2 3 2" xfId="398" xr:uid="{00000000-0005-0000-0000-0000BD010000}"/>
    <cellStyle name="40% - 强调文字颜色 2 3 2 2" xfId="2731" xr:uid="{00000000-0005-0000-0000-0000DA0A0000}"/>
    <cellStyle name="40% - 强调文字颜色 2 3 3" xfId="408" xr:uid="{00000000-0005-0000-0000-0000C7010000}"/>
    <cellStyle name="40% - 强调文字颜色 2 3 3 2" xfId="2732" xr:uid="{00000000-0005-0000-0000-0000DB0A0000}"/>
    <cellStyle name="40% - 强调文字颜色 2 3 4" xfId="2733" xr:uid="{00000000-0005-0000-0000-0000DC0A0000}"/>
    <cellStyle name="40% - 强调文字颜色 2 3 4 2" xfId="2734" xr:uid="{00000000-0005-0000-0000-0000DD0A0000}"/>
    <cellStyle name="40% - 强调文字颜色 2 3 5" xfId="2536" xr:uid="{00000000-0005-0000-0000-0000170A0000}"/>
    <cellStyle name="40% - 强调文字颜色 2 3 5 2" xfId="2736" xr:uid="{00000000-0005-0000-0000-0000DF0A0000}"/>
    <cellStyle name="40% - 强调文字颜色 2 3 6" xfId="1599" xr:uid="{00000000-0005-0000-0000-00006E060000}"/>
    <cellStyle name="40% - 强调文字颜色 2 3 6 2" xfId="2737" xr:uid="{00000000-0005-0000-0000-0000E00A0000}"/>
    <cellStyle name="40% - 强调文字颜色 2 3 7" xfId="1287" xr:uid="{00000000-0005-0000-0000-000036050000}"/>
    <cellStyle name="40% - 强调文字颜色 2 3 7 2" xfId="513" xr:uid="{00000000-0005-0000-0000-000030020000}"/>
    <cellStyle name="40% - 强调文字颜色 2 3 8" xfId="568" xr:uid="{00000000-0005-0000-0000-000067020000}"/>
    <cellStyle name="40% - 强调文字颜色 2 3 8 2" xfId="1289" xr:uid="{00000000-0005-0000-0000-000038050000}"/>
    <cellStyle name="40% - 强调文字颜色 2 3 9" xfId="571" xr:uid="{00000000-0005-0000-0000-00006A020000}"/>
    <cellStyle name="40% - 强调文字颜色 2 3 9 2" xfId="1291" xr:uid="{00000000-0005-0000-0000-00003A050000}"/>
    <cellStyle name="40% - 强调文字颜色 2 4" xfId="2738" xr:uid="{00000000-0005-0000-0000-0000E10A0000}"/>
    <cellStyle name="40% - 强调文字颜色 2 4 10" xfId="364" xr:uid="{00000000-0005-0000-0000-00009B010000}"/>
    <cellStyle name="40% - 强调文字颜色 2 4 10 2" xfId="2739" xr:uid="{00000000-0005-0000-0000-0000E20A0000}"/>
    <cellStyle name="40% - 强调文字颜色 2 4 11" xfId="517" xr:uid="{00000000-0005-0000-0000-000034020000}"/>
    <cellStyle name="40% - 强调文字颜色 2 4 11 2" xfId="2742" xr:uid="{00000000-0005-0000-0000-0000E50A0000}"/>
    <cellStyle name="40% - 强调文字颜色 2 4 12" xfId="844" xr:uid="{00000000-0005-0000-0000-00007B030000}"/>
    <cellStyle name="40% - 强调文字颜色 2 4 13" xfId="1242" xr:uid="{00000000-0005-0000-0000-000009050000}"/>
    <cellStyle name="40% - 强调文字颜色 2 4 2" xfId="2744" xr:uid="{00000000-0005-0000-0000-0000E70A0000}"/>
    <cellStyle name="40% - 强调文字颜色 2 4 2 2" xfId="2745" xr:uid="{00000000-0005-0000-0000-0000E80A0000}"/>
    <cellStyle name="40% - 强调文字颜色 2 4 3" xfId="2746" xr:uid="{00000000-0005-0000-0000-0000E90A0000}"/>
    <cellStyle name="40% - 强调文字颜色 2 4 3 2" xfId="2747" xr:uid="{00000000-0005-0000-0000-0000EA0A0000}"/>
    <cellStyle name="40% - 强调文字颜色 2 4 4" xfId="2751" xr:uid="{00000000-0005-0000-0000-0000EE0A0000}"/>
    <cellStyle name="40% - 强调文字颜色 2 4 4 2" xfId="2752" xr:uid="{00000000-0005-0000-0000-0000EF0A0000}"/>
    <cellStyle name="40% - 强调文字颜色 2 4 5" xfId="2755" xr:uid="{00000000-0005-0000-0000-0000F20A0000}"/>
    <cellStyle name="40% - 强调文字颜色 2 4 5 2" xfId="2757" xr:uid="{00000000-0005-0000-0000-0000F40A0000}"/>
    <cellStyle name="40% - 强调文字颜色 2 4 6" xfId="1603" xr:uid="{00000000-0005-0000-0000-000072060000}"/>
    <cellStyle name="40% - 强调文字颜色 2 4 6 2" xfId="1169" xr:uid="{00000000-0005-0000-0000-0000C0040000}"/>
    <cellStyle name="40% - 强调文字颜色 2 4 7" xfId="614" xr:uid="{00000000-0005-0000-0000-000095020000}"/>
    <cellStyle name="40% - 强调文字颜色 2 4 7 2" xfId="618" xr:uid="{00000000-0005-0000-0000-000099020000}"/>
    <cellStyle name="40% - 强调文字颜色 2 4 8" xfId="170" xr:uid="{00000000-0005-0000-0000-0000C3000000}"/>
    <cellStyle name="40% - 强调文字颜色 2 4 8 2" xfId="882" xr:uid="{00000000-0005-0000-0000-0000A1030000}"/>
    <cellStyle name="40% - 强调文字颜色 2 4 9" xfId="1317" xr:uid="{00000000-0005-0000-0000-000054050000}"/>
    <cellStyle name="40% - 强调文字颜色 2 4 9 2" xfId="201" xr:uid="{00000000-0005-0000-0000-0000EB000000}"/>
    <cellStyle name="40% - 强调文字颜色 2 5" xfId="2758" xr:uid="{00000000-0005-0000-0000-0000F50A0000}"/>
    <cellStyle name="40% - 强调文字颜色 2 5 2" xfId="2760" xr:uid="{00000000-0005-0000-0000-0000F70A0000}"/>
    <cellStyle name="40% - 强调文字颜色 2 5 2 2" xfId="2762" xr:uid="{00000000-0005-0000-0000-0000F90A0000}"/>
    <cellStyle name="40% - 强调文字颜色 2 5 3" xfId="187" xr:uid="{00000000-0005-0000-0000-0000D8000000}"/>
    <cellStyle name="40% - 强调文字颜色 2 5 4" xfId="1652" xr:uid="{00000000-0005-0000-0000-0000A3060000}"/>
    <cellStyle name="40% - 强调文字颜色 2 6" xfId="2763" xr:uid="{00000000-0005-0000-0000-0000FA0A0000}"/>
    <cellStyle name="40% - 强调文字颜色 2 6 2" xfId="2476" xr:uid="{00000000-0005-0000-0000-0000DB090000}"/>
    <cellStyle name="40% - 强调文字颜色 2 6 2 2" xfId="2279" xr:uid="{00000000-0005-0000-0000-000016090000}"/>
    <cellStyle name="40% - 强调文字颜色 2 6 3" xfId="2479" xr:uid="{00000000-0005-0000-0000-0000DE090000}"/>
    <cellStyle name="40% - 强调文字颜色 2 6 4" xfId="594" xr:uid="{00000000-0005-0000-0000-000081020000}"/>
    <cellStyle name="40% - 强调文字颜色 2 7" xfId="758" xr:uid="{00000000-0005-0000-0000-000025030000}"/>
    <cellStyle name="40% - 强调文字颜色 2 7 2" xfId="771" xr:uid="{00000000-0005-0000-0000-000032030000}"/>
    <cellStyle name="40% - 强调文字颜色 2 7 2 2" xfId="1110" xr:uid="{00000000-0005-0000-0000-000085040000}"/>
    <cellStyle name="40% - 强调文字颜色 2 7 2 3" xfId="2765" xr:uid="{00000000-0005-0000-0000-0000FC0A0000}"/>
    <cellStyle name="40% - 强调文字颜色 2 7 3" xfId="777" xr:uid="{00000000-0005-0000-0000-000038030000}"/>
    <cellStyle name="40% - 强调文字颜色 2 7 4" xfId="2767" xr:uid="{00000000-0005-0000-0000-0000FE0A0000}"/>
    <cellStyle name="40% - 强调文字颜色 2 8" xfId="888" xr:uid="{00000000-0005-0000-0000-0000A7030000}"/>
    <cellStyle name="40% - 强调文字颜色 2 8 2" xfId="900" xr:uid="{00000000-0005-0000-0000-0000B3030000}"/>
    <cellStyle name="40% - 强调文字颜色 2 8 2 2" xfId="2768" xr:uid="{00000000-0005-0000-0000-0000FF0A0000}"/>
    <cellStyle name="40% - 强调文字颜色 2 8 2 3" xfId="2770" xr:uid="{00000000-0005-0000-0000-0000010B0000}"/>
    <cellStyle name="40% - 强调文字颜色 2 8 3" xfId="905" xr:uid="{00000000-0005-0000-0000-0000B8030000}"/>
    <cellStyle name="40% - 强调文字颜色 2 8 4" xfId="2772" xr:uid="{00000000-0005-0000-0000-0000030B0000}"/>
    <cellStyle name="40% - 强调文字颜色 2 9" xfId="2080" xr:uid="{00000000-0005-0000-0000-00004F080000}"/>
    <cellStyle name="40% - 强调文字颜色 2 9 2" xfId="2774" xr:uid="{00000000-0005-0000-0000-0000050B0000}"/>
    <cellStyle name="40% - 强调文字颜色 2 9 2 2" xfId="2776" xr:uid="{00000000-0005-0000-0000-0000070B0000}"/>
    <cellStyle name="40% - 强调文字颜色 2 9 2 3" xfId="2779" xr:uid="{00000000-0005-0000-0000-00000A0B0000}"/>
    <cellStyle name="40% - 强调文字颜色 2 9 3" xfId="2780" xr:uid="{00000000-0005-0000-0000-00000B0B0000}"/>
    <cellStyle name="40% - 强调文字颜色 2 9 4" xfId="633" xr:uid="{00000000-0005-0000-0000-0000A8020000}"/>
    <cellStyle name="40% - 强调文字颜色 3 10" xfId="94" xr:uid="{00000000-0005-0000-0000-00006D000000}"/>
    <cellStyle name="40% - 强调文字颜色 3 10 2" xfId="131" xr:uid="{00000000-0005-0000-0000-000095000000}"/>
    <cellStyle name="40% - 强调文字颜色 3 10 2 2" xfId="2181" xr:uid="{00000000-0005-0000-0000-0000B4080000}"/>
    <cellStyle name="40% - 强调文字颜色 3 10 2 3" xfId="2782" xr:uid="{00000000-0005-0000-0000-00000D0B0000}"/>
    <cellStyle name="40% - 强调文字颜色 3 10 3" xfId="154" xr:uid="{00000000-0005-0000-0000-0000AE000000}"/>
    <cellStyle name="40% - 强调文字颜色 3 10 4" xfId="74" xr:uid="{00000000-0005-0000-0000-000057000000}"/>
    <cellStyle name="40% - 强调文字颜色 3 11" xfId="1368" xr:uid="{00000000-0005-0000-0000-000087050000}"/>
    <cellStyle name="40% - 强调文字颜色 3 11 2" xfId="1377" xr:uid="{00000000-0005-0000-0000-000090050000}"/>
    <cellStyle name="40% - 强调文字颜色 3 12" xfId="1393" xr:uid="{00000000-0005-0000-0000-0000A0050000}"/>
    <cellStyle name="40% - 强调文字颜色 3 12 2" xfId="1399" xr:uid="{00000000-0005-0000-0000-0000A6050000}"/>
    <cellStyle name="40% - 强调文字颜色 3 13" xfId="1403" xr:uid="{00000000-0005-0000-0000-0000AA050000}"/>
    <cellStyle name="40% - 强调文字颜色 3 13 2" xfId="251" xr:uid="{00000000-0005-0000-0000-00002A010000}"/>
    <cellStyle name="40% - 强调文字颜色 3 14" xfId="1408" xr:uid="{00000000-0005-0000-0000-0000AF050000}"/>
    <cellStyle name="40% - 强调文字颜色 3 14 2" xfId="1412" xr:uid="{00000000-0005-0000-0000-0000B3050000}"/>
    <cellStyle name="40% - 强调文字颜色 3 2" xfId="2785" xr:uid="{00000000-0005-0000-0000-0000100B0000}"/>
    <cellStyle name="40% - 强调文字颜色 3 2 10" xfId="2789" xr:uid="{00000000-0005-0000-0000-0000140B0000}"/>
    <cellStyle name="40% - 强调文字颜色 3 2 10 2" xfId="2537" xr:uid="{00000000-0005-0000-0000-0000180A0000}"/>
    <cellStyle name="40% - 强调文字颜色 3 2 11" xfId="2792" xr:uid="{00000000-0005-0000-0000-0000170B0000}"/>
    <cellStyle name="40% - 强调文字颜色 3 2 11 2" xfId="388" xr:uid="{00000000-0005-0000-0000-0000B3010000}"/>
    <cellStyle name="40% - 强调文字颜色 3 2 12" xfId="2793" xr:uid="{00000000-0005-0000-0000-0000180B0000}"/>
    <cellStyle name="40% - 强调文字颜色 3 2 13" xfId="2794" xr:uid="{00000000-0005-0000-0000-0000190B0000}"/>
    <cellStyle name="40% - 强调文字颜色 3 2 14" xfId="2796" xr:uid="{00000000-0005-0000-0000-00001B0B0000}"/>
    <cellStyle name="40% - 强调文字颜色 3 2 15" xfId="2797" xr:uid="{00000000-0005-0000-0000-00001C0B0000}"/>
    <cellStyle name="40% - 强调文字颜色 3 2 16" xfId="2800" xr:uid="{00000000-0005-0000-0000-00001F0B0000}"/>
    <cellStyle name="40% - 强调文字颜色 3 2 2" xfId="2134" xr:uid="{00000000-0005-0000-0000-000085080000}"/>
    <cellStyle name="40% - 强调文字颜色 3 2 2 10" xfId="2801" xr:uid="{00000000-0005-0000-0000-0000200B0000}"/>
    <cellStyle name="40% - 强调文字颜色 3 2 2 2" xfId="2805" xr:uid="{00000000-0005-0000-0000-0000240B0000}"/>
    <cellStyle name="40% - 强调文字颜色 3 2 2 2 2" xfId="2812" xr:uid="{00000000-0005-0000-0000-00002B0B0000}"/>
    <cellStyle name="40% - 强调文字颜色 3 2 2 2 3" xfId="2057" xr:uid="{00000000-0005-0000-0000-000038080000}"/>
    <cellStyle name="40% - 强调文字颜色 3 2 2 3" xfId="2818" xr:uid="{00000000-0005-0000-0000-0000310B0000}"/>
    <cellStyle name="40% - 强调文字颜色 3 2 2 3 2" xfId="2824" xr:uid="{00000000-0005-0000-0000-0000370B0000}"/>
    <cellStyle name="40% - 强调文字颜色 3 2 2 3 3" xfId="2833" xr:uid="{00000000-0005-0000-0000-0000400B0000}"/>
    <cellStyle name="40% - 强调文字颜色 3 2 2 4" xfId="2834" xr:uid="{00000000-0005-0000-0000-0000410B0000}"/>
    <cellStyle name="40% - 强调文字颜色 3 2 2 5" xfId="1449" xr:uid="{00000000-0005-0000-0000-0000D8050000}"/>
    <cellStyle name="40% - 强调文字颜色 3 2 2 6" xfId="1459" xr:uid="{00000000-0005-0000-0000-0000E2050000}"/>
    <cellStyle name="40% - 强调文字颜色 3 2 2 7" xfId="447" xr:uid="{00000000-0005-0000-0000-0000EE010000}"/>
    <cellStyle name="40% - 强调文字颜色 3 2 2 8" xfId="1467" xr:uid="{00000000-0005-0000-0000-0000EA050000}"/>
    <cellStyle name="40% - 强调文字颜色 3 2 2 9" xfId="1481" xr:uid="{00000000-0005-0000-0000-0000F8050000}"/>
    <cellStyle name="40% - 强调文字颜色 3 2 3" xfId="1234" xr:uid="{00000000-0005-0000-0000-000001050000}"/>
    <cellStyle name="40% - 强调文字颜色 3 2 3 2" xfId="2842" xr:uid="{00000000-0005-0000-0000-0000490B0000}"/>
    <cellStyle name="40% - 强调文字颜色 3 2 3 2 2" xfId="2844" xr:uid="{00000000-0005-0000-0000-00004B0B0000}"/>
    <cellStyle name="40% - 强调文字颜色 3 2 3 3" xfId="2858" xr:uid="{00000000-0005-0000-0000-0000590B0000}"/>
    <cellStyle name="40% - 强调文字颜色 3 2 3 4" xfId="2321" xr:uid="{00000000-0005-0000-0000-000040090000}"/>
    <cellStyle name="40% - 强调文字颜色 3 2 4" xfId="2809" xr:uid="{00000000-0005-0000-0000-0000280B0000}"/>
    <cellStyle name="40% - 强调文字颜色 3 2 4 2" xfId="2816" xr:uid="{00000000-0005-0000-0000-00002F0B0000}"/>
    <cellStyle name="40% - 强调文字颜色 3 2 4 2 2" xfId="2860" xr:uid="{00000000-0005-0000-0000-00005B0B0000}"/>
    <cellStyle name="40% - 强调文字颜色 3 2 4 3" xfId="2058" xr:uid="{00000000-0005-0000-0000-000039080000}"/>
    <cellStyle name="40% - 强调文字颜色 3 2 4 4" xfId="2062" xr:uid="{00000000-0005-0000-0000-00003D080000}"/>
    <cellStyle name="40% - 强调文字颜色 3 2 5" xfId="2822" xr:uid="{00000000-0005-0000-0000-0000350B0000}"/>
    <cellStyle name="40% - 强调文字颜色 3 2 5 2" xfId="2827" xr:uid="{00000000-0005-0000-0000-00003A0B0000}"/>
    <cellStyle name="40% - 强调文字颜色 3 2 5 2 2" xfId="2865" xr:uid="{00000000-0005-0000-0000-0000600B0000}"/>
    <cellStyle name="40% - 强调文字颜色 3 2 5 3" xfId="2829" xr:uid="{00000000-0005-0000-0000-00003C0B0000}"/>
    <cellStyle name="40% - 强调文字颜色 3 2 5 4" xfId="2870" xr:uid="{00000000-0005-0000-0000-0000650B0000}"/>
    <cellStyle name="40% - 强调文字颜色 3 2 6" xfId="2836" xr:uid="{00000000-0005-0000-0000-0000430B0000}"/>
    <cellStyle name="40% - 强调文字颜色 3 2 6 2" xfId="2872" xr:uid="{00000000-0005-0000-0000-0000670B0000}"/>
    <cellStyle name="40% - 强调文字颜色 3 2 6 2 2" xfId="2875" xr:uid="{00000000-0005-0000-0000-00006A0B0000}"/>
    <cellStyle name="40% - 强调文字颜色 3 2 6 3" xfId="2876" xr:uid="{00000000-0005-0000-0000-00006B0B0000}"/>
    <cellStyle name="40% - 强调文字颜色 3 2 6 4" xfId="2878" xr:uid="{00000000-0005-0000-0000-00006D0B0000}"/>
    <cellStyle name="40% - 强调文字颜色 3 2 7" xfId="1447" xr:uid="{00000000-0005-0000-0000-0000D6050000}"/>
    <cellStyle name="40% - 强调文字颜色 3 2 7 2" xfId="707" xr:uid="{00000000-0005-0000-0000-0000F2020000}"/>
    <cellStyle name="40% - 强调文字颜色 3 2 7 2 2" xfId="715" xr:uid="{00000000-0005-0000-0000-0000FA020000}"/>
    <cellStyle name="40% - 强调文字颜色 3 2 7 3" xfId="783" xr:uid="{00000000-0005-0000-0000-00003E030000}"/>
    <cellStyle name="40% - 强调文字颜色 3 2 7 4" xfId="1451" xr:uid="{00000000-0005-0000-0000-0000DA050000}"/>
    <cellStyle name="40% - 强调文字颜色 3 2 8" xfId="1457" xr:uid="{00000000-0005-0000-0000-0000E0050000}"/>
    <cellStyle name="40% - 强调文字颜色 3 2 8 2" xfId="945" xr:uid="{00000000-0005-0000-0000-0000E0030000}"/>
    <cellStyle name="40% - 强调文字颜色 3 2 8 3" xfId="1213" xr:uid="{00000000-0005-0000-0000-0000EC040000}"/>
    <cellStyle name="40% - 强调文字颜色 3 2 9" xfId="444" xr:uid="{00000000-0005-0000-0000-0000EB010000}"/>
    <cellStyle name="40% - 强调文字颜色 3 2 9 2" xfId="457" xr:uid="{00000000-0005-0000-0000-0000F8010000}"/>
    <cellStyle name="40% - 强调文字颜色 3 2 9 3" xfId="465" xr:uid="{00000000-0005-0000-0000-000000020000}"/>
    <cellStyle name="40% - 强调文字颜色 3 2_成本利润预算(公司目标)" xfId="2569" xr:uid="{00000000-0005-0000-0000-0000380A0000}"/>
    <cellStyle name="40% - 强调文字颜色 3 3" xfId="2879" xr:uid="{00000000-0005-0000-0000-00006E0B0000}"/>
    <cellStyle name="40% - 强调文字颜色 3 3 10" xfId="2881" xr:uid="{00000000-0005-0000-0000-0000700B0000}"/>
    <cellStyle name="40% - 强调文字颜色 3 3 10 2" xfId="2884" xr:uid="{00000000-0005-0000-0000-0000730B0000}"/>
    <cellStyle name="40% - 强调文字颜色 3 3 11" xfId="2886" xr:uid="{00000000-0005-0000-0000-0000750B0000}"/>
    <cellStyle name="40% - 强调文字颜色 3 3 11 2" xfId="2889" xr:uid="{00000000-0005-0000-0000-0000780B0000}"/>
    <cellStyle name="40% - 强调文字颜色 3 3 12" xfId="2891" xr:uid="{00000000-0005-0000-0000-00007A0B0000}"/>
    <cellStyle name="40% - 强调文字颜色 3 3 2" xfId="2160" xr:uid="{00000000-0005-0000-0000-00009F080000}"/>
    <cellStyle name="40% - 强调文字颜色 3 3 2 2" xfId="2898" xr:uid="{00000000-0005-0000-0000-0000810B0000}"/>
    <cellStyle name="40% - 强调文字颜色 3 3 3" xfId="164" xr:uid="{00000000-0005-0000-0000-0000BB000000}"/>
    <cellStyle name="40% - 强调文字颜色 3 3 3 2" xfId="32" xr:uid="{00000000-0005-0000-0000-000025000000}"/>
    <cellStyle name="40% - 强调文字颜色 3 3 4" xfId="2841" xr:uid="{00000000-0005-0000-0000-0000480B0000}"/>
    <cellStyle name="40% - 强调文字颜色 3 3 4 2" xfId="2851" xr:uid="{00000000-0005-0000-0000-0000520B0000}"/>
    <cellStyle name="40% - 强调文字颜色 3 3 5" xfId="2857" xr:uid="{00000000-0005-0000-0000-0000580B0000}"/>
    <cellStyle name="40% - 强调文字颜色 3 3 5 2" xfId="2905" xr:uid="{00000000-0005-0000-0000-0000880B0000}"/>
    <cellStyle name="40% - 强调文字颜色 3 3 6" xfId="2320" xr:uid="{00000000-0005-0000-0000-00003F090000}"/>
    <cellStyle name="40% - 强调文字颜色 3 3 6 2" xfId="2328" xr:uid="{00000000-0005-0000-0000-000047090000}"/>
    <cellStyle name="40% - 强调文字颜色 3 3 7" xfId="1524" xr:uid="{00000000-0005-0000-0000-000023060000}"/>
    <cellStyle name="40% - 强调文字颜色 3 3 7 2" xfId="1533" xr:uid="{00000000-0005-0000-0000-00002C060000}"/>
    <cellStyle name="40% - 强调文字颜色 3 3 8" xfId="865" xr:uid="{00000000-0005-0000-0000-000090030000}"/>
    <cellStyle name="40% - 强调文字颜色 3 3 8 2" xfId="1542" xr:uid="{00000000-0005-0000-0000-000035060000}"/>
    <cellStyle name="40% - 强调文字颜色 3 3 9" xfId="873" xr:uid="{00000000-0005-0000-0000-000098030000}"/>
    <cellStyle name="40% - 强调文字颜色 3 3 9 2" xfId="828" xr:uid="{00000000-0005-0000-0000-00006B030000}"/>
    <cellStyle name="40% - 强调文字颜色 3 4" xfId="2906" xr:uid="{00000000-0005-0000-0000-0000890B0000}"/>
    <cellStyle name="40% - 强调文字颜色 3 4 10" xfId="2908" xr:uid="{00000000-0005-0000-0000-00008B0B0000}"/>
    <cellStyle name="40% - 强调文字颜色 3 4 10 2" xfId="2123" xr:uid="{00000000-0005-0000-0000-00007A080000}"/>
    <cellStyle name="40% - 强调文字颜色 3 4 11" xfId="2787" xr:uid="{00000000-0005-0000-0000-0000120B0000}"/>
    <cellStyle name="40% - 强调文字颜色 3 4 11 2" xfId="2138" xr:uid="{00000000-0005-0000-0000-000089080000}"/>
    <cellStyle name="40% - 强调文字颜色 3 4 12" xfId="2880" xr:uid="{00000000-0005-0000-0000-00006F0B0000}"/>
    <cellStyle name="40% - 强调文字颜色 3 4 13" xfId="2907" xr:uid="{00000000-0005-0000-0000-00008A0B0000}"/>
    <cellStyle name="40% - 强调文字颜色 3 4 2" xfId="2027" xr:uid="{00000000-0005-0000-0000-00001A080000}"/>
    <cellStyle name="40% - 强调文字颜色 3 4 2 2" xfId="2399" xr:uid="{00000000-0005-0000-0000-00008E090000}"/>
    <cellStyle name="40% - 强调文字颜色 3 4 3" xfId="2029" xr:uid="{00000000-0005-0000-0000-00001C080000}"/>
    <cellStyle name="40% - 强调文字颜色 3 4 3 2" xfId="2912" xr:uid="{00000000-0005-0000-0000-00008F0B0000}"/>
    <cellStyle name="40% - 强调文字颜色 3 4 4" xfId="2815" xr:uid="{00000000-0005-0000-0000-00002E0B0000}"/>
    <cellStyle name="40% - 强调文字颜色 3 4 4 2" xfId="2863" xr:uid="{00000000-0005-0000-0000-00005E0B0000}"/>
    <cellStyle name="40% - 强调文字颜色 3 4 5" xfId="2054" xr:uid="{00000000-0005-0000-0000-000035080000}"/>
    <cellStyle name="40% - 强调文字颜色 3 4 5 2" xfId="2914" xr:uid="{00000000-0005-0000-0000-0000910B0000}"/>
    <cellStyle name="40% - 强调文字颜色 3 4 6" xfId="2060" xr:uid="{00000000-0005-0000-0000-00003B080000}"/>
    <cellStyle name="40% - 强调文字颜色 3 4 6 2" xfId="2917" xr:uid="{00000000-0005-0000-0000-0000940B0000}"/>
    <cellStyle name="40% - 强调文字颜色 3 4 7" xfId="158" xr:uid="{00000000-0005-0000-0000-0000B4000000}"/>
    <cellStyle name="40% - 强调文字颜色 3 4 7 2" xfId="1596" xr:uid="{00000000-0005-0000-0000-00006B060000}"/>
    <cellStyle name="40% - 强调文字颜色 3 4 8" xfId="913" xr:uid="{00000000-0005-0000-0000-0000C0030000}"/>
    <cellStyle name="40% - 强调文字颜色 3 4 8 2" xfId="848" xr:uid="{00000000-0005-0000-0000-00007F030000}"/>
    <cellStyle name="40% - 强调文字颜色 3 4 9" xfId="917" xr:uid="{00000000-0005-0000-0000-0000C4030000}"/>
    <cellStyle name="40% - 强调文字颜色 3 4 9 2" xfId="325" xr:uid="{00000000-0005-0000-0000-000074010000}"/>
    <cellStyle name="40% - 强调文字颜色 3 5" xfId="2918" xr:uid="{00000000-0005-0000-0000-0000950B0000}"/>
    <cellStyle name="40% - 强调文字颜色 3 5 2" xfId="2920" xr:uid="{00000000-0005-0000-0000-0000970B0000}"/>
    <cellStyle name="40% - 强调文字颜色 3 5 2 2" xfId="2925" xr:uid="{00000000-0005-0000-0000-00009C0B0000}"/>
    <cellStyle name="40% - 强调文字颜色 3 5 3" xfId="36" xr:uid="{00000000-0005-0000-0000-00002A000000}"/>
    <cellStyle name="40% - 强调文字颜色 3 5 4" xfId="2825" xr:uid="{00000000-0005-0000-0000-0000380B0000}"/>
    <cellStyle name="40% - 强调文字颜色 3 6" xfId="2926" xr:uid="{00000000-0005-0000-0000-00009D0B0000}"/>
    <cellStyle name="40% - 强调文字颜色 3 6 2" xfId="2928" xr:uid="{00000000-0005-0000-0000-00009F0B0000}"/>
    <cellStyle name="40% - 强调文字颜色 3 6 2 2" xfId="2929" xr:uid="{00000000-0005-0000-0000-0000A00B0000}"/>
    <cellStyle name="40% - 强调文字颜色 3 6 3" xfId="2930" xr:uid="{00000000-0005-0000-0000-0000A10B0000}"/>
    <cellStyle name="40% - 强调文字颜色 3 6 4" xfId="2871" xr:uid="{00000000-0005-0000-0000-0000660B0000}"/>
    <cellStyle name="40% - 强调文字颜色 3 7" xfId="1061" xr:uid="{00000000-0005-0000-0000-000054040000}"/>
    <cellStyle name="40% - 强调文字颜色 3 7 2" xfId="1576" xr:uid="{00000000-0005-0000-0000-000057060000}"/>
    <cellStyle name="40% - 强调文字颜色 3 7 2 2" xfId="2931" xr:uid="{00000000-0005-0000-0000-0000A20B0000}"/>
    <cellStyle name="40% - 强调文字颜色 3 7 2 3" xfId="916" xr:uid="{00000000-0005-0000-0000-0000C3030000}"/>
    <cellStyle name="40% - 强调文字颜色 3 7 3" xfId="2932" xr:uid="{00000000-0005-0000-0000-0000A30B0000}"/>
    <cellStyle name="40% - 强调文字颜色 3 7 4" xfId="705" xr:uid="{00000000-0005-0000-0000-0000F0020000}"/>
    <cellStyle name="40% - 强调文字颜色 3 8" xfId="147" xr:uid="{00000000-0005-0000-0000-0000A7000000}"/>
    <cellStyle name="40% - 强调文字颜色 3 8 2" xfId="1833" xr:uid="{00000000-0005-0000-0000-000058070000}"/>
    <cellStyle name="40% - 强调文字颜色 3 8 2 2" xfId="2933" xr:uid="{00000000-0005-0000-0000-0000A40B0000}"/>
    <cellStyle name="40% - 强调文字颜色 3 8 2 3" xfId="2934" xr:uid="{00000000-0005-0000-0000-0000A50B0000}"/>
    <cellStyle name="40% - 强调文字颜色 3 8 3" xfId="2935" xr:uid="{00000000-0005-0000-0000-0000A60B0000}"/>
    <cellStyle name="40% - 强调文字颜色 3 8 4" xfId="943" xr:uid="{00000000-0005-0000-0000-0000DE030000}"/>
    <cellStyle name="40% - 强调文字颜色 3 9" xfId="2000" xr:uid="{00000000-0005-0000-0000-0000FF070000}"/>
    <cellStyle name="40% - 强调文字颜色 3 9 2" xfId="2936" xr:uid="{00000000-0005-0000-0000-0000A70B0000}"/>
    <cellStyle name="40% - 强调文字颜色 3 9 2 2" xfId="96" xr:uid="{00000000-0005-0000-0000-00006F000000}"/>
    <cellStyle name="40% - 强调文字颜色 3 9 2 3" xfId="2938" xr:uid="{00000000-0005-0000-0000-0000A90B0000}"/>
    <cellStyle name="40% - 强调文字颜色 3 9 3" xfId="2939" xr:uid="{00000000-0005-0000-0000-0000AA0B0000}"/>
    <cellStyle name="40% - 强调文字颜色 3 9 4" xfId="455" xr:uid="{00000000-0005-0000-0000-0000F6010000}"/>
    <cellStyle name="40% - 强调文字颜色 4 10" xfId="384" xr:uid="{00000000-0005-0000-0000-0000AF010000}"/>
    <cellStyle name="40% - 强调文字颜色 4 10 2" xfId="392" xr:uid="{00000000-0005-0000-0000-0000B7010000}"/>
    <cellStyle name="40% - 强调文字颜色 4 10 2 2" xfId="1247" xr:uid="{00000000-0005-0000-0000-00000E050000}"/>
    <cellStyle name="40% - 强调文字颜色 4 10 2 3" xfId="2067" xr:uid="{00000000-0005-0000-0000-000042080000}"/>
    <cellStyle name="40% - 强调文字颜色 4 10 3" xfId="401" xr:uid="{00000000-0005-0000-0000-0000C0010000}"/>
    <cellStyle name="40% - 强调文字颜色 4 10 4" xfId="414" xr:uid="{00000000-0005-0000-0000-0000CD010000}"/>
    <cellStyle name="40% - 强调文字颜色 4 11" xfId="422" xr:uid="{00000000-0005-0000-0000-0000D5010000}"/>
    <cellStyle name="40% - 强调文字颜色 4 11 2" xfId="1252" xr:uid="{00000000-0005-0000-0000-000013050000}"/>
    <cellStyle name="40% - 强调文字颜色 4 12" xfId="1257" xr:uid="{00000000-0005-0000-0000-000018050000}"/>
    <cellStyle name="40% - 强调文字颜色 4 12 2" xfId="1262" xr:uid="{00000000-0005-0000-0000-00001D050000}"/>
    <cellStyle name="40% - 强调文字颜色 4 13" xfId="1267" xr:uid="{00000000-0005-0000-0000-000022050000}"/>
    <cellStyle name="40% - 强调文字颜色 4 13 2" xfId="1270" xr:uid="{00000000-0005-0000-0000-000025050000}"/>
    <cellStyle name="40% - 强调文字颜色 4 14" xfId="754" xr:uid="{00000000-0005-0000-0000-000021030000}"/>
    <cellStyle name="40% - 强调文字颜色 4 14 2" xfId="766" xr:uid="{00000000-0005-0000-0000-00002D030000}"/>
    <cellStyle name="40% - 强调文字颜色 4 2" xfId="1585" xr:uid="{00000000-0005-0000-0000-000060060000}"/>
    <cellStyle name="40% - 强调文字颜色 4 2 10" xfId="2941" xr:uid="{00000000-0005-0000-0000-0000AC0B0000}"/>
    <cellStyle name="40% - 强调文字颜色 4 2 10 2" xfId="2944" xr:uid="{00000000-0005-0000-0000-0000AF0B0000}"/>
    <cellStyle name="40% - 强调文字颜色 4 2 11" xfId="494" xr:uid="{00000000-0005-0000-0000-00001D020000}"/>
    <cellStyle name="40% - 强调文字颜色 4 2 11 2" xfId="2945" xr:uid="{00000000-0005-0000-0000-0000B00B0000}"/>
    <cellStyle name="40% - 强调文字颜色 4 2 12" xfId="498" xr:uid="{00000000-0005-0000-0000-000021020000}"/>
    <cellStyle name="40% - 强调文字颜色 4 2 13" xfId="2591" xr:uid="{00000000-0005-0000-0000-00004E0A0000}"/>
    <cellStyle name="40% - 强调文字颜色 4 2 14" xfId="2947" xr:uid="{00000000-0005-0000-0000-0000B20B0000}"/>
    <cellStyle name="40% - 强调文字颜色 4 2 15" xfId="801" xr:uid="{00000000-0005-0000-0000-000050030000}"/>
    <cellStyle name="40% - 强调文字颜色 4 2 16" xfId="811" xr:uid="{00000000-0005-0000-0000-00005A030000}"/>
    <cellStyle name="40% - 强调文字颜色 4 2 2" xfId="1587" xr:uid="{00000000-0005-0000-0000-000062060000}"/>
    <cellStyle name="40% - 强调文字颜色 4 2 2 10" xfId="2951" xr:uid="{00000000-0005-0000-0000-0000B60B0000}"/>
    <cellStyle name="40% - 强调文字颜色 4 2 2 2" xfId="2952" xr:uid="{00000000-0005-0000-0000-0000B70B0000}"/>
    <cellStyle name="40% - 强调文字颜色 4 2 2 2 2" xfId="1936" xr:uid="{00000000-0005-0000-0000-0000BF070000}"/>
    <cellStyle name="40% - 强调文字颜色 4 2 2 2 3" xfId="248" xr:uid="{00000000-0005-0000-0000-000027010000}"/>
    <cellStyle name="40% - 强调文字颜色 4 2 2 3" xfId="2954" xr:uid="{00000000-0005-0000-0000-0000B90B0000}"/>
    <cellStyle name="40% - 强调文字颜色 4 2 2 3 2" xfId="2956" xr:uid="{00000000-0005-0000-0000-0000BB0B0000}"/>
    <cellStyle name="40% - 强调文字颜色 4 2 2 3 3" xfId="2957" xr:uid="{00000000-0005-0000-0000-0000BC0B0000}"/>
    <cellStyle name="40% - 强调文字颜色 4 2 2 4" xfId="476" xr:uid="{00000000-0005-0000-0000-00000B020000}"/>
    <cellStyle name="40% - 强调文字颜色 4 2 2 5" xfId="2958" xr:uid="{00000000-0005-0000-0000-0000BD0B0000}"/>
    <cellStyle name="40% - 强调文字颜色 4 2 2 6" xfId="695" xr:uid="{00000000-0005-0000-0000-0000E6020000}"/>
    <cellStyle name="40% - 强调文字颜色 4 2 2 7" xfId="700" xr:uid="{00000000-0005-0000-0000-0000EB020000}"/>
    <cellStyle name="40% - 强调文字颜色 4 2 2 8" xfId="2959" xr:uid="{00000000-0005-0000-0000-0000BE0B0000}"/>
    <cellStyle name="40% - 强调文字颜色 4 2 2 9" xfId="2204" xr:uid="{00000000-0005-0000-0000-0000CB080000}"/>
    <cellStyle name="40% - 强调文字颜色 4 2 3" xfId="2962" xr:uid="{00000000-0005-0000-0000-0000C10B0000}"/>
    <cellStyle name="40% - 强调文字颜色 4 2 3 2" xfId="198" xr:uid="{00000000-0005-0000-0000-0000E6000000}"/>
    <cellStyle name="40% - 强调文字颜色 4 2 3 2 2" xfId="1068" xr:uid="{00000000-0005-0000-0000-00005B040000}"/>
    <cellStyle name="40% - 强调文字颜色 4 2 3 3" xfId="181" xr:uid="{00000000-0005-0000-0000-0000CF000000}"/>
    <cellStyle name="40% - 强调文字颜色 4 2 3 4" xfId="210" xr:uid="{00000000-0005-0000-0000-0000F7000000}"/>
    <cellStyle name="40% - 强调文字颜色 4 2 4" xfId="2893" xr:uid="{00000000-0005-0000-0000-00007C0B0000}"/>
    <cellStyle name="40% - 强调文字颜色 4 2 4 2" xfId="2964" xr:uid="{00000000-0005-0000-0000-0000C30B0000}"/>
    <cellStyle name="40% - 强调文字颜色 4 2 4 2 2" xfId="1983" xr:uid="{00000000-0005-0000-0000-0000EE070000}"/>
    <cellStyle name="40% - 强调文字颜色 4 2 4 3" xfId="2967" xr:uid="{00000000-0005-0000-0000-0000C60B0000}"/>
    <cellStyle name="40% - 强调文字颜色 4 2 4 4" xfId="2970" xr:uid="{00000000-0005-0000-0000-0000C90B0000}"/>
    <cellStyle name="40% - 强调文字颜色 4 2 5" xfId="2972" xr:uid="{00000000-0005-0000-0000-0000CB0B0000}"/>
    <cellStyle name="40% - 强调文字颜色 4 2 5 2" xfId="2973" xr:uid="{00000000-0005-0000-0000-0000CC0B0000}"/>
    <cellStyle name="40% - 强调文字颜色 4 2 5 2 2" xfId="2974" xr:uid="{00000000-0005-0000-0000-0000CD0B0000}"/>
    <cellStyle name="40% - 强调文字颜色 4 2 5 3" xfId="2975" xr:uid="{00000000-0005-0000-0000-0000CE0B0000}"/>
    <cellStyle name="40% - 强调文字颜色 4 2 5 4" xfId="2976" xr:uid="{00000000-0005-0000-0000-0000CF0B0000}"/>
    <cellStyle name="40% - 强调文字颜色 4 2 6" xfId="2978" xr:uid="{00000000-0005-0000-0000-0000D10B0000}"/>
    <cellStyle name="40% - 强调文字颜色 4 2 6 2" xfId="2979" xr:uid="{00000000-0005-0000-0000-0000D20B0000}"/>
    <cellStyle name="40% - 强调文字颜色 4 2 6 2 2" xfId="2980" xr:uid="{00000000-0005-0000-0000-0000D30B0000}"/>
    <cellStyle name="40% - 强调文字颜色 4 2 6 3" xfId="2981" xr:uid="{00000000-0005-0000-0000-0000D40B0000}"/>
    <cellStyle name="40% - 强调文字颜色 4 2 6 4" xfId="2982" xr:uid="{00000000-0005-0000-0000-0000D50B0000}"/>
    <cellStyle name="40% - 强调文字颜色 4 2 7" xfId="1673" xr:uid="{00000000-0005-0000-0000-0000B8060000}"/>
    <cellStyle name="40% - 强调文字颜色 4 2 7 2" xfId="1679" xr:uid="{00000000-0005-0000-0000-0000BE060000}"/>
    <cellStyle name="40% - 强调文字颜色 4 2 7 2 2" xfId="1681" xr:uid="{00000000-0005-0000-0000-0000C0060000}"/>
    <cellStyle name="40% - 强调文字颜色 4 2 7 3" xfId="1195" xr:uid="{00000000-0005-0000-0000-0000DA040000}"/>
    <cellStyle name="40% - 强调文字颜色 4 2 7 4" xfId="1684" xr:uid="{00000000-0005-0000-0000-0000C3060000}"/>
    <cellStyle name="40% - 强调文字颜色 4 2 8" xfId="1705" xr:uid="{00000000-0005-0000-0000-0000D8060000}"/>
    <cellStyle name="40% - 强调文字颜色 4 2 8 2" xfId="1710" xr:uid="{00000000-0005-0000-0000-0000DD060000}"/>
    <cellStyle name="40% - 强调文字颜色 4 2 8 3" xfId="9" xr:uid="{00000000-0005-0000-0000-00000C000000}"/>
    <cellStyle name="40% - 强调文字颜色 4 2 9" xfId="1722" xr:uid="{00000000-0005-0000-0000-0000E9060000}"/>
    <cellStyle name="40% - 强调文字颜色 4 2 9 2" xfId="1725" xr:uid="{00000000-0005-0000-0000-0000EC060000}"/>
    <cellStyle name="40% - 强调文字颜色 4 2 9 3" xfId="1729" xr:uid="{00000000-0005-0000-0000-0000F0060000}"/>
    <cellStyle name="40% - 强调文字颜色 4 2_成本利润预算(公司目标)" xfId="2983" xr:uid="{00000000-0005-0000-0000-0000D60B0000}"/>
    <cellStyle name="40% - 强调文字颜色 4 3" xfId="1591" xr:uid="{00000000-0005-0000-0000-000066060000}"/>
    <cellStyle name="40% - 强调文字颜色 4 3 10" xfId="179" xr:uid="{00000000-0005-0000-0000-0000CC000000}"/>
    <cellStyle name="40% - 强调文字颜色 4 3 10 2" xfId="2258" xr:uid="{00000000-0005-0000-0000-000001090000}"/>
    <cellStyle name="40% - 强调文字颜色 4 3 11" xfId="2985" xr:uid="{00000000-0005-0000-0000-0000D80B0000}"/>
    <cellStyle name="40% - 强调文字颜色 4 3 11 2" xfId="2986" xr:uid="{00000000-0005-0000-0000-0000D90B0000}"/>
    <cellStyle name="40% - 强调文字颜色 4 3 12" xfId="2987" xr:uid="{00000000-0005-0000-0000-0000DA0B0000}"/>
    <cellStyle name="40% - 强调文字颜色 4 3 2" xfId="203" xr:uid="{00000000-0005-0000-0000-0000ED000000}"/>
    <cellStyle name="40% - 强调文字颜色 4 3 2 2" xfId="2448" xr:uid="{00000000-0005-0000-0000-0000BF090000}"/>
    <cellStyle name="40% - 强调文字颜色 4 3 3" xfId="206" xr:uid="{00000000-0005-0000-0000-0000F2000000}"/>
    <cellStyle name="40% - 强调文字颜色 4 3 3 2" xfId="2661" xr:uid="{00000000-0005-0000-0000-0000940A0000}"/>
    <cellStyle name="40% - 强调文字颜色 4 3 4" xfId="28" xr:uid="{00000000-0005-0000-0000-000021000000}"/>
    <cellStyle name="40% - 强调文字颜色 4 3 4 2" xfId="2784" xr:uid="{00000000-0005-0000-0000-00000F0B0000}"/>
    <cellStyle name="40% - 强调文字颜色 4 3 5" xfId="223" xr:uid="{00000000-0005-0000-0000-000007010000}"/>
    <cellStyle name="40% - 强调文字颜色 4 3 5 2" xfId="1583" xr:uid="{00000000-0005-0000-0000-00005E060000}"/>
    <cellStyle name="40% - 强调文字颜色 4 3 6" xfId="234" xr:uid="{00000000-0005-0000-0000-000014010000}"/>
    <cellStyle name="40% - 强调文字颜色 4 3 6 2" xfId="2990" xr:uid="{00000000-0005-0000-0000-0000DD0B0000}"/>
    <cellStyle name="40% - 强调文字颜色 4 3 7" xfId="241" xr:uid="{00000000-0005-0000-0000-00001E010000}"/>
    <cellStyle name="40% - 强调文字颜色 4 3 7 2" xfId="1788" xr:uid="{00000000-0005-0000-0000-00002B070000}"/>
    <cellStyle name="40% - 强调文字颜色 4 3 8" xfId="1125" xr:uid="{00000000-0005-0000-0000-000094040000}"/>
    <cellStyle name="40% - 强调文字颜色 4 3 8 2" xfId="1790" xr:uid="{00000000-0005-0000-0000-00002D070000}"/>
    <cellStyle name="40% - 强调文字颜色 4 3 9" xfId="1136" xr:uid="{00000000-0005-0000-0000-00009F040000}"/>
    <cellStyle name="40% - 强调文字颜色 4 3 9 2" xfId="1796" xr:uid="{00000000-0005-0000-0000-000033070000}"/>
    <cellStyle name="40% - 强调文字颜色 4 4" xfId="1593" xr:uid="{00000000-0005-0000-0000-000068060000}"/>
    <cellStyle name="40% - 强调文字颜色 4 4 10" xfId="2991" xr:uid="{00000000-0005-0000-0000-0000DE0B0000}"/>
    <cellStyle name="40% - 强调文字颜色 4 4 10 2" xfId="2992" xr:uid="{00000000-0005-0000-0000-0000DF0B0000}"/>
    <cellStyle name="40% - 强调文字颜色 4 4 11" xfId="2993" xr:uid="{00000000-0005-0000-0000-0000E00B0000}"/>
    <cellStyle name="40% - 强调文字颜色 4 4 11 2" xfId="2994" xr:uid="{00000000-0005-0000-0000-0000E10B0000}"/>
    <cellStyle name="40% - 强调文字颜色 4 4 12" xfId="964" xr:uid="{00000000-0005-0000-0000-0000F3030000}"/>
    <cellStyle name="40% - 强调文字颜色 4 4 13" xfId="2996" xr:uid="{00000000-0005-0000-0000-0000E30B0000}"/>
    <cellStyle name="40% - 强调文字颜色 4 4 2" xfId="2997" xr:uid="{00000000-0005-0000-0000-0000E40B0000}"/>
    <cellStyle name="40% - 强调文字颜色 4 4 2 2" xfId="2999" xr:uid="{00000000-0005-0000-0000-0000E60B0000}"/>
    <cellStyle name="40% - 强调文字颜色 4 4 3" xfId="3000" xr:uid="{00000000-0005-0000-0000-0000E70B0000}"/>
    <cellStyle name="40% - 强调文字颜色 4 4 3 2" xfId="3001" xr:uid="{00000000-0005-0000-0000-0000E80B0000}"/>
    <cellStyle name="40% - 强调文字颜色 4 4 4" xfId="2846" xr:uid="{00000000-0005-0000-0000-00004D0B0000}"/>
    <cellStyle name="40% - 强调文字颜色 4 4 4 2" xfId="3003" xr:uid="{00000000-0005-0000-0000-0000EA0B0000}"/>
    <cellStyle name="40% - 强调文字颜色 4 4 5" xfId="3004" xr:uid="{00000000-0005-0000-0000-0000EB0B0000}"/>
    <cellStyle name="40% - 强调文字颜色 4 4 5 2" xfId="3007" xr:uid="{00000000-0005-0000-0000-0000EE0B0000}"/>
    <cellStyle name="40% - 强调文字颜色 4 4 6" xfId="3008" xr:uid="{00000000-0005-0000-0000-0000EF0B0000}"/>
    <cellStyle name="40% - 强调文字颜色 4 4 6 2" xfId="753" xr:uid="{00000000-0005-0000-0000-000020030000}"/>
    <cellStyle name="40% - 强调文字颜色 4 4 7" xfId="1862" xr:uid="{00000000-0005-0000-0000-000075070000}"/>
    <cellStyle name="40% - 强调文字颜色 4 4 7 2" xfId="727" xr:uid="{00000000-0005-0000-0000-000006030000}"/>
    <cellStyle name="40% - 强调文字颜色 4 4 8" xfId="1864" xr:uid="{00000000-0005-0000-0000-000077070000}"/>
    <cellStyle name="40% - 强调文字颜色 4 4 8 2" xfId="259" xr:uid="{00000000-0005-0000-0000-000032010000}"/>
    <cellStyle name="40% - 强调文字颜色 4 4 9" xfId="1869" xr:uid="{00000000-0005-0000-0000-00007C070000}"/>
    <cellStyle name="40% - 强调文字颜色 4 4 9 2" xfId="1230" xr:uid="{00000000-0005-0000-0000-0000FD040000}"/>
    <cellStyle name="40% - 强调文字颜色 4 5" xfId="3009" xr:uid="{00000000-0005-0000-0000-0000F00B0000}"/>
    <cellStyle name="40% - 强调文字颜色 4 5 2" xfId="3010" xr:uid="{00000000-0005-0000-0000-0000F10B0000}"/>
    <cellStyle name="40% - 强调文字颜色 4 5 2 2" xfId="3011" xr:uid="{00000000-0005-0000-0000-0000F20B0000}"/>
    <cellStyle name="40% - 强调文字颜色 4 5 3" xfId="1274" xr:uid="{00000000-0005-0000-0000-000029050000}"/>
    <cellStyle name="40% - 强调文字颜色 4 5 4" xfId="2899" xr:uid="{00000000-0005-0000-0000-0000820B0000}"/>
    <cellStyle name="40% - 强调文字颜色 4 6" xfId="3012" xr:uid="{00000000-0005-0000-0000-0000F30B0000}"/>
    <cellStyle name="40% - 强调文字颜色 4 6 2" xfId="3013" xr:uid="{00000000-0005-0000-0000-0000F40B0000}"/>
    <cellStyle name="40% - 强调文字颜色 4 6 2 2" xfId="1437" xr:uid="{00000000-0005-0000-0000-0000CC050000}"/>
    <cellStyle name="40% - 强调文字颜色 4 6 3" xfId="3014" xr:uid="{00000000-0005-0000-0000-0000F50B0000}"/>
    <cellStyle name="40% - 强调文字颜色 4 6 4" xfId="2322" xr:uid="{00000000-0005-0000-0000-000041090000}"/>
    <cellStyle name="40% - 强调文字颜色 4 7" xfId="2099" xr:uid="{00000000-0005-0000-0000-000062080000}"/>
    <cellStyle name="40% - 强调文字颜色 4 7 2" xfId="808" xr:uid="{00000000-0005-0000-0000-000057030000}"/>
    <cellStyle name="40% - 强调文字颜色 4 7 2 2" xfId="3016" xr:uid="{00000000-0005-0000-0000-0000F70B0000}"/>
    <cellStyle name="40% - 强调文字颜色 4 7 2 3" xfId="3017" xr:uid="{00000000-0005-0000-0000-0000F80B0000}"/>
    <cellStyle name="40% - 强调文字颜色 4 7 3" xfId="3018" xr:uid="{00000000-0005-0000-0000-0000F90B0000}"/>
    <cellStyle name="40% - 强调文字颜色 4 7 4" xfId="1529" xr:uid="{00000000-0005-0000-0000-000028060000}"/>
    <cellStyle name="40% - 强调文字颜色 4 8" xfId="2102" xr:uid="{00000000-0005-0000-0000-000065080000}"/>
    <cellStyle name="40% - 强调文字颜色 4 8 2" xfId="1670" xr:uid="{00000000-0005-0000-0000-0000B5060000}"/>
    <cellStyle name="40% - 强调文字颜色 4 8 2 2" xfId="3019" xr:uid="{00000000-0005-0000-0000-0000FA0B0000}"/>
    <cellStyle name="40% - 强调文字颜色 4 8 2 3" xfId="2883" xr:uid="{00000000-0005-0000-0000-0000720B0000}"/>
    <cellStyle name="40% - 强调文字颜色 4 8 3" xfId="3021" xr:uid="{00000000-0005-0000-0000-0000FC0B0000}"/>
    <cellStyle name="40% - 强调文字颜色 4 8 4" xfId="1538" xr:uid="{00000000-0005-0000-0000-000031060000}"/>
    <cellStyle name="40% - 强调文字颜色 4 9" xfId="2104" xr:uid="{00000000-0005-0000-0000-000067080000}"/>
    <cellStyle name="40% - 强调文字颜色 4 9 2" xfId="2492" xr:uid="{00000000-0005-0000-0000-0000EB090000}"/>
    <cellStyle name="40% - 强调文字颜色 4 9 2 2" xfId="2496" xr:uid="{00000000-0005-0000-0000-0000EF090000}"/>
    <cellStyle name="40% - 强调文字颜色 4 9 2 3" xfId="1510" xr:uid="{00000000-0005-0000-0000-000015060000}"/>
    <cellStyle name="40% - 强调文字颜色 4 9 3" xfId="2503" xr:uid="{00000000-0005-0000-0000-0000F6090000}"/>
    <cellStyle name="40% - 强调文字颜色 4 9 4" xfId="824" xr:uid="{00000000-0005-0000-0000-000067030000}"/>
    <cellStyle name="40% - 强调文字颜色 5 10" xfId="1145" xr:uid="{00000000-0005-0000-0000-0000A8040000}"/>
    <cellStyle name="40% - 强调文字颜色 5 10 2" xfId="3022" xr:uid="{00000000-0005-0000-0000-0000FD0B0000}"/>
    <cellStyle name="40% - 强调文字颜色 5 10 2 2" xfId="1888" xr:uid="{00000000-0005-0000-0000-00008F070000}"/>
    <cellStyle name="40% - 强调文字颜色 5 10 2 3" xfId="940" xr:uid="{00000000-0005-0000-0000-0000DB030000}"/>
    <cellStyle name="40% - 强调文字颜色 5 10 3" xfId="3023" xr:uid="{00000000-0005-0000-0000-0000FE0B0000}"/>
    <cellStyle name="40% - 强调文字颜色 5 10 4" xfId="3025" xr:uid="{00000000-0005-0000-0000-0000000C0000}"/>
    <cellStyle name="40% - 强调文字颜色 5 11" xfId="1925" xr:uid="{00000000-0005-0000-0000-0000B4070000}"/>
    <cellStyle name="40% - 强调文字颜色 5 11 2" xfId="1927" xr:uid="{00000000-0005-0000-0000-0000B6070000}"/>
    <cellStyle name="40% - 强调文字颜色 5 12" xfId="1934" xr:uid="{00000000-0005-0000-0000-0000BD070000}"/>
    <cellStyle name="40% - 强调文字颜色 5 12 2" xfId="837" xr:uid="{00000000-0005-0000-0000-000074030000}"/>
    <cellStyle name="40% - 强调文字颜色 5 13" xfId="244" xr:uid="{00000000-0005-0000-0000-000023010000}"/>
    <cellStyle name="40% - 强调文字颜色 5 13 2" xfId="1937" xr:uid="{00000000-0005-0000-0000-0000C0070000}"/>
    <cellStyle name="40% - 强调文字颜色 5 14" xfId="1939" xr:uid="{00000000-0005-0000-0000-0000C2070000}"/>
    <cellStyle name="40% - 强调文字颜色 5 14 2" xfId="646" xr:uid="{00000000-0005-0000-0000-0000B5020000}"/>
    <cellStyle name="40% - 强调文字颜色 5 2" xfId="2988" xr:uid="{00000000-0005-0000-0000-0000DB0B0000}"/>
    <cellStyle name="40% - 强调文字颜色 5 2 10" xfId="3031" xr:uid="{00000000-0005-0000-0000-0000060C0000}"/>
    <cellStyle name="40% - 强调文字颜色 5 2 10 2" xfId="3034" xr:uid="{00000000-0005-0000-0000-0000090C0000}"/>
    <cellStyle name="40% - 强调文字颜色 5 2 11" xfId="3039" xr:uid="{00000000-0005-0000-0000-00000E0C0000}"/>
    <cellStyle name="40% - 强调文字颜色 5 2 11 2" xfId="3042" xr:uid="{00000000-0005-0000-0000-0000110C0000}"/>
    <cellStyle name="40% - 强调文字颜色 5 2 12" xfId="3047" xr:uid="{00000000-0005-0000-0000-0000160C0000}"/>
    <cellStyle name="40% - 强调文字颜色 5 2 13" xfId="3051" xr:uid="{00000000-0005-0000-0000-00001A0C0000}"/>
    <cellStyle name="40% - 强调文字颜色 5 2 14" xfId="823" xr:uid="{00000000-0005-0000-0000-000066030000}"/>
    <cellStyle name="40% - 强调文字颜色 5 2 15" xfId="836" xr:uid="{00000000-0005-0000-0000-000073030000}"/>
    <cellStyle name="40% - 强调文字颜色 5 2 16" xfId="3056" xr:uid="{00000000-0005-0000-0000-00001F0C0000}"/>
    <cellStyle name="40% - 强调文字颜色 5 2 2" xfId="2362" xr:uid="{00000000-0005-0000-0000-000069090000}"/>
    <cellStyle name="40% - 强调文字颜色 5 2 2 10" xfId="3057" xr:uid="{00000000-0005-0000-0000-0000200C0000}"/>
    <cellStyle name="40% - 强调文字颜色 5 2 2 2" xfId="2367" xr:uid="{00000000-0005-0000-0000-00006E090000}"/>
    <cellStyle name="40% - 强调文字颜色 5 2 2 2 2" xfId="2371" xr:uid="{00000000-0005-0000-0000-000072090000}"/>
    <cellStyle name="40% - 强调文字颜色 5 2 2 2 3" xfId="3059" xr:uid="{00000000-0005-0000-0000-0000220C0000}"/>
    <cellStyle name="40% - 强调文字颜色 5 2 2 3" xfId="2373" xr:uid="{00000000-0005-0000-0000-000074090000}"/>
    <cellStyle name="40% - 强调文字颜色 5 2 2 3 2" xfId="3060" xr:uid="{00000000-0005-0000-0000-0000230C0000}"/>
    <cellStyle name="40% - 强调文字颜色 5 2 2 3 3" xfId="2778" xr:uid="{00000000-0005-0000-0000-0000090B0000}"/>
    <cellStyle name="40% - 强调文字颜色 5 2 2 4" xfId="2377" xr:uid="{00000000-0005-0000-0000-000078090000}"/>
    <cellStyle name="40% - 强调文字颜色 5 2 2 5" xfId="3061" xr:uid="{00000000-0005-0000-0000-0000240C0000}"/>
    <cellStyle name="40% - 强调文字颜色 5 2 2 6" xfId="3062" xr:uid="{00000000-0005-0000-0000-0000250C0000}"/>
    <cellStyle name="40% - 强调文字颜色 5 2 2 7" xfId="3063" xr:uid="{00000000-0005-0000-0000-0000260C0000}"/>
    <cellStyle name="40% - 强调文字颜色 5 2 2 8" xfId="3064" xr:uid="{00000000-0005-0000-0000-0000270C0000}"/>
    <cellStyle name="40% - 强调文字颜色 5 2 2 9" xfId="2359" xr:uid="{00000000-0005-0000-0000-000066090000}"/>
    <cellStyle name="40% - 强调文字颜色 5 2 3" xfId="2379" xr:uid="{00000000-0005-0000-0000-00007A090000}"/>
    <cellStyle name="40% - 强调文字颜色 5 2 3 2" xfId="2384" xr:uid="{00000000-0005-0000-0000-00007F090000}"/>
    <cellStyle name="40% - 强调文字颜色 5 2 3 2 2" xfId="2388" xr:uid="{00000000-0005-0000-0000-000083090000}"/>
    <cellStyle name="40% - 强调文字颜色 5 2 3 3" xfId="2391" xr:uid="{00000000-0005-0000-0000-000086090000}"/>
    <cellStyle name="40% - 强调文字颜色 5 2 3 4" xfId="2395" xr:uid="{00000000-0005-0000-0000-00008A090000}"/>
    <cellStyle name="40% - 强调文字颜色 5 2 4" xfId="2397" xr:uid="{00000000-0005-0000-0000-00008C090000}"/>
    <cellStyle name="40% - 强调文字颜色 5 2 4 2" xfId="2402" xr:uid="{00000000-0005-0000-0000-000091090000}"/>
    <cellStyle name="40% - 强调文字颜色 5 2 4 2 2" xfId="2406" xr:uid="{00000000-0005-0000-0000-000095090000}"/>
    <cellStyle name="40% - 强调文字颜色 5 2 4 3" xfId="2409" xr:uid="{00000000-0005-0000-0000-000098090000}"/>
    <cellStyle name="40% - 强调文字颜色 5 2 4 4" xfId="2412" xr:uid="{00000000-0005-0000-0000-00009B090000}"/>
    <cellStyle name="40% - 强调文字颜色 5 2 5" xfId="2414" xr:uid="{00000000-0005-0000-0000-00009D090000}"/>
    <cellStyle name="40% - 强调文字颜色 5 2 5 2" xfId="2417" xr:uid="{00000000-0005-0000-0000-0000A0090000}"/>
    <cellStyle name="40% - 强调文字颜色 5 2 5 2 2" xfId="2420" xr:uid="{00000000-0005-0000-0000-0000A3090000}"/>
    <cellStyle name="40% - 强调文字颜色 5 2 5 3" xfId="2423" xr:uid="{00000000-0005-0000-0000-0000A6090000}"/>
    <cellStyle name="40% - 强调文字颜色 5 2 5 4" xfId="2425" xr:uid="{00000000-0005-0000-0000-0000A8090000}"/>
    <cellStyle name="40% - 强调文字颜色 5 2 6" xfId="2427" xr:uid="{00000000-0005-0000-0000-0000AA090000}"/>
    <cellStyle name="40% - 强调文字颜色 5 2 6 2" xfId="1720" xr:uid="{00000000-0005-0000-0000-0000E7060000}"/>
    <cellStyle name="40% - 强调文字颜色 5 2 6 2 2" xfId="1727" xr:uid="{00000000-0005-0000-0000-0000EE060000}"/>
    <cellStyle name="40% - 强调文字颜色 5 2 6 3" xfId="1736" xr:uid="{00000000-0005-0000-0000-0000F7060000}"/>
    <cellStyle name="40% - 强调文字颜色 5 2 6 4" xfId="1744" xr:uid="{00000000-0005-0000-0000-0000FF060000}"/>
    <cellStyle name="40% - 强调文字颜色 5 2 7" xfId="1966" xr:uid="{00000000-0005-0000-0000-0000DD070000}"/>
    <cellStyle name="40% - 强调文字颜色 5 2 7 2" xfId="1133" xr:uid="{00000000-0005-0000-0000-00009C040000}"/>
    <cellStyle name="40% - 强调文字颜色 5 2 7 2 2" xfId="1794" xr:uid="{00000000-0005-0000-0000-000031070000}"/>
    <cellStyle name="40% - 强调文字颜色 5 2 7 3" xfId="1801" xr:uid="{00000000-0005-0000-0000-000038070000}"/>
    <cellStyle name="40% - 强调文字颜色 5 2 7 4" xfId="1811" xr:uid="{00000000-0005-0000-0000-000042070000}"/>
    <cellStyle name="40% - 强调文字颜色 5 2 8" xfId="1973" xr:uid="{00000000-0005-0000-0000-0000E4070000}"/>
    <cellStyle name="40% - 强调文字颜色 5 2 8 2" xfId="1866" xr:uid="{00000000-0005-0000-0000-000079070000}"/>
    <cellStyle name="40% - 强调文字颜色 5 2 8 3" xfId="1871" xr:uid="{00000000-0005-0000-0000-00007E070000}"/>
    <cellStyle name="40% - 强调文字颜色 5 2 9" xfId="487" xr:uid="{00000000-0005-0000-0000-000016020000}"/>
    <cellStyle name="40% - 强调文字颜色 5 2 9 2" xfId="472" xr:uid="{00000000-0005-0000-0000-000007020000}"/>
    <cellStyle name="40% - 强调文字颜色 5 2 9 3" xfId="23" xr:uid="{00000000-0005-0000-0000-00001B000000}"/>
    <cellStyle name="40% - 强调文字颜色 5 2_成本利润预算(公司目标)" xfId="3065" xr:uid="{00000000-0005-0000-0000-0000280C0000}"/>
    <cellStyle name="40% - 强调文字颜色 5 3" xfId="3066" xr:uid="{00000000-0005-0000-0000-0000290C0000}"/>
    <cellStyle name="40% - 强调文字颜色 5 3 10" xfId="761" xr:uid="{00000000-0005-0000-0000-000028030000}"/>
    <cellStyle name="40% - 强调文字颜色 5 3 10 2" xfId="773" xr:uid="{00000000-0005-0000-0000-000034030000}"/>
    <cellStyle name="40% - 强调文字颜色 5 3 11" xfId="890" xr:uid="{00000000-0005-0000-0000-0000A9030000}"/>
    <cellStyle name="40% - 强调文字颜色 5 3 11 2" xfId="899" xr:uid="{00000000-0005-0000-0000-0000B2030000}"/>
    <cellStyle name="40% - 强调文字颜色 5 3 12" xfId="2082" xr:uid="{00000000-0005-0000-0000-000051080000}"/>
    <cellStyle name="40% - 强调文字颜色 5 3 2" xfId="3068" xr:uid="{00000000-0005-0000-0000-00002B0C0000}"/>
    <cellStyle name="40% - 强调文字颜色 5 3 2 2" xfId="3070" xr:uid="{00000000-0005-0000-0000-00002D0C0000}"/>
    <cellStyle name="40% - 强调文字颜色 5 3 3" xfId="3071" xr:uid="{00000000-0005-0000-0000-00002E0C0000}"/>
    <cellStyle name="40% - 强调文字颜色 5 3 3 2" xfId="59" xr:uid="{00000000-0005-0000-0000-000045000000}"/>
    <cellStyle name="40% - 强调文字颜色 5 3 4" xfId="2909" xr:uid="{00000000-0005-0000-0000-00008C0B0000}"/>
    <cellStyle name="40% - 强调文字颜色 5 3 4 2" xfId="3074" xr:uid="{00000000-0005-0000-0000-0000310C0000}"/>
    <cellStyle name="40% - 强调文字颜色 5 3 5" xfId="3075" xr:uid="{00000000-0005-0000-0000-0000320C0000}"/>
    <cellStyle name="40% - 强调文字颜色 5 3 5 2" xfId="3078" xr:uid="{00000000-0005-0000-0000-0000350C0000}"/>
    <cellStyle name="40% - 强调文字颜色 5 3 6" xfId="3079" xr:uid="{00000000-0005-0000-0000-0000360C0000}"/>
    <cellStyle name="40% - 强调文字颜色 5 3 6 2" xfId="490" xr:uid="{00000000-0005-0000-0000-000019020000}"/>
    <cellStyle name="40% - 强调文字颜色 5 3 7" xfId="2003" xr:uid="{00000000-0005-0000-0000-000002080000}"/>
    <cellStyle name="40% - 强调文字颜色 5 3 7 2" xfId="2008" xr:uid="{00000000-0005-0000-0000-000007080000}"/>
    <cellStyle name="40% - 强调文字颜色 5 3 8" xfId="2010" xr:uid="{00000000-0005-0000-0000-000009080000}"/>
    <cellStyle name="40% - 强调文字颜色 5 3 8 2" xfId="1390" xr:uid="{00000000-0005-0000-0000-00009D050000}"/>
    <cellStyle name="40% - 强调文字颜色 5 3 9" xfId="2005" xr:uid="{00000000-0005-0000-0000-000004080000}"/>
    <cellStyle name="40% - 强调文字颜色 5 3 9 2" xfId="133" xr:uid="{00000000-0005-0000-0000-000098000000}"/>
    <cellStyle name="40% - 强调文字颜色 5 4" xfId="3080" xr:uid="{00000000-0005-0000-0000-0000370C0000}"/>
    <cellStyle name="40% - 强调文字颜色 5 4 10" xfId="2140" xr:uid="{00000000-0005-0000-0000-00008B080000}"/>
    <cellStyle name="40% - 强调文字颜色 5 4 10 2" xfId="640" xr:uid="{00000000-0005-0000-0000-0000AF020000}"/>
    <cellStyle name="40% - 强调文字颜色 5 4 11" xfId="2147" xr:uid="{00000000-0005-0000-0000-000092080000}"/>
    <cellStyle name="40% - 强调文字颜色 5 4 11 2" xfId="3082" xr:uid="{00000000-0005-0000-0000-0000390C0000}"/>
    <cellStyle name="40% - 强调文字颜色 5 4 12" xfId="2154" xr:uid="{00000000-0005-0000-0000-000099080000}"/>
    <cellStyle name="40% - 强调文字颜色 5 4 13" xfId="160" xr:uid="{00000000-0005-0000-0000-0000B7000000}"/>
    <cellStyle name="40% - 强调文字颜色 5 4 2" xfId="3083" xr:uid="{00000000-0005-0000-0000-00003A0C0000}"/>
    <cellStyle name="40% - 强调文字颜色 5 4 2 2" xfId="56" xr:uid="{00000000-0005-0000-0000-000040000000}"/>
    <cellStyle name="40% - 强调文字颜色 5 4 3" xfId="3085" xr:uid="{00000000-0005-0000-0000-00003C0C0000}"/>
    <cellStyle name="40% - 强调文字颜色 5 4 3 2" xfId="2236" xr:uid="{00000000-0005-0000-0000-0000EB080000}"/>
    <cellStyle name="40% - 强调文字颜色 5 4 4" xfId="2862" xr:uid="{00000000-0005-0000-0000-00005D0B0000}"/>
    <cellStyle name="40% - 强调文字颜色 5 4 4 2" xfId="3090" xr:uid="{00000000-0005-0000-0000-0000410C0000}"/>
    <cellStyle name="40% - 强调文字颜色 5 4 5" xfId="3091" xr:uid="{00000000-0005-0000-0000-0000420C0000}"/>
    <cellStyle name="40% - 强调文字颜色 5 4 5 2" xfId="3093" xr:uid="{00000000-0005-0000-0000-0000440C0000}"/>
    <cellStyle name="40% - 强调文字颜色 5 4 6" xfId="3094" xr:uid="{00000000-0005-0000-0000-0000450C0000}"/>
    <cellStyle name="40% - 强调文字颜色 5 4 6 2" xfId="2097" xr:uid="{00000000-0005-0000-0000-000060080000}"/>
    <cellStyle name="40% - 强调文字颜色 5 4 7" xfId="91" xr:uid="{00000000-0005-0000-0000-00006A000000}"/>
    <cellStyle name="40% - 强调文字颜色 5 4 7 2" xfId="128" xr:uid="{00000000-0005-0000-0000-000092000000}"/>
    <cellStyle name="40% - 强调文字颜色 5 4 8" xfId="1364" xr:uid="{00000000-0005-0000-0000-000083050000}"/>
    <cellStyle name="40% - 强调文字颜色 5 4 8 2" xfId="1370" xr:uid="{00000000-0005-0000-0000-000089050000}"/>
    <cellStyle name="40% - 强调文字颜色 5 4 9" xfId="1388" xr:uid="{00000000-0005-0000-0000-00009B050000}"/>
    <cellStyle name="40% - 强调文字颜色 5 4 9 2" xfId="1396" xr:uid="{00000000-0005-0000-0000-0000A3050000}"/>
    <cellStyle name="40% - 强调文字颜色 5 5" xfId="2434" xr:uid="{00000000-0005-0000-0000-0000B1090000}"/>
    <cellStyle name="40% - 强调文字颜色 5 5 2" xfId="3095" xr:uid="{00000000-0005-0000-0000-0000460C0000}"/>
    <cellStyle name="40% - 强调文字颜色 5 5 2 2" xfId="3097" xr:uid="{00000000-0005-0000-0000-0000480C0000}"/>
    <cellStyle name="40% - 强调文字颜色 5 5 3" xfId="3098" xr:uid="{00000000-0005-0000-0000-0000490C0000}"/>
    <cellStyle name="40% - 强调文字颜色 5 5 4" xfId="2913" xr:uid="{00000000-0005-0000-0000-0000900B0000}"/>
    <cellStyle name="40% - 强调文字颜色 5 6" xfId="968" xr:uid="{00000000-0005-0000-0000-0000F7030000}"/>
    <cellStyle name="40% - 强调文字颜色 5 6 2" xfId="316" xr:uid="{00000000-0005-0000-0000-00006B010000}"/>
    <cellStyle name="40% - 强调文字颜色 5 6 2 2" xfId="3101" xr:uid="{00000000-0005-0000-0000-00004C0C0000}"/>
    <cellStyle name="40% - 强调文字颜色 5 6 3" xfId="976" xr:uid="{00000000-0005-0000-0000-0000FF030000}"/>
    <cellStyle name="40% - 强调文字颜色 5 6 4" xfId="2916" xr:uid="{00000000-0005-0000-0000-0000930B0000}"/>
    <cellStyle name="40% - 强调文字颜色 5 7" xfId="2110" xr:uid="{00000000-0005-0000-0000-00006D080000}"/>
    <cellStyle name="40% - 强调文字颜色 5 7 2" xfId="2114" xr:uid="{00000000-0005-0000-0000-000071080000}"/>
    <cellStyle name="40% - 强调文字颜色 5 7 2 2" xfId="2451" xr:uid="{00000000-0005-0000-0000-0000C2090000}"/>
    <cellStyle name="40% - 强调文字颜色 5 7 2 3" xfId="2456" xr:uid="{00000000-0005-0000-0000-0000C7090000}"/>
    <cellStyle name="40% - 强调文字颜色 5 7 3" xfId="3103" xr:uid="{00000000-0005-0000-0000-00004E0C0000}"/>
    <cellStyle name="40% - 强调文字颜色 5 7 4" xfId="1594" xr:uid="{00000000-0005-0000-0000-000069060000}"/>
    <cellStyle name="40% - 强调文字颜色 5 8" xfId="2118" xr:uid="{00000000-0005-0000-0000-000075080000}"/>
    <cellStyle name="40% - 强调文字颜色 5 8 2" xfId="3107" xr:uid="{00000000-0005-0000-0000-0000520C0000}"/>
    <cellStyle name="40% - 强调文字颜色 5 8 2 2" xfId="3111" xr:uid="{00000000-0005-0000-0000-0000560C0000}"/>
    <cellStyle name="40% - 强调文字颜色 5 8 2 3" xfId="3112" xr:uid="{00000000-0005-0000-0000-0000570C0000}"/>
    <cellStyle name="40% - 强调文字颜色 5 8 3" xfId="3114" xr:uid="{00000000-0005-0000-0000-0000590C0000}"/>
    <cellStyle name="40% - 强调文字颜色 5 8 4" xfId="847" xr:uid="{00000000-0005-0000-0000-00007E030000}"/>
    <cellStyle name="40% - 强调文字颜色 5 9" xfId="2122" xr:uid="{00000000-0005-0000-0000-000079080000}"/>
    <cellStyle name="40% - 强调文字颜色 5 9 2" xfId="108" xr:uid="{00000000-0005-0000-0000-00007C000000}"/>
    <cellStyle name="40% - 强调文字颜色 5 9 2 2" xfId="290" xr:uid="{00000000-0005-0000-0000-000051010000}"/>
    <cellStyle name="40% - 强调文字颜色 5 9 2 3" xfId="298" xr:uid="{00000000-0005-0000-0000-000059010000}"/>
    <cellStyle name="40% - 强调文字颜色 5 9 3" xfId="2711" xr:uid="{00000000-0005-0000-0000-0000C60A0000}"/>
    <cellStyle name="40% - 强调文字颜色 5 9 4" xfId="324" xr:uid="{00000000-0005-0000-0000-000073010000}"/>
    <cellStyle name="40% - 强调文字颜色 6 10" xfId="1127" xr:uid="{00000000-0005-0000-0000-000096040000}"/>
    <cellStyle name="40% - 强调文字颜色 6 10 2" xfId="3117" xr:uid="{00000000-0005-0000-0000-00005C0C0000}"/>
    <cellStyle name="40% - 强调文字颜色 6 10 2 2" xfId="2754" xr:uid="{00000000-0005-0000-0000-0000F10A0000}"/>
    <cellStyle name="40% - 强调文字颜色 6 10 2 3" xfId="1602" xr:uid="{00000000-0005-0000-0000-000071060000}"/>
    <cellStyle name="40% - 强调文字颜色 6 10 3" xfId="3119" xr:uid="{00000000-0005-0000-0000-00005E0C0000}"/>
    <cellStyle name="40% - 强调文字颜色 6 10 4" xfId="3121" xr:uid="{00000000-0005-0000-0000-0000600C0000}"/>
    <cellStyle name="40% - 强调文字颜色 6 11" xfId="1129" xr:uid="{00000000-0005-0000-0000-000098040000}"/>
    <cellStyle name="40% - 强调文字颜色 6 11 2" xfId="1792" xr:uid="{00000000-0005-0000-0000-00002F070000}"/>
    <cellStyle name="40% - 强调文字颜色 6 12" xfId="1798" xr:uid="{00000000-0005-0000-0000-000035070000}"/>
    <cellStyle name="40% - 强调文字颜色 6 12 2" xfId="1804" xr:uid="{00000000-0005-0000-0000-00003B070000}"/>
    <cellStyle name="40% - 强调文字颜色 6 13" xfId="1809" xr:uid="{00000000-0005-0000-0000-000040070000}"/>
    <cellStyle name="40% - 强调文字颜色 6 13 2" xfId="1814" xr:uid="{00000000-0005-0000-0000-000045070000}"/>
    <cellStyle name="40% - 强调文字颜色 6 14" xfId="1819" xr:uid="{00000000-0005-0000-0000-00004A070000}"/>
    <cellStyle name="40% - 强调文字颜色 6 14 2" xfId="1824" xr:uid="{00000000-0005-0000-0000-00004F070000}"/>
    <cellStyle name="40% - 强调文字颜色 6 2" xfId="1787" xr:uid="{00000000-0005-0000-0000-00002A070000}"/>
    <cellStyle name="40% - 强调文字颜色 6 2 10" xfId="2597" xr:uid="{00000000-0005-0000-0000-0000540A0000}"/>
    <cellStyle name="40% - 强调文字颜色 6 2 10 2" xfId="1664" xr:uid="{00000000-0005-0000-0000-0000AF060000}"/>
    <cellStyle name="40% - 强调文字颜色 6 2 11" xfId="2600" xr:uid="{00000000-0005-0000-0000-0000570A0000}"/>
    <cellStyle name="40% - 强调文字颜色 6 2 11 2" xfId="2604" xr:uid="{00000000-0005-0000-0000-00005B0A0000}"/>
    <cellStyle name="40% - 强调文字颜色 6 2 12" xfId="1555" xr:uid="{00000000-0005-0000-0000-000042060000}"/>
    <cellStyle name="40% - 强调文字颜色 6 2 13" xfId="2607" xr:uid="{00000000-0005-0000-0000-00005E0A0000}"/>
    <cellStyle name="40% - 强调文字颜色 6 2 14" xfId="2611" xr:uid="{00000000-0005-0000-0000-0000620A0000}"/>
    <cellStyle name="40% - 强调文字颜色 6 2 15" xfId="672" xr:uid="{00000000-0005-0000-0000-0000CF020000}"/>
    <cellStyle name="40% - 强调文字颜色 6 2 16" xfId="684" xr:uid="{00000000-0005-0000-0000-0000DB020000}"/>
    <cellStyle name="40% - 强调文字颜色 6 2 2" xfId="3122" xr:uid="{00000000-0005-0000-0000-0000610C0000}"/>
    <cellStyle name="40% - 强调文字颜色 6 2 2 10" xfId="853" xr:uid="{00000000-0005-0000-0000-000084030000}"/>
    <cellStyle name="40% - 强调文字颜色 6 2 2 2" xfId="3028" xr:uid="{00000000-0005-0000-0000-0000030C0000}"/>
    <cellStyle name="40% - 强调文字颜色 6 2 2 2 2" xfId="3032" xr:uid="{00000000-0005-0000-0000-0000070C0000}"/>
    <cellStyle name="40% - 强调文字颜色 6 2 2 2 3" xfId="3123" xr:uid="{00000000-0005-0000-0000-0000620C0000}"/>
    <cellStyle name="40% - 强调文字颜色 6 2 2 3" xfId="3036" xr:uid="{00000000-0005-0000-0000-00000B0C0000}"/>
    <cellStyle name="40% - 强调文字颜色 6 2 2 3 2" xfId="3040" xr:uid="{00000000-0005-0000-0000-00000F0C0000}"/>
    <cellStyle name="40% - 强调文字颜色 6 2 2 3 3" xfId="3125" xr:uid="{00000000-0005-0000-0000-0000640C0000}"/>
    <cellStyle name="40% - 强调文字颜色 6 2 2 4" xfId="3044" xr:uid="{00000000-0005-0000-0000-0000130C0000}"/>
    <cellStyle name="40% - 强调文字颜色 6 2 2 5" xfId="3048" xr:uid="{00000000-0005-0000-0000-0000170C0000}"/>
    <cellStyle name="40% - 强调文字颜色 6 2 2 6" xfId="820" xr:uid="{00000000-0005-0000-0000-000063030000}"/>
    <cellStyle name="40% - 强调文字颜色 6 2 2 7" xfId="832" xr:uid="{00000000-0005-0000-0000-00006F030000}"/>
    <cellStyle name="40% - 强调文字颜色 6 2 2 8" xfId="3054" xr:uid="{00000000-0005-0000-0000-00001D0C0000}"/>
    <cellStyle name="40% - 强调文字颜色 6 2 2 9" xfId="3129" xr:uid="{00000000-0005-0000-0000-0000680C0000}"/>
    <cellStyle name="40% - 强调文字颜色 6 2 3" xfId="2442" xr:uid="{00000000-0005-0000-0000-0000B9090000}"/>
    <cellStyle name="40% - 强调文字颜色 6 2 3 2" xfId="433" xr:uid="{00000000-0005-0000-0000-0000E0010000}"/>
    <cellStyle name="40% - 强调文字颜色 6 2 3 2 2" xfId="1943" xr:uid="{00000000-0005-0000-0000-0000C6070000}"/>
    <cellStyle name="40% - 强调文字颜色 6 2 3 3" xfId="1946" xr:uid="{00000000-0005-0000-0000-0000C9070000}"/>
    <cellStyle name="40% - 强调文字颜色 6 2 3 4" xfId="1953" xr:uid="{00000000-0005-0000-0000-0000D0070000}"/>
    <cellStyle name="40% - 强调文字颜色 6 2 4" xfId="2922" xr:uid="{00000000-0005-0000-0000-0000990B0000}"/>
    <cellStyle name="40% - 强调文字颜色 6 2 4 2" xfId="3130" xr:uid="{00000000-0005-0000-0000-0000690C0000}"/>
    <cellStyle name="40% - 强调文字颜色 6 2 4 2 2" xfId="2798" xr:uid="{00000000-0005-0000-0000-00001D0B0000}"/>
    <cellStyle name="40% - 强调文字颜色 6 2 4 3" xfId="1776" xr:uid="{00000000-0005-0000-0000-00001F070000}"/>
    <cellStyle name="40% - 强调文字颜色 6 2 4 4" xfId="3133" xr:uid="{00000000-0005-0000-0000-00006C0C0000}"/>
    <cellStyle name="40% - 强调文字颜色 6 2 5" xfId="3139" xr:uid="{00000000-0005-0000-0000-0000720C0000}"/>
    <cellStyle name="40% - 强调文字颜色 6 2 5 2" xfId="3141" xr:uid="{00000000-0005-0000-0000-0000740C0000}"/>
    <cellStyle name="40% - 强调文字颜色 6 2 5 2 2" xfId="3145" xr:uid="{00000000-0005-0000-0000-0000780C0000}"/>
    <cellStyle name="40% - 强调文字颜色 6 2 5 3" xfId="1782" xr:uid="{00000000-0005-0000-0000-000025070000}"/>
    <cellStyle name="40% - 强调文字颜色 6 2 5 4" xfId="3147" xr:uid="{00000000-0005-0000-0000-00007A0C0000}"/>
    <cellStyle name="40% - 强调文字颜色 6 2 6" xfId="3150" xr:uid="{00000000-0005-0000-0000-00007D0C0000}"/>
    <cellStyle name="40% - 强调文字颜色 6 2 6 2" xfId="2630" xr:uid="{00000000-0005-0000-0000-0000750A0000}"/>
    <cellStyle name="40% - 强调文字颜色 6 2 6 2 2" xfId="2634" xr:uid="{00000000-0005-0000-0000-0000790A0000}"/>
    <cellStyle name="40% - 强调文字颜色 6 2 6 3" xfId="2643" xr:uid="{00000000-0005-0000-0000-0000820A0000}"/>
    <cellStyle name="40% - 强调文字颜色 6 2 6 4" xfId="2648" xr:uid="{00000000-0005-0000-0000-0000870A0000}"/>
    <cellStyle name="40% - 强调文字颜色 6 2 7" xfId="680" xr:uid="{00000000-0005-0000-0000-0000D7020000}"/>
    <cellStyle name="40% - 强调文字颜色 6 2 7 2" xfId="757" xr:uid="{00000000-0005-0000-0000-000024030000}"/>
    <cellStyle name="40% - 强调文字颜色 6 2 7 2 2" xfId="770" xr:uid="{00000000-0005-0000-0000-000031030000}"/>
    <cellStyle name="40% - 强调文字颜色 6 2 7 3" xfId="887" xr:uid="{00000000-0005-0000-0000-0000A6030000}"/>
    <cellStyle name="40% - 强调文字颜色 6 2 7 4" xfId="2079" xr:uid="{00000000-0005-0000-0000-00004E080000}"/>
    <cellStyle name="40% - 强调文字颜色 6 2 8" xfId="1055" xr:uid="{00000000-0005-0000-0000-00004E040000}"/>
    <cellStyle name="40% - 强调文字颜色 6 2 8 2" xfId="1060" xr:uid="{00000000-0005-0000-0000-000053040000}"/>
    <cellStyle name="40% - 强调文字颜色 6 2 8 3" xfId="146" xr:uid="{00000000-0005-0000-0000-0000A6000000}"/>
    <cellStyle name="40% - 强调文字颜色 6 2 9" xfId="2094" xr:uid="{00000000-0005-0000-0000-00005D080000}"/>
    <cellStyle name="40% - 强调文字颜色 6 2 9 2" xfId="2098" xr:uid="{00000000-0005-0000-0000-000061080000}"/>
    <cellStyle name="40% - 强调文字颜色 6 2 9 3" xfId="2101" xr:uid="{00000000-0005-0000-0000-000064080000}"/>
    <cellStyle name="40% - 强调文字颜色 6 2_成本利润预算(公司目标)" xfId="1177" xr:uid="{00000000-0005-0000-0000-0000C8040000}"/>
    <cellStyle name="40% - 强调文字颜色 6 3" xfId="3152" xr:uid="{00000000-0005-0000-0000-00007F0C0000}"/>
    <cellStyle name="40% - 强调文字颜色 6 3 10" xfId="2213" xr:uid="{00000000-0005-0000-0000-0000D4080000}"/>
    <cellStyle name="40% - 强调文字颜色 6 3 10 2" xfId="1960" xr:uid="{00000000-0005-0000-0000-0000D7070000}"/>
    <cellStyle name="40% - 强调文字颜色 6 3 11" xfId="2127" xr:uid="{00000000-0005-0000-0000-00007E080000}"/>
    <cellStyle name="40% - 强调文字颜色 6 3 11 2" xfId="3153" xr:uid="{00000000-0005-0000-0000-0000800C0000}"/>
    <cellStyle name="40% - 强调文字颜色 6 3 12" xfId="3154" xr:uid="{00000000-0005-0000-0000-0000810C0000}"/>
    <cellStyle name="40% - 强调文字颜色 6 3 2" xfId="3156" xr:uid="{00000000-0005-0000-0000-0000830C0000}"/>
    <cellStyle name="40% - 强调文字颜色 6 3 2 2" xfId="3157" xr:uid="{00000000-0005-0000-0000-0000840C0000}"/>
    <cellStyle name="40% - 强调文字颜色 6 3 3" xfId="2445" xr:uid="{00000000-0005-0000-0000-0000BC090000}"/>
    <cellStyle name="40% - 强调文字颜色 6 3 3 2" xfId="3160" xr:uid="{00000000-0005-0000-0000-0000870C0000}"/>
    <cellStyle name="40% - 强调文字颜色 6 3 4" xfId="3162" xr:uid="{00000000-0005-0000-0000-0000890C0000}"/>
    <cellStyle name="40% - 强调文字颜色 6 3 4 2" xfId="3165" xr:uid="{00000000-0005-0000-0000-00008C0C0000}"/>
    <cellStyle name="40% - 强调文字颜色 6 3 5" xfId="3168" xr:uid="{00000000-0005-0000-0000-00008F0C0000}"/>
    <cellStyle name="40% - 强调文字颜色 6 3 5 2" xfId="3170" xr:uid="{00000000-0005-0000-0000-0000910C0000}"/>
    <cellStyle name="40% - 强调文字颜色 6 3 6" xfId="3174" xr:uid="{00000000-0005-0000-0000-0000950C0000}"/>
    <cellStyle name="40% - 强调文字颜色 6 3 6 2" xfId="3175" xr:uid="{00000000-0005-0000-0000-0000960C0000}"/>
    <cellStyle name="40% - 强调文字颜色 6 3 7" xfId="2076" xr:uid="{00000000-0005-0000-0000-00004B080000}"/>
    <cellStyle name="40% - 强调文字颜色 6 3 7 2" xfId="2173" xr:uid="{00000000-0005-0000-0000-0000AC080000}"/>
    <cellStyle name="40% - 强调文字颜色 6 3 8" xfId="115" xr:uid="{00000000-0005-0000-0000-000084000000}"/>
    <cellStyle name="40% - 强调文字颜色 6 3 8 2" xfId="2176" xr:uid="{00000000-0005-0000-0000-0000AF080000}"/>
    <cellStyle name="40% - 强调文字颜色 6 3 9" xfId="125" xr:uid="{00000000-0005-0000-0000-00008F000000}"/>
    <cellStyle name="40% - 强调文字颜色 6 3 9 2" xfId="2179" xr:uid="{00000000-0005-0000-0000-0000B2080000}"/>
    <cellStyle name="40% - 强调文字颜色 6 4" xfId="3179" xr:uid="{00000000-0005-0000-0000-00009A0C0000}"/>
    <cellStyle name="40% - 强调文字颜色 6 4 10" xfId="3181" xr:uid="{00000000-0005-0000-0000-00009C0C0000}"/>
    <cellStyle name="40% - 强调文字颜色 6 4 10 2" xfId="2072" xr:uid="{00000000-0005-0000-0000-000047080000}"/>
    <cellStyle name="40% - 强调文字颜色 6 4 11" xfId="3182" xr:uid="{00000000-0005-0000-0000-00009D0C0000}"/>
    <cellStyle name="40% - 强调文字颜色 6 4 11 2" xfId="3183" xr:uid="{00000000-0005-0000-0000-00009E0C0000}"/>
    <cellStyle name="40% - 强调文字颜色 6 4 12" xfId="3184" xr:uid="{00000000-0005-0000-0000-00009F0C0000}"/>
    <cellStyle name="40% - 强调文字颜色 6 4 13" xfId="3185" xr:uid="{00000000-0005-0000-0000-0000A00C0000}"/>
    <cellStyle name="40% - 强调文字颜色 6 4 2" xfId="3187" xr:uid="{00000000-0005-0000-0000-0000A20C0000}"/>
    <cellStyle name="40% - 强调文字颜色 6 4 2 2" xfId="1030" xr:uid="{00000000-0005-0000-0000-000035040000}"/>
    <cellStyle name="40% - 强调文字颜色 6 4 3" xfId="3189" xr:uid="{00000000-0005-0000-0000-0000A40C0000}"/>
    <cellStyle name="40% - 强调文字颜色 6 4 3 2" xfId="3190" xr:uid="{00000000-0005-0000-0000-0000A50C0000}"/>
    <cellStyle name="40% - 强调文字颜色 6 4 4" xfId="2868" xr:uid="{00000000-0005-0000-0000-0000630B0000}"/>
    <cellStyle name="40% - 强调文字颜色 6 4 4 2" xfId="3193" xr:uid="{00000000-0005-0000-0000-0000A80C0000}"/>
    <cellStyle name="40% - 强调文字颜色 6 4 5" xfId="3198" xr:uid="{00000000-0005-0000-0000-0000AD0C0000}"/>
    <cellStyle name="40% - 强调文字颜色 6 4 5 2" xfId="3200" xr:uid="{00000000-0005-0000-0000-0000AF0C0000}"/>
    <cellStyle name="40% - 强调文字颜色 6 4 6" xfId="3206" xr:uid="{00000000-0005-0000-0000-0000B50C0000}"/>
    <cellStyle name="40% - 强调文字颜色 6 4 6 2" xfId="1277" xr:uid="{00000000-0005-0000-0000-00002C050000}"/>
    <cellStyle name="40% - 强调文字颜色 6 4 7" xfId="2194" xr:uid="{00000000-0005-0000-0000-0000C1080000}"/>
    <cellStyle name="40% - 强调文字颜色 6 4 7 2" xfId="1502" xr:uid="{00000000-0005-0000-0000-00000D060000}"/>
    <cellStyle name="40% - 强调文字颜色 6 4 8" xfId="2198" xr:uid="{00000000-0005-0000-0000-0000C5080000}"/>
    <cellStyle name="40% - 强调文字颜色 6 4 8 2" xfId="1763" xr:uid="{00000000-0005-0000-0000-000012070000}"/>
    <cellStyle name="40% - 强调文字颜色 6 4 9" xfId="1374" xr:uid="{00000000-0005-0000-0000-00008D050000}"/>
    <cellStyle name="40% - 强调文字颜色 6 4 9 2" xfId="736" xr:uid="{00000000-0005-0000-0000-00000F030000}"/>
    <cellStyle name="40% - 强调文字颜色 6 5" xfId="3209" xr:uid="{00000000-0005-0000-0000-0000B80C0000}"/>
    <cellStyle name="40% - 强调文字颜色 6 5 2" xfId="1847" xr:uid="{00000000-0005-0000-0000-000066070000}"/>
    <cellStyle name="40% - 强调文字颜色 6 5 2 2" xfId="3210" xr:uid="{00000000-0005-0000-0000-0000B90C0000}"/>
    <cellStyle name="40% - 强调文字颜色 6 5 3" xfId="1571" xr:uid="{00000000-0005-0000-0000-000052060000}"/>
    <cellStyle name="40% - 强调文字颜色 6 5 4" xfId="2085" xr:uid="{00000000-0005-0000-0000-000054080000}"/>
    <cellStyle name="40% - 强调文字颜色 6 6" xfId="3215" xr:uid="{00000000-0005-0000-0000-0000BE0C0000}"/>
    <cellStyle name="40% - 强调文字颜色 6 6 2" xfId="3218" xr:uid="{00000000-0005-0000-0000-0000C10C0000}"/>
    <cellStyle name="40% - 强调文字颜色 6 6 2 2" xfId="3221" xr:uid="{00000000-0005-0000-0000-0000C40C0000}"/>
    <cellStyle name="40% - 强调文字颜色 6 6 3" xfId="3224" xr:uid="{00000000-0005-0000-0000-0000C70C0000}"/>
    <cellStyle name="40% - 强调文字颜色 6 6 4" xfId="3225" xr:uid="{00000000-0005-0000-0000-0000C80C0000}"/>
    <cellStyle name="40% - 强调文字颜色 6 7" xfId="1858" xr:uid="{00000000-0005-0000-0000-000071070000}"/>
    <cellStyle name="40% - 强调文字颜色 6 7 2" xfId="2132" xr:uid="{00000000-0005-0000-0000-000083080000}"/>
    <cellStyle name="40% - 强调文字颜色 6 7 2 2" xfId="2595" xr:uid="{00000000-0005-0000-0000-0000520A0000}"/>
    <cellStyle name="40% - 强调文字颜色 6 7 2 3" xfId="2598" xr:uid="{00000000-0005-0000-0000-0000550A0000}"/>
    <cellStyle name="40% - 强调文字颜色 6 7 3" xfId="3228" xr:uid="{00000000-0005-0000-0000-0000CB0C0000}"/>
    <cellStyle name="40% - 强调文字颜色 6 7 4" xfId="1611" xr:uid="{00000000-0005-0000-0000-00007A060000}"/>
    <cellStyle name="40% - 强调文字颜色 6 8" xfId="1027" xr:uid="{00000000-0005-0000-0000-000032040000}"/>
    <cellStyle name="40% - 强调文字颜色 6 8 2" xfId="585" xr:uid="{00000000-0005-0000-0000-000078020000}"/>
    <cellStyle name="40% - 强调文字颜色 6 8 2 2" xfId="2750" xr:uid="{00000000-0005-0000-0000-0000ED0A0000}"/>
    <cellStyle name="40% - 强调文字颜色 6 8 2 3" xfId="2753" xr:uid="{00000000-0005-0000-0000-0000F00A0000}"/>
    <cellStyle name="40% - 强调文字颜色 6 8 3" xfId="2950" xr:uid="{00000000-0005-0000-0000-0000B50B0000}"/>
    <cellStyle name="40% - 强调文字颜色 6 8 4" xfId="590" xr:uid="{00000000-0005-0000-0000-00007D020000}"/>
    <cellStyle name="40% - 强调文字颜色 6 9" xfId="2137" xr:uid="{00000000-0005-0000-0000-000088080000}"/>
    <cellStyle name="40% - 强调文字颜色 6 9 2" xfId="2808" xr:uid="{00000000-0005-0000-0000-0000270B0000}"/>
    <cellStyle name="40% - 强调文字颜色 6 9 2 2" xfId="2814" xr:uid="{00000000-0005-0000-0000-00002D0B0000}"/>
    <cellStyle name="40% - 强调文字颜色 6 9 2 3" xfId="2053" xr:uid="{00000000-0005-0000-0000-000034080000}"/>
    <cellStyle name="40% - 强调文字颜色 6 9 3" xfId="2821" xr:uid="{00000000-0005-0000-0000-0000340B0000}"/>
    <cellStyle name="40% - 强调文字颜色 6 9 4" xfId="2835" xr:uid="{00000000-0005-0000-0000-0000420B0000}"/>
    <cellStyle name="60% - 强调文字颜色 1 10" xfId="3229" xr:uid="{00000000-0005-0000-0000-0000CC0C0000}"/>
    <cellStyle name="60% - 强调文字颜色 1 10 2" xfId="3232" xr:uid="{00000000-0005-0000-0000-0000CF0C0000}"/>
    <cellStyle name="60% - 强调文字颜色 1 2" xfId="1314" xr:uid="{00000000-0005-0000-0000-000051050000}"/>
    <cellStyle name="60% - 强调文字颜色 1 2 10" xfId="2342" xr:uid="{00000000-0005-0000-0000-000055090000}"/>
    <cellStyle name="60% - 强调文字颜色 1 2 11" xfId="2346" xr:uid="{00000000-0005-0000-0000-000059090000}"/>
    <cellStyle name="60% - 强调文字颜色 1 2 12" xfId="2351" xr:uid="{00000000-0005-0000-0000-00005E090000}"/>
    <cellStyle name="60% - 强调文字颜色 1 2 13" xfId="2354" xr:uid="{00000000-0005-0000-0000-000061090000}"/>
    <cellStyle name="60% - 强调文字颜色 1 2 2" xfId="1831" xr:uid="{00000000-0005-0000-0000-000056070000}"/>
    <cellStyle name="60% - 强调文字颜色 1 2 2 10" xfId="2568" xr:uid="{00000000-0005-0000-0000-0000370A0000}"/>
    <cellStyle name="60% - 强调文字颜色 1 2 2 2" xfId="722" xr:uid="{00000000-0005-0000-0000-000001030000}"/>
    <cellStyle name="60% - 强调文字颜色 1 2 2 2 2" xfId="3233" xr:uid="{00000000-0005-0000-0000-0000D00C0000}"/>
    <cellStyle name="60% - 强调文字颜色 1 2 2 2 3" xfId="3235" xr:uid="{00000000-0005-0000-0000-0000D20C0000}"/>
    <cellStyle name="60% - 强调文字颜色 1 2 2 3" xfId="1616" xr:uid="{00000000-0005-0000-0000-00007F060000}"/>
    <cellStyle name="60% - 强调文字颜色 1 2 2 4" xfId="3236" xr:uid="{00000000-0005-0000-0000-0000D30C0000}"/>
    <cellStyle name="60% - 强调文字颜色 1 2 2 5" xfId="3237" xr:uid="{00000000-0005-0000-0000-0000D40C0000}"/>
    <cellStyle name="60% - 强调文字颜色 1 2 2 6" xfId="3238" xr:uid="{00000000-0005-0000-0000-0000D50C0000}"/>
    <cellStyle name="60% - 强调文字颜色 1 2 2 7" xfId="3239" xr:uid="{00000000-0005-0000-0000-0000D60C0000}"/>
    <cellStyle name="60% - 强调文字颜色 1 2 2 8" xfId="3240" xr:uid="{00000000-0005-0000-0000-0000D70C0000}"/>
    <cellStyle name="60% - 强调文字颜色 1 2 2 9" xfId="884" xr:uid="{00000000-0005-0000-0000-0000A3030000}"/>
    <cellStyle name="60% - 强调文字颜色 1 2 3" xfId="3241" xr:uid="{00000000-0005-0000-0000-0000D80C0000}"/>
    <cellStyle name="60% - 强调文字颜色 1 2 3 2" xfId="257" xr:uid="{00000000-0005-0000-0000-000030010000}"/>
    <cellStyle name="60% - 强调文字颜色 1 2 3 3" xfId="1455" xr:uid="{00000000-0005-0000-0000-0000DE050000}"/>
    <cellStyle name="60% - 强调文字颜色 1 2 4" xfId="2942" xr:uid="{00000000-0005-0000-0000-0000AD0B0000}"/>
    <cellStyle name="60% - 强调文字颜色 1 2 4 2" xfId="1648" xr:uid="{00000000-0005-0000-0000-00009F060000}"/>
    <cellStyle name="60% - 强调文字颜色 1 2 4 3" xfId="664" xr:uid="{00000000-0005-0000-0000-0000C7020000}"/>
    <cellStyle name="60% - 强调文字颜色 1 2 5" xfId="1046" xr:uid="{00000000-0005-0000-0000-000045040000}"/>
    <cellStyle name="60% - 强调文字颜色 1 2 5 2" xfId="1081" xr:uid="{00000000-0005-0000-0000-000068040000}"/>
    <cellStyle name="60% - 强调文字颜色 1 2 5 3" xfId="1084" xr:uid="{00000000-0005-0000-0000-00006B040000}"/>
    <cellStyle name="60% - 强调文字颜色 1 2 6" xfId="3243" xr:uid="{00000000-0005-0000-0000-0000DA0C0000}"/>
    <cellStyle name="60% - 强调文字颜色 1 2 6 2" xfId="3244" xr:uid="{00000000-0005-0000-0000-0000DB0C0000}"/>
    <cellStyle name="60% - 强调文字颜色 1 2 6 3" xfId="3245" xr:uid="{00000000-0005-0000-0000-0000DC0C0000}"/>
    <cellStyle name="60% - 强调文字颜色 1 2 7" xfId="735" xr:uid="{00000000-0005-0000-0000-00000E030000}"/>
    <cellStyle name="60% - 强调文字颜色 1 2 7 2" xfId="3246" xr:uid="{00000000-0005-0000-0000-0000DD0C0000}"/>
    <cellStyle name="60% - 强调文字颜色 1 2 7 3" xfId="3247" xr:uid="{00000000-0005-0000-0000-0000DE0C0000}"/>
    <cellStyle name="60% - 强调文字颜色 1 2 8" xfId="745" xr:uid="{00000000-0005-0000-0000-000018030000}"/>
    <cellStyle name="60% - 强调文字颜色 1 2 8 2" xfId="3248" xr:uid="{00000000-0005-0000-0000-0000DF0C0000}"/>
    <cellStyle name="60% - 强调文字颜色 1 2 8 3" xfId="3249" xr:uid="{00000000-0005-0000-0000-0000E00C0000}"/>
    <cellStyle name="60% - 强调文字颜色 1 2 9" xfId="3251" xr:uid="{00000000-0005-0000-0000-0000E20C0000}"/>
    <cellStyle name="60% - 强调文字颜色 1 2 9 2" xfId="98" xr:uid="{00000000-0005-0000-0000-000072000000}"/>
    <cellStyle name="60% - 强调文字颜色 1 2 9 3" xfId="3253" xr:uid="{00000000-0005-0000-0000-0000E40C0000}"/>
    <cellStyle name="60% - 强调文字颜色 1 2_成本利润预算(公司目标)" xfId="2297" xr:uid="{00000000-0005-0000-0000-000028090000}"/>
    <cellStyle name="60% - 强调文字颜色 1 3" xfId="1209" xr:uid="{00000000-0005-0000-0000-0000E8040000}"/>
    <cellStyle name="60% - 强调文字颜色 1 3 2" xfId="613" xr:uid="{00000000-0005-0000-0000-000094020000}"/>
    <cellStyle name="60% - 强调文字颜色 1 4" xfId="947" xr:uid="{00000000-0005-0000-0000-0000E2030000}"/>
    <cellStyle name="60% - 强调文字颜色 1 4 2" xfId="955" xr:uid="{00000000-0005-0000-0000-0000EA030000}"/>
    <cellStyle name="60% - 强调文字颜色 1 4 3" xfId="3255" xr:uid="{00000000-0005-0000-0000-0000E60C0000}"/>
    <cellStyle name="60% - 强调文字颜色 1 5" xfId="1215" xr:uid="{00000000-0005-0000-0000-0000EE040000}"/>
    <cellStyle name="60% - 强调文字颜色 1 5 2" xfId="3257" xr:uid="{00000000-0005-0000-0000-0000E80C0000}"/>
    <cellStyle name="60% - 强调文字颜色 1 5 3" xfId="3258" xr:uid="{00000000-0005-0000-0000-0000E90C0000}"/>
    <cellStyle name="60% - 强调文字颜色 1 6" xfId="1223" xr:uid="{00000000-0005-0000-0000-0000F6040000}"/>
    <cellStyle name="60% - 强调文字颜色 1 6 2" xfId="3259" xr:uid="{00000000-0005-0000-0000-0000EA0C0000}"/>
    <cellStyle name="60% - 强调文字颜色 1 6 3" xfId="480" xr:uid="{00000000-0005-0000-0000-00000F020000}"/>
    <cellStyle name="60% - 强调文字颜色 1 7" xfId="1225" xr:uid="{00000000-0005-0000-0000-0000F8040000}"/>
    <cellStyle name="60% - 强调文字颜色 1 7 2" xfId="3261" xr:uid="{00000000-0005-0000-0000-0000EC0C0000}"/>
    <cellStyle name="60% - 强调文字颜色 1 7 2 2" xfId="1194" xr:uid="{00000000-0005-0000-0000-0000D9040000}"/>
    <cellStyle name="60% - 强调文字颜色 1 7 2 3" xfId="1203" xr:uid="{00000000-0005-0000-0000-0000E2040000}"/>
    <cellStyle name="60% - 强调文字颜色 1 7 3" xfId="3262" xr:uid="{00000000-0005-0000-0000-0000ED0C0000}"/>
    <cellStyle name="60% - 强调文字颜色 1 7 4" xfId="3265" xr:uid="{00000000-0005-0000-0000-0000F00C0000}"/>
    <cellStyle name="60% - 强调文字颜色 1 8" xfId="1232" xr:uid="{00000000-0005-0000-0000-0000FF040000}"/>
    <cellStyle name="60% - 强调文字颜色 1 8 2" xfId="3268" xr:uid="{00000000-0005-0000-0000-0000F30C0000}"/>
    <cellStyle name="60% - 强调文字颜色 1 8 2 2" xfId="2244" xr:uid="{00000000-0005-0000-0000-0000F3080000}"/>
    <cellStyle name="60% - 强调文字颜色 1 8 2 3" xfId="2251" xr:uid="{00000000-0005-0000-0000-0000FA080000}"/>
    <cellStyle name="60% - 强调文字颜色 1 8 3" xfId="3270" xr:uid="{00000000-0005-0000-0000-0000F50C0000}"/>
    <cellStyle name="60% - 强调文字颜色 1 8 4" xfId="3271" xr:uid="{00000000-0005-0000-0000-0000F60C0000}"/>
    <cellStyle name="60% - 强调文字颜色 1 9" xfId="659" xr:uid="{00000000-0005-0000-0000-0000C2020000}"/>
    <cellStyle name="60% - 强调文字颜色 1 9 2" xfId="3272" xr:uid="{00000000-0005-0000-0000-0000F70C0000}"/>
    <cellStyle name="60% - 强调文字颜色 2 10" xfId="3273" xr:uid="{00000000-0005-0000-0000-0000F80C0000}"/>
    <cellStyle name="60% - 强调文字颜色 2 10 2" xfId="3274" xr:uid="{00000000-0005-0000-0000-0000F90C0000}"/>
    <cellStyle name="60% - 强调文字颜色 2 2" xfId="1887" xr:uid="{00000000-0005-0000-0000-00008E070000}"/>
    <cellStyle name="60% - 强调文字颜色 2 2 10" xfId="3275" xr:uid="{00000000-0005-0000-0000-0000FA0C0000}"/>
    <cellStyle name="60% - 强调文字颜色 2 2 11" xfId="3276" xr:uid="{00000000-0005-0000-0000-0000FB0C0000}"/>
    <cellStyle name="60% - 强调文字颜色 2 2 12" xfId="432" xr:uid="{00000000-0005-0000-0000-0000DF010000}"/>
    <cellStyle name="60% - 强调文字颜色 2 2 13" xfId="3279" xr:uid="{00000000-0005-0000-0000-0000FE0C0000}"/>
    <cellStyle name="60% - 强调文字颜色 2 2 2" xfId="89" xr:uid="{00000000-0005-0000-0000-000068000000}"/>
    <cellStyle name="60% - 强调文字颜色 2 2 2 10" xfId="3176" xr:uid="{00000000-0005-0000-0000-0000970C0000}"/>
    <cellStyle name="60% - 强调文字颜色 2 2 2 2" xfId="124" xr:uid="{00000000-0005-0000-0000-00008E000000}"/>
    <cellStyle name="60% - 强调文字颜色 2 2 2 2 2" xfId="1151" xr:uid="{00000000-0005-0000-0000-0000AE040000}"/>
    <cellStyle name="60% - 强调文字颜色 2 2 2 2 3" xfId="1163" xr:uid="{00000000-0005-0000-0000-0000BA040000}"/>
    <cellStyle name="60% - 强调文字颜色 2 2 2 3" xfId="3282" xr:uid="{00000000-0005-0000-0000-0000010D0000}"/>
    <cellStyle name="60% - 强调文字颜色 2 2 2 4" xfId="71" xr:uid="{00000000-0005-0000-0000-000054000000}"/>
    <cellStyle name="60% - 强调文字颜色 2 2 2 5" xfId="3283" xr:uid="{00000000-0005-0000-0000-0000020D0000}"/>
    <cellStyle name="60% - 强调文字颜色 2 2 2 6" xfId="3284" xr:uid="{00000000-0005-0000-0000-0000030D0000}"/>
    <cellStyle name="60% - 强调文字颜色 2 2 2 7" xfId="3285" xr:uid="{00000000-0005-0000-0000-0000040D0000}"/>
    <cellStyle name="60% - 强调文字颜色 2 2 2 8" xfId="3287" xr:uid="{00000000-0005-0000-0000-0000060D0000}"/>
    <cellStyle name="60% - 强调文字颜色 2 2 2 9" xfId="850" xr:uid="{00000000-0005-0000-0000-000081030000}"/>
    <cellStyle name="60% - 强调文字颜色 2 2 3" xfId="3289" xr:uid="{00000000-0005-0000-0000-0000080D0000}"/>
    <cellStyle name="60% - 强调文字颜色 2 2 3 2" xfId="3290" xr:uid="{00000000-0005-0000-0000-0000090D0000}"/>
    <cellStyle name="60% - 强调文字颜色 2 2 3 3" xfId="1690" xr:uid="{00000000-0005-0000-0000-0000C9060000}"/>
    <cellStyle name="60% - 强调文字颜色 2 2 4" xfId="1658" xr:uid="{00000000-0005-0000-0000-0000A9060000}"/>
    <cellStyle name="60% - 强调文字颜色 2 2 4 2" xfId="3292" xr:uid="{00000000-0005-0000-0000-00000B0D0000}"/>
    <cellStyle name="60% - 强调文字颜色 2 2 4 3" xfId="2582" xr:uid="{00000000-0005-0000-0000-0000450A0000}"/>
    <cellStyle name="60% - 强调文字颜色 2 2 5" xfId="3295" xr:uid="{00000000-0005-0000-0000-00000E0D0000}"/>
    <cellStyle name="60% - 强调文字颜色 2 2 5 2" xfId="3296" xr:uid="{00000000-0005-0000-0000-00000F0D0000}"/>
    <cellStyle name="60% - 强调文字颜色 2 2 5 3" xfId="3297" xr:uid="{00000000-0005-0000-0000-0000100D0000}"/>
    <cellStyle name="60% - 强调文字颜色 2 2 6" xfId="2603" xr:uid="{00000000-0005-0000-0000-00005A0A0000}"/>
    <cellStyle name="60% - 强调文字颜色 2 2 6 2" xfId="3298" xr:uid="{00000000-0005-0000-0000-0000110D0000}"/>
    <cellStyle name="60% - 强调文字颜色 2 2 6 3" xfId="3299" xr:uid="{00000000-0005-0000-0000-0000120D0000}"/>
    <cellStyle name="60% - 强调文字颜色 2 2 7" xfId="2465" xr:uid="{00000000-0005-0000-0000-0000D0090000}"/>
    <cellStyle name="60% - 强调文字颜色 2 2 7 2" xfId="2467" xr:uid="{00000000-0005-0000-0000-0000D2090000}"/>
    <cellStyle name="60% - 强调文字颜色 2 2 7 3" xfId="2473" xr:uid="{00000000-0005-0000-0000-0000D8090000}"/>
    <cellStyle name="60% - 强调文字颜色 2 2 8" xfId="2482" xr:uid="{00000000-0005-0000-0000-0000E1090000}"/>
    <cellStyle name="60% - 强调文字颜色 2 2 8 2" xfId="2485" xr:uid="{00000000-0005-0000-0000-0000E4090000}"/>
    <cellStyle name="60% - 强调文字颜色 2 2 8 3" xfId="2490" xr:uid="{00000000-0005-0000-0000-0000E9090000}"/>
    <cellStyle name="60% - 强调文字颜色 2 2 9" xfId="2494" xr:uid="{00000000-0005-0000-0000-0000ED090000}"/>
    <cellStyle name="60% - 强调文字颜色 2 2 9 2" xfId="2498" xr:uid="{00000000-0005-0000-0000-0000F1090000}"/>
    <cellStyle name="60% - 强调文字颜色 2 2 9 3" xfId="1513" xr:uid="{00000000-0005-0000-0000-000018060000}"/>
    <cellStyle name="60% - 强调文字颜色 2 2_成本利润预算(公司目标)" xfId="3300" xr:uid="{00000000-0005-0000-0000-0000130D0000}"/>
    <cellStyle name="60% - 强调文字颜色 2 3" xfId="67" xr:uid="{00000000-0005-0000-0000-00004E000000}"/>
    <cellStyle name="60% - 强调文字颜色 2 3 2" xfId="3301" xr:uid="{00000000-0005-0000-0000-0000140D0000}"/>
    <cellStyle name="60% - 强调文字颜色 2 4" xfId="3302" xr:uid="{00000000-0005-0000-0000-0000150D0000}"/>
    <cellStyle name="60% - 强调文字颜色 2 4 2" xfId="3303" xr:uid="{00000000-0005-0000-0000-0000160D0000}"/>
    <cellStyle name="60% - 强调文字颜色 2 4 3" xfId="3304" xr:uid="{00000000-0005-0000-0000-0000170D0000}"/>
    <cellStyle name="60% - 强调文字颜色 2 5" xfId="3305" xr:uid="{00000000-0005-0000-0000-0000180D0000}"/>
    <cellStyle name="60% - 强调文字颜色 2 5 2" xfId="3306" xr:uid="{00000000-0005-0000-0000-0000190D0000}"/>
    <cellStyle name="60% - 强调文字颜色 2 5 3" xfId="177" xr:uid="{00000000-0005-0000-0000-0000CA000000}"/>
    <cellStyle name="60% - 强调文字颜色 2 6" xfId="3307" xr:uid="{00000000-0005-0000-0000-00001A0D0000}"/>
    <cellStyle name="60% - 强调文字颜色 2 6 2" xfId="1246" xr:uid="{00000000-0005-0000-0000-00000D050000}"/>
    <cellStyle name="60% - 强调文字颜色 2 6 3" xfId="1774" xr:uid="{00000000-0005-0000-0000-00001D070000}"/>
    <cellStyle name="60% - 强调文字颜色 2 7" xfId="3308" xr:uid="{00000000-0005-0000-0000-00001B0D0000}"/>
    <cellStyle name="60% - 强调文字颜色 2 7 2" xfId="2433" xr:uid="{00000000-0005-0000-0000-0000B0090000}"/>
    <cellStyle name="60% - 强调文字颜色 2 7 2 2" xfId="3310" xr:uid="{00000000-0005-0000-0000-00001D0D0000}"/>
    <cellStyle name="60% - 强调文字颜色 2 7 2 3" xfId="411" xr:uid="{00000000-0005-0000-0000-0000CA010000}"/>
    <cellStyle name="60% - 强调文字颜色 2 7 3" xfId="3311" xr:uid="{00000000-0005-0000-0000-00001E0D0000}"/>
    <cellStyle name="60% - 强调文字颜色 2 7 4" xfId="3312" xr:uid="{00000000-0005-0000-0000-00001F0D0000}"/>
    <cellStyle name="60% - 强调文字颜色 2 8" xfId="3313" xr:uid="{00000000-0005-0000-0000-0000200D0000}"/>
    <cellStyle name="60% - 强调文字颜色 2 8 2" xfId="3314" xr:uid="{00000000-0005-0000-0000-0000210D0000}"/>
    <cellStyle name="60% - 强调文字颜色 2 8 2 2" xfId="3315" xr:uid="{00000000-0005-0000-0000-0000220D0000}"/>
    <cellStyle name="60% - 强调文字颜色 2 8 2 3" xfId="3316" xr:uid="{00000000-0005-0000-0000-0000230D0000}"/>
    <cellStyle name="60% - 强调文字颜色 2 8 3" xfId="3317" xr:uid="{00000000-0005-0000-0000-0000240D0000}"/>
    <cellStyle name="60% - 强调文字颜色 2 8 4" xfId="3318" xr:uid="{00000000-0005-0000-0000-0000250D0000}"/>
    <cellStyle name="60% - 强调文字颜色 2 9" xfId="3319" xr:uid="{00000000-0005-0000-0000-0000260D0000}"/>
    <cellStyle name="60% - 强调文字颜色 2 9 2" xfId="3320" xr:uid="{00000000-0005-0000-0000-0000270D0000}"/>
    <cellStyle name="60% - 强调文字颜色 3 10" xfId="1621" xr:uid="{00000000-0005-0000-0000-000084060000}"/>
    <cellStyle name="60% - 强调文字颜色 3 10 2" xfId="1631" xr:uid="{00000000-0005-0000-0000-00008E060000}"/>
    <cellStyle name="60% - 强调文字颜色 3 2" xfId="3321" xr:uid="{00000000-0005-0000-0000-0000280D0000}"/>
    <cellStyle name="60% - 强调文字颜色 3 2 10" xfId="3322" xr:uid="{00000000-0005-0000-0000-0000290D0000}"/>
    <cellStyle name="60% - 强调文字颜色 3 2 11" xfId="3324" xr:uid="{00000000-0005-0000-0000-00002B0D0000}"/>
    <cellStyle name="60% - 强调文字颜色 3 2 12" xfId="3326" xr:uid="{00000000-0005-0000-0000-00002D0D0000}"/>
    <cellStyle name="60% - 强调文字颜色 3 2 13" xfId="3327" xr:uid="{00000000-0005-0000-0000-00002E0D0000}"/>
    <cellStyle name="60% - 强调文字颜色 3 2 2" xfId="3328" xr:uid="{00000000-0005-0000-0000-00002F0D0000}"/>
    <cellStyle name="60% - 强调文字颜色 3 2 2 10" xfId="3331" xr:uid="{00000000-0005-0000-0000-0000320D0000}"/>
    <cellStyle name="60% - 强调文字颜色 3 2 2 2" xfId="3332" xr:uid="{00000000-0005-0000-0000-0000330D0000}"/>
    <cellStyle name="60% - 强调文字颜色 3 2 2 2 2" xfId="3333" xr:uid="{00000000-0005-0000-0000-0000340D0000}"/>
    <cellStyle name="60% - 强调文字颜色 3 2 2 2 3" xfId="3334" xr:uid="{00000000-0005-0000-0000-0000350D0000}"/>
    <cellStyle name="60% - 强调文字颜色 3 2 2 3" xfId="3336" xr:uid="{00000000-0005-0000-0000-0000370D0000}"/>
    <cellStyle name="60% - 强调文字颜色 3 2 2 4" xfId="3339" xr:uid="{00000000-0005-0000-0000-00003A0D0000}"/>
    <cellStyle name="60% - 强调文字颜色 3 2 2 5" xfId="3340" xr:uid="{00000000-0005-0000-0000-00003B0D0000}"/>
    <cellStyle name="60% - 强调文字颜色 3 2 2 6" xfId="3341" xr:uid="{00000000-0005-0000-0000-00003C0D0000}"/>
    <cellStyle name="60% - 强调文字颜色 3 2 2 7" xfId="3342" xr:uid="{00000000-0005-0000-0000-00003D0D0000}"/>
    <cellStyle name="60% - 强调文字颜色 3 2 2 8" xfId="792" xr:uid="{00000000-0005-0000-0000-000047030000}"/>
    <cellStyle name="60% - 强调文字颜色 3 2 2 9" xfId="261" xr:uid="{00000000-0005-0000-0000-000034010000}"/>
    <cellStyle name="60% - 强调文字颜色 3 2 3" xfId="3343" xr:uid="{00000000-0005-0000-0000-00003E0D0000}"/>
    <cellStyle name="60% - 强调文字颜色 3 2 3 2" xfId="3345" xr:uid="{00000000-0005-0000-0000-0000400D0000}"/>
    <cellStyle name="60% - 强调文字颜色 3 2 3 3" xfId="3348" xr:uid="{00000000-0005-0000-0000-0000430D0000}"/>
    <cellStyle name="60% - 强调文字颜色 3 2 4" xfId="3291" xr:uid="{00000000-0005-0000-0000-00000A0D0000}"/>
    <cellStyle name="60% - 强调文字颜色 3 2 4 2" xfId="3350" xr:uid="{00000000-0005-0000-0000-0000450D0000}"/>
    <cellStyle name="60% - 强调文字颜色 3 2 4 3" xfId="3353" xr:uid="{00000000-0005-0000-0000-0000480D0000}"/>
    <cellStyle name="60% - 强调文字颜色 3 2 5" xfId="1691" xr:uid="{00000000-0005-0000-0000-0000CA060000}"/>
    <cellStyle name="60% - 强调文字颜色 3 2 5 2" xfId="3354" xr:uid="{00000000-0005-0000-0000-0000490D0000}"/>
    <cellStyle name="60% - 强调文字颜色 3 2 5 3" xfId="3357" xr:uid="{00000000-0005-0000-0000-00004C0D0000}"/>
    <cellStyle name="60% - 强调文字颜色 3 2 6" xfId="1696" xr:uid="{00000000-0005-0000-0000-0000CF060000}"/>
    <cellStyle name="60% - 强调文字颜色 3 2 6 2" xfId="3358" xr:uid="{00000000-0005-0000-0000-00004D0D0000}"/>
    <cellStyle name="60% - 强调文字颜色 3 2 6 3" xfId="3359" xr:uid="{00000000-0005-0000-0000-00004E0D0000}"/>
    <cellStyle name="60% - 强调文字颜色 3 2 7" xfId="1699" xr:uid="{00000000-0005-0000-0000-0000D2060000}"/>
    <cellStyle name="60% - 强调文字颜色 3 2 7 2" xfId="2682" xr:uid="{00000000-0005-0000-0000-0000A90A0000}"/>
    <cellStyle name="60% - 强调文字颜色 3 2 7 3" xfId="2688" xr:uid="{00000000-0005-0000-0000-0000AF0A0000}"/>
    <cellStyle name="60% - 强调文字颜色 3 2 8" xfId="2679" xr:uid="{00000000-0005-0000-0000-0000A60A0000}"/>
    <cellStyle name="60% - 强调文字颜色 3 2 8 2" xfId="2705" xr:uid="{00000000-0005-0000-0000-0000C00A0000}"/>
    <cellStyle name="60% - 强调文字颜色 3 2 8 3" xfId="2707" xr:uid="{00000000-0005-0000-0000-0000C20A0000}"/>
    <cellStyle name="60% - 强调文字颜色 3 2 9" xfId="110" xr:uid="{00000000-0005-0000-0000-00007E000000}"/>
    <cellStyle name="60% - 强调文字颜色 3 2 9 2" xfId="294" xr:uid="{00000000-0005-0000-0000-000055010000}"/>
    <cellStyle name="60% - 强调文字颜色 3 2 9 3" xfId="302" xr:uid="{00000000-0005-0000-0000-00005D010000}"/>
    <cellStyle name="60% - 强调文字颜色 3 2_成本利润预算(公司目标)" xfId="3360" xr:uid="{00000000-0005-0000-0000-00004F0D0000}"/>
    <cellStyle name="60% - 强调文字颜色 3 3" xfId="995" xr:uid="{00000000-0005-0000-0000-000012040000}"/>
    <cellStyle name="60% - 强调文字颜色 3 3 2" xfId="3361" xr:uid="{00000000-0005-0000-0000-0000500D0000}"/>
    <cellStyle name="60% - 强调文字颜色 3 4" xfId="3363" xr:uid="{00000000-0005-0000-0000-0000520D0000}"/>
    <cellStyle name="60% - 强调文字颜色 3 4 2" xfId="3364" xr:uid="{00000000-0005-0000-0000-0000530D0000}"/>
    <cellStyle name="60% - 强调文字颜色 3 4 3" xfId="3365" xr:uid="{00000000-0005-0000-0000-0000540D0000}"/>
    <cellStyle name="60% - 强调文字颜色 3 5" xfId="3367" xr:uid="{00000000-0005-0000-0000-0000560D0000}"/>
    <cellStyle name="60% - 强调文字颜色 3 5 2" xfId="3368" xr:uid="{00000000-0005-0000-0000-0000570D0000}"/>
    <cellStyle name="60% - 强调文字颜色 3 5 3" xfId="3369" xr:uid="{00000000-0005-0000-0000-0000580D0000}"/>
    <cellStyle name="60% - 强调文字颜色 3 6" xfId="3371" xr:uid="{00000000-0005-0000-0000-00005A0D0000}"/>
    <cellStyle name="60% - 强调文字颜色 3 6 2" xfId="628" xr:uid="{00000000-0005-0000-0000-0000A3020000}"/>
    <cellStyle name="60% - 强调文字颜色 3 6 3" xfId="3372" xr:uid="{00000000-0005-0000-0000-00005B0D0000}"/>
    <cellStyle name="60% - 强调文字颜色 3 7" xfId="3374" xr:uid="{00000000-0005-0000-0000-00005D0D0000}"/>
    <cellStyle name="60% - 强调文字颜色 3 7 2" xfId="3376" xr:uid="{00000000-0005-0000-0000-00005F0D0000}"/>
    <cellStyle name="60% - 强调文字颜色 3 7 2 2" xfId="3383" xr:uid="{00000000-0005-0000-0000-0000660D0000}"/>
    <cellStyle name="60% - 强调文字颜色 3 7 2 3" xfId="3387" xr:uid="{00000000-0005-0000-0000-00006A0D0000}"/>
    <cellStyle name="60% - 强调文字颜色 3 7 3" xfId="3388" xr:uid="{00000000-0005-0000-0000-00006B0D0000}"/>
    <cellStyle name="60% - 强调文字颜色 3 7 4" xfId="2486" xr:uid="{00000000-0005-0000-0000-0000E5090000}"/>
    <cellStyle name="60% - 强调文字颜色 3 8" xfId="3391" xr:uid="{00000000-0005-0000-0000-00006E0D0000}"/>
    <cellStyle name="60% - 强调文字颜色 3 8 2" xfId="3392" xr:uid="{00000000-0005-0000-0000-00006F0D0000}"/>
    <cellStyle name="60% - 强调文字颜色 3 8 2 2" xfId="3393" xr:uid="{00000000-0005-0000-0000-0000700D0000}"/>
    <cellStyle name="60% - 强调文字颜色 3 8 2 3" xfId="3394" xr:uid="{00000000-0005-0000-0000-0000710D0000}"/>
    <cellStyle name="60% - 强调文字颜色 3 8 3" xfId="3396" xr:uid="{00000000-0005-0000-0000-0000730D0000}"/>
    <cellStyle name="60% - 强调文字颜色 3 8 4" xfId="2499" xr:uid="{00000000-0005-0000-0000-0000F2090000}"/>
    <cellStyle name="60% - 强调文字颜色 3 9" xfId="3397" xr:uid="{00000000-0005-0000-0000-0000740D0000}"/>
    <cellStyle name="60% - 强调文字颜色 3 9 2" xfId="3398" xr:uid="{00000000-0005-0000-0000-0000750D0000}"/>
    <cellStyle name="60% - 强调文字颜色 4 10" xfId="3400" xr:uid="{00000000-0005-0000-0000-0000770D0000}"/>
    <cellStyle name="60% - 强调文字颜色 4 10 2" xfId="3402" xr:uid="{00000000-0005-0000-0000-0000790D0000}"/>
    <cellStyle name="60% - 强调文字颜色 4 2" xfId="3403" xr:uid="{00000000-0005-0000-0000-00007A0D0000}"/>
    <cellStyle name="60% - 强调文字颜色 4 2 10" xfId="3405" xr:uid="{00000000-0005-0000-0000-00007C0D0000}"/>
    <cellStyle name="60% - 强调文字颜色 4 2 11" xfId="3407" xr:uid="{00000000-0005-0000-0000-00007E0D0000}"/>
    <cellStyle name="60% - 强调文字颜色 4 2 12" xfId="3409" xr:uid="{00000000-0005-0000-0000-0000800D0000}"/>
    <cellStyle name="60% - 强调文字颜色 4 2 13" xfId="3410" xr:uid="{00000000-0005-0000-0000-0000810D0000}"/>
    <cellStyle name="60% - 强调文字颜色 4 2 2" xfId="3178" xr:uid="{00000000-0005-0000-0000-0000990C0000}"/>
    <cellStyle name="60% - 强调文字颜色 4 2 2 10" xfId="3180" xr:uid="{00000000-0005-0000-0000-00009B0C0000}"/>
    <cellStyle name="60% - 强调文字颜色 4 2 2 2" xfId="3186" xr:uid="{00000000-0005-0000-0000-0000A10C0000}"/>
    <cellStyle name="60% - 强调文字颜色 4 2 2 2 2" xfId="1032" xr:uid="{00000000-0005-0000-0000-000037040000}"/>
    <cellStyle name="60% - 强调文字颜色 4 2 2 2 3" xfId="3411" xr:uid="{00000000-0005-0000-0000-0000820D0000}"/>
    <cellStyle name="60% - 强调文字颜色 4 2 2 3" xfId="3188" xr:uid="{00000000-0005-0000-0000-0000A30C0000}"/>
    <cellStyle name="60% - 强调文字颜色 4 2 2 4" xfId="2866" xr:uid="{00000000-0005-0000-0000-0000610B0000}"/>
    <cellStyle name="60% - 强调文字颜色 4 2 2 5" xfId="3196" xr:uid="{00000000-0005-0000-0000-0000AB0C0000}"/>
    <cellStyle name="60% - 强调文字颜色 4 2 2 6" xfId="3204" xr:uid="{00000000-0005-0000-0000-0000B30C0000}"/>
    <cellStyle name="60% - 强调文字颜色 4 2 2 7" xfId="2193" xr:uid="{00000000-0005-0000-0000-0000C0080000}"/>
    <cellStyle name="60% - 强调文字颜色 4 2 2 8" xfId="2197" xr:uid="{00000000-0005-0000-0000-0000C4080000}"/>
    <cellStyle name="60% - 强调文字颜色 4 2 2 9" xfId="1372" xr:uid="{00000000-0005-0000-0000-00008B050000}"/>
    <cellStyle name="60% - 强调文字颜色 4 2 3" xfId="3207" xr:uid="{00000000-0005-0000-0000-0000B60C0000}"/>
    <cellStyle name="60% - 强调文字颜色 4 2 3 2" xfId="1846" xr:uid="{00000000-0005-0000-0000-000065070000}"/>
    <cellStyle name="60% - 强调文字颜色 4 2 3 3" xfId="1570" xr:uid="{00000000-0005-0000-0000-000051060000}"/>
    <cellStyle name="60% - 强调文字颜色 4 2 4" xfId="3212" xr:uid="{00000000-0005-0000-0000-0000BB0C0000}"/>
    <cellStyle name="60% - 强调文字颜色 4 2 4 2" xfId="3216" xr:uid="{00000000-0005-0000-0000-0000BF0C0000}"/>
    <cellStyle name="60% - 强调文字颜色 4 2 4 3" xfId="3222" xr:uid="{00000000-0005-0000-0000-0000C50C0000}"/>
    <cellStyle name="60% - 强调文字颜色 4 2 5" xfId="1855" xr:uid="{00000000-0005-0000-0000-00006E070000}"/>
    <cellStyle name="60% - 强调文字颜色 4 2 5 2" xfId="2130" xr:uid="{00000000-0005-0000-0000-000081080000}"/>
    <cellStyle name="60% - 强调文字颜色 4 2 5 3" xfId="3226" xr:uid="{00000000-0005-0000-0000-0000C90C0000}"/>
    <cellStyle name="60% - 强调文字颜色 4 2 6" xfId="1025" xr:uid="{00000000-0005-0000-0000-000030040000}"/>
    <cellStyle name="60% - 强调文字颜色 4 2 6 2" xfId="583" xr:uid="{00000000-0005-0000-0000-000076020000}"/>
    <cellStyle name="60% - 强调文字颜色 4 2 6 3" xfId="2948" xr:uid="{00000000-0005-0000-0000-0000B30B0000}"/>
    <cellStyle name="60% - 强调文字颜色 4 2 7" xfId="2135" xr:uid="{00000000-0005-0000-0000-000086080000}"/>
    <cellStyle name="60% - 强调文字颜色 4 2 7 2" xfId="2806" xr:uid="{00000000-0005-0000-0000-0000250B0000}"/>
    <cellStyle name="60% - 强调文字颜色 4 2 7 3" xfId="2819" xr:uid="{00000000-0005-0000-0000-0000320B0000}"/>
    <cellStyle name="60% - 强调文字颜色 4 2 8" xfId="1235" xr:uid="{00000000-0005-0000-0000-000002050000}"/>
    <cellStyle name="60% - 强调文字颜色 4 2 8 2" xfId="2843" xr:uid="{00000000-0005-0000-0000-00004A0B0000}"/>
    <cellStyle name="60% - 强调文字颜色 4 2 8 3" xfId="2859" xr:uid="{00000000-0005-0000-0000-00005A0B0000}"/>
    <cellStyle name="60% - 强调文字颜色 4 2 9" xfId="2810" xr:uid="{00000000-0005-0000-0000-0000290B0000}"/>
    <cellStyle name="60% - 强调文字颜色 4 2 9 2" xfId="2817" xr:uid="{00000000-0005-0000-0000-0000300B0000}"/>
    <cellStyle name="60% - 强调文字颜色 4 2 9 3" xfId="2059" xr:uid="{00000000-0005-0000-0000-00003A080000}"/>
    <cellStyle name="60% - 强调文字颜色 4 2_成本利润预算(公司目标)" xfId="3412" xr:uid="{00000000-0005-0000-0000-0000830D0000}"/>
    <cellStyle name="60% - 强调文字颜色 4 3" xfId="3413" xr:uid="{00000000-0005-0000-0000-0000840D0000}"/>
    <cellStyle name="60% - 强调文字颜色 4 3 2" xfId="3416" xr:uid="{00000000-0005-0000-0000-0000870D0000}"/>
    <cellStyle name="60% - 强调文字颜色 4 4" xfId="3417" xr:uid="{00000000-0005-0000-0000-0000880D0000}"/>
    <cellStyle name="60% - 强调文字颜色 4 4 2" xfId="3419" xr:uid="{00000000-0005-0000-0000-00008A0D0000}"/>
    <cellStyle name="60% - 强调文字颜色 4 4 3" xfId="3423" xr:uid="{00000000-0005-0000-0000-00008E0D0000}"/>
    <cellStyle name="60% - 强调文字颜色 4 5" xfId="3425" xr:uid="{00000000-0005-0000-0000-0000900D0000}"/>
    <cellStyle name="60% - 强调文字颜色 4 5 2" xfId="3426" xr:uid="{00000000-0005-0000-0000-0000910D0000}"/>
    <cellStyle name="60% - 强调文字颜色 4 5 3" xfId="3428" xr:uid="{00000000-0005-0000-0000-0000930D0000}"/>
    <cellStyle name="60% - 强调文字颜色 4 6" xfId="3429" xr:uid="{00000000-0005-0000-0000-0000940D0000}"/>
    <cellStyle name="60% - 强调文字颜色 4 6 2" xfId="3430" xr:uid="{00000000-0005-0000-0000-0000950D0000}"/>
    <cellStyle name="60% - 强调文字颜色 4 6 3" xfId="2224" xr:uid="{00000000-0005-0000-0000-0000DF080000}"/>
    <cellStyle name="60% - 强调文字颜色 4 7" xfId="3431" xr:uid="{00000000-0005-0000-0000-0000960D0000}"/>
    <cellStyle name="60% - 强调文字颜色 4 7 2" xfId="3434" xr:uid="{00000000-0005-0000-0000-0000990D0000}"/>
    <cellStyle name="60% - 强调文字颜色 4 7 2 2" xfId="3435" xr:uid="{00000000-0005-0000-0000-00009A0D0000}"/>
    <cellStyle name="60% - 强调文字颜色 4 7 2 3" xfId="1207" xr:uid="{00000000-0005-0000-0000-0000E6040000}"/>
    <cellStyle name="60% - 强调文字颜色 4 7 3" xfId="2242" xr:uid="{00000000-0005-0000-0000-0000F1080000}"/>
    <cellStyle name="60% - 强调文字颜色 4 7 4" xfId="2555" xr:uid="{00000000-0005-0000-0000-00002A0A0000}"/>
    <cellStyle name="60% - 强调文字颜色 4 8" xfId="3436" xr:uid="{00000000-0005-0000-0000-00009B0D0000}"/>
    <cellStyle name="60% - 强调文字颜色 4 8 2" xfId="3440" xr:uid="{00000000-0005-0000-0000-00009F0D0000}"/>
    <cellStyle name="60% - 强调文字颜色 4 8 2 2" xfId="3442" xr:uid="{00000000-0005-0000-0000-0000A10D0000}"/>
    <cellStyle name="60% - 强调文字颜色 4 8 2 3" xfId="3444" xr:uid="{00000000-0005-0000-0000-0000A30D0000}"/>
    <cellStyle name="60% - 强调文字颜色 4 8 3" xfId="2248" xr:uid="{00000000-0005-0000-0000-0000F7080000}"/>
    <cellStyle name="60% - 强调文字颜色 4 8 4" xfId="2562" xr:uid="{00000000-0005-0000-0000-0000310A0000}"/>
    <cellStyle name="60% - 强调文字颜色 4 9" xfId="3445" xr:uid="{00000000-0005-0000-0000-0000A40D0000}"/>
    <cellStyle name="60% - 强调文字颜色 4 9 2" xfId="3447" xr:uid="{00000000-0005-0000-0000-0000A60D0000}"/>
    <cellStyle name="60% - 强调文字颜色 5 10" xfId="371" xr:uid="{00000000-0005-0000-0000-0000A2010000}"/>
    <cellStyle name="60% - 强调文字颜色 5 10 2" xfId="378" xr:uid="{00000000-0005-0000-0000-0000A9010000}"/>
    <cellStyle name="60% - 强调文字颜色 5 2" xfId="3449" xr:uid="{00000000-0005-0000-0000-0000A80D0000}"/>
    <cellStyle name="60% - 强调文字颜色 5 2 10" xfId="3451" xr:uid="{00000000-0005-0000-0000-0000AA0D0000}"/>
    <cellStyle name="60% - 强调文字颜色 5 2 11" xfId="3454" xr:uid="{00000000-0005-0000-0000-0000AD0D0000}"/>
    <cellStyle name="60% - 强调文字颜色 5 2 12" xfId="3457" xr:uid="{00000000-0005-0000-0000-0000B00D0000}"/>
    <cellStyle name="60% - 强调文字颜色 5 2 13" xfId="3460" xr:uid="{00000000-0005-0000-0000-0000B30D0000}"/>
    <cellStyle name="60% - 强调文字颜色 5 2 2" xfId="3463" xr:uid="{00000000-0005-0000-0000-0000B60D0000}"/>
    <cellStyle name="60% - 强调文字颜色 5 2 2 10" xfId="3115" xr:uid="{00000000-0005-0000-0000-00005A0C0000}"/>
    <cellStyle name="60% - 强调文字颜色 5 2 2 2" xfId="3464" xr:uid="{00000000-0005-0000-0000-0000B70D0000}"/>
    <cellStyle name="60% - 强调文字颜色 5 2 2 2 2" xfId="3465" xr:uid="{00000000-0005-0000-0000-0000B80D0000}"/>
    <cellStyle name="60% - 强调文字颜色 5 2 2 2 3" xfId="550" xr:uid="{00000000-0005-0000-0000-000055020000}"/>
    <cellStyle name="60% - 强调文字颜色 5 2 2 3" xfId="1828" xr:uid="{00000000-0005-0000-0000-000053070000}"/>
    <cellStyle name="60% - 强调文字颜色 5 2 2 4" xfId="3467" xr:uid="{00000000-0005-0000-0000-0000BA0D0000}"/>
    <cellStyle name="60% - 强调文字颜色 5 2 2 5" xfId="3469" xr:uid="{00000000-0005-0000-0000-0000BC0D0000}"/>
    <cellStyle name="60% - 强调文字颜色 5 2 2 6" xfId="3471" xr:uid="{00000000-0005-0000-0000-0000BE0D0000}"/>
    <cellStyle name="60% - 强调文字颜色 5 2 2 7" xfId="3474" xr:uid="{00000000-0005-0000-0000-0000C10D0000}"/>
    <cellStyle name="60% - 强调文字颜色 5 2 2 8" xfId="3477" xr:uid="{00000000-0005-0000-0000-0000C40D0000}"/>
    <cellStyle name="60% - 强调文字颜色 5 2 2 9" xfId="1765" xr:uid="{00000000-0005-0000-0000-000014070000}"/>
    <cellStyle name="60% - 强调文字颜色 5 2 3" xfId="3479" xr:uid="{00000000-0005-0000-0000-0000C60D0000}"/>
    <cellStyle name="60% - 强调文字颜色 5 2 3 2" xfId="3481" xr:uid="{00000000-0005-0000-0000-0000C80D0000}"/>
    <cellStyle name="60% - 强调文字颜色 5 2 3 3" xfId="3482" xr:uid="{00000000-0005-0000-0000-0000C90D0000}"/>
    <cellStyle name="60% - 强调文字颜色 5 2 4" xfId="3483" xr:uid="{00000000-0005-0000-0000-0000CA0D0000}"/>
    <cellStyle name="60% - 强调文字颜色 5 2 4 2" xfId="3484" xr:uid="{00000000-0005-0000-0000-0000CB0D0000}"/>
    <cellStyle name="60% - 强调文字颜色 5 2 4 3" xfId="3486" xr:uid="{00000000-0005-0000-0000-0000CD0D0000}"/>
    <cellStyle name="60% - 强调文字颜色 5 2 5" xfId="2187" xr:uid="{00000000-0005-0000-0000-0000BA080000}"/>
    <cellStyle name="60% - 强调文字颜色 5 2 5 2" xfId="3488" xr:uid="{00000000-0005-0000-0000-0000CF0D0000}"/>
    <cellStyle name="60% - 强调文字颜色 5 2 5 3" xfId="3490" xr:uid="{00000000-0005-0000-0000-0000D10D0000}"/>
    <cellStyle name="60% - 强调文字颜色 5 2 6" xfId="3492" xr:uid="{00000000-0005-0000-0000-0000D30D0000}"/>
    <cellStyle name="60% - 强调文字颜色 5 2 6 2" xfId="3493" xr:uid="{00000000-0005-0000-0000-0000D40D0000}"/>
    <cellStyle name="60% - 强调文字颜色 5 2 6 3" xfId="3494" xr:uid="{00000000-0005-0000-0000-0000D50D0000}"/>
    <cellStyle name="60% - 强调文字颜色 5 2 7" xfId="1588" xr:uid="{00000000-0005-0000-0000-000063060000}"/>
    <cellStyle name="60% - 强调文字颜色 5 2 7 2" xfId="2953" xr:uid="{00000000-0005-0000-0000-0000B80B0000}"/>
    <cellStyle name="60% - 强调文字颜色 5 2 7 3" xfId="2955" xr:uid="{00000000-0005-0000-0000-0000BA0B0000}"/>
    <cellStyle name="60% - 强调文字颜色 5 2 8" xfId="2963" xr:uid="{00000000-0005-0000-0000-0000C20B0000}"/>
    <cellStyle name="60% - 强调文字颜色 5 2 8 2" xfId="199" xr:uid="{00000000-0005-0000-0000-0000E8000000}"/>
    <cellStyle name="60% - 强调文字颜色 5 2 8 3" xfId="182" xr:uid="{00000000-0005-0000-0000-0000D1000000}"/>
    <cellStyle name="60% - 强调文字颜色 5 2 9" xfId="2894" xr:uid="{00000000-0005-0000-0000-00007D0B0000}"/>
    <cellStyle name="60% - 强调文字颜色 5 2 9 2" xfId="2965" xr:uid="{00000000-0005-0000-0000-0000C40B0000}"/>
    <cellStyle name="60% - 强调文字颜色 5 2 9 3" xfId="2968" xr:uid="{00000000-0005-0000-0000-0000C70B0000}"/>
    <cellStyle name="60% - 强调文字颜色 5 2_成本利润预算(公司目标)" xfId="1236" xr:uid="{00000000-0005-0000-0000-000003050000}"/>
    <cellStyle name="60% - 强调文字颜色 5 3" xfId="2694" xr:uid="{00000000-0005-0000-0000-0000B50A0000}"/>
    <cellStyle name="60% - 强调文字颜色 5 3 2" xfId="2727" xr:uid="{00000000-0005-0000-0000-0000D60A0000}"/>
    <cellStyle name="60% - 强调文字颜色 5 4" xfId="2697" xr:uid="{00000000-0005-0000-0000-0000B80A0000}"/>
    <cellStyle name="60% - 强调文字颜色 5 4 2" xfId="2729" xr:uid="{00000000-0005-0000-0000-0000D80A0000}"/>
    <cellStyle name="60% - 强调文字颜色 5 4 3" xfId="3495" xr:uid="{00000000-0005-0000-0000-0000D60D0000}"/>
    <cellStyle name="60% - 强调文字颜色 5 5" xfId="2700" xr:uid="{00000000-0005-0000-0000-0000BB0A0000}"/>
    <cellStyle name="60% - 强调文字颜色 5 5 2" xfId="3496" xr:uid="{00000000-0005-0000-0000-0000D70D0000}"/>
    <cellStyle name="60% - 强调文字颜色 5 5 3" xfId="3497" xr:uid="{00000000-0005-0000-0000-0000D80D0000}"/>
    <cellStyle name="60% - 强调文字颜色 5 6" xfId="3498" xr:uid="{00000000-0005-0000-0000-0000D90D0000}"/>
    <cellStyle name="60% - 强调文字颜色 5 6 2" xfId="3499" xr:uid="{00000000-0005-0000-0000-0000DA0D0000}"/>
    <cellStyle name="60% - 强调文字颜色 5 6 3" xfId="3500" xr:uid="{00000000-0005-0000-0000-0000DB0D0000}"/>
    <cellStyle name="60% - 强调文字颜色 5 7" xfId="483" xr:uid="{00000000-0005-0000-0000-000012020000}"/>
    <cellStyle name="60% - 强调文字颜色 5 7 2" xfId="495" xr:uid="{00000000-0005-0000-0000-00001E020000}"/>
    <cellStyle name="60% - 强调文字颜色 5 7 2 2" xfId="3501" xr:uid="{00000000-0005-0000-0000-0000DC0D0000}"/>
    <cellStyle name="60% - 强调文字颜色 5 7 2 3" xfId="2254" xr:uid="{00000000-0005-0000-0000-0000FD080000}"/>
    <cellStyle name="60% - 强调文字颜色 5 7 3" xfId="499" xr:uid="{00000000-0005-0000-0000-000022020000}"/>
    <cellStyle name="60% - 强调文字颜色 5 7 4" xfId="2593" xr:uid="{00000000-0005-0000-0000-0000500A0000}"/>
    <cellStyle name="60% - 强调文字颜色 5 8" xfId="3502" xr:uid="{00000000-0005-0000-0000-0000DD0D0000}"/>
    <cellStyle name="60% - 强调文字颜色 5 8 2" xfId="3504" xr:uid="{00000000-0005-0000-0000-0000DF0D0000}"/>
    <cellStyle name="60% - 强调文字颜色 5 8 2 2" xfId="3505" xr:uid="{00000000-0005-0000-0000-0000E00D0000}"/>
    <cellStyle name="60% - 强调文字颜色 5 8 2 3" xfId="82" xr:uid="{00000000-0005-0000-0000-000061000000}"/>
    <cellStyle name="60% - 强调文字颜色 5 8 3" xfId="3506" xr:uid="{00000000-0005-0000-0000-0000E10D0000}"/>
    <cellStyle name="60% - 强调文字颜色 5 8 4" xfId="1667" xr:uid="{00000000-0005-0000-0000-0000B2060000}"/>
    <cellStyle name="60% - 强调文字颜色 5 9" xfId="3507" xr:uid="{00000000-0005-0000-0000-0000E20D0000}"/>
    <cellStyle name="60% - 强调文字颜色 5 9 2" xfId="3508" xr:uid="{00000000-0005-0000-0000-0000E30D0000}"/>
    <cellStyle name="60% - 强调文字颜色 6 10" xfId="1141" xr:uid="{00000000-0005-0000-0000-0000A4040000}"/>
    <cellStyle name="60% - 强调文字颜色 6 10 2" xfId="3510" xr:uid="{00000000-0005-0000-0000-0000E50D0000}"/>
    <cellStyle name="60% - 强调文字颜色 6 2" xfId="3511" xr:uid="{00000000-0005-0000-0000-0000E60D0000}"/>
    <cellStyle name="60% - 强调文字颜色 6 2 10" xfId="3512" xr:uid="{00000000-0005-0000-0000-0000E70D0000}"/>
    <cellStyle name="60% - 强调文字颜色 6 2 11" xfId="3514" xr:uid="{00000000-0005-0000-0000-0000E90D0000}"/>
    <cellStyle name="60% - 强调文字颜色 6 2 12" xfId="3515" xr:uid="{00000000-0005-0000-0000-0000EA0D0000}"/>
    <cellStyle name="60% - 强调文字颜色 6 2 13" xfId="3516" xr:uid="{00000000-0005-0000-0000-0000EB0D0000}"/>
    <cellStyle name="60% - 强调文字颜色 6 2 2" xfId="3517" xr:uid="{00000000-0005-0000-0000-0000EC0D0000}"/>
    <cellStyle name="60% - 强调文字颜色 6 2 2 10" xfId="3518" xr:uid="{00000000-0005-0000-0000-0000ED0D0000}"/>
    <cellStyle name="60% - 强调文字颜色 6 2 2 2" xfId="426" xr:uid="{00000000-0005-0000-0000-0000D9010000}"/>
    <cellStyle name="60% - 强调文字颜色 6 2 2 2 2" xfId="3520" xr:uid="{00000000-0005-0000-0000-0000EF0D0000}"/>
    <cellStyle name="60% - 强调文字颜色 6 2 2 2 3" xfId="561" xr:uid="{00000000-0005-0000-0000-000060020000}"/>
    <cellStyle name="60% - 强调文字颜色 6 2 2 3" xfId="3522" xr:uid="{00000000-0005-0000-0000-0000F10D0000}"/>
    <cellStyle name="60% - 强调文字颜色 6 2 2 4" xfId="3524" xr:uid="{00000000-0005-0000-0000-0000F30D0000}"/>
    <cellStyle name="60% - 强调文字颜色 6 2 2 5" xfId="3526" xr:uid="{00000000-0005-0000-0000-0000F50D0000}"/>
    <cellStyle name="60% - 强调文字颜色 6 2 2 6" xfId="3528" xr:uid="{00000000-0005-0000-0000-0000F70D0000}"/>
    <cellStyle name="60% - 强调文字颜色 6 2 2 7" xfId="3530" xr:uid="{00000000-0005-0000-0000-0000F90D0000}"/>
    <cellStyle name="60% - 强调文字颜色 6 2 2 8" xfId="3531" xr:uid="{00000000-0005-0000-0000-0000FA0D0000}"/>
    <cellStyle name="60% - 强调文字颜色 6 2 2 9" xfId="2348" xr:uid="{00000000-0005-0000-0000-00005B090000}"/>
    <cellStyle name="60% - 强调文字颜色 6 2 3" xfId="3532" xr:uid="{00000000-0005-0000-0000-0000FB0D0000}"/>
    <cellStyle name="60% - 强调文字颜色 6 2 3 2" xfId="3534" xr:uid="{00000000-0005-0000-0000-0000FD0D0000}"/>
    <cellStyle name="60% - 强调文字颜色 6 2 3 3" xfId="3536" xr:uid="{00000000-0005-0000-0000-0000FF0D0000}"/>
    <cellStyle name="60% - 强调文字颜色 6 2 4" xfId="2257" xr:uid="{00000000-0005-0000-0000-000000090000}"/>
    <cellStyle name="60% - 强调文字颜色 6 2 4 2" xfId="3537" xr:uid="{00000000-0005-0000-0000-0000000E0000}"/>
    <cellStyle name="60% - 强调文字颜色 6 2 4 3" xfId="3539" xr:uid="{00000000-0005-0000-0000-0000020E0000}"/>
    <cellStyle name="60% - 强调文字颜色 6 2 5" xfId="2202" xr:uid="{00000000-0005-0000-0000-0000C9080000}"/>
    <cellStyle name="60% - 强调文字颜色 6 2 5 2" xfId="3540" xr:uid="{00000000-0005-0000-0000-0000030E0000}"/>
    <cellStyle name="60% - 强调文字颜色 6 2 5 3" xfId="3541" xr:uid="{00000000-0005-0000-0000-0000040E0000}"/>
    <cellStyle name="60% - 强调文字颜色 6 2 6" xfId="3542" xr:uid="{00000000-0005-0000-0000-0000050E0000}"/>
    <cellStyle name="60% - 强调文字颜色 6 2 6 2" xfId="3544" xr:uid="{00000000-0005-0000-0000-0000070E0000}"/>
    <cellStyle name="60% - 强调文字颜色 6 2 6 3" xfId="3546" xr:uid="{00000000-0005-0000-0000-0000090E0000}"/>
    <cellStyle name="60% - 强调文字颜色 6 2 7" xfId="2363" xr:uid="{00000000-0005-0000-0000-00006A090000}"/>
    <cellStyle name="60% - 强调文字颜色 6 2 7 2" xfId="2368" xr:uid="{00000000-0005-0000-0000-00006F090000}"/>
    <cellStyle name="60% - 强调文字颜色 6 2 7 3" xfId="2374" xr:uid="{00000000-0005-0000-0000-000075090000}"/>
    <cellStyle name="60% - 强调文字颜色 6 2 8" xfId="2380" xr:uid="{00000000-0005-0000-0000-00007B090000}"/>
    <cellStyle name="60% - 强调文字颜色 6 2 8 2" xfId="2385" xr:uid="{00000000-0005-0000-0000-000080090000}"/>
    <cellStyle name="60% - 强调文字颜色 6 2 8 3" xfId="2392" xr:uid="{00000000-0005-0000-0000-000087090000}"/>
    <cellStyle name="60% - 强调文字颜色 6 2 9" xfId="2398" xr:uid="{00000000-0005-0000-0000-00008D090000}"/>
    <cellStyle name="60% - 强调文字颜色 6 2 9 2" xfId="2403" xr:uid="{00000000-0005-0000-0000-000092090000}"/>
    <cellStyle name="60% - 强调文字颜色 6 2 9 3" xfId="2410" xr:uid="{00000000-0005-0000-0000-000099090000}"/>
    <cellStyle name="60% - 强调文字颜色 6 2_成本利润预算(公司目标)" xfId="3547" xr:uid="{00000000-0005-0000-0000-00000A0E0000}"/>
    <cellStyle name="60% - 强调文字颜色 6 3" xfId="282" xr:uid="{00000000-0005-0000-0000-000049010000}"/>
    <cellStyle name="60% - 强调文字颜色 6 3 2" xfId="52" xr:uid="{00000000-0005-0000-0000-00003C000000}"/>
    <cellStyle name="60% - 强调文字颜色 6 4" xfId="691" xr:uid="{00000000-0005-0000-0000-0000E2020000}"/>
    <cellStyle name="60% - 强调文字颜色 6 4 2" xfId="694" xr:uid="{00000000-0005-0000-0000-0000E5020000}"/>
    <cellStyle name="60% - 强调文字颜色 6 4 3" xfId="699" xr:uid="{00000000-0005-0000-0000-0000EA020000}"/>
    <cellStyle name="60% - 强调文字颜色 6 5" xfId="1282" xr:uid="{00000000-0005-0000-0000-000031050000}"/>
    <cellStyle name="60% - 强调文字颜色 6 5 2" xfId="229" xr:uid="{00000000-0005-0000-0000-00000F010000}"/>
    <cellStyle name="60% - 强调文字颜色 6 5 3" xfId="238" xr:uid="{00000000-0005-0000-0000-00001B010000}"/>
    <cellStyle name="60% - 强调文字颜色 6 6" xfId="3548" xr:uid="{00000000-0005-0000-0000-00000B0E0000}"/>
    <cellStyle name="60% - 强调文字颜色 6 6 2" xfId="3551" xr:uid="{00000000-0005-0000-0000-00000E0E0000}"/>
    <cellStyle name="60% - 强调文字颜色 6 6 3" xfId="3552" xr:uid="{00000000-0005-0000-0000-00000F0E0000}"/>
    <cellStyle name="60% - 强调文字颜色 6 7" xfId="3553" xr:uid="{00000000-0005-0000-0000-0000100E0000}"/>
    <cellStyle name="60% - 强调文字颜色 6 7 2" xfId="3555" xr:uid="{00000000-0005-0000-0000-0000120E0000}"/>
    <cellStyle name="60% - 强调文字颜色 6 7 2 2" xfId="1329" xr:uid="{00000000-0005-0000-0000-000060050000}"/>
    <cellStyle name="60% - 强调文字颜色 6 7 2 3" xfId="1331" xr:uid="{00000000-0005-0000-0000-000062050000}"/>
    <cellStyle name="60% - 强调文字颜色 6 7 3" xfId="3556" xr:uid="{00000000-0005-0000-0000-0000130E0000}"/>
    <cellStyle name="60% - 强调文字颜色 6 7 4" xfId="3557" xr:uid="{00000000-0005-0000-0000-0000140E0000}"/>
    <cellStyle name="60% - 强调文字颜色 6 8" xfId="3558" xr:uid="{00000000-0005-0000-0000-0000150E0000}"/>
    <cellStyle name="60% - 强调文字颜色 6 8 2" xfId="3561" xr:uid="{00000000-0005-0000-0000-0000180E0000}"/>
    <cellStyle name="60% - 强调文字颜色 6 8 2 2" xfId="1154" xr:uid="{00000000-0005-0000-0000-0000B1040000}"/>
    <cellStyle name="60% - 强调文字颜色 6 8 2 3" xfId="1167" xr:uid="{00000000-0005-0000-0000-0000BE040000}"/>
    <cellStyle name="60% - 强调文字颜色 6 8 3" xfId="3563" xr:uid="{00000000-0005-0000-0000-00001A0E0000}"/>
    <cellStyle name="60% - 强调文字颜色 6 8 4" xfId="3565" xr:uid="{00000000-0005-0000-0000-00001C0E0000}"/>
    <cellStyle name="60% - 强调文字颜色 6 9" xfId="3567" xr:uid="{00000000-0005-0000-0000-00001E0E0000}"/>
    <cellStyle name="60% - 强调文字颜色 6 9 2" xfId="1687" xr:uid="{00000000-0005-0000-0000-0000C6060000}"/>
    <cellStyle name="Calc Currency (0)" xfId="3571" xr:uid="{00000000-0005-0000-0000-0000220E0000}"/>
    <cellStyle name="Comma [0]_laroux" xfId="800" xr:uid="{00000000-0005-0000-0000-00004F030000}"/>
    <cellStyle name="Comma_laroux" xfId="3572" xr:uid="{00000000-0005-0000-0000-0000230E0000}"/>
    <cellStyle name="comma-d" xfId="578" xr:uid="{00000000-0005-0000-0000-000071020000}"/>
    <cellStyle name="Currency [0]_laroux" xfId="2483" xr:uid="{00000000-0005-0000-0000-0000E2090000}"/>
    <cellStyle name="Currency_laroux" xfId="1073" xr:uid="{00000000-0005-0000-0000-000060040000}"/>
    <cellStyle name="Euro" xfId="3574" xr:uid="{00000000-0005-0000-0000-0000250E0000}"/>
    <cellStyle name="Grey" xfId="1155" xr:uid="{00000000-0005-0000-0000-0000B2040000}"/>
    <cellStyle name="Header1" xfId="3575" xr:uid="{00000000-0005-0000-0000-0000260E0000}"/>
    <cellStyle name="Header1 2" xfId="3576" xr:uid="{00000000-0005-0000-0000-0000270E0000}"/>
    <cellStyle name="Header1 3" xfId="3577" xr:uid="{00000000-0005-0000-0000-0000280E0000}"/>
    <cellStyle name="Header2" xfId="3578" xr:uid="{00000000-0005-0000-0000-0000290E0000}"/>
    <cellStyle name="Header2 2" xfId="3579" xr:uid="{00000000-0005-0000-0000-00002A0E0000}"/>
    <cellStyle name="Header2 3" xfId="3580" xr:uid="{00000000-0005-0000-0000-00002B0E0000}"/>
    <cellStyle name="Hyperlink" xfId="3581" xr:uid="{00000000-0005-0000-0000-00002C0E0000}"/>
    <cellStyle name="Hyperlink 2" xfId="3263" xr:uid="{00000000-0005-0000-0000-0000EE0C0000}"/>
    <cellStyle name="Hyperlink 3" xfId="3266" xr:uid="{00000000-0005-0000-0000-0000F10C0000}"/>
    <cellStyle name="Input [yellow]" xfId="3583" xr:uid="{00000000-0005-0000-0000-00002E0E0000}"/>
    <cellStyle name="Normal - Style1" xfId="1908" xr:uid="{00000000-0005-0000-0000-0000A3070000}"/>
    <cellStyle name="Normal_#10-Headcount" xfId="762" xr:uid="{00000000-0005-0000-0000-000029030000}"/>
    <cellStyle name="Percent [2]" xfId="3584" xr:uid="{00000000-0005-0000-0000-00002F0E0000}"/>
    <cellStyle name="SAPBEXaggData" xfId="3568" xr:uid="{00000000-0005-0000-0000-00001F0E0000}"/>
    <cellStyle name="SAPBEXaggData 2" xfId="1688" xr:uid="{00000000-0005-0000-0000-0000C7060000}"/>
    <cellStyle name="SAPBEXaggData 3" xfId="1693" xr:uid="{00000000-0005-0000-0000-0000CC060000}"/>
    <cellStyle name="SAPBEXaggDataEmph" xfId="3585" xr:uid="{00000000-0005-0000-0000-0000300E0000}"/>
    <cellStyle name="SAPBEXaggDataEmph 2" xfId="3586" xr:uid="{00000000-0005-0000-0000-0000310E0000}"/>
    <cellStyle name="SAPBEXaggDataEmph 3" xfId="3587" xr:uid="{00000000-0005-0000-0000-0000320E0000}"/>
    <cellStyle name="SAPBEXaggItem" xfId="3593" xr:uid="{00000000-0005-0000-0000-0000380E0000}"/>
    <cellStyle name="SAPBEXaggItem 2" xfId="3458" xr:uid="{00000000-0005-0000-0000-0000B10D0000}"/>
    <cellStyle name="SAPBEXaggItem 3" xfId="3461" xr:uid="{00000000-0005-0000-0000-0000B40D0000}"/>
    <cellStyle name="SAPBEXaggItemX" xfId="471" xr:uid="{00000000-0005-0000-0000-000006020000}"/>
    <cellStyle name="SAPBEXaggItemX 2" xfId="477" xr:uid="{00000000-0005-0000-0000-00000C020000}"/>
    <cellStyle name="SAPBEXaggItemX 3" xfId="3595" xr:uid="{00000000-0005-0000-0000-00003A0E0000}"/>
    <cellStyle name="SAPBEXchaText" xfId="1283" xr:uid="{00000000-0005-0000-0000-000032050000}"/>
    <cellStyle name="SAPBEXchaText 2" xfId="230" xr:uid="{00000000-0005-0000-0000-000010010000}"/>
    <cellStyle name="SAPBEXchaText 3" xfId="239" xr:uid="{00000000-0005-0000-0000-00001C010000}"/>
    <cellStyle name="SAPBEXchaText 4" xfId="3596" xr:uid="{00000000-0005-0000-0000-00003B0E0000}"/>
    <cellStyle name="SAPBEXexcBad7" xfId="3597" xr:uid="{00000000-0005-0000-0000-00003C0E0000}"/>
    <cellStyle name="SAPBEXexcBad7 2" xfId="3598" xr:uid="{00000000-0005-0000-0000-00003D0E0000}"/>
    <cellStyle name="SAPBEXexcBad7 3" xfId="1835" xr:uid="{00000000-0005-0000-0000-00005A070000}"/>
    <cellStyle name="SAPBEXexcBad8" xfId="3599" xr:uid="{00000000-0005-0000-0000-00003E0E0000}"/>
    <cellStyle name="SAPBEXexcBad8 2" xfId="742" xr:uid="{00000000-0005-0000-0000-000015030000}"/>
    <cellStyle name="SAPBEXexcBad8 3" xfId="3250" xr:uid="{00000000-0005-0000-0000-0000E10C0000}"/>
    <cellStyle name="SAPBEXexcBad9" xfId="3600" xr:uid="{00000000-0005-0000-0000-00003F0E0000}"/>
    <cellStyle name="SAPBEXexcBad9 2" xfId="3603" xr:uid="{00000000-0005-0000-0000-0000420E0000}"/>
    <cellStyle name="SAPBEXexcBad9 3" xfId="993" xr:uid="{00000000-0005-0000-0000-000010040000}"/>
    <cellStyle name="SAPBEXexcCritical4" xfId="525" xr:uid="{00000000-0005-0000-0000-00003C020000}"/>
    <cellStyle name="SAPBEXexcCritical4 2" xfId="3604" xr:uid="{00000000-0005-0000-0000-0000430E0000}"/>
    <cellStyle name="SAPBEXexcCritical4 3" xfId="3605" xr:uid="{00000000-0005-0000-0000-0000440E0000}"/>
    <cellStyle name="SAPBEXexcCritical5" xfId="2285" xr:uid="{00000000-0005-0000-0000-00001C090000}"/>
    <cellStyle name="SAPBEXexcCritical5 2" xfId="2287" xr:uid="{00000000-0005-0000-0000-00001E090000}"/>
    <cellStyle name="SAPBEXexcCritical5 3" xfId="3606" xr:uid="{00000000-0005-0000-0000-0000450E0000}"/>
    <cellStyle name="SAPBEXexcCritical6" xfId="2289" xr:uid="{00000000-0005-0000-0000-000020090000}"/>
    <cellStyle name="SAPBEXexcCritical6 2" xfId="3607" xr:uid="{00000000-0005-0000-0000-0000460E0000}"/>
    <cellStyle name="SAPBEXexcCritical6 3" xfId="491" xr:uid="{00000000-0005-0000-0000-00001A020000}"/>
    <cellStyle name="SAPBEXexcGood1" xfId="3609" xr:uid="{00000000-0005-0000-0000-0000480E0000}"/>
    <cellStyle name="SAPBEXexcGood1 2" xfId="3614" xr:uid="{00000000-0005-0000-0000-00004D0E0000}"/>
    <cellStyle name="SAPBEXexcGood1 3" xfId="3616" xr:uid="{00000000-0005-0000-0000-00004F0E0000}"/>
    <cellStyle name="SAPBEXexcGood2" xfId="3618" xr:uid="{00000000-0005-0000-0000-0000510E0000}"/>
    <cellStyle name="SAPBEXexcGood2 2" xfId="3622" xr:uid="{00000000-0005-0000-0000-0000550E0000}"/>
    <cellStyle name="SAPBEXexcGood2 3" xfId="3626" xr:uid="{00000000-0005-0000-0000-0000590E0000}"/>
    <cellStyle name="SAPBEXexcGood3" xfId="3630" xr:uid="{00000000-0005-0000-0000-00005D0E0000}"/>
    <cellStyle name="SAPBEXexcGood3 2" xfId="3635" xr:uid="{00000000-0005-0000-0000-0000620E0000}"/>
    <cellStyle name="SAPBEXexcGood3 3" xfId="3638" xr:uid="{00000000-0005-0000-0000-0000650E0000}"/>
    <cellStyle name="SAPBEXfilterDrill" xfId="2795" xr:uid="{00000000-0005-0000-0000-00001A0B0000}"/>
    <cellStyle name="SAPBEXfilterDrill 2" xfId="3639" xr:uid="{00000000-0005-0000-0000-0000660E0000}"/>
    <cellStyle name="SAPBEXfilterDrill 3" xfId="3640" xr:uid="{00000000-0005-0000-0000-0000670E0000}"/>
    <cellStyle name="SAPBEXfilterItem" xfId="3642" xr:uid="{00000000-0005-0000-0000-0000690E0000}"/>
    <cellStyle name="SAPBEXfilterText" xfId="3643" xr:uid="{00000000-0005-0000-0000-00006A0E0000}"/>
    <cellStyle name="SAPBEXformats" xfId="3550" xr:uid="{00000000-0005-0000-0000-00000D0E0000}"/>
    <cellStyle name="SAPBEXformats 2" xfId="3646" xr:uid="{00000000-0005-0000-0000-00006D0E0000}"/>
    <cellStyle name="SAPBEXformats 3" xfId="3647" xr:uid="{00000000-0005-0000-0000-00006E0E0000}"/>
    <cellStyle name="SAPBEXformats 4" xfId="2720" xr:uid="{00000000-0005-0000-0000-0000CF0A0000}"/>
    <cellStyle name="SAPBEXheaderItem" xfId="3648" xr:uid="{00000000-0005-0000-0000-00006F0E0000}"/>
    <cellStyle name="SAPBEXheaderItem 2" xfId="3649" xr:uid="{00000000-0005-0000-0000-0000700E0000}"/>
    <cellStyle name="SAPBEXheaderItem 3" xfId="47" xr:uid="{00000000-0005-0000-0000-000036000000}"/>
    <cellStyle name="SAPBEXheaderText" xfId="484" xr:uid="{00000000-0005-0000-0000-000013020000}"/>
    <cellStyle name="SAPBEXheaderText 2" xfId="496" xr:uid="{00000000-0005-0000-0000-00001F020000}"/>
    <cellStyle name="SAPBEXheaderText 3" xfId="500" xr:uid="{00000000-0005-0000-0000-000023020000}"/>
    <cellStyle name="SAPBEXHLevel0" xfId="2924" xr:uid="{00000000-0005-0000-0000-00009B0B0000}"/>
    <cellStyle name="SAPBEXHLevel0 2" xfId="3651" xr:uid="{00000000-0005-0000-0000-0000720E0000}"/>
    <cellStyle name="SAPBEXHLevel0 3" xfId="1780" xr:uid="{00000000-0005-0000-0000-000023070000}"/>
    <cellStyle name="SAPBEXHLevel0 4" xfId="3652" xr:uid="{00000000-0005-0000-0000-0000730E0000}"/>
    <cellStyle name="SAPBEXHLevel0X" xfId="402" xr:uid="{00000000-0005-0000-0000-0000C1010000}"/>
    <cellStyle name="SAPBEXHLevel0X 2" xfId="2626" xr:uid="{00000000-0005-0000-0000-0000710A0000}"/>
    <cellStyle name="SAPBEXHLevel0X 3" xfId="2629" xr:uid="{00000000-0005-0000-0000-0000740A0000}"/>
    <cellStyle name="SAPBEXHLevel0X 4" xfId="3654" xr:uid="{00000000-0005-0000-0000-0000750E0000}"/>
    <cellStyle name="SAPBEXHLevel1" xfId="3656" xr:uid="{00000000-0005-0000-0000-0000770E0000}"/>
    <cellStyle name="SAPBEXHLevel1 2" xfId="3658" xr:uid="{00000000-0005-0000-0000-0000790E0000}"/>
    <cellStyle name="SAPBEXHLevel1 3" xfId="1785" xr:uid="{00000000-0005-0000-0000-000028070000}"/>
    <cellStyle name="SAPBEXHLevel1 4" xfId="3659" xr:uid="{00000000-0005-0000-0000-00007A0E0000}"/>
    <cellStyle name="SAPBEXHLevel1X" xfId="3660" xr:uid="{00000000-0005-0000-0000-00007B0E0000}"/>
    <cellStyle name="SAPBEXHLevel1X 2" xfId="3661" xr:uid="{00000000-0005-0000-0000-00007C0E0000}"/>
    <cellStyle name="SAPBEXHLevel1X 3" xfId="3662" xr:uid="{00000000-0005-0000-0000-00007D0E0000}"/>
    <cellStyle name="SAPBEXHLevel1X 4" xfId="3663" xr:uid="{00000000-0005-0000-0000-00007E0E0000}"/>
    <cellStyle name="SAPBEXHLevel2" xfId="3664" xr:uid="{00000000-0005-0000-0000-00007F0E0000}"/>
    <cellStyle name="SAPBEXHLevel2 2" xfId="3666" xr:uid="{00000000-0005-0000-0000-0000810E0000}"/>
    <cellStyle name="SAPBEXHLevel2 3" xfId="3667" xr:uid="{00000000-0005-0000-0000-0000820E0000}"/>
    <cellStyle name="SAPBEXHLevel2 4" xfId="3668" xr:uid="{00000000-0005-0000-0000-0000830E0000}"/>
    <cellStyle name="SAPBEXHLevel2X" xfId="3669" xr:uid="{00000000-0005-0000-0000-0000840E0000}"/>
    <cellStyle name="SAPBEXHLevel2X 2" xfId="1581" xr:uid="{00000000-0005-0000-0000-00005C060000}"/>
    <cellStyle name="SAPBEXHLevel2X 3" xfId="1609" xr:uid="{00000000-0005-0000-0000-000078060000}"/>
    <cellStyle name="SAPBEXHLevel2X 4" xfId="704" xr:uid="{00000000-0005-0000-0000-0000EF020000}"/>
    <cellStyle name="SAPBEXHLevel3" xfId="3670" xr:uid="{00000000-0005-0000-0000-0000850E0000}"/>
    <cellStyle name="SAPBEXHLevel3 2" xfId="763" xr:uid="{00000000-0005-0000-0000-00002A030000}"/>
    <cellStyle name="SAPBEXHLevel3 3" xfId="891" xr:uid="{00000000-0005-0000-0000-0000AA030000}"/>
    <cellStyle name="SAPBEXHLevel3 4" xfId="2083" xr:uid="{00000000-0005-0000-0000-000052080000}"/>
    <cellStyle name="SAPBEXHLevel3X" xfId="3671" xr:uid="{00000000-0005-0000-0000-0000860E0000}"/>
    <cellStyle name="SAPBEXHLevel3X 2" xfId="3675" xr:uid="{00000000-0005-0000-0000-00008A0E0000}"/>
    <cellStyle name="SAPBEXHLevel3X 3" xfId="3676" xr:uid="{00000000-0005-0000-0000-00008B0E0000}"/>
    <cellStyle name="SAPBEXHLevel3X 4" xfId="3678" xr:uid="{00000000-0005-0000-0000-00008D0E0000}"/>
    <cellStyle name="SAPBEXresData" xfId="3680" xr:uid="{00000000-0005-0000-0000-00008F0E0000}"/>
    <cellStyle name="SAPBEXresData 2" xfId="3682" xr:uid="{00000000-0005-0000-0000-0000910E0000}"/>
    <cellStyle name="SAPBEXresData 3" xfId="3683" xr:uid="{00000000-0005-0000-0000-0000920E0000}"/>
    <cellStyle name="SAPBEXresDataEmph" xfId="3685" xr:uid="{00000000-0005-0000-0000-0000940E0000}"/>
    <cellStyle name="SAPBEXresDataEmph 2" xfId="3687" xr:uid="{00000000-0005-0000-0000-0000960E0000}"/>
    <cellStyle name="SAPBEXresDataEmph 3" xfId="3689" xr:uid="{00000000-0005-0000-0000-0000980E0000}"/>
    <cellStyle name="SAPBEXresItem" xfId="3691" xr:uid="{00000000-0005-0000-0000-00009A0E0000}"/>
    <cellStyle name="SAPBEXresItem 2" xfId="3694" xr:uid="{00000000-0005-0000-0000-00009D0E0000}"/>
    <cellStyle name="SAPBEXresItem 3" xfId="3697" xr:uid="{00000000-0005-0000-0000-0000A00E0000}"/>
    <cellStyle name="SAPBEXresItemX" xfId="3698" xr:uid="{00000000-0005-0000-0000-0000A10E0000}"/>
    <cellStyle name="SAPBEXresItemX 2" xfId="3699" xr:uid="{00000000-0005-0000-0000-0000A20E0000}"/>
    <cellStyle name="SAPBEXresItemX 3" xfId="2606" xr:uid="{00000000-0005-0000-0000-00005D0A0000}"/>
    <cellStyle name="SAPBEXstdData" xfId="1366" xr:uid="{00000000-0005-0000-0000-000085050000}"/>
    <cellStyle name="SAPBEXstdData 2" xfId="1373" xr:uid="{00000000-0005-0000-0000-00008C050000}"/>
    <cellStyle name="SAPBEXstdData 3" xfId="1385" xr:uid="{00000000-0005-0000-0000-000098050000}"/>
    <cellStyle name="SAPBEXstdDataEmph" xfId="3700" xr:uid="{00000000-0005-0000-0000-0000A30E0000}"/>
    <cellStyle name="SAPBEXstdDataEmph 2" xfId="3701" xr:uid="{00000000-0005-0000-0000-0000A40E0000}"/>
    <cellStyle name="SAPBEXstdDataEmph 3" xfId="3702" xr:uid="{00000000-0005-0000-0000-0000A50E0000}"/>
    <cellStyle name="SAPBEXstdItem" xfId="3264" xr:uid="{00000000-0005-0000-0000-0000EF0C0000}"/>
    <cellStyle name="SAPBEXstdItem 2" xfId="3703" xr:uid="{00000000-0005-0000-0000-0000A60E0000}"/>
    <cellStyle name="SAPBEXstdItem 3" xfId="3704" xr:uid="{00000000-0005-0000-0000-0000A70E0000}"/>
    <cellStyle name="SAPBEXstdItemX" xfId="3705" xr:uid="{00000000-0005-0000-0000-0000A80E0000}"/>
    <cellStyle name="SAPBEXstdItemX 2" xfId="3707" xr:uid="{00000000-0005-0000-0000-0000AA0E0000}"/>
    <cellStyle name="SAPBEXstdItemX 3" xfId="3710" xr:uid="{00000000-0005-0000-0000-0000AD0E0000}"/>
    <cellStyle name="SAPBEXstdItemX 4" xfId="2237" xr:uid="{00000000-0005-0000-0000-0000EC080000}"/>
    <cellStyle name="SAPBEXtitle" xfId="3256" xr:uid="{00000000-0005-0000-0000-0000E70C0000}"/>
    <cellStyle name="SAPBEXtitle 2" xfId="176" xr:uid="{00000000-0005-0000-0000-0000C9000000}"/>
    <cellStyle name="SAPBEXtitle 3" xfId="924" xr:uid="{00000000-0005-0000-0000-0000CB030000}"/>
    <cellStyle name="SAPBEXundefined" xfId="2361" xr:uid="{00000000-0005-0000-0000-000068090000}"/>
    <cellStyle name="SAPBEXundefined 2" xfId="858" xr:uid="{00000000-0005-0000-0000-000089030000}"/>
    <cellStyle name="SAPBEXundefined 3" xfId="912" xr:uid="{00000000-0005-0000-0000-0000BF030000}"/>
    <cellStyle name="Style 1" xfId="3713" xr:uid="{00000000-0005-0000-0000-0000B00E0000}"/>
    <cellStyle name="百分比 2" xfId="3716" xr:uid="{00000000-0005-0000-0000-0000B30E0000}"/>
    <cellStyle name="百分比 3" xfId="3718" xr:uid="{00000000-0005-0000-0000-0000B50E0000}"/>
    <cellStyle name="标题 1 10" xfId="3719" xr:uid="{00000000-0005-0000-0000-0000B60E0000}"/>
    <cellStyle name="标题 1 10 2" xfId="2252" xr:uid="{00000000-0005-0000-0000-0000FB080000}"/>
    <cellStyle name="标题 1 11" xfId="3720" xr:uid="{00000000-0005-0000-0000-0000B70E0000}"/>
    <cellStyle name="标题 1 12" xfId="3721" xr:uid="{00000000-0005-0000-0000-0000B80E0000}"/>
    <cellStyle name="标题 1 2" xfId="2502" xr:uid="{00000000-0005-0000-0000-0000F5090000}"/>
    <cellStyle name="标题 1 2 10" xfId="3722" xr:uid="{00000000-0005-0000-0000-0000B90E0000}"/>
    <cellStyle name="标题 1 2 11" xfId="3723" xr:uid="{00000000-0005-0000-0000-0000BA0E0000}"/>
    <cellStyle name="标题 1 2 12" xfId="3724" xr:uid="{00000000-0005-0000-0000-0000BB0E0000}"/>
    <cellStyle name="标题 1 2 13" xfId="2510" xr:uid="{00000000-0005-0000-0000-0000FD090000}"/>
    <cellStyle name="标题 1 2 14" xfId="2514" xr:uid="{00000000-0005-0000-0000-0000010A0000}"/>
    <cellStyle name="标题 1 2 15" xfId="2518" xr:uid="{00000000-0005-0000-0000-0000050A0000}"/>
    <cellStyle name="标题 1 2 2" xfId="3725" xr:uid="{00000000-0005-0000-0000-0000BC0E0000}"/>
    <cellStyle name="标题 1 2 2 10" xfId="3726" xr:uid="{00000000-0005-0000-0000-0000BD0E0000}"/>
    <cellStyle name="标题 1 2 2 2" xfId="3727" xr:uid="{00000000-0005-0000-0000-0000BE0E0000}"/>
    <cellStyle name="标题 1 2 2 2 2" xfId="3729" xr:uid="{00000000-0005-0000-0000-0000C00E0000}"/>
    <cellStyle name="标题 1 2 2 2 3" xfId="3730" xr:uid="{00000000-0005-0000-0000-0000C10E0000}"/>
    <cellStyle name="标题 1 2 2 3" xfId="3732" xr:uid="{00000000-0005-0000-0000-0000C30E0000}"/>
    <cellStyle name="标题 1 2 2 4" xfId="167" xr:uid="{00000000-0005-0000-0000-0000BE000000}"/>
    <cellStyle name="标题 1 2 2 5" xfId="3733" xr:uid="{00000000-0005-0000-0000-0000C40E0000}"/>
    <cellStyle name="标题 1 2 2 6" xfId="3734" xr:uid="{00000000-0005-0000-0000-0000C50E0000}"/>
    <cellStyle name="标题 1 2 2 7" xfId="3735" xr:uid="{00000000-0005-0000-0000-0000C60E0000}"/>
    <cellStyle name="标题 1 2 2 8" xfId="1755" xr:uid="{00000000-0005-0000-0000-00000A070000}"/>
    <cellStyle name="标题 1 2 2 9" xfId="1758" xr:uid="{00000000-0005-0000-0000-00000D070000}"/>
    <cellStyle name="标题 1 2 3" xfId="3736" xr:uid="{00000000-0005-0000-0000-0000C70E0000}"/>
    <cellStyle name="标题 1 2 3 2" xfId="3277" xr:uid="{00000000-0005-0000-0000-0000FC0C0000}"/>
    <cellStyle name="标题 1 2 4" xfId="3737" xr:uid="{00000000-0005-0000-0000-0000C80E0000}"/>
    <cellStyle name="标题 1 2 4 2" xfId="2458" xr:uid="{00000000-0005-0000-0000-0000C9090000}"/>
    <cellStyle name="标题 1 2 4 3" xfId="1303" xr:uid="{00000000-0005-0000-0000-000046050000}"/>
    <cellStyle name="标题 1 2 5" xfId="3738" xr:uid="{00000000-0005-0000-0000-0000C90E0000}"/>
    <cellStyle name="标题 1 2 5 2" xfId="3740" xr:uid="{00000000-0005-0000-0000-0000CB0E0000}"/>
    <cellStyle name="标题 1 2 5 3" xfId="3742" xr:uid="{00000000-0005-0000-0000-0000CD0E0000}"/>
    <cellStyle name="标题 1 2 6" xfId="3743" xr:uid="{00000000-0005-0000-0000-0000CE0E0000}"/>
    <cellStyle name="标题 1 2 6 2" xfId="3744" xr:uid="{00000000-0005-0000-0000-0000CF0E0000}"/>
    <cellStyle name="标题 1 2 6 3" xfId="3746" xr:uid="{00000000-0005-0000-0000-0000D10E0000}"/>
    <cellStyle name="标题 1 2 7" xfId="3747" xr:uid="{00000000-0005-0000-0000-0000D20E0000}"/>
    <cellStyle name="标题 1 2 7 2" xfId="3748" xr:uid="{00000000-0005-0000-0000-0000D30E0000}"/>
    <cellStyle name="标题 1 2 7 3" xfId="3750" xr:uid="{00000000-0005-0000-0000-0000D50E0000}"/>
    <cellStyle name="标题 1 2 8" xfId="3751" xr:uid="{00000000-0005-0000-0000-0000D60E0000}"/>
    <cellStyle name="标题 1 2 8 2" xfId="3756" xr:uid="{00000000-0005-0000-0000-0000DB0E0000}"/>
    <cellStyle name="标题 1 2 8 3" xfId="3760" xr:uid="{00000000-0005-0000-0000-0000DF0E0000}"/>
    <cellStyle name="标题 1 2 9" xfId="3761" xr:uid="{00000000-0005-0000-0000-0000E00E0000}"/>
    <cellStyle name="标题 1 2 9 2" xfId="2046" xr:uid="{00000000-0005-0000-0000-00002D080000}"/>
    <cellStyle name="标题 1 2 9 3" xfId="2545" xr:uid="{00000000-0005-0000-0000-0000200A0000}"/>
    <cellStyle name="标题 1 3" xfId="902" xr:uid="{00000000-0005-0000-0000-0000B5030000}"/>
    <cellStyle name="标题 1 3 2" xfId="2769" xr:uid="{00000000-0005-0000-0000-0000000B0000}"/>
    <cellStyle name="标题 1 4" xfId="907" xr:uid="{00000000-0005-0000-0000-0000BA030000}"/>
    <cellStyle name="标题 1 4 2" xfId="3762" xr:uid="{00000000-0005-0000-0000-0000E10E0000}"/>
    <cellStyle name="标题 1 4 3" xfId="3765" xr:uid="{00000000-0005-0000-0000-0000E40E0000}"/>
    <cellStyle name="标题 1 5" xfId="2773" xr:uid="{00000000-0005-0000-0000-0000040B0000}"/>
    <cellStyle name="标题 1 5 2" xfId="112" xr:uid="{00000000-0005-0000-0000-000080000000}"/>
    <cellStyle name="标题 1 5 3" xfId="3767" xr:uid="{00000000-0005-0000-0000-0000E60E0000}"/>
    <cellStyle name="标题 1 6" xfId="3770" xr:uid="{00000000-0005-0000-0000-0000E90E0000}"/>
    <cellStyle name="标题 1 6 2" xfId="3771" xr:uid="{00000000-0005-0000-0000-0000EA0E0000}"/>
    <cellStyle name="标题 1 6 3" xfId="3772" xr:uid="{00000000-0005-0000-0000-0000EB0E0000}"/>
    <cellStyle name="标题 1 7" xfId="3775" xr:uid="{00000000-0005-0000-0000-0000EE0E0000}"/>
    <cellStyle name="标题 1 7 2" xfId="3776" xr:uid="{00000000-0005-0000-0000-0000EF0E0000}"/>
    <cellStyle name="标题 1 7 2 2" xfId="3777" xr:uid="{00000000-0005-0000-0000-0000F00E0000}"/>
    <cellStyle name="标题 1 7 2 3" xfId="3779" xr:uid="{00000000-0005-0000-0000-0000F20E0000}"/>
    <cellStyle name="标题 1 7 3" xfId="3782" xr:uid="{00000000-0005-0000-0000-0000F50E0000}"/>
    <cellStyle name="标题 1 7 4" xfId="3785" xr:uid="{00000000-0005-0000-0000-0000F80E0000}"/>
    <cellStyle name="标题 1 8" xfId="1354" xr:uid="{00000000-0005-0000-0000-000079050000}"/>
    <cellStyle name="标题 1 8 2" xfId="1356" xr:uid="{00000000-0005-0000-0000-00007B050000}"/>
    <cellStyle name="标题 1 8 2 2" xfId="1119" xr:uid="{00000000-0005-0000-0000-00008E040000}"/>
    <cellStyle name="标题 1 8 2 3" xfId="3786" xr:uid="{00000000-0005-0000-0000-0000F90E0000}"/>
    <cellStyle name="标题 1 8 3" xfId="1359" xr:uid="{00000000-0005-0000-0000-00007E050000}"/>
    <cellStyle name="标题 1 8 4" xfId="3790" xr:uid="{00000000-0005-0000-0000-0000FD0E0000}"/>
    <cellStyle name="标题 1 9" xfId="1361" xr:uid="{00000000-0005-0000-0000-000080050000}"/>
    <cellStyle name="标题 1 9 2" xfId="3791" xr:uid="{00000000-0005-0000-0000-0000FE0E0000}"/>
    <cellStyle name="标题 10" xfId="3794" xr:uid="{00000000-0005-0000-0000-0000010F0000}"/>
    <cellStyle name="标题 10 2" xfId="3795" xr:uid="{00000000-0005-0000-0000-0000020F0000}"/>
    <cellStyle name="标题 10 2 2" xfId="3797" xr:uid="{00000000-0005-0000-0000-0000040F0000}"/>
    <cellStyle name="标题 10 2 3" xfId="3379" xr:uid="{00000000-0005-0000-0000-0000620D0000}"/>
    <cellStyle name="标题 10 3" xfId="3798" xr:uid="{00000000-0005-0000-0000-0000050F0000}"/>
    <cellStyle name="标题 10 4" xfId="3519" xr:uid="{00000000-0005-0000-0000-0000EE0D0000}"/>
    <cellStyle name="标题 11" xfId="3799" xr:uid="{00000000-0005-0000-0000-0000060F0000}"/>
    <cellStyle name="标题 11 2" xfId="2802" xr:uid="{00000000-0005-0000-0000-0000210B0000}"/>
    <cellStyle name="标题 11 2 2" xfId="3800" xr:uid="{00000000-0005-0000-0000-0000070F0000}"/>
    <cellStyle name="标题 11 2 3" xfId="3432" xr:uid="{00000000-0005-0000-0000-0000970D0000}"/>
    <cellStyle name="标题 11 3" xfId="3804" xr:uid="{00000000-0005-0000-0000-00000B0F0000}"/>
    <cellStyle name="标题 11 4" xfId="3806" xr:uid="{00000000-0005-0000-0000-00000D0F0000}"/>
    <cellStyle name="标题 12" xfId="2748" xr:uid="{00000000-0005-0000-0000-0000EB0A0000}"/>
    <cellStyle name="标题 12 2" xfId="3807" xr:uid="{00000000-0005-0000-0000-00000E0F0000}"/>
    <cellStyle name="标题 13" xfId="3808" xr:uid="{00000000-0005-0000-0000-00000F0F0000}"/>
    <cellStyle name="标题 13 2" xfId="3809" xr:uid="{00000000-0005-0000-0000-0000100F0000}"/>
    <cellStyle name="标题 14" xfId="3810" xr:uid="{00000000-0005-0000-0000-0000110F0000}"/>
    <cellStyle name="标题 15" xfId="3811" xr:uid="{00000000-0005-0000-0000-0000120F0000}"/>
    <cellStyle name="标题 2 10" xfId="3812" xr:uid="{00000000-0005-0000-0000-0000130F0000}"/>
    <cellStyle name="标题 2 10 2" xfId="2719" xr:uid="{00000000-0005-0000-0000-0000CE0A0000}"/>
    <cellStyle name="标题 2 11" xfId="3813" xr:uid="{00000000-0005-0000-0000-0000140F0000}"/>
    <cellStyle name="标题 2 12" xfId="508" xr:uid="{00000000-0005-0000-0000-00002B020000}"/>
    <cellStyle name="标题 2 2" xfId="2509" xr:uid="{00000000-0005-0000-0000-0000FC090000}"/>
    <cellStyle name="标题 2 2 10" xfId="3816" xr:uid="{00000000-0005-0000-0000-0000170F0000}"/>
    <cellStyle name="标题 2 2 11" xfId="3818" xr:uid="{00000000-0005-0000-0000-0000190F0000}"/>
    <cellStyle name="标题 2 2 12" xfId="3820" xr:uid="{00000000-0005-0000-0000-00001B0F0000}"/>
    <cellStyle name="标题 2 2 13" xfId="3821" xr:uid="{00000000-0005-0000-0000-00001C0F0000}"/>
    <cellStyle name="标题 2 2 14" xfId="205" xr:uid="{00000000-0005-0000-0000-0000F0000000}"/>
    <cellStyle name="标题 2 2 15" xfId="208" xr:uid="{00000000-0005-0000-0000-0000F5000000}"/>
    <cellStyle name="标题 2 2 2" xfId="3058" xr:uid="{00000000-0005-0000-0000-0000210C0000}"/>
    <cellStyle name="标题 2 2 2 10" xfId="623" xr:uid="{00000000-0005-0000-0000-00009E020000}"/>
    <cellStyle name="标题 2 2 2 2" xfId="2504" xr:uid="{00000000-0005-0000-0000-0000F7090000}"/>
    <cellStyle name="标题 2 2 2 2 2" xfId="3824" xr:uid="{00000000-0005-0000-0000-00001F0F0000}"/>
    <cellStyle name="标题 2 2 2 2 3" xfId="1517" xr:uid="{00000000-0005-0000-0000-00001C060000}"/>
    <cellStyle name="标题 2 2 2 3" xfId="825" xr:uid="{00000000-0005-0000-0000-000068030000}"/>
    <cellStyle name="标题 2 2 2 4" xfId="3825" xr:uid="{00000000-0005-0000-0000-0000200F0000}"/>
    <cellStyle name="标题 2 2 2 5" xfId="3826" xr:uid="{00000000-0005-0000-0000-0000210F0000}"/>
    <cellStyle name="标题 2 2 2 6" xfId="1630" xr:uid="{00000000-0005-0000-0000-00008D060000}"/>
    <cellStyle name="标题 2 2 2 7" xfId="1640" xr:uid="{00000000-0005-0000-0000-000097060000}"/>
    <cellStyle name="标题 2 2 2 8" xfId="1922" xr:uid="{00000000-0005-0000-0000-0000B1070000}"/>
    <cellStyle name="标题 2 2 2 9" xfId="1992" xr:uid="{00000000-0005-0000-0000-0000F7070000}"/>
    <cellStyle name="标题 2 2 3" xfId="3827" xr:uid="{00000000-0005-0000-0000-0000220F0000}"/>
    <cellStyle name="标题 2 2 3 2" xfId="3828" xr:uid="{00000000-0005-0000-0000-0000230F0000}"/>
    <cellStyle name="标题 2 2 4" xfId="3829" xr:uid="{00000000-0005-0000-0000-0000240F0000}"/>
    <cellStyle name="标题 2 2 4 2" xfId="2601" xr:uid="{00000000-0005-0000-0000-0000580A0000}"/>
    <cellStyle name="标题 2 2 4 3" xfId="1556" xr:uid="{00000000-0005-0000-0000-000043060000}"/>
    <cellStyle name="标题 2 2 5" xfId="3830" xr:uid="{00000000-0005-0000-0000-0000250F0000}"/>
    <cellStyle name="标题 2 2 5 2" xfId="2071" xr:uid="{00000000-0005-0000-0000-000046080000}"/>
    <cellStyle name="标题 2 2 5 3" xfId="1566" xr:uid="{00000000-0005-0000-0000-00004D060000}"/>
    <cellStyle name="标题 2 2 6" xfId="1841" xr:uid="{00000000-0005-0000-0000-000060070000}"/>
    <cellStyle name="标题 2 2 6 2" xfId="1843" xr:uid="{00000000-0005-0000-0000-000062070000}"/>
    <cellStyle name="标题 2 2 6 3" xfId="3831" xr:uid="{00000000-0005-0000-0000-0000260F0000}"/>
    <cellStyle name="标题 2 2 7" xfId="1845" xr:uid="{00000000-0005-0000-0000-000064070000}"/>
    <cellStyle name="标题 2 2 7 2" xfId="1852" xr:uid="{00000000-0005-0000-0000-00006B070000}"/>
    <cellStyle name="标题 2 2 7 3" xfId="3833" xr:uid="{00000000-0005-0000-0000-0000280F0000}"/>
    <cellStyle name="标题 2 2 8" xfId="1854" xr:uid="{00000000-0005-0000-0000-00006D070000}"/>
    <cellStyle name="标题 2 2 8 2" xfId="3834" xr:uid="{00000000-0005-0000-0000-0000290F0000}"/>
    <cellStyle name="标题 2 2 8 3" xfId="3835" xr:uid="{00000000-0005-0000-0000-00002A0F0000}"/>
    <cellStyle name="标题 2 2 9" xfId="1861" xr:uid="{00000000-0005-0000-0000-000074070000}"/>
    <cellStyle name="标题 2 2 9 2" xfId="2128" xr:uid="{00000000-0005-0000-0000-00007F080000}"/>
    <cellStyle name="标题 2 2 9 3" xfId="3155" xr:uid="{00000000-0005-0000-0000-0000820C0000}"/>
    <cellStyle name="标题 2 3" xfId="2775" xr:uid="{00000000-0005-0000-0000-0000060B0000}"/>
    <cellStyle name="标题 2 3 2" xfId="2777" xr:uid="{00000000-0005-0000-0000-0000080B0000}"/>
    <cellStyle name="标题 2 4" xfId="2781" xr:uid="{00000000-0005-0000-0000-00000C0B0000}"/>
    <cellStyle name="标题 2 4 2" xfId="3836" xr:uid="{00000000-0005-0000-0000-00002B0F0000}"/>
    <cellStyle name="标题 2 4 3" xfId="3837" xr:uid="{00000000-0005-0000-0000-00002C0F0000}"/>
    <cellStyle name="标题 2 5" xfId="635" xr:uid="{00000000-0005-0000-0000-0000AA020000}"/>
    <cellStyle name="标题 2 5 2" xfId="3838" xr:uid="{00000000-0005-0000-0000-00002D0F0000}"/>
    <cellStyle name="标题 2 5 3" xfId="3840" xr:uid="{00000000-0005-0000-0000-00002F0F0000}"/>
    <cellStyle name="标题 2 6" xfId="639" xr:uid="{00000000-0005-0000-0000-0000AE020000}"/>
    <cellStyle name="标题 2 6 2" xfId="3842" xr:uid="{00000000-0005-0000-0000-0000310F0000}"/>
    <cellStyle name="标题 2 6 3" xfId="3843" xr:uid="{00000000-0005-0000-0000-0000320F0000}"/>
    <cellStyle name="标题 2 7" xfId="3844" xr:uid="{00000000-0005-0000-0000-0000330F0000}"/>
    <cellStyle name="标题 2 7 2" xfId="3845" xr:uid="{00000000-0005-0000-0000-0000340F0000}"/>
    <cellStyle name="标题 2 7 2 2" xfId="3657" xr:uid="{00000000-0005-0000-0000-0000780E0000}"/>
    <cellStyle name="标题 2 7 2 3" xfId="3665" xr:uid="{00000000-0005-0000-0000-0000800E0000}"/>
    <cellStyle name="标题 2 7 3" xfId="3848" xr:uid="{00000000-0005-0000-0000-0000370F0000}"/>
    <cellStyle name="标题 2 7 4" xfId="3852" xr:uid="{00000000-0005-0000-0000-00003B0F0000}"/>
    <cellStyle name="标题 2 8" xfId="655" xr:uid="{00000000-0005-0000-0000-0000BE020000}"/>
    <cellStyle name="标题 2 8 2" xfId="222" xr:uid="{00000000-0005-0000-0000-000006010000}"/>
    <cellStyle name="标题 2 8 2 2" xfId="3854" xr:uid="{00000000-0005-0000-0000-00003D0F0000}"/>
    <cellStyle name="标题 2 8 2 3" xfId="3855" xr:uid="{00000000-0005-0000-0000-00003E0F0000}"/>
    <cellStyle name="标题 2 8 3" xfId="233" xr:uid="{00000000-0005-0000-0000-000013010000}"/>
    <cellStyle name="标题 2 8 4" xfId="3857" xr:uid="{00000000-0005-0000-0000-0000400F0000}"/>
    <cellStyle name="标题 2 9" xfId="857" xr:uid="{00000000-0005-0000-0000-000088030000}"/>
    <cellStyle name="标题 2 9 2" xfId="911" xr:uid="{00000000-0005-0000-0000-0000BE030000}"/>
    <cellStyle name="标题 3 10" xfId="1097" xr:uid="{00000000-0005-0000-0000-000078040000}"/>
    <cellStyle name="标题 3 10 2" xfId="3858" xr:uid="{00000000-0005-0000-0000-0000410F0000}"/>
    <cellStyle name="标题 3 11" xfId="1100" xr:uid="{00000000-0005-0000-0000-00007B040000}"/>
    <cellStyle name="标题 3 12" xfId="3739" xr:uid="{00000000-0005-0000-0000-0000CA0E0000}"/>
    <cellStyle name="标题 3 2" xfId="2517" xr:uid="{00000000-0005-0000-0000-0000040A0000}"/>
    <cellStyle name="标题 3 2 10" xfId="3859" xr:uid="{00000000-0005-0000-0000-0000420F0000}"/>
    <cellStyle name="标题 3 2 11" xfId="3860" xr:uid="{00000000-0005-0000-0000-0000430F0000}"/>
    <cellStyle name="标题 3 2 12" xfId="2804" xr:uid="{00000000-0005-0000-0000-0000230B0000}"/>
    <cellStyle name="标题 3 2 13" xfId="3803" xr:uid="{00000000-0005-0000-0000-00000A0F0000}"/>
    <cellStyle name="标题 3 2 14" xfId="3805" xr:uid="{00000000-0005-0000-0000-00000C0F0000}"/>
    <cellStyle name="标题 3 2 15" xfId="3861" xr:uid="{00000000-0005-0000-0000-0000440F0000}"/>
    <cellStyle name="标题 3 2 2" xfId="3863" xr:uid="{00000000-0005-0000-0000-0000460F0000}"/>
    <cellStyle name="标题 3 2 2 10" xfId="3864" xr:uid="{00000000-0005-0000-0000-0000470F0000}"/>
    <cellStyle name="标题 3 2 2 2" xfId="3867" xr:uid="{00000000-0005-0000-0000-00004A0F0000}"/>
    <cellStyle name="标题 3 2 2 2 2" xfId="3868" xr:uid="{00000000-0005-0000-0000-00004B0F0000}"/>
    <cellStyle name="标题 3 2 2 2 3" xfId="3869" xr:uid="{00000000-0005-0000-0000-00004C0F0000}"/>
    <cellStyle name="标题 3 2 2 3" xfId="3872" xr:uid="{00000000-0005-0000-0000-00004F0F0000}"/>
    <cellStyle name="标题 3 2 2 4" xfId="3874" xr:uid="{00000000-0005-0000-0000-0000510F0000}"/>
    <cellStyle name="标题 3 2 2 5" xfId="3420" xr:uid="{00000000-0005-0000-0000-00008B0D0000}"/>
    <cellStyle name="标题 3 2 2 6" xfId="3424" xr:uid="{00000000-0005-0000-0000-00008F0D0000}"/>
    <cellStyle name="标题 3 2 2 7" xfId="3875" xr:uid="{00000000-0005-0000-0000-0000520F0000}"/>
    <cellStyle name="标题 3 2 2 8" xfId="2019" xr:uid="{00000000-0005-0000-0000-000012080000}"/>
    <cellStyle name="标题 3 2 2 9" xfId="2024" xr:uid="{00000000-0005-0000-0000-000017080000}"/>
    <cellStyle name="标题 3 2 3" xfId="3877" xr:uid="{00000000-0005-0000-0000-0000540F0000}"/>
    <cellStyle name="标题 3 2 3 2" xfId="658" xr:uid="{00000000-0005-0000-0000-0000C1020000}"/>
    <cellStyle name="标题 3 2 4" xfId="3879" xr:uid="{00000000-0005-0000-0000-0000560F0000}"/>
    <cellStyle name="标题 3 2 4 2" xfId="3881" xr:uid="{00000000-0005-0000-0000-0000580F0000}"/>
    <cellStyle name="标题 3 2 4 3" xfId="3883" xr:uid="{00000000-0005-0000-0000-00005A0F0000}"/>
    <cellStyle name="标题 3 2 5" xfId="3885" xr:uid="{00000000-0005-0000-0000-00005C0F0000}"/>
    <cellStyle name="标题 3 2 5 2" xfId="3887" xr:uid="{00000000-0005-0000-0000-00005E0F0000}"/>
    <cellStyle name="标题 3 2 5 3" xfId="3889" xr:uid="{00000000-0005-0000-0000-0000600F0000}"/>
    <cellStyle name="标题 3 2 6" xfId="3892" xr:uid="{00000000-0005-0000-0000-0000630F0000}"/>
    <cellStyle name="标题 3 2 6 2" xfId="3896" xr:uid="{00000000-0005-0000-0000-0000670F0000}"/>
    <cellStyle name="标题 3 2 6 3" xfId="3898" xr:uid="{00000000-0005-0000-0000-0000690F0000}"/>
    <cellStyle name="标题 3 2 7" xfId="2523" xr:uid="{00000000-0005-0000-0000-00000A0A0000}"/>
    <cellStyle name="标题 3 2 7 2" xfId="2524" xr:uid="{00000000-0005-0000-0000-00000B0A0000}"/>
    <cellStyle name="标题 3 2 7 3" xfId="3899" xr:uid="{00000000-0005-0000-0000-00006A0F0000}"/>
    <cellStyle name="标题 3 2 8" xfId="603" xr:uid="{00000000-0005-0000-0000-00008A020000}"/>
    <cellStyle name="标题 3 2 8 2" xfId="3900" xr:uid="{00000000-0005-0000-0000-00006B0F0000}"/>
    <cellStyle name="标题 3 2 8 3" xfId="3901" xr:uid="{00000000-0005-0000-0000-00006C0F0000}"/>
    <cellStyle name="标题 3 2 9" xfId="2529" xr:uid="{00000000-0005-0000-0000-0000100A0000}"/>
    <cellStyle name="标题 3 2 9 2" xfId="3904" xr:uid="{00000000-0005-0000-0000-00006F0F0000}"/>
    <cellStyle name="标题 3 2 9 3" xfId="960" xr:uid="{00000000-0005-0000-0000-0000EF030000}"/>
    <cellStyle name="标题 3 3" xfId="3905" xr:uid="{00000000-0005-0000-0000-0000700F0000}"/>
    <cellStyle name="标题 3 3 2" xfId="3906" xr:uid="{00000000-0005-0000-0000-0000710F0000}"/>
    <cellStyle name="标题 3 4" xfId="622" xr:uid="{00000000-0005-0000-0000-00009D020000}"/>
    <cellStyle name="标题 3 4 2" xfId="3404" xr:uid="{00000000-0005-0000-0000-00007B0D0000}"/>
    <cellStyle name="标题 3 4 3" xfId="3406" xr:uid="{00000000-0005-0000-0000-00007D0D0000}"/>
    <cellStyle name="标题 3 5" xfId="625" xr:uid="{00000000-0005-0000-0000-0000A0020000}"/>
    <cellStyle name="标题 3 5 2" xfId="2788" xr:uid="{00000000-0005-0000-0000-0000130B0000}"/>
    <cellStyle name="标题 3 5 3" xfId="2790" xr:uid="{00000000-0005-0000-0000-0000150B0000}"/>
    <cellStyle name="标题 3 6" xfId="3907" xr:uid="{00000000-0005-0000-0000-0000720F0000}"/>
    <cellStyle name="标题 3 6 2" xfId="1425" xr:uid="{00000000-0005-0000-0000-0000C0050000}"/>
    <cellStyle name="标题 3 6 3" xfId="1428" xr:uid="{00000000-0005-0000-0000-0000C3050000}"/>
    <cellStyle name="标题 3 7" xfId="3909" xr:uid="{00000000-0005-0000-0000-0000740F0000}"/>
    <cellStyle name="标题 3 7 2" xfId="3910" xr:uid="{00000000-0005-0000-0000-0000750F0000}"/>
    <cellStyle name="标题 3 7 2 2" xfId="3912" xr:uid="{00000000-0005-0000-0000-0000770F0000}"/>
    <cellStyle name="标题 3 7 2 3" xfId="3914" xr:uid="{00000000-0005-0000-0000-0000790F0000}"/>
    <cellStyle name="标题 3 7 3" xfId="3916" xr:uid="{00000000-0005-0000-0000-00007B0F0000}"/>
    <cellStyle name="标题 3 7 4" xfId="3919" xr:uid="{00000000-0005-0000-0000-00007E0F0000}"/>
    <cellStyle name="标题 3 8" xfId="3922" xr:uid="{00000000-0005-0000-0000-0000810F0000}"/>
    <cellStyle name="标题 3 8 2" xfId="3923" xr:uid="{00000000-0005-0000-0000-0000820F0000}"/>
    <cellStyle name="标题 3 8 2 2" xfId="1439" xr:uid="{00000000-0005-0000-0000-0000CE050000}"/>
    <cellStyle name="标题 3 8 2 3" xfId="1442" xr:uid="{00000000-0005-0000-0000-0000D1050000}"/>
    <cellStyle name="标题 3 8 3" xfId="3924" xr:uid="{00000000-0005-0000-0000-0000830F0000}"/>
    <cellStyle name="标题 3 8 4" xfId="3925" xr:uid="{00000000-0005-0000-0000-0000840F0000}"/>
    <cellStyle name="标题 3 9" xfId="3927" xr:uid="{00000000-0005-0000-0000-0000860F0000}"/>
    <cellStyle name="标题 3 9 2" xfId="3928" xr:uid="{00000000-0005-0000-0000-0000870F0000}"/>
    <cellStyle name="标题 4 10" xfId="3930" xr:uid="{00000000-0005-0000-0000-0000890F0000}"/>
    <cellStyle name="标题 4 10 2" xfId="3932" xr:uid="{00000000-0005-0000-0000-00008B0F0000}"/>
    <cellStyle name="标题 4 11" xfId="1001" xr:uid="{00000000-0005-0000-0000-000018040000}"/>
    <cellStyle name="标题 4 12" xfId="1005" xr:uid="{00000000-0005-0000-0000-00001C040000}"/>
    <cellStyle name="标题 4 2" xfId="2528" xr:uid="{00000000-0005-0000-0000-00000F0A0000}"/>
    <cellStyle name="标题 4 2 10" xfId="1528" xr:uid="{00000000-0005-0000-0000-000027060000}"/>
    <cellStyle name="标题 4 2 11" xfId="3934" xr:uid="{00000000-0005-0000-0000-00008D0F0000}"/>
    <cellStyle name="标题 4 2 12" xfId="3936" xr:uid="{00000000-0005-0000-0000-00008F0F0000}"/>
    <cellStyle name="标题 4 2 13" xfId="1898" xr:uid="{00000000-0005-0000-0000-000099070000}"/>
    <cellStyle name="标题 4 2 14" xfId="1904" xr:uid="{00000000-0005-0000-0000-00009F070000}"/>
    <cellStyle name="标题 4 2 15" xfId="1173" xr:uid="{00000000-0005-0000-0000-0000C4040000}"/>
    <cellStyle name="标题 4 2 2" xfId="3903" xr:uid="{00000000-0005-0000-0000-00006E0F0000}"/>
    <cellStyle name="标题 4 2 2 10" xfId="468" xr:uid="{00000000-0005-0000-0000-000003020000}"/>
    <cellStyle name="标题 4 2 2 2" xfId="3937" xr:uid="{00000000-0005-0000-0000-0000900F0000}"/>
    <cellStyle name="标题 4 2 2 2 2" xfId="3939" xr:uid="{00000000-0005-0000-0000-0000920F0000}"/>
    <cellStyle name="标题 4 2 2 2 3" xfId="3941" xr:uid="{00000000-0005-0000-0000-0000940F0000}"/>
    <cellStyle name="标题 4 2 2 3" xfId="3943" xr:uid="{00000000-0005-0000-0000-0000960F0000}"/>
    <cellStyle name="标题 4 2 2 4" xfId="3945" xr:uid="{00000000-0005-0000-0000-0000980F0000}"/>
    <cellStyle name="标题 4 2 2 5" xfId="3947" xr:uid="{00000000-0005-0000-0000-00009A0F0000}"/>
    <cellStyle name="标题 4 2 2 6" xfId="3949" xr:uid="{00000000-0005-0000-0000-00009C0F0000}"/>
    <cellStyle name="标题 4 2 2 7" xfId="3645" xr:uid="{00000000-0005-0000-0000-00006C0E0000}"/>
    <cellStyle name="标题 4 2 2 8" xfId="2306" xr:uid="{00000000-0005-0000-0000-000031090000}"/>
    <cellStyle name="标题 4 2 2 9" xfId="18" xr:uid="{00000000-0005-0000-0000-000016000000}"/>
    <cellStyle name="标题 4 2 3" xfId="958" xr:uid="{00000000-0005-0000-0000-0000ED030000}"/>
    <cellStyle name="标题 4 2 3 2" xfId="42" xr:uid="{00000000-0005-0000-0000-000031000000}"/>
    <cellStyle name="标题 4 2 4" xfId="3951" xr:uid="{00000000-0005-0000-0000-00009E0F0000}"/>
    <cellStyle name="标题 4 2 4 2" xfId="173" xr:uid="{00000000-0005-0000-0000-0000C6000000}"/>
    <cellStyle name="标题 4 2 4 3" xfId="922" xr:uid="{00000000-0005-0000-0000-0000C9030000}"/>
    <cellStyle name="标题 4 2 5" xfId="3953" xr:uid="{00000000-0005-0000-0000-0000A00F0000}"/>
    <cellStyle name="标题 4 2 5 2" xfId="3954" xr:uid="{00000000-0005-0000-0000-0000A10F0000}"/>
    <cellStyle name="标题 4 2 5 3" xfId="3955" xr:uid="{00000000-0005-0000-0000-0000A20F0000}"/>
    <cellStyle name="标题 4 2 6" xfId="3957" xr:uid="{00000000-0005-0000-0000-0000A40F0000}"/>
    <cellStyle name="标题 4 2 6 2" xfId="420" xr:uid="{00000000-0005-0000-0000-0000D3010000}"/>
    <cellStyle name="标题 4 2 6 3" xfId="1256" xr:uid="{00000000-0005-0000-0000-000017050000}"/>
    <cellStyle name="标题 4 2 7" xfId="2573" xr:uid="{00000000-0005-0000-0000-00003C0A0000}"/>
    <cellStyle name="标题 4 2 7 2" xfId="1295" xr:uid="{00000000-0005-0000-0000-00003E050000}"/>
    <cellStyle name="标题 4 2 7 3" xfId="1298" xr:uid="{00000000-0005-0000-0000-000041050000}"/>
    <cellStyle name="标题 4 2 8" xfId="3959" xr:uid="{00000000-0005-0000-0000-0000A60F0000}"/>
    <cellStyle name="标题 4 2 8 2" xfId="1320" xr:uid="{00000000-0005-0000-0000-000057050000}"/>
    <cellStyle name="标题 4 2 8 3" xfId="1325" xr:uid="{00000000-0005-0000-0000-00005C050000}"/>
    <cellStyle name="标题 4 2 9" xfId="3961" xr:uid="{00000000-0005-0000-0000-0000A80F0000}"/>
    <cellStyle name="标题 4 2 9 2" xfId="2266" xr:uid="{00000000-0005-0000-0000-000009090000}"/>
    <cellStyle name="标题 4 2 9 3" xfId="3962" xr:uid="{00000000-0005-0000-0000-0000A90F0000}"/>
    <cellStyle name="标题 4 3" xfId="3965" xr:uid="{00000000-0005-0000-0000-0000AC0F0000}"/>
    <cellStyle name="标题 4 3 2" xfId="3968" xr:uid="{00000000-0005-0000-0000-0000AF0F0000}"/>
    <cellStyle name="标题 4 4" xfId="3971" xr:uid="{00000000-0005-0000-0000-0000B20F0000}"/>
    <cellStyle name="标题 4 4 2" xfId="3973" xr:uid="{00000000-0005-0000-0000-0000B40F0000}"/>
    <cellStyle name="标题 4 4 3" xfId="3974" xr:uid="{00000000-0005-0000-0000-0000B50F0000}"/>
    <cellStyle name="标题 4 5" xfId="3976" xr:uid="{00000000-0005-0000-0000-0000B70F0000}"/>
    <cellStyle name="标题 4 5 2" xfId="3978" xr:uid="{00000000-0005-0000-0000-0000B90F0000}"/>
    <cellStyle name="标题 4 5 3" xfId="3980" xr:uid="{00000000-0005-0000-0000-0000BB0F0000}"/>
    <cellStyle name="标题 4 6" xfId="3982" xr:uid="{00000000-0005-0000-0000-0000BD0F0000}"/>
    <cellStyle name="标题 4 6 2" xfId="3984" xr:uid="{00000000-0005-0000-0000-0000BF0F0000}"/>
    <cellStyle name="标题 4 6 3" xfId="3986" xr:uid="{00000000-0005-0000-0000-0000C10F0000}"/>
    <cellStyle name="标题 4 7" xfId="3987" xr:uid="{00000000-0005-0000-0000-0000C20F0000}"/>
    <cellStyle name="标题 4 7 2" xfId="3990" xr:uid="{00000000-0005-0000-0000-0000C50F0000}"/>
    <cellStyle name="标题 4 7 2 2" xfId="3994" xr:uid="{00000000-0005-0000-0000-0000C90F0000}"/>
    <cellStyle name="标题 4 7 2 3" xfId="3995" xr:uid="{00000000-0005-0000-0000-0000CA0F0000}"/>
    <cellStyle name="标题 4 7 3" xfId="678" xr:uid="{00000000-0005-0000-0000-0000D5020000}"/>
    <cellStyle name="标题 4 7 4" xfId="690" xr:uid="{00000000-0005-0000-0000-0000E1020000}"/>
    <cellStyle name="标题 4 8" xfId="3997" xr:uid="{00000000-0005-0000-0000-0000CC0F0000}"/>
    <cellStyle name="标题 4 8 2" xfId="3998" xr:uid="{00000000-0005-0000-0000-0000CD0F0000}"/>
    <cellStyle name="标题 4 8 2 2" xfId="3999" xr:uid="{00000000-0005-0000-0000-0000CE0F0000}"/>
    <cellStyle name="标题 4 8 2 3" xfId="1264" xr:uid="{00000000-0005-0000-0000-00001F050000}"/>
    <cellStyle name="标题 4 8 3" xfId="4000" xr:uid="{00000000-0005-0000-0000-0000CF0F0000}"/>
    <cellStyle name="标题 4 8 4" xfId="2541" xr:uid="{00000000-0005-0000-0000-00001C0A0000}"/>
    <cellStyle name="标题 4 9" xfId="4001" xr:uid="{00000000-0005-0000-0000-0000D00F0000}"/>
    <cellStyle name="标题 4 9 2" xfId="4002" xr:uid="{00000000-0005-0000-0000-0000D10F0000}"/>
    <cellStyle name="标题 5" xfId="4003" xr:uid="{00000000-0005-0000-0000-0000D20F0000}"/>
    <cellStyle name="标题 5 10" xfId="2107" xr:uid="{00000000-0005-0000-0000-00006A080000}"/>
    <cellStyle name="标题 5 11" xfId="2125" xr:uid="{00000000-0005-0000-0000-00007C080000}"/>
    <cellStyle name="标题 5 12" xfId="332" xr:uid="{00000000-0005-0000-0000-00007B010000}"/>
    <cellStyle name="标题 5 13" xfId="338" xr:uid="{00000000-0005-0000-0000-000081010000}"/>
    <cellStyle name="标题 5 14" xfId="345" xr:uid="{00000000-0005-0000-0000-000088010000}"/>
    <cellStyle name="标题 5 15" xfId="4005" xr:uid="{00000000-0005-0000-0000-0000D40F0000}"/>
    <cellStyle name="标题 5 2" xfId="4006" xr:uid="{00000000-0005-0000-0000-0000D50F0000}"/>
    <cellStyle name="标题 5 2 10" xfId="4007" xr:uid="{00000000-0005-0000-0000-0000D60F0000}"/>
    <cellStyle name="标题 5 2 2" xfId="4008" xr:uid="{00000000-0005-0000-0000-0000D70F0000}"/>
    <cellStyle name="标题 5 2 2 2" xfId="4012" xr:uid="{00000000-0005-0000-0000-0000DB0F0000}"/>
    <cellStyle name="标题 5 2 2 3" xfId="2184" xr:uid="{00000000-0005-0000-0000-0000B7080000}"/>
    <cellStyle name="标题 5 2 3" xfId="4013" xr:uid="{00000000-0005-0000-0000-0000DC0F0000}"/>
    <cellStyle name="标题 5 2 4" xfId="4015" xr:uid="{00000000-0005-0000-0000-0000DE0F0000}"/>
    <cellStyle name="标题 5 2 5" xfId="4016" xr:uid="{00000000-0005-0000-0000-0000DF0F0000}"/>
    <cellStyle name="标题 5 2 6" xfId="4017" xr:uid="{00000000-0005-0000-0000-0000E00F0000}"/>
    <cellStyle name="标题 5 2 7" xfId="2609" xr:uid="{00000000-0005-0000-0000-0000600A0000}"/>
    <cellStyle name="标题 5 2 8" xfId="4018" xr:uid="{00000000-0005-0000-0000-0000E10F0000}"/>
    <cellStyle name="标题 5 2 9" xfId="4019" xr:uid="{00000000-0005-0000-0000-0000E20F0000}"/>
    <cellStyle name="标题 5 3" xfId="4021" xr:uid="{00000000-0005-0000-0000-0000E40F0000}"/>
    <cellStyle name="标题 5 3 2" xfId="214" xr:uid="{00000000-0005-0000-0000-0000FE000000}"/>
    <cellStyle name="标题 5 4" xfId="4023" xr:uid="{00000000-0005-0000-0000-0000E60F0000}"/>
    <cellStyle name="标题 5 4 2" xfId="4024" xr:uid="{00000000-0005-0000-0000-0000E70F0000}"/>
    <cellStyle name="标题 5 4 3" xfId="4025" xr:uid="{00000000-0005-0000-0000-0000E80F0000}"/>
    <cellStyle name="标题 5 5" xfId="4026" xr:uid="{00000000-0005-0000-0000-0000E90F0000}"/>
    <cellStyle name="标题 5 5 2" xfId="4027" xr:uid="{00000000-0005-0000-0000-0000EA0F0000}"/>
    <cellStyle name="标题 5 5 3" xfId="4028" xr:uid="{00000000-0005-0000-0000-0000EB0F0000}"/>
    <cellStyle name="标题 5 6" xfId="4029" xr:uid="{00000000-0005-0000-0000-0000EC0F0000}"/>
    <cellStyle name="标题 5 6 2" xfId="4030" xr:uid="{00000000-0005-0000-0000-0000ED0F0000}"/>
    <cellStyle name="标题 5 6 3" xfId="4031" xr:uid="{00000000-0005-0000-0000-0000EE0F0000}"/>
    <cellStyle name="标题 5 7" xfId="4032" xr:uid="{00000000-0005-0000-0000-0000EF0F0000}"/>
    <cellStyle name="标题 5 7 2" xfId="4033" xr:uid="{00000000-0005-0000-0000-0000F00F0000}"/>
    <cellStyle name="标题 5 7 3" xfId="4036" xr:uid="{00000000-0005-0000-0000-0000F30F0000}"/>
    <cellStyle name="标题 5 8" xfId="4037" xr:uid="{00000000-0005-0000-0000-0000F40F0000}"/>
    <cellStyle name="标题 5 8 2" xfId="4038" xr:uid="{00000000-0005-0000-0000-0000F50F0000}"/>
    <cellStyle name="标题 5 8 3" xfId="4041" xr:uid="{00000000-0005-0000-0000-0000F80F0000}"/>
    <cellStyle name="标题 5 9" xfId="4042" xr:uid="{00000000-0005-0000-0000-0000F90F0000}"/>
    <cellStyle name="标题 5 9 2" xfId="4043" xr:uid="{00000000-0005-0000-0000-0000FA0F0000}"/>
    <cellStyle name="标题 5 9 3" xfId="4044" xr:uid="{00000000-0005-0000-0000-0000FB0F0000}"/>
    <cellStyle name="标题 6" xfId="4046" xr:uid="{00000000-0005-0000-0000-0000FD0F0000}"/>
    <cellStyle name="标题 6 2" xfId="4047" xr:uid="{00000000-0005-0000-0000-0000FE0F0000}"/>
    <cellStyle name="标题 7" xfId="365" xr:uid="{00000000-0005-0000-0000-00009C010000}"/>
    <cellStyle name="标题 7 2" xfId="2740" xr:uid="{00000000-0005-0000-0000-0000E30A0000}"/>
    <cellStyle name="标题 7 3" xfId="2261" xr:uid="{00000000-0005-0000-0000-000004090000}"/>
    <cellStyle name="标题 8" xfId="518" xr:uid="{00000000-0005-0000-0000-000035020000}"/>
    <cellStyle name="标题 8 2" xfId="2743" xr:uid="{00000000-0005-0000-0000-0000E60A0000}"/>
    <cellStyle name="标题 8 3" xfId="4050" xr:uid="{00000000-0005-0000-0000-000001100000}"/>
    <cellStyle name="标题 9" xfId="845" xr:uid="{00000000-0005-0000-0000-00007C030000}"/>
    <cellStyle name="标题 9 2" xfId="4052" xr:uid="{00000000-0005-0000-0000-000003100000}"/>
    <cellStyle name="标题 9 3" xfId="4055" xr:uid="{00000000-0005-0000-0000-000006100000}"/>
    <cellStyle name="差 10" xfId="3172" xr:uid="{00000000-0005-0000-0000-0000930C0000}"/>
    <cellStyle name="差 10 2" xfId="3280" xr:uid="{00000000-0005-0000-0000-0000FF0C0000}"/>
    <cellStyle name="差 11" xfId="4057" xr:uid="{00000000-0005-0000-0000-000008100000}"/>
    <cellStyle name="差 12" xfId="4058" xr:uid="{00000000-0005-0000-0000-000009100000}"/>
    <cellStyle name="差 2" xfId="4059" xr:uid="{00000000-0005-0000-0000-00000A100000}"/>
    <cellStyle name="差 2 10" xfId="3562" xr:uid="{00000000-0005-0000-0000-0000190E0000}"/>
    <cellStyle name="差 2 11" xfId="3564" xr:uid="{00000000-0005-0000-0000-00001B0E0000}"/>
    <cellStyle name="差 2 12" xfId="3566" xr:uid="{00000000-0005-0000-0000-00001D0E0000}"/>
    <cellStyle name="差 2 13" xfId="4060" xr:uid="{00000000-0005-0000-0000-00000B100000}"/>
    <cellStyle name="差 2 14" xfId="4062" xr:uid="{00000000-0005-0000-0000-00000D100000}"/>
    <cellStyle name="差 2 15" xfId="3108" xr:uid="{00000000-0005-0000-0000-0000530C0000}"/>
    <cellStyle name="差 2 2" xfId="4064" xr:uid="{00000000-0005-0000-0000-00000F100000}"/>
    <cellStyle name="差 2 2 10" xfId="2540" xr:uid="{00000000-0005-0000-0000-00001B0A0000}"/>
    <cellStyle name="差 2 2 2" xfId="4065" xr:uid="{00000000-0005-0000-0000-000010100000}"/>
    <cellStyle name="差 2 2 2 2" xfId="1276" xr:uid="{00000000-0005-0000-0000-00002B050000}"/>
    <cellStyle name="差 2 2 2 3" xfId="593" xr:uid="{00000000-0005-0000-0000-000080020000}"/>
    <cellStyle name="差 2 2 3" xfId="2172" xr:uid="{00000000-0005-0000-0000-0000AB080000}"/>
    <cellStyle name="差 2 2 4" xfId="4067" xr:uid="{00000000-0005-0000-0000-000012100000}"/>
    <cellStyle name="差 2 2 5" xfId="4069" xr:uid="{00000000-0005-0000-0000-000014100000}"/>
    <cellStyle name="差 2 2 6" xfId="4071" xr:uid="{00000000-0005-0000-0000-000016100000}"/>
    <cellStyle name="差 2 2 7" xfId="169" xr:uid="{00000000-0005-0000-0000-0000C2000000}"/>
    <cellStyle name="差 2 2 8" xfId="4072" xr:uid="{00000000-0005-0000-0000-000017100000}"/>
    <cellStyle name="差 2 2 9" xfId="2263" xr:uid="{00000000-0005-0000-0000-000006090000}"/>
    <cellStyle name="差 2 3" xfId="4073" xr:uid="{00000000-0005-0000-0000-000018100000}"/>
    <cellStyle name="差 2 3 2" xfId="191" xr:uid="{00000000-0005-0000-0000-0000DD000000}"/>
    <cellStyle name="差 2 4" xfId="4074" xr:uid="{00000000-0005-0000-0000-000019100000}"/>
    <cellStyle name="差 2 4 2" xfId="4075" xr:uid="{00000000-0005-0000-0000-00001A100000}"/>
    <cellStyle name="差 2 4 3" xfId="4076" xr:uid="{00000000-0005-0000-0000-00001B100000}"/>
    <cellStyle name="差 2 5" xfId="4077" xr:uid="{00000000-0005-0000-0000-00001C100000}"/>
    <cellStyle name="差 2 5 2" xfId="780" xr:uid="{00000000-0005-0000-0000-00003B030000}"/>
    <cellStyle name="差 2 5 3" xfId="4078" xr:uid="{00000000-0005-0000-0000-00001D100000}"/>
    <cellStyle name="差 2 6" xfId="3509" xr:uid="{00000000-0005-0000-0000-0000E40D0000}"/>
    <cellStyle name="差 2 6 2" xfId="2640" xr:uid="{00000000-0005-0000-0000-00007F0A0000}"/>
    <cellStyle name="差 2 6 3" xfId="4080" xr:uid="{00000000-0005-0000-0000-00001F100000}"/>
    <cellStyle name="差 2 7" xfId="4082" xr:uid="{00000000-0005-0000-0000-000021100000}"/>
    <cellStyle name="差 2 7 2" xfId="4084" xr:uid="{00000000-0005-0000-0000-000023100000}"/>
    <cellStyle name="差 2 7 3" xfId="3714" xr:uid="{00000000-0005-0000-0000-0000B10E0000}"/>
    <cellStyle name="差 2 8" xfId="4087" xr:uid="{00000000-0005-0000-0000-000026100000}"/>
    <cellStyle name="差 2 8 2" xfId="4089" xr:uid="{00000000-0005-0000-0000-000028100000}"/>
    <cellStyle name="差 2 8 3" xfId="4091" xr:uid="{00000000-0005-0000-0000-00002A100000}"/>
    <cellStyle name="差 2 9" xfId="1582" xr:uid="{00000000-0005-0000-0000-00005D060000}"/>
    <cellStyle name="差 2 9 2" xfId="4093" xr:uid="{00000000-0005-0000-0000-00002C100000}"/>
    <cellStyle name="差 2 9 3" xfId="4095" xr:uid="{00000000-0005-0000-0000-00002E100000}"/>
    <cellStyle name="差 3" xfId="3611" xr:uid="{00000000-0005-0000-0000-00004A0E0000}"/>
    <cellStyle name="差 3 2" xfId="3612" xr:uid="{00000000-0005-0000-0000-00004B0E0000}"/>
    <cellStyle name="差 4" xfId="3620" xr:uid="{00000000-0005-0000-0000-0000530E0000}"/>
    <cellStyle name="差 4 2" xfId="3624" xr:uid="{00000000-0005-0000-0000-0000570E0000}"/>
    <cellStyle name="差 4 3" xfId="3628" xr:uid="{00000000-0005-0000-0000-00005B0E0000}"/>
    <cellStyle name="差 5" xfId="3632" xr:uid="{00000000-0005-0000-0000-00005F0E0000}"/>
    <cellStyle name="差 5 2" xfId="3633" xr:uid="{00000000-0005-0000-0000-0000600E0000}"/>
    <cellStyle name="差 5 3" xfId="3636" xr:uid="{00000000-0005-0000-0000-0000630E0000}"/>
    <cellStyle name="差 6" xfId="4096" xr:uid="{00000000-0005-0000-0000-00002F100000}"/>
    <cellStyle name="差 6 2" xfId="985" xr:uid="{00000000-0005-0000-0000-000008040000}"/>
    <cellStyle name="差 6 3" xfId="4097" xr:uid="{00000000-0005-0000-0000-000030100000}"/>
    <cellStyle name="差 7" xfId="123" xr:uid="{00000000-0005-0000-0000-00008D000000}"/>
    <cellStyle name="差 7 2" xfId="1150" xr:uid="{00000000-0005-0000-0000-0000AD040000}"/>
    <cellStyle name="差 7 2 2" xfId="815" xr:uid="{00000000-0005-0000-0000-00005E030000}"/>
    <cellStyle name="差 7 2 3" xfId="1160" xr:uid="{00000000-0005-0000-0000-0000B7040000}"/>
    <cellStyle name="差 7 3" xfId="1162" xr:uid="{00000000-0005-0000-0000-0000B9040000}"/>
    <cellStyle name="差 7 4" xfId="1171" xr:uid="{00000000-0005-0000-0000-0000C2040000}"/>
    <cellStyle name="差 8" xfId="3281" xr:uid="{00000000-0005-0000-0000-0000000D0000}"/>
    <cellStyle name="差 8 2" xfId="4098" xr:uid="{00000000-0005-0000-0000-000031100000}"/>
    <cellStyle name="差 8 2 2" xfId="2877" xr:uid="{00000000-0005-0000-0000-00006C0B0000}"/>
    <cellStyle name="差 8 2 3" xfId="4099" xr:uid="{00000000-0005-0000-0000-000032100000}"/>
    <cellStyle name="差 8 3" xfId="4100" xr:uid="{00000000-0005-0000-0000-000033100000}"/>
    <cellStyle name="差 8 4" xfId="4102" xr:uid="{00000000-0005-0000-0000-000035100000}"/>
    <cellStyle name="差 9" xfId="69" xr:uid="{00000000-0005-0000-0000-000052000000}"/>
    <cellStyle name="差 9 2" xfId="528" xr:uid="{00000000-0005-0000-0000-00003F020000}"/>
    <cellStyle name="差_PBT0305仪征资产分公司2009年度计划上报" xfId="1732" xr:uid="{00000000-0005-0000-0000-0000F3060000}"/>
    <cellStyle name="差_PBT0305仪征资产分公司2009年度计划上报 2" xfId="337" xr:uid="{00000000-0005-0000-0000-000080010000}"/>
    <cellStyle name="差_PBT0305仪征资产分公司2009年度计划上报 3" xfId="344" xr:uid="{00000000-0005-0000-0000-000087010000}"/>
    <cellStyle name="差_PBT0305仪征资产分公司2009年度计划上报 4" xfId="4004" xr:uid="{00000000-0005-0000-0000-0000D30F0000}"/>
    <cellStyle name="差_Sheet1" xfId="3911" xr:uid="{00000000-0005-0000-0000-0000760F0000}"/>
    <cellStyle name="差_安庆" xfId="2220" xr:uid="{00000000-0005-0000-0000-0000DB080000}"/>
    <cellStyle name="差_安庆 2" xfId="2222" xr:uid="{00000000-0005-0000-0000-0000DD080000}"/>
    <cellStyle name="差_安庆 3" xfId="2231" xr:uid="{00000000-0005-0000-0000-0000E6080000}"/>
    <cellStyle name="差_安庆 4" xfId="2234" xr:uid="{00000000-0005-0000-0000-0000E9080000}"/>
    <cellStyle name="差_报表" xfId="1507" xr:uid="{00000000-0005-0000-0000-000012060000}"/>
    <cellStyle name="差_报表 2" xfId="1526" xr:uid="{00000000-0005-0000-0000-000025060000}"/>
    <cellStyle name="差_报表 3" xfId="867" xr:uid="{00000000-0005-0000-0000-000092030000}"/>
    <cellStyle name="差_报表 4" xfId="875" xr:uid="{00000000-0005-0000-0000-00009A030000}"/>
    <cellStyle name="差_产品产销表" xfId="4103" xr:uid="{00000000-0005-0000-0000-000036100000}"/>
    <cellStyle name="差_产品产销表 2" xfId="4104" xr:uid="{00000000-0005-0000-0000-000037100000}"/>
    <cellStyle name="差_产品产销表 3" xfId="4105" xr:uid="{00000000-0005-0000-0000-000038100000}"/>
    <cellStyle name="差_产品产销表 4" xfId="4106" xr:uid="{00000000-0005-0000-0000-000039100000}"/>
    <cellStyle name="差_产品产销表_PBT0305仪征资产分公司2009年度计划上报" xfId="3908" xr:uid="{00000000-0005-0000-0000-0000730F0000}"/>
    <cellStyle name="差_产品产销表_PBT0305仪征资产分公司2009年度计划上报 2" xfId="1426" xr:uid="{00000000-0005-0000-0000-0000C1050000}"/>
    <cellStyle name="差_产品产销表_PBT0305仪征资产分公司2009年度计划上报 3" xfId="1429" xr:uid="{00000000-0005-0000-0000-0000C4050000}"/>
    <cellStyle name="差_产品产销表_PBT0305仪征资产分公司2009年度计划上报 4" xfId="1432" xr:uid="{00000000-0005-0000-0000-0000C7050000}"/>
    <cellStyle name="差_产品产销表_一季度计划上报规范格式v1.00" xfId="288" xr:uid="{00000000-0005-0000-0000-00004F010000}"/>
    <cellStyle name="差_产品产销表_一季度计划上报规范格式v1.00 2" xfId="4107" xr:uid="{00000000-0005-0000-0000-00003A100000}"/>
    <cellStyle name="差_产品产销表_一季度计划上报规范格式v1.00 3" xfId="438" xr:uid="{00000000-0005-0000-0000-0000E5010000}"/>
    <cellStyle name="差_产品产销表_一季度计划上报规范格式v1.00 4" xfId="1951" xr:uid="{00000000-0005-0000-0000-0000CE070000}"/>
    <cellStyle name="差_分析附表---2013比上年" xfId="1200" xr:uid="{00000000-0005-0000-0000-0000DF040000}"/>
    <cellStyle name="差_国资委预算报表" xfId="2771" xr:uid="{00000000-0005-0000-0000-0000020B0000}"/>
    <cellStyle name="差_国资委预算报表 2" xfId="4109" xr:uid="{00000000-0005-0000-0000-00003C100000}"/>
    <cellStyle name="差_国资委预算报表 3" xfId="4111" xr:uid="{00000000-0005-0000-0000-00003E100000}"/>
    <cellStyle name="差_国资委预算报表 4" xfId="4113" xr:uid="{00000000-0005-0000-0000-000040100000}"/>
    <cellStyle name="差_化工计划优化报表(四季度）" xfId="4114" xr:uid="{00000000-0005-0000-0000-000041100000}"/>
    <cellStyle name="差_化工计划优化报表(四季度） 2" xfId="3610" xr:uid="{00000000-0005-0000-0000-0000490E0000}"/>
    <cellStyle name="差_化工计划优化报表(四季度） 3" xfId="3619" xr:uid="{00000000-0005-0000-0000-0000520E0000}"/>
    <cellStyle name="差_化工计划优化报表(四季度） 4" xfId="3631" xr:uid="{00000000-0005-0000-0000-00005E0E0000}"/>
    <cellStyle name="差_化工计划优化报表722" xfId="4115" xr:uid="{00000000-0005-0000-0000-000042100000}"/>
    <cellStyle name="差_化工计划优化报表722 2" xfId="3137" xr:uid="{00000000-0005-0000-0000-0000700C0000}"/>
    <cellStyle name="差_化工计划优化报表722 3" xfId="4118" xr:uid="{00000000-0005-0000-0000-000045100000}"/>
    <cellStyle name="差_化工计划优化报表722 4" xfId="4120" xr:uid="{00000000-0005-0000-0000-000047100000}"/>
    <cellStyle name="差_化工计划优化报表8" xfId="4121" xr:uid="{00000000-0005-0000-0000-000048100000}"/>
    <cellStyle name="差_化工计划优化报表8 2" xfId="4125" xr:uid="{00000000-0005-0000-0000-00004C100000}"/>
    <cellStyle name="差_化工计划优化报表8 3" xfId="4128" xr:uid="{00000000-0005-0000-0000-00004F100000}"/>
    <cellStyle name="差_化工计划优化报表8 4" xfId="3142" xr:uid="{00000000-0005-0000-0000-0000750C0000}"/>
    <cellStyle name="差_化纤分牌号产品产销表" xfId="1767" xr:uid="{00000000-0005-0000-0000-000016070000}"/>
    <cellStyle name="差_化纤分牌号产品产销表 2" xfId="240" xr:uid="{00000000-0005-0000-0000-00001D010000}"/>
    <cellStyle name="差_化纤分牌号产品产销表 3" xfId="1124" xr:uid="{00000000-0005-0000-0000-000093040000}"/>
    <cellStyle name="差_化纤分牌号产品产销表 4" xfId="1135" xr:uid="{00000000-0005-0000-0000-00009E040000}"/>
    <cellStyle name="差_化纤分牌号产品产销表_PBT0305仪征资产分公司2009年度计划上报" xfId="4131" xr:uid="{00000000-0005-0000-0000-000052100000}"/>
    <cellStyle name="差_化纤分牌号产品产销表_PBT0305仪征资产分公司2009年度计划上报 2" xfId="3395" xr:uid="{00000000-0005-0000-0000-0000720D0000}"/>
    <cellStyle name="差_化纤分牌号产品产销表_PBT0305仪征资产分公司2009年度计划上报 3" xfId="4133" xr:uid="{00000000-0005-0000-0000-000054100000}"/>
    <cellStyle name="差_化纤分牌号产品产销表_PBT0305仪征资产分公司2009年度计划上报 4" xfId="3260" xr:uid="{00000000-0005-0000-0000-0000EB0C0000}"/>
    <cellStyle name="差_化纤分牌号产品产销表_一季度计划上报规范格式v1.00" xfId="4134" xr:uid="{00000000-0005-0000-0000-000055100000}"/>
    <cellStyle name="差_化纤分牌号产品产销表_一季度计划上报规范格式v1.00 2" xfId="3890" xr:uid="{00000000-0005-0000-0000-0000610F0000}"/>
    <cellStyle name="差_化纤分牌号产品产销表_一季度计划上报规范格式v1.00 3" xfId="2522" xr:uid="{00000000-0005-0000-0000-0000090A0000}"/>
    <cellStyle name="差_化纤分牌号产品产销表_一季度计划上报规范格式v1.00 4" xfId="602" xr:uid="{00000000-0005-0000-0000-000089020000}"/>
    <cellStyle name="差_洛阳-于百双整理" xfId="3020" xr:uid="{00000000-0005-0000-0000-0000FB0B0000}"/>
    <cellStyle name="差_洛阳-于百双整理 2" xfId="4136" xr:uid="{00000000-0005-0000-0000-000057100000}"/>
    <cellStyle name="差_洛阳-于百双整理 3" xfId="2887" xr:uid="{00000000-0005-0000-0000-0000760B0000}"/>
    <cellStyle name="差_洛阳-于百双整理 4" xfId="4137" xr:uid="{00000000-0005-0000-0000-000058100000}"/>
    <cellStyle name="差_齐鲁化工轻油" xfId="4138" xr:uid="{00000000-0005-0000-0000-000059100000}"/>
    <cellStyle name="差_齐鲁化工轻油 2" xfId="4139" xr:uid="{00000000-0005-0000-0000-00005A100000}"/>
    <cellStyle name="差_齐鲁化工轻油 3" xfId="3623" xr:uid="{00000000-0005-0000-0000-0000560E0000}"/>
    <cellStyle name="差_齐鲁化工轻油 4" xfId="3627" xr:uid="{00000000-0005-0000-0000-00005A0E0000}"/>
    <cellStyle name="差_齐鲁检修" xfId="4140" xr:uid="{00000000-0005-0000-0000-00005B100000}"/>
    <cellStyle name="差_齐鲁检修 2" xfId="4141" xr:uid="{00000000-0005-0000-0000-00005C100000}"/>
    <cellStyle name="差_齐鲁检修 3" xfId="4142" xr:uid="{00000000-0005-0000-0000-00005D100000}"/>
    <cellStyle name="差_齐鲁检修 4" xfId="4143" xr:uid="{00000000-0005-0000-0000-00005E100000}"/>
    <cellStyle name="差_齐鲁物料互供" xfId="4144" xr:uid="{00000000-0005-0000-0000-00005F100000}"/>
    <cellStyle name="差_齐鲁物料互供 2" xfId="2335" xr:uid="{00000000-0005-0000-0000-00004E090000}"/>
    <cellStyle name="差_齐鲁物料互供 3" xfId="2366" xr:uid="{00000000-0005-0000-0000-00006D090000}"/>
    <cellStyle name="差_齐鲁物料互供 4" xfId="2382" xr:uid="{00000000-0005-0000-0000-00007D090000}"/>
    <cellStyle name="差_其他销售配置" xfId="1654" xr:uid="{00000000-0005-0000-0000-0000A5060000}"/>
    <cellStyle name="差_其他销售配置 2" xfId="2664" xr:uid="{00000000-0005-0000-0000-0000970A0000}"/>
    <cellStyle name="差_其他销售配置 3" xfId="2667" xr:uid="{00000000-0005-0000-0000-00009A0A0000}"/>
    <cellStyle name="差_其他销售配置 4" xfId="2672" xr:uid="{00000000-0005-0000-0000-00009F0A0000}"/>
    <cellStyle name="差_上海标准报表" xfId="4146" xr:uid="{00000000-0005-0000-0000-000061100000}"/>
    <cellStyle name="差_上海标准报表 2" xfId="4147" xr:uid="{00000000-0005-0000-0000-000062100000}"/>
    <cellStyle name="差_上海标准报表 3" xfId="95" xr:uid="{00000000-0005-0000-0000-00006E000000}"/>
    <cellStyle name="差_上海标准报表 4" xfId="2937" xr:uid="{00000000-0005-0000-0000-0000A80B0000}"/>
    <cellStyle name="差_上海化工计划优化报表8月" xfId="2803" xr:uid="{00000000-0005-0000-0000-0000220B0000}"/>
    <cellStyle name="差_上海化工计划优化报表8月 2" xfId="3801" xr:uid="{00000000-0005-0000-0000-0000080F0000}"/>
    <cellStyle name="差_上海化工计划优化报表8月 3" xfId="3433" xr:uid="{00000000-0005-0000-0000-0000980D0000}"/>
    <cellStyle name="差_上海化工计划优化报表8月 4" xfId="2240" xr:uid="{00000000-0005-0000-0000-0000EF080000}"/>
    <cellStyle name="差_树脂分牌号产品产销表" xfId="19" xr:uid="{00000000-0005-0000-0000-000017000000}"/>
    <cellStyle name="差_树脂分牌号产品产销表 2" xfId="1877" xr:uid="{00000000-0005-0000-0000-000084070000}"/>
    <cellStyle name="差_树脂分牌号产品产销表 3" xfId="1879" xr:uid="{00000000-0005-0000-0000-000086070000}"/>
    <cellStyle name="差_树脂分牌号产品产销表 4" xfId="1882" xr:uid="{00000000-0005-0000-0000-000089070000}"/>
    <cellStyle name="差_树脂分牌号产品产销表_PBT0305仪征资产分公司2009年度计划上报" xfId="2495" xr:uid="{00000000-0005-0000-0000-0000EE090000}"/>
    <cellStyle name="差_树脂分牌号产品产销表_PBT0305仪征资产分公司2009年度计划上报 2" xfId="4150" xr:uid="{00000000-0005-0000-0000-000065100000}"/>
    <cellStyle name="差_树脂分牌号产品产销表_PBT0305仪征资产分公司2009年度计划上报 3" xfId="4154" xr:uid="{00000000-0005-0000-0000-000069100000}"/>
    <cellStyle name="差_树脂分牌号产品产销表_PBT0305仪征资产分公司2009年度计划上报 4" xfId="3993" xr:uid="{00000000-0005-0000-0000-0000C80F0000}"/>
    <cellStyle name="差_树脂分牌号产品产销表_一季度计划上报规范格式v1.00" xfId="4155" xr:uid="{00000000-0005-0000-0000-00006A100000}"/>
    <cellStyle name="差_树脂分牌号产品产销表_一季度计划上报规范格式v1.00 2" xfId="4157" xr:uid="{00000000-0005-0000-0000-00006C100000}"/>
    <cellStyle name="差_树脂分牌号产品产销表_一季度计划上报规范格式v1.00 3" xfId="2902" xr:uid="{00000000-0005-0000-0000-0000850B0000}"/>
    <cellStyle name="差_树脂分牌号产品产销表_一季度计划上报规范格式v1.00 4" xfId="4161" xr:uid="{00000000-0005-0000-0000-000070100000}"/>
    <cellStyle name="差_橡胶分牌号产品产销表" xfId="1164" xr:uid="{00000000-0005-0000-0000-0000BB040000}"/>
    <cellStyle name="差_橡胶分牌号产品产销表 2" xfId="1605" xr:uid="{00000000-0005-0000-0000-000074060000}"/>
    <cellStyle name="差_橡胶分牌号产品产销表 3" xfId="1344" xr:uid="{00000000-0005-0000-0000-00006F050000}"/>
    <cellStyle name="差_橡胶分牌号产品产销表 4" xfId="1142" xr:uid="{00000000-0005-0000-0000-0000A5040000}"/>
    <cellStyle name="差_橡胶分牌号产品产销表_PBT0305仪征资产分公司2009年度计划上报" xfId="4164" xr:uid="{00000000-0005-0000-0000-000073100000}"/>
    <cellStyle name="差_橡胶分牌号产品产销表_PBT0305仪征资产分公司2009年度计划上报 2" xfId="2546" xr:uid="{00000000-0005-0000-0000-0000210A0000}"/>
    <cellStyle name="差_橡胶分牌号产品产销表_PBT0305仪征资产分公司2009年度计划上报 3" xfId="4165" xr:uid="{00000000-0005-0000-0000-000074100000}"/>
    <cellStyle name="差_橡胶分牌号产品产销表_PBT0305仪征资产分公司2009年度计划上报 4" xfId="4166" xr:uid="{00000000-0005-0000-0000-000075100000}"/>
    <cellStyle name="差_橡胶分牌号产品产销表_一季度计划上报规范格式v1.00" xfId="3380" xr:uid="{00000000-0005-0000-0000-0000630D0000}"/>
    <cellStyle name="差_橡胶分牌号产品产销表_一季度计划上报规范格式v1.00 2" xfId="3381" xr:uid="{00000000-0005-0000-0000-0000640D0000}"/>
    <cellStyle name="差_橡胶分牌号产品产销表_一季度计划上报规范格式v1.00 3" xfId="3384" xr:uid="{00000000-0005-0000-0000-0000670D0000}"/>
    <cellStyle name="差_橡胶分牌号产品产销表_一季度计划上报规范格式v1.00 4" xfId="4167" xr:uid="{00000000-0005-0000-0000-000076100000}"/>
    <cellStyle name="差_新建装置" xfId="140" xr:uid="{00000000-0005-0000-0000-00009F000000}"/>
    <cellStyle name="差_新建装置 2" xfId="4174" xr:uid="{00000000-0005-0000-0000-00007D100000}"/>
    <cellStyle name="差_新建装置 3" xfId="2146" xr:uid="{00000000-0005-0000-0000-000091080000}"/>
    <cellStyle name="差_新建装置 4" xfId="2153" xr:uid="{00000000-0005-0000-0000-000098080000}"/>
    <cellStyle name="差_新建装置_PBT0305仪征资产分公司2009年度计划上报" xfId="4175" xr:uid="{00000000-0005-0000-0000-00007E100000}"/>
    <cellStyle name="差_新建装置_PBT0305仪征资产分公司2009年度计划上报 2" xfId="4176" xr:uid="{00000000-0005-0000-0000-00007F100000}"/>
    <cellStyle name="差_新建装置_PBT0305仪征资产分公司2009年度计划上报 3" xfId="4177" xr:uid="{00000000-0005-0000-0000-000080100000}"/>
    <cellStyle name="差_新建装置_PBT0305仪征资产分公司2009年度计划上报 4" xfId="3309" xr:uid="{00000000-0005-0000-0000-00001C0D0000}"/>
    <cellStyle name="差_新建装置_一季度计划上报规范格式v1.00" xfId="4151" xr:uid="{00000000-0005-0000-0000-000066100000}"/>
    <cellStyle name="差_新建装置_一季度计划上报规范格式v1.00 2" xfId="4178" xr:uid="{00000000-0005-0000-0000-000081100000}"/>
    <cellStyle name="差_新建装置_一季度计划上报规范格式v1.00 3" xfId="4179" xr:uid="{00000000-0005-0000-0000-000082100000}"/>
    <cellStyle name="差_新建装置_一季度计划上报规范格式v1.00 4" xfId="4181" xr:uid="{00000000-0005-0000-0000-000084100000}"/>
    <cellStyle name="差_一季度计划上报规范格式v1.00" xfId="3375" xr:uid="{00000000-0005-0000-0000-00005E0D0000}"/>
    <cellStyle name="差_一季度计划上报规范格式v1.00 2" xfId="3377" xr:uid="{00000000-0005-0000-0000-0000600D0000}"/>
    <cellStyle name="差_一季度计划上报规范格式v1.00 3" xfId="3389" xr:uid="{00000000-0005-0000-0000-00006C0D0000}"/>
    <cellStyle name="差_一季度计划上报规范格式v1.00 4" xfId="2487" xr:uid="{00000000-0005-0000-0000-0000E6090000}"/>
    <cellStyle name="常规" xfId="0" builtinId="0"/>
    <cellStyle name="常规 10" xfId="4182" xr:uid="{00000000-0005-0000-0000-000085100000}"/>
    <cellStyle name="常规 10 2" xfId="4183" xr:uid="{00000000-0005-0000-0000-000086100000}"/>
    <cellStyle name="常规 10 2 2" xfId="4184" xr:uid="{00000000-0005-0000-0000-000087100000}"/>
    <cellStyle name="常规 10 2 3" xfId="4186" xr:uid="{00000000-0005-0000-0000-000089100000}"/>
    <cellStyle name="常规 10 3" xfId="4187" xr:uid="{00000000-0005-0000-0000-00008A100000}"/>
    <cellStyle name="常规 10 4" xfId="4188" xr:uid="{00000000-0005-0000-0000-00008B100000}"/>
    <cellStyle name="常规 10_成本利润预算(公司目标)" xfId="4189" xr:uid="{00000000-0005-0000-0000-00008C100000}"/>
    <cellStyle name="常规 11" xfId="4190" xr:uid="{00000000-0005-0000-0000-00008D100000}"/>
    <cellStyle name="常规 11 2" xfId="4191" xr:uid="{00000000-0005-0000-0000-00008E100000}"/>
    <cellStyle name="常规 11 2 2" xfId="308" xr:uid="{00000000-0005-0000-0000-000063010000}"/>
    <cellStyle name="常规 11 2 2 2" xfId="2585" xr:uid="{00000000-0005-0000-0000-0000480A0000}"/>
    <cellStyle name="常规 11 2 2 2 2" xfId="3644" xr:uid="{00000000-0005-0000-0000-00006B0E0000}"/>
    <cellStyle name="常规 11 2 2 2 2 2" xfId="1743" xr:uid="{00000000-0005-0000-0000-0000FE060000}"/>
    <cellStyle name="常规 11 2 2 2 2 2 2" xfId="1747" xr:uid="{00000000-0005-0000-0000-000002070000}"/>
    <cellStyle name="常规 11 2 2 2 2 2 2 2" xfId="1749" xr:uid="{00000000-0005-0000-0000-000004070000}"/>
    <cellStyle name="常规 11 2 2 2 2 2 2 2 2" xfId="3105" xr:uid="{00000000-0005-0000-0000-0000500C0000}"/>
    <cellStyle name="常规 11 2 3" xfId="311" xr:uid="{00000000-0005-0000-0000-000066010000}"/>
    <cellStyle name="常规 11 2 4" xfId="320" xr:uid="{00000000-0005-0000-0000-00006F010000}"/>
    <cellStyle name="常规 11 3" xfId="4192" xr:uid="{00000000-0005-0000-0000-00008F100000}"/>
    <cellStyle name="常规 11 4" xfId="4193" xr:uid="{00000000-0005-0000-0000-000090100000}"/>
    <cellStyle name="常规 12" xfId="4194" xr:uid="{00000000-0005-0000-0000-000091100000}"/>
    <cellStyle name="常规 12 2" xfId="4196" xr:uid="{00000000-0005-0000-0000-000093100000}"/>
    <cellStyle name="常规 12 3" xfId="4197" xr:uid="{00000000-0005-0000-0000-000094100000}"/>
    <cellStyle name="常规 13" xfId="4198" xr:uid="{00000000-0005-0000-0000-000095100000}"/>
    <cellStyle name="常规 13 2" xfId="4066" xr:uid="{00000000-0005-0000-0000-000011100000}"/>
    <cellStyle name="常规 13 2 2" xfId="903" xr:uid="{00000000-0005-0000-0000-0000B6030000}"/>
    <cellStyle name="常规 13 2 3" xfId="4200" xr:uid="{00000000-0005-0000-0000-000097100000}"/>
    <cellStyle name="常规 13 3" xfId="4068" xr:uid="{00000000-0005-0000-0000-000013100000}"/>
    <cellStyle name="常规 13 3 2" xfId="4201" xr:uid="{00000000-0005-0000-0000-000098100000}"/>
    <cellStyle name="常规 13 3 3" xfId="4203" xr:uid="{00000000-0005-0000-0000-00009A100000}"/>
    <cellStyle name="常规 13 4" xfId="4070" xr:uid="{00000000-0005-0000-0000-000015100000}"/>
    <cellStyle name="常规 13 5" xfId="168" xr:uid="{00000000-0005-0000-0000-0000C0000000}"/>
    <cellStyle name="常规 13_成本利润预算(公司目标)" xfId="933" xr:uid="{00000000-0005-0000-0000-0000D4030000}"/>
    <cellStyle name="常规 14" xfId="4205" xr:uid="{00000000-0005-0000-0000-00009C100000}"/>
    <cellStyle name="常规 14 2" xfId="4206" xr:uid="{00000000-0005-0000-0000-00009D100000}"/>
    <cellStyle name="常规 14 3" xfId="4207" xr:uid="{00000000-0005-0000-0000-00009E100000}"/>
    <cellStyle name="常规 14 4" xfId="4208" xr:uid="{00000000-0005-0000-0000-00009F100000}"/>
    <cellStyle name="常规 15" xfId="3414" xr:uid="{00000000-0005-0000-0000-0000850D0000}"/>
    <cellStyle name="常规 15 2" xfId="4209" xr:uid="{00000000-0005-0000-0000-0000A0100000}"/>
    <cellStyle name="常规 15 3" xfId="4211" xr:uid="{00000000-0005-0000-0000-0000A2100000}"/>
    <cellStyle name="常规 16" xfId="4213" xr:uid="{00000000-0005-0000-0000-0000A4100000}"/>
    <cellStyle name="常规 16 2" xfId="4215" xr:uid="{00000000-0005-0000-0000-0000A6100000}"/>
    <cellStyle name="常规 16 3" xfId="4217" xr:uid="{00000000-0005-0000-0000-0000A8100000}"/>
    <cellStyle name="常规 17" xfId="4171" xr:uid="{00000000-0005-0000-0000-00007A100000}"/>
    <cellStyle name="常规 17 2" xfId="4220" xr:uid="{00000000-0005-0000-0000-0000AB100000}"/>
    <cellStyle name="常规 17 3" xfId="4223" xr:uid="{00000000-0005-0000-0000-0000AE100000}"/>
    <cellStyle name="常规 17 4" xfId="4225" xr:uid="{00000000-0005-0000-0000-0000B0100000}"/>
    <cellStyle name="常规 18" xfId="2143" xr:uid="{00000000-0005-0000-0000-00008E080000}"/>
    <cellStyle name="常规 18 2" xfId="643" xr:uid="{00000000-0005-0000-0000-0000B2020000}"/>
    <cellStyle name="常规 18 3" xfId="4228" xr:uid="{00000000-0005-0000-0000-0000B3100000}"/>
    <cellStyle name="常规 18 4" xfId="4230" xr:uid="{00000000-0005-0000-0000-0000B5100000}"/>
    <cellStyle name="常规 19" xfId="2150" xr:uid="{00000000-0005-0000-0000-000095080000}"/>
    <cellStyle name="常规 19 2" xfId="4232" xr:uid="{00000000-0005-0000-0000-0000B7100000}"/>
    <cellStyle name="常规 19 3" xfId="1677" xr:uid="{00000000-0005-0000-0000-0000BC060000}"/>
    <cellStyle name="常规 19 4" xfId="4235" xr:uid="{00000000-0005-0000-0000-0000BA100000}"/>
    <cellStyle name="常规 2" xfId="4236" xr:uid="{00000000-0005-0000-0000-0000BB100000}"/>
    <cellStyle name="常规 2 10" xfId="4239" xr:uid="{00000000-0005-0000-0000-0000BE100000}"/>
    <cellStyle name="常规 2 10 2" xfId="4242" xr:uid="{00000000-0005-0000-0000-0000C1100000}"/>
    <cellStyle name="常规 2 10 3" xfId="2369" xr:uid="{00000000-0005-0000-0000-000070090000}"/>
    <cellStyle name="常规 2 10 4" xfId="2375" xr:uid="{00000000-0005-0000-0000-000076090000}"/>
    <cellStyle name="常规 2 11" xfId="4244" xr:uid="{00000000-0005-0000-0000-0000C3100000}"/>
    <cellStyle name="常规 2 11 2" xfId="4247" xr:uid="{00000000-0005-0000-0000-0000C6100000}"/>
    <cellStyle name="常规 2 11 3" xfId="2386" xr:uid="{00000000-0005-0000-0000-000081090000}"/>
    <cellStyle name="常规 2 11 4" xfId="2393" xr:uid="{00000000-0005-0000-0000-000088090000}"/>
    <cellStyle name="常规 2 12" xfId="4250" xr:uid="{00000000-0005-0000-0000-0000C9100000}"/>
    <cellStyle name="常规 2 12 2" xfId="4253" xr:uid="{00000000-0005-0000-0000-0000CC100000}"/>
    <cellStyle name="常规 2 12 3" xfId="2404" xr:uid="{00000000-0005-0000-0000-000093090000}"/>
    <cellStyle name="常规 2 13" xfId="4256" xr:uid="{00000000-0005-0000-0000-0000CF100000}"/>
    <cellStyle name="常规 2 14" xfId="4258" xr:uid="{00000000-0005-0000-0000-0000D1100000}"/>
    <cellStyle name="常规 2 14 2" xfId="1704" xr:uid="{00000000-0005-0000-0000-0000D7060000}"/>
    <cellStyle name="常规 2 14 2 2" xfId="1709" xr:uid="{00000000-0005-0000-0000-0000DC060000}"/>
    <cellStyle name="常规 2 14 2 2 2" xfId="1715" xr:uid="{00000000-0005-0000-0000-0000E2060000}"/>
    <cellStyle name="常规 2 14 2 2 3" xfId="4260" xr:uid="{00000000-0005-0000-0000-0000D3100000}"/>
    <cellStyle name="常规 2 14 2 2 3 2" xfId="4261" xr:uid="{00000000-0005-0000-0000-0000D4100000}"/>
    <cellStyle name="常规 2 14 2 2 3 2 2" xfId="2882" xr:uid="{00000000-0005-0000-0000-0000710B0000}"/>
    <cellStyle name="常规 2 14 2 2 3 2 2 2" xfId="2885" xr:uid="{00000000-0005-0000-0000-0000740B0000}"/>
    <cellStyle name="常规 2 14 2 2 3 2 2 2 2" xfId="4262" xr:uid="{00000000-0005-0000-0000-0000D5100000}"/>
    <cellStyle name="常规 2 14 2 2 3 2 2 2 2 2" xfId="4263" xr:uid="{00000000-0005-0000-0000-0000D6100000}"/>
    <cellStyle name="常规 2 14 2 2 3 2 2 2 2 2 2" xfId="4101" xr:uid="{00000000-0005-0000-0000-000034100000}"/>
    <cellStyle name="常规 2 14 3" xfId="1721" xr:uid="{00000000-0005-0000-0000-0000E8060000}"/>
    <cellStyle name="常规 2 15" xfId="4265" xr:uid="{00000000-0005-0000-0000-0000D8100000}"/>
    <cellStyle name="常规 2 16" xfId="4268" xr:uid="{00000000-0005-0000-0000-0000DB100000}"/>
    <cellStyle name="常规 2 17" xfId="606" xr:uid="{00000000-0005-0000-0000-00008D020000}"/>
    <cellStyle name="常规 2 18" xfId="610" xr:uid="{00000000-0005-0000-0000-000091020000}"/>
    <cellStyle name="常规 2 19" xfId="4270" xr:uid="{00000000-0005-0000-0000-0000DD100000}"/>
    <cellStyle name="常规 2 2" xfId="1433" xr:uid="{00000000-0005-0000-0000-0000C8050000}"/>
    <cellStyle name="常规 2 2 10" xfId="4272" xr:uid="{00000000-0005-0000-0000-0000DF100000}"/>
    <cellStyle name="常规 2 2 11" xfId="4148" xr:uid="{00000000-0005-0000-0000-000063100000}"/>
    <cellStyle name="常规 2 2 12" xfId="4152" xr:uid="{00000000-0005-0000-0000-000067100000}"/>
    <cellStyle name="常规 2 2 13" xfId="3991" xr:uid="{00000000-0005-0000-0000-0000C60F0000}"/>
    <cellStyle name="常规 2 2 14" xfId="679" xr:uid="{00000000-0005-0000-0000-0000D6020000}"/>
    <cellStyle name="常规 2 2 2" xfId="4273" xr:uid="{00000000-0005-0000-0000-0000E0100000}"/>
    <cellStyle name="常规 2 2 2 10" xfId="1816" xr:uid="{00000000-0005-0000-0000-000047070000}"/>
    <cellStyle name="常规 2 2 2 2" xfId="4274" xr:uid="{00000000-0005-0000-0000-0000E1100000}"/>
    <cellStyle name="常规 2 2 2 2 2" xfId="4275" xr:uid="{00000000-0005-0000-0000-0000E2100000}"/>
    <cellStyle name="常规 2 2 2 2 3" xfId="4276" xr:uid="{00000000-0005-0000-0000-0000E3100000}"/>
    <cellStyle name="常规 2 2 2 3" xfId="2455" xr:uid="{00000000-0005-0000-0000-0000C6090000}"/>
    <cellStyle name="常规 2 2 2 3 2" xfId="4277" xr:uid="{00000000-0005-0000-0000-0000E4100000}"/>
    <cellStyle name="常规 2 2 2 3 3" xfId="4278" xr:uid="{00000000-0005-0000-0000-0000E5100000}"/>
    <cellStyle name="常规 2 2 2 4" xfId="200" xr:uid="{00000000-0005-0000-0000-0000E9000000}"/>
    <cellStyle name="常规 2 2 2 5" xfId="183" xr:uid="{00000000-0005-0000-0000-0000D2000000}"/>
    <cellStyle name="常规 2 2 2 6" xfId="211" xr:uid="{00000000-0005-0000-0000-0000F9000000}"/>
    <cellStyle name="常规 2 2 2 7" xfId="212" xr:uid="{00000000-0005-0000-0000-0000FB000000}"/>
    <cellStyle name="常规 2 2 2 8" xfId="228" xr:uid="{00000000-0005-0000-0000-00000E010000}"/>
    <cellStyle name="常规 2 2 2 9" xfId="237" xr:uid="{00000000-0005-0000-0000-00001A010000}"/>
    <cellStyle name="常规 2 2 3" xfId="4279" xr:uid="{00000000-0005-0000-0000-0000E6100000}"/>
    <cellStyle name="常规 2 2 3 2" xfId="4280" xr:uid="{00000000-0005-0000-0000-0000E7100000}"/>
    <cellStyle name="常规 2 2 3 3" xfId="2460" xr:uid="{00000000-0005-0000-0000-0000CB090000}"/>
    <cellStyle name="常规 2 2 4" xfId="4281" xr:uid="{00000000-0005-0000-0000-0000E8100000}"/>
    <cellStyle name="常规 2 2 4 2" xfId="4282" xr:uid="{00000000-0005-0000-0000-0000E9100000}"/>
    <cellStyle name="常规 2 2 4 3" xfId="4284" xr:uid="{00000000-0005-0000-0000-0000EB100000}"/>
    <cellStyle name="常规 2 2 5" xfId="4285" xr:uid="{00000000-0005-0000-0000-0000EC100000}"/>
    <cellStyle name="常规 2 2 5 2" xfId="4286" xr:uid="{00000000-0005-0000-0000-0000ED100000}"/>
    <cellStyle name="常规 2 2 5 3" xfId="4287" xr:uid="{00000000-0005-0000-0000-0000EE100000}"/>
    <cellStyle name="常规 2 2 6" xfId="4288" xr:uid="{00000000-0005-0000-0000-0000EF100000}"/>
    <cellStyle name="常规 2 2 6 2" xfId="4289" xr:uid="{00000000-0005-0000-0000-0000F0100000}"/>
    <cellStyle name="常规 2 2 6 3" xfId="4290" xr:uid="{00000000-0005-0000-0000-0000F1100000}"/>
    <cellStyle name="常规 2 2 7" xfId="2637" xr:uid="{00000000-0005-0000-0000-00007C0A0000}"/>
    <cellStyle name="常规 2 2 7 2" xfId="4291" xr:uid="{00000000-0005-0000-0000-0000F2100000}"/>
    <cellStyle name="常规 2 2 7 3" xfId="4292" xr:uid="{00000000-0005-0000-0000-0000F3100000}"/>
    <cellStyle name="常规 2 2 8" xfId="2639" xr:uid="{00000000-0005-0000-0000-00007E0A0000}"/>
    <cellStyle name="常规 2 2 8 2" xfId="4293" xr:uid="{00000000-0005-0000-0000-0000F4100000}"/>
    <cellStyle name="常规 2 2 8 3" xfId="4294" xr:uid="{00000000-0005-0000-0000-0000F5100000}"/>
    <cellStyle name="常规 2 2 9" xfId="4079" xr:uid="{00000000-0005-0000-0000-00001E100000}"/>
    <cellStyle name="常规 2 2_成本利润预算(公司目标)" xfId="4295" xr:uid="{00000000-0005-0000-0000-0000F6100000}"/>
    <cellStyle name="常规 2 20" xfId="4266" xr:uid="{00000000-0005-0000-0000-0000D9100000}"/>
    <cellStyle name="常规 2 21" xfId="4269" xr:uid="{00000000-0005-0000-0000-0000DC100000}"/>
    <cellStyle name="常规 2 22" xfId="607" xr:uid="{00000000-0005-0000-0000-00008E020000}"/>
    <cellStyle name="常规 2 23" xfId="611" xr:uid="{00000000-0005-0000-0000-000092020000}"/>
    <cellStyle name="常规 2 24" xfId="4271" xr:uid="{00000000-0005-0000-0000-0000DE100000}"/>
    <cellStyle name="常规 2 25" xfId="2946" xr:uid="{00000000-0005-0000-0000-0000B10B0000}"/>
    <cellStyle name="常规 2 26" xfId="4297" xr:uid="{00000000-0005-0000-0000-0000F8100000}"/>
    <cellStyle name="常规 2 3" xfId="1436" xr:uid="{00000000-0005-0000-0000-0000CB050000}"/>
    <cellStyle name="常规 2 3 10" xfId="2309" xr:uid="{00000000-0005-0000-0000-000034090000}"/>
    <cellStyle name="常规 2 3 11" xfId="4298" xr:uid="{00000000-0005-0000-0000-0000F9100000}"/>
    <cellStyle name="常规 2 3 12" xfId="4299" xr:uid="{00000000-0005-0000-0000-0000FA100000}"/>
    <cellStyle name="常规 2 3 13" xfId="4300" xr:uid="{00000000-0005-0000-0000-0000FB100000}"/>
    <cellStyle name="常规 2 3 2" xfId="4301" xr:uid="{00000000-0005-0000-0000-0000FC100000}"/>
    <cellStyle name="常规 2 3 2 10" xfId="3472" xr:uid="{00000000-0005-0000-0000-0000BF0D0000}"/>
    <cellStyle name="常规 2 3 2 2" xfId="4303" xr:uid="{00000000-0005-0000-0000-0000FE100000}"/>
    <cellStyle name="常规 2 3 2 2 2" xfId="4304" xr:uid="{00000000-0005-0000-0000-0000FF100000}"/>
    <cellStyle name="常规 2 3 2 2 3" xfId="4305" xr:uid="{00000000-0005-0000-0000-000000110000}"/>
    <cellStyle name="常规 2 3 2 3" xfId="4306" xr:uid="{00000000-0005-0000-0000-000001110000}"/>
    <cellStyle name="常规 2 3 2 3 2" xfId="4061" xr:uid="{00000000-0005-0000-0000-00000C100000}"/>
    <cellStyle name="常规 2 3 2 3 3" xfId="4063" xr:uid="{00000000-0005-0000-0000-00000E100000}"/>
    <cellStyle name="常规 2 3 2 4" xfId="2662" xr:uid="{00000000-0005-0000-0000-0000950A0000}"/>
    <cellStyle name="常规 2 3 2 5" xfId="389" xr:uid="{00000000-0005-0000-0000-0000B4010000}"/>
    <cellStyle name="常规 2 3 2 6" xfId="4307" xr:uid="{00000000-0005-0000-0000-000002110000}"/>
    <cellStyle name="常规 2 3 2 7" xfId="4308" xr:uid="{00000000-0005-0000-0000-000003110000}"/>
    <cellStyle name="常规 2 3 2 8" xfId="4309" xr:uid="{00000000-0005-0000-0000-000004110000}"/>
    <cellStyle name="常规 2 3 2 9" xfId="764" xr:uid="{00000000-0005-0000-0000-00002B030000}"/>
    <cellStyle name="常规 2 3 3" xfId="4310" xr:uid="{00000000-0005-0000-0000-000005110000}"/>
    <cellStyle name="常规 2 3 3 2" xfId="1348" xr:uid="{00000000-0005-0000-0000-000073050000}"/>
    <cellStyle name="常规 2 3 3 3" xfId="4312" xr:uid="{00000000-0005-0000-0000-000007110000}"/>
    <cellStyle name="常规 2 3 4" xfId="4313" xr:uid="{00000000-0005-0000-0000-000008110000}"/>
    <cellStyle name="常规 2 3 4 2" xfId="4081" xr:uid="{00000000-0005-0000-0000-000020100000}"/>
    <cellStyle name="常规 2 3 4 3" xfId="4086" xr:uid="{00000000-0005-0000-0000-000025100000}"/>
    <cellStyle name="常规 2 3 5" xfId="4010" xr:uid="{00000000-0005-0000-0000-0000D90F0000}"/>
    <cellStyle name="常规 2 3 5 2" xfId="3024" xr:uid="{00000000-0005-0000-0000-0000FF0B0000}"/>
    <cellStyle name="常规 2 3 5 3" xfId="3026" xr:uid="{00000000-0005-0000-0000-0000010C0000}"/>
    <cellStyle name="常规 2 3 6" xfId="2182" xr:uid="{00000000-0005-0000-0000-0000B5080000}"/>
    <cellStyle name="常规 2 3 6 2" xfId="817" xr:uid="{00000000-0005-0000-0000-000060030000}"/>
    <cellStyle name="常规 2 3 6 3" xfId="1933" xr:uid="{00000000-0005-0000-0000-0000BC070000}"/>
    <cellStyle name="常规 2 3 7" xfId="2783" xr:uid="{00000000-0005-0000-0000-00000E0B0000}"/>
    <cellStyle name="常规 2 3 8" xfId="4083" xr:uid="{00000000-0005-0000-0000-000022100000}"/>
    <cellStyle name="常规 2 3 9" xfId="3712" xr:uid="{00000000-0005-0000-0000-0000AF0E0000}"/>
    <cellStyle name="常规 2 3_成本利润预算(公司目标)" xfId="4316" xr:uid="{00000000-0005-0000-0000-00000B110000}"/>
    <cellStyle name="常规 2 4" xfId="1440" xr:uid="{00000000-0005-0000-0000-0000CF050000}"/>
    <cellStyle name="常规 2 4 10" xfId="3778" xr:uid="{00000000-0005-0000-0000-0000F10E0000}"/>
    <cellStyle name="常规 2 4 11" xfId="3780" xr:uid="{00000000-0005-0000-0000-0000F30E0000}"/>
    <cellStyle name="常规 2 4 12" xfId="4317" xr:uid="{00000000-0005-0000-0000-00000C110000}"/>
    <cellStyle name="常规 2 4 13" xfId="4318" xr:uid="{00000000-0005-0000-0000-00000D110000}"/>
    <cellStyle name="常规 2 4 2" xfId="2984" xr:uid="{00000000-0005-0000-0000-0000D70B0000}"/>
    <cellStyle name="常规 2 4 2 10" xfId="4319" xr:uid="{00000000-0005-0000-0000-00000E110000}"/>
    <cellStyle name="常规 2 4 2 11" xfId="4320" xr:uid="{00000000-0005-0000-0000-00000F110000}"/>
    <cellStyle name="常规 2 4 2 12" xfId="4321" xr:uid="{00000000-0005-0000-0000-000010110000}"/>
    <cellStyle name="常规 2 4 2 2" xfId="3781" xr:uid="{00000000-0005-0000-0000-0000F40E0000}"/>
    <cellStyle name="常规 2 4 2 2 2" xfId="3323" xr:uid="{00000000-0005-0000-0000-00002A0D0000}"/>
    <cellStyle name="常规 2 4 2 2 3" xfId="3325" xr:uid="{00000000-0005-0000-0000-00002C0D0000}"/>
    <cellStyle name="常规 2 4 2 3" xfId="3783" xr:uid="{00000000-0005-0000-0000-0000F60E0000}"/>
    <cellStyle name="常规 2 4 2 3 2" xfId="2668" xr:uid="{00000000-0005-0000-0000-00009B0A0000}"/>
    <cellStyle name="常规 2 4 2 3 3" xfId="2673" xr:uid="{00000000-0005-0000-0000-0000A00A0000}"/>
    <cellStyle name="常规 2 4 2 4" xfId="3002" xr:uid="{00000000-0005-0000-0000-0000E90B0000}"/>
    <cellStyle name="常规 2 4 2 5" xfId="450" xr:uid="{00000000-0005-0000-0000-0000F1010000}"/>
    <cellStyle name="常规 2 4 2 6" xfId="4322" xr:uid="{00000000-0005-0000-0000-000011110000}"/>
    <cellStyle name="常规 2 4 2 7" xfId="4323" xr:uid="{00000000-0005-0000-0000-000012110000}"/>
    <cellStyle name="常规 2 4 2 8" xfId="4324" xr:uid="{00000000-0005-0000-0000-000013110000}"/>
    <cellStyle name="常规 2 4 2 9" xfId="4325" xr:uid="{00000000-0005-0000-0000-000014110000}"/>
    <cellStyle name="常规 2 4 3" xfId="2683" xr:uid="{00000000-0005-0000-0000-0000AA0A0000}"/>
    <cellStyle name="常规 2 4 3 2" xfId="1357" xr:uid="{00000000-0005-0000-0000-00007C050000}"/>
    <cellStyle name="常规 2 4 3 3" xfId="3788" xr:uid="{00000000-0005-0000-0000-0000FB0E0000}"/>
    <cellStyle name="常规 2 4 4" xfId="2685" xr:uid="{00000000-0005-0000-0000-0000AC0A0000}"/>
    <cellStyle name="常规 2 4 4 2" xfId="4327" xr:uid="{00000000-0005-0000-0000-000016110000}"/>
    <cellStyle name="常规 2 4 4 3" xfId="4331" xr:uid="{00000000-0005-0000-0000-00001A110000}"/>
    <cellStyle name="常规 2 4 5" xfId="4332" xr:uid="{00000000-0005-0000-0000-00001B110000}"/>
    <cellStyle name="常规 2 4 5 2" xfId="4333" xr:uid="{00000000-0005-0000-0000-00001C110000}"/>
    <cellStyle name="常规 2 4 5 3" xfId="748" xr:uid="{00000000-0005-0000-0000-00001B030000}"/>
    <cellStyle name="常规 2 4 6" xfId="4334" xr:uid="{00000000-0005-0000-0000-00001D110000}"/>
    <cellStyle name="常规 2 4 6 2" xfId="4335" xr:uid="{00000000-0005-0000-0000-00001E110000}"/>
    <cellStyle name="常规 2 4 6 3" xfId="719" xr:uid="{00000000-0005-0000-0000-0000FE020000}"/>
    <cellStyle name="常规 2 4 7" xfId="4336" xr:uid="{00000000-0005-0000-0000-00001F110000}"/>
    <cellStyle name="常规 2 4 8" xfId="4088" xr:uid="{00000000-0005-0000-0000-000027100000}"/>
    <cellStyle name="常规 2 4 9" xfId="4090" xr:uid="{00000000-0005-0000-0000-000029100000}"/>
    <cellStyle name="常规 2 4_成本利润预算(公司目标)" xfId="1700" xr:uid="{00000000-0005-0000-0000-0000D3060000}"/>
    <cellStyle name="常规 2 5" xfId="1443" xr:uid="{00000000-0005-0000-0000-0000D2050000}"/>
    <cellStyle name="常规 2 5 10" xfId="3362" xr:uid="{00000000-0005-0000-0000-0000510D0000}"/>
    <cellStyle name="常规 2 5 11" xfId="3366" xr:uid="{00000000-0005-0000-0000-0000550D0000}"/>
    <cellStyle name="常规 2 5 12" xfId="3370" xr:uid="{00000000-0005-0000-0000-0000590D0000}"/>
    <cellStyle name="常规 2 5 13" xfId="3373" xr:uid="{00000000-0005-0000-0000-00005C0D0000}"/>
    <cellStyle name="常规 2 5 2" xfId="4337" xr:uid="{00000000-0005-0000-0000-000020110000}"/>
    <cellStyle name="常规 2 5 2 10" xfId="3677" xr:uid="{00000000-0005-0000-0000-00008C0E0000}"/>
    <cellStyle name="常规 2 5 2 11" xfId="2911" xr:uid="{00000000-0005-0000-0000-00008E0B0000}"/>
    <cellStyle name="常规 2 5 2 12" xfId="4339" xr:uid="{00000000-0005-0000-0000-000022110000}"/>
    <cellStyle name="常规 2 5 2 2" xfId="3847" xr:uid="{00000000-0005-0000-0000-0000360F0000}"/>
    <cellStyle name="常规 2 5 2 2 2" xfId="4341" xr:uid="{00000000-0005-0000-0000-000024110000}"/>
    <cellStyle name="常规 2 5 2 2 3" xfId="3717" xr:uid="{00000000-0005-0000-0000-0000B40E0000}"/>
    <cellStyle name="常规 2 5 2 3" xfId="3850" xr:uid="{00000000-0005-0000-0000-0000390F0000}"/>
    <cellStyle name="常规 2 5 2 4" xfId="4343" xr:uid="{00000000-0005-0000-0000-000026110000}"/>
    <cellStyle name="常规 2 5 2 5" xfId="4345" xr:uid="{00000000-0005-0000-0000-000028110000}"/>
    <cellStyle name="常规 2 5 2 6" xfId="4346" xr:uid="{00000000-0005-0000-0000-000029110000}"/>
    <cellStyle name="常规 2 5 2 7" xfId="4347" xr:uid="{00000000-0005-0000-0000-00002A110000}"/>
    <cellStyle name="常规 2 5 2 8" xfId="1424" xr:uid="{00000000-0005-0000-0000-0000BF050000}"/>
    <cellStyle name="常规 2 5 2 9" xfId="1508" xr:uid="{00000000-0005-0000-0000-000013060000}"/>
    <cellStyle name="常规 2 5 3" xfId="2689" xr:uid="{00000000-0005-0000-0000-0000B00A0000}"/>
    <cellStyle name="常规 2 5 3 2" xfId="231" xr:uid="{00000000-0005-0000-0000-000011010000}"/>
    <cellStyle name="常规 2 5 3 3" xfId="3856" xr:uid="{00000000-0005-0000-0000-00003F0F0000}"/>
    <cellStyle name="常规 2 5 4" xfId="2691" xr:uid="{00000000-0005-0000-0000-0000B20A0000}"/>
    <cellStyle name="常规 2 5 5" xfId="4348" xr:uid="{00000000-0005-0000-0000-00002B110000}"/>
    <cellStyle name="常规 2 5 6" xfId="4349" xr:uid="{00000000-0005-0000-0000-00002C110000}"/>
    <cellStyle name="常规 2 5 7" xfId="4350" xr:uid="{00000000-0005-0000-0000-00002D110000}"/>
    <cellStyle name="常规 2 5 8" xfId="4092" xr:uid="{00000000-0005-0000-0000-00002B100000}"/>
    <cellStyle name="常规 2 5 9" xfId="4094" xr:uid="{00000000-0005-0000-0000-00002D100000}"/>
    <cellStyle name="常规 2 5_成本利润预算(公司目标)" xfId="4132" xr:uid="{00000000-0005-0000-0000-000053100000}"/>
    <cellStyle name="常规 2 6" xfId="1445" xr:uid="{00000000-0005-0000-0000-0000D4050000}"/>
    <cellStyle name="常规 2 6 10" xfId="4351" xr:uid="{00000000-0005-0000-0000-00002E110000}"/>
    <cellStyle name="常规 2 6 11" xfId="4352" xr:uid="{00000000-0005-0000-0000-00002F110000}"/>
    <cellStyle name="常规 2 6 12" xfId="2419" xr:uid="{00000000-0005-0000-0000-0000A2090000}"/>
    <cellStyle name="常规 2 6 13" xfId="4009" xr:uid="{00000000-0005-0000-0000-0000D80F0000}"/>
    <cellStyle name="常规 2 6 2" xfId="4353" xr:uid="{00000000-0005-0000-0000-000030110000}"/>
    <cellStyle name="常规 2 6 2 10" xfId="4354" xr:uid="{00000000-0005-0000-0000-000031110000}"/>
    <cellStyle name="常规 2 6 2 11" xfId="4355" xr:uid="{00000000-0005-0000-0000-000032110000}"/>
    <cellStyle name="常规 2 6 2 12" xfId="119" xr:uid="{00000000-0005-0000-0000-000089000000}"/>
    <cellStyle name="常规 2 6 2 2" xfId="3915" xr:uid="{00000000-0005-0000-0000-00007A0F0000}"/>
    <cellStyle name="常规 2 6 2 3" xfId="3921" xr:uid="{00000000-0005-0000-0000-0000800F0000}"/>
    <cellStyle name="常规 2 6 2 4" xfId="4357" xr:uid="{00000000-0005-0000-0000-000034110000}"/>
    <cellStyle name="常规 2 6 2 5" xfId="4359" xr:uid="{00000000-0005-0000-0000-000036110000}"/>
    <cellStyle name="常规 2 6 2 6" xfId="4361" xr:uid="{00000000-0005-0000-0000-000038110000}"/>
    <cellStyle name="常规 2 6 2 7" xfId="4363" xr:uid="{00000000-0005-0000-0000-00003A110000}"/>
    <cellStyle name="常规 2 6 2 8" xfId="4053" xr:uid="{00000000-0005-0000-0000-000004100000}"/>
    <cellStyle name="常规 2 6 2 9" xfId="4056" xr:uid="{00000000-0005-0000-0000-000007100000}"/>
    <cellStyle name="常规 2 6 3" xfId="4364" xr:uid="{00000000-0005-0000-0000-00003B110000}"/>
    <cellStyle name="常规 2 6 4" xfId="3815" xr:uid="{00000000-0005-0000-0000-0000160F0000}"/>
    <cellStyle name="常规 2 6 5" xfId="3817" xr:uid="{00000000-0005-0000-0000-0000180F0000}"/>
    <cellStyle name="常规 2 6 6" xfId="3819" xr:uid="{00000000-0005-0000-0000-00001A0F0000}"/>
    <cellStyle name="常规 2 6 7" xfId="3823" xr:uid="{00000000-0005-0000-0000-00001E0F0000}"/>
    <cellStyle name="常规 2 6 8" xfId="204" xr:uid="{00000000-0005-0000-0000-0000EE000000}"/>
    <cellStyle name="常规 2 6 9" xfId="207" xr:uid="{00000000-0005-0000-0000-0000F3000000}"/>
    <cellStyle name="常规 2 6_成本利润预算(公司目标)" xfId="4365" xr:uid="{00000000-0005-0000-0000-00003C110000}"/>
    <cellStyle name="常规 2 7" xfId="2741" xr:uid="{00000000-0005-0000-0000-0000E40A0000}"/>
    <cellStyle name="常规 2 7 10" xfId="4366" xr:uid="{00000000-0005-0000-0000-00003D110000}"/>
    <cellStyle name="常规 2 7 11" xfId="4367" xr:uid="{00000000-0005-0000-0000-00003E110000}"/>
    <cellStyle name="常规 2 7 12" xfId="4368" xr:uid="{00000000-0005-0000-0000-00003F110000}"/>
    <cellStyle name="常规 2 7 2" xfId="661" xr:uid="{00000000-0005-0000-0000-0000C4020000}"/>
    <cellStyle name="常规 2 7 2 2" xfId="675" xr:uid="{00000000-0005-0000-0000-0000D2020000}"/>
    <cellStyle name="常规 2 7 2 3" xfId="687" xr:uid="{00000000-0005-0000-0000-0000DE020000}"/>
    <cellStyle name="常规 2 7 3" xfId="4369" xr:uid="{00000000-0005-0000-0000-000040110000}"/>
    <cellStyle name="常规 2 7 4" xfId="4370" xr:uid="{00000000-0005-0000-0000-000041110000}"/>
    <cellStyle name="常规 2 7 5" xfId="4371" xr:uid="{00000000-0005-0000-0000-000042110000}"/>
    <cellStyle name="常规 2 7 6" xfId="4372" xr:uid="{00000000-0005-0000-0000-000043110000}"/>
    <cellStyle name="常规 2 7 7" xfId="4373" xr:uid="{00000000-0005-0000-0000-000044110000}"/>
    <cellStyle name="常规 2 7 8" xfId="4374" xr:uid="{00000000-0005-0000-0000-000045110000}"/>
    <cellStyle name="常规 2 7 9" xfId="4375" xr:uid="{00000000-0005-0000-0000-000046110000}"/>
    <cellStyle name="常规 2 7_成本利润预算(公司目标)" xfId="2831" xr:uid="{00000000-0005-0000-0000-00003E0B0000}"/>
    <cellStyle name="常规 2 8" xfId="4049" xr:uid="{00000000-0005-0000-0000-000000100000}"/>
    <cellStyle name="常规 2 8 10" xfId="650" xr:uid="{00000000-0005-0000-0000-0000B9020000}"/>
    <cellStyle name="常规 2 8 11" xfId="4377" xr:uid="{00000000-0005-0000-0000-000048110000}"/>
    <cellStyle name="常规 2 8 12" xfId="4379" xr:uid="{00000000-0005-0000-0000-00004A110000}"/>
    <cellStyle name="常规 2 8 2" xfId="4381" xr:uid="{00000000-0005-0000-0000-00004C110000}"/>
    <cellStyle name="常规 2 8 2 2" xfId="4035" xr:uid="{00000000-0005-0000-0000-0000F20F0000}"/>
    <cellStyle name="常规 2 8 2 3" xfId="4383" xr:uid="{00000000-0005-0000-0000-00004E110000}"/>
    <cellStyle name="常规 2 8 3" xfId="4385" xr:uid="{00000000-0005-0000-0000-000050110000}"/>
    <cellStyle name="常规 2 8 4" xfId="4389" xr:uid="{00000000-0005-0000-0000-000054110000}"/>
    <cellStyle name="常规 2 8 5" xfId="4393" xr:uid="{00000000-0005-0000-0000-000058110000}"/>
    <cellStyle name="常规 2 8 6" xfId="4397" xr:uid="{00000000-0005-0000-0000-00005C110000}"/>
    <cellStyle name="常规 2 8 7" xfId="3231" xr:uid="{00000000-0005-0000-0000-0000CE0C0000}"/>
    <cellStyle name="常规 2 8 8" xfId="4400" xr:uid="{00000000-0005-0000-0000-00005F110000}"/>
    <cellStyle name="常规 2 8 9" xfId="4158" xr:uid="{00000000-0005-0000-0000-00006D100000}"/>
    <cellStyle name="常规 2 8_成本利润预算(公司目标)" xfId="4402" xr:uid="{00000000-0005-0000-0000-000061110000}"/>
    <cellStyle name="常规 2 9" xfId="4404" xr:uid="{00000000-0005-0000-0000-000063110000}"/>
    <cellStyle name="常规 2 9 10" xfId="1120" xr:uid="{00000000-0005-0000-0000-00008F040000}"/>
    <cellStyle name="常规 2 9 11" xfId="3787" xr:uid="{00000000-0005-0000-0000-0000FA0E0000}"/>
    <cellStyle name="常规 2 9 12" xfId="3485" xr:uid="{00000000-0005-0000-0000-0000CC0D0000}"/>
    <cellStyle name="常规 2 9 2" xfId="3452" xr:uid="{00000000-0005-0000-0000-0000AB0D0000}"/>
    <cellStyle name="常规 2 9 2 2" xfId="4406" xr:uid="{00000000-0005-0000-0000-000065110000}"/>
    <cellStyle name="常规 2 9 2 3" xfId="4407" xr:uid="{00000000-0005-0000-0000-000066110000}"/>
    <cellStyle name="常规 2 9 3" xfId="3455" xr:uid="{00000000-0005-0000-0000-0000AE0D0000}"/>
    <cellStyle name="常规 2 9 4" xfId="3459" xr:uid="{00000000-0005-0000-0000-0000B20D0000}"/>
    <cellStyle name="常规 2 9 5" xfId="3462" xr:uid="{00000000-0005-0000-0000-0000B50D0000}"/>
    <cellStyle name="常规 2 9 6" xfId="4408" xr:uid="{00000000-0005-0000-0000-000067110000}"/>
    <cellStyle name="常规 2 9 7" xfId="4409" xr:uid="{00000000-0005-0000-0000-000068110000}"/>
    <cellStyle name="常规 2 9 8" xfId="4410" xr:uid="{00000000-0005-0000-0000-000069110000}"/>
    <cellStyle name="常规 2 9 9" xfId="4411" xr:uid="{00000000-0005-0000-0000-00006A110000}"/>
    <cellStyle name="常规 2 9_成本利润预算(公司目标)" xfId="361" xr:uid="{00000000-0005-0000-0000-000098010000}"/>
    <cellStyle name="常规 2_Book1" xfId="4412" xr:uid="{00000000-0005-0000-0000-00006B110000}"/>
    <cellStyle name="常规 20" xfId="3415" xr:uid="{00000000-0005-0000-0000-0000860D0000}"/>
    <cellStyle name="常规 20 2" xfId="4210" xr:uid="{00000000-0005-0000-0000-0000A1100000}"/>
    <cellStyle name="常规 20 2 2" xfId="4413" xr:uid="{00000000-0005-0000-0000-00006C110000}"/>
    <cellStyle name="常规 20 2 3" xfId="4415" xr:uid="{00000000-0005-0000-0000-00006E110000}"/>
    <cellStyle name="常规 20 2 4" xfId="4416" xr:uid="{00000000-0005-0000-0000-00006F110000}"/>
    <cellStyle name="常规 20 3" xfId="4212" xr:uid="{00000000-0005-0000-0000-0000A3100000}"/>
    <cellStyle name="常规 20 4" xfId="2874" xr:uid="{00000000-0005-0000-0000-0000690B0000}"/>
    <cellStyle name="常规 21" xfId="4214" xr:uid="{00000000-0005-0000-0000-0000A5100000}"/>
    <cellStyle name="常规 21 2" xfId="4216" xr:uid="{00000000-0005-0000-0000-0000A7100000}"/>
    <cellStyle name="常规 21 3" xfId="4218" xr:uid="{00000000-0005-0000-0000-0000A9100000}"/>
    <cellStyle name="常规 21 4" xfId="4417" xr:uid="{00000000-0005-0000-0000-000070110000}"/>
    <cellStyle name="常规 22" xfId="4172" xr:uid="{00000000-0005-0000-0000-00007B100000}"/>
    <cellStyle name="常规 22 2" xfId="4221" xr:uid="{00000000-0005-0000-0000-0000AC100000}"/>
    <cellStyle name="常规 22 3" xfId="4224" xr:uid="{00000000-0005-0000-0000-0000AF100000}"/>
    <cellStyle name="常规 22 4" xfId="4226" xr:uid="{00000000-0005-0000-0000-0000B1100000}"/>
    <cellStyle name="常规 23" xfId="2144" xr:uid="{00000000-0005-0000-0000-00008F080000}"/>
    <cellStyle name="常规 23 2" xfId="644" xr:uid="{00000000-0005-0000-0000-0000B3020000}"/>
    <cellStyle name="常规 23 3" xfId="4229" xr:uid="{00000000-0005-0000-0000-0000B4100000}"/>
    <cellStyle name="常规 24" xfId="2151" xr:uid="{00000000-0005-0000-0000-000096080000}"/>
    <cellStyle name="常规 24 2" xfId="4233" xr:uid="{00000000-0005-0000-0000-0000B8100000}"/>
    <cellStyle name="常规 24 3" xfId="1678" xr:uid="{00000000-0005-0000-0000-0000BD060000}"/>
    <cellStyle name="常规 25" xfId="2157" xr:uid="{00000000-0005-0000-0000-00009C080000}"/>
    <cellStyle name="常规 25 2" xfId="2896" xr:uid="{00000000-0005-0000-0000-00007F0B0000}"/>
    <cellStyle name="常规 25 3" xfId="4419" xr:uid="{00000000-0005-0000-0000-000072110000}"/>
    <cellStyle name="常规 26 2" xfId="30" xr:uid="{00000000-0005-0000-0000-000023000000}"/>
    <cellStyle name="常规 26 3" xfId="225" xr:uid="{00000000-0005-0000-0000-000009010000}"/>
    <cellStyle name="常规 27 2" xfId="2849" xr:uid="{00000000-0005-0000-0000-0000500B0000}"/>
    <cellStyle name="常规 27 3" xfId="4422" xr:uid="{00000000-0005-0000-0000-000075110000}"/>
    <cellStyle name="常规 28" xfId="2854" xr:uid="{00000000-0005-0000-0000-0000550B0000}"/>
    <cellStyle name="常规 28 2" xfId="2903" xr:uid="{00000000-0005-0000-0000-0000860B0000}"/>
    <cellStyle name="常规 28 3" xfId="4162" xr:uid="{00000000-0005-0000-0000-000071100000}"/>
    <cellStyle name="常规 28 4" xfId="4424" xr:uid="{00000000-0005-0000-0000-000077110000}"/>
    <cellStyle name="常规 29" xfId="2318" xr:uid="{00000000-0005-0000-0000-00003D090000}"/>
    <cellStyle name="常规 29 2" xfId="2326" xr:uid="{00000000-0005-0000-0000-000045090000}"/>
    <cellStyle name="常规 29 3" xfId="1092" xr:uid="{00000000-0005-0000-0000-000073040000}"/>
    <cellStyle name="常规 29 4" xfId="83" xr:uid="{00000000-0005-0000-0000-000062000000}"/>
    <cellStyle name="常规 3" xfId="4428" xr:uid="{00000000-0005-0000-0000-00007B110000}"/>
    <cellStyle name="常规 3 10" xfId="4430" xr:uid="{00000000-0005-0000-0000-00007D110000}"/>
    <cellStyle name="常规 3 10 2" xfId="4431" xr:uid="{00000000-0005-0000-0000-00007E110000}"/>
    <cellStyle name="常规 3 10 3" xfId="2452" xr:uid="{00000000-0005-0000-0000-0000C3090000}"/>
    <cellStyle name="常规 3 11" xfId="4432" xr:uid="{00000000-0005-0000-0000-00007F110000}"/>
    <cellStyle name="常规 3 11 2" xfId="4433" xr:uid="{00000000-0005-0000-0000-000080110000}"/>
    <cellStyle name="常规 3 11 3" xfId="4435" xr:uid="{00000000-0005-0000-0000-000082110000}"/>
    <cellStyle name="常规 3 12" xfId="4436" xr:uid="{00000000-0005-0000-0000-000083110000}"/>
    <cellStyle name="常规 3 12 2" xfId="4437" xr:uid="{00000000-0005-0000-0000-000084110000}"/>
    <cellStyle name="常规 3 12 3" xfId="4438" xr:uid="{00000000-0005-0000-0000-000085110000}"/>
    <cellStyle name="常规 3 13" xfId="4439" xr:uid="{00000000-0005-0000-0000-000086110000}"/>
    <cellStyle name="常规 3 13 2" xfId="1808" xr:uid="{00000000-0005-0000-0000-00003F070000}"/>
    <cellStyle name="常规 3 13 3" xfId="1818" xr:uid="{00000000-0005-0000-0000-000049070000}"/>
    <cellStyle name="常规 3 14" xfId="4440" xr:uid="{00000000-0005-0000-0000-000087110000}"/>
    <cellStyle name="常规 3 15" xfId="4441" xr:uid="{00000000-0005-0000-0000-000088110000}"/>
    <cellStyle name="常规 3 16" xfId="4442" xr:uid="{00000000-0005-0000-0000-000089110000}"/>
    <cellStyle name="常规 3 17" xfId="4443" xr:uid="{00000000-0005-0000-0000-00008A110000}"/>
    <cellStyle name="常规 3 18" xfId="3267" xr:uid="{00000000-0005-0000-0000-0000F20C0000}"/>
    <cellStyle name="常规 3 19" xfId="3269" xr:uid="{00000000-0005-0000-0000-0000F40C0000}"/>
    <cellStyle name="常规 3 2" xfId="3920" xr:uid="{00000000-0005-0000-0000-00007F0F0000}"/>
    <cellStyle name="常规 3 2 10" xfId="4444" xr:uid="{00000000-0005-0000-0000-00008B110000}"/>
    <cellStyle name="常规 3 2 11" xfId="4445" xr:uid="{00000000-0005-0000-0000-00008C110000}"/>
    <cellStyle name="常规 3 2 12" xfId="3329" xr:uid="{00000000-0005-0000-0000-0000300D0000}"/>
    <cellStyle name="常规 3 2 13" xfId="3344" xr:uid="{00000000-0005-0000-0000-00003F0D0000}"/>
    <cellStyle name="常规 3 2 2" xfId="4446" xr:uid="{00000000-0005-0000-0000-00008D110000}"/>
    <cellStyle name="常规 3 2 2 2" xfId="4448" xr:uid="{00000000-0005-0000-0000-00008F110000}"/>
    <cellStyle name="常规 3 2 2 3" xfId="4248" xr:uid="{00000000-0005-0000-0000-0000C7100000}"/>
    <cellStyle name="常规 3 2 3" xfId="4449" xr:uid="{00000000-0005-0000-0000-000090110000}"/>
    <cellStyle name="常规 3 2 3 2" xfId="855" xr:uid="{00000000-0005-0000-0000-000086030000}"/>
    <cellStyle name="常规 3 2 3 3" xfId="4254" xr:uid="{00000000-0005-0000-0000-0000CD100000}"/>
    <cellStyle name="常规 3 2 4" xfId="4450" xr:uid="{00000000-0005-0000-0000-000091110000}"/>
    <cellStyle name="常规 3 2 5" xfId="1655" xr:uid="{00000000-0005-0000-0000-0000A6060000}"/>
    <cellStyle name="常规 3 2 6" xfId="1768" xr:uid="{00000000-0005-0000-0000-000017070000}"/>
    <cellStyle name="常规 3 2 7" xfId="1837" xr:uid="{00000000-0005-0000-0000-00005C070000}"/>
    <cellStyle name="常规 3 2 8" xfId="1890" xr:uid="{00000000-0005-0000-0000-000091070000}"/>
    <cellStyle name="常规 3 2 9" xfId="941" xr:uid="{00000000-0005-0000-0000-0000DC030000}"/>
    <cellStyle name="常规 3 3" xfId="4356" xr:uid="{00000000-0005-0000-0000-000033110000}"/>
    <cellStyle name="常规 3 3 10" xfId="4451" xr:uid="{00000000-0005-0000-0000-000092110000}"/>
    <cellStyle name="常规 3 3 11" xfId="3796" xr:uid="{00000000-0005-0000-0000-0000030F0000}"/>
    <cellStyle name="常规 3 3 12" xfId="3378" xr:uid="{00000000-0005-0000-0000-0000610D0000}"/>
    <cellStyle name="常规 3 3 13" xfId="3390" xr:uid="{00000000-0005-0000-0000-00006D0D0000}"/>
    <cellStyle name="常规 3 3 2" xfId="1039" xr:uid="{00000000-0005-0000-0000-00003E040000}"/>
    <cellStyle name="常规 3 3 2 2" xfId="4452" xr:uid="{00000000-0005-0000-0000-000093110000}"/>
    <cellStyle name="常规 3 3 2 3" xfId="4454" xr:uid="{00000000-0005-0000-0000-000095110000}"/>
    <cellStyle name="常规 3 3 3" xfId="4455" xr:uid="{00000000-0005-0000-0000-000096110000}"/>
    <cellStyle name="常规 3 3 3 2" xfId="1077" xr:uid="{00000000-0005-0000-0000-000064040000}"/>
    <cellStyle name="常规 3 3 3 3" xfId="4457" xr:uid="{00000000-0005-0000-0000-000098110000}"/>
    <cellStyle name="常规 3 3 4" xfId="4458" xr:uid="{00000000-0005-0000-0000-000099110000}"/>
    <cellStyle name="常规 3 3 5" xfId="731" xr:uid="{00000000-0005-0000-0000-00000A030000}"/>
    <cellStyle name="常规 3 3 6" xfId="739" xr:uid="{00000000-0005-0000-0000-000012030000}"/>
    <cellStyle name="常规 3 3 7" xfId="1380" xr:uid="{00000000-0005-0000-0000-000093050000}"/>
    <cellStyle name="常规 3 3 8" xfId="2036" xr:uid="{00000000-0005-0000-0000-000023080000}"/>
    <cellStyle name="常规 3 3 9" xfId="453" xr:uid="{00000000-0005-0000-0000-0000F4010000}"/>
    <cellStyle name="常规 3 4" xfId="4358" xr:uid="{00000000-0005-0000-0000-000035110000}"/>
    <cellStyle name="常规 3 4 10" xfId="4459" xr:uid="{00000000-0005-0000-0000-00009A110000}"/>
    <cellStyle name="常规 3 4 11" xfId="4460" xr:uid="{00000000-0005-0000-0000-00009B110000}"/>
    <cellStyle name="常规 3 4 12" xfId="4461" xr:uid="{00000000-0005-0000-0000-00009C110000}"/>
    <cellStyle name="常规 3 4 13" xfId="4462" xr:uid="{00000000-0005-0000-0000-00009D110000}"/>
    <cellStyle name="常规 3 4 2" xfId="3706" xr:uid="{00000000-0005-0000-0000-0000A90E0000}"/>
    <cellStyle name="常规 3 4 2 2" xfId="3708" xr:uid="{00000000-0005-0000-0000-0000AB0E0000}"/>
    <cellStyle name="常规 3 4 2 3" xfId="3711" xr:uid="{00000000-0005-0000-0000-0000AE0E0000}"/>
    <cellStyle name="常规 3 4 3" xfId="26" xr:uid="{00000000-0005-0000-0000-00001E000000}"/>
    <cellStyle name="常规 3 4 3 2" xfId="1644" xr:uid="{00000000-0005-0000-0000-00009B060000}"/>
    <cellStyle name="常规 3 4 3 3" xfId="3591" xr:uid="{00000000-0005-0000-0000-0000360E0000}"/>
    <cellStyle name="常规 3 4 4" xfId="4463" xr:uid="{00000000-0005-0000-0000-00009E110000}"/>
    <cellStyle name="常规 3 4 5" xfId="2065" xr:uid="{00000000-0005-0000-0000-000040080000}"/>
    <cellStyle name="常规 3 4 6" xfId="2167" xr:uid="{00000000-0005-0000-0000-0000A6080000}"/>
    <cellStyle name="常规 3 4 7" xfId="989" xr:uid="{00000000-0005-0000-0000-00000C040000}"/>
    <cellStyle name="常规 3 4 8" xfId="996" xr:uid="{00000000-0005-0000-0000-000013040000}"/>
    <cellStyle name="常规 3 4 9" xfId="1469" xr:uid="{00000000-0005-0000-0000-0000EC050000}"/>
    <cellStyle name="常规 3 5" xfId="4360" xr:uid="{00000000-0005-0000-0000-000037110000}"/>
    <cellStyle name="常规 3 5 2" xfId="4464" xr:uid="{00000000-0005-0000-0000-00009F110000}"/>
    <cellStyle name="常规 3 5 2 2" xfId="4465" xr:uid="{00000000-0005-0000-0000-0000A0110000}"/>
    <cellStyle name="常规 3 5 2 3" xfId="4467" xr:uid="{00000000-0005-0000-0000-0000A2110000}"/>
    <cellStyle name="常规 3 5 3" xfId="4468" xr:uid="{00000000-0005-0000-0000-0000A3110000}"/>
    <cellStyle name="常规 3 5 4" xfId="4469" xr:uid="{00000000-0005-0000-0000-0000A4110000}"/>
    <cellStyle name="常规 3 6" xfId="4362" xr:uid="{00000000-0005-0000-0000-000039110000}"/>
    <cellStyle name="常规 3 6 2" xfId="4470" xr:uid="{00000000-0005-0000-0000-0000A5110000}"/>
    <cellStyle name="常规 3 6 2 2" xfId="4471" xr:uid="{00000000-0005-0000-0000-0000A6110000}"/>
    <cellStyle name="常规 3 6 2 3" xfId="4472" xr:uid="{00000000-0005-0000-0000-0000A7110000}"/>
    <cellStyle name="常规 3 6 3" xfId="4473" xr:uid="{00000000-0005-0000-0000-0000A8110000}"/>
    <cellStyle name="常规 3 6 4" xfId="4475" xr:uid="{00000000-0005-0000-0000-0000AA110000}"/>
    <cellStyle name="常规 3 7" xfId="4051" xr:uid="{00000000-0005-0000-0000-000002100000}"/>
    <cellStyle name="常规 3 7 2" xfId="3594" xr:uid="{00000000-0005-0000-0000-0000390E0000}"/>
    <cellStyle name="常规 3 7 2 2" xfId="4476" xr:uid="{00000000-0005-0000-0000-0000AB110000}"/>
    <cellStyle name="常规 3 7 2 3" xfId="4434" xr:uid="{00000000-0005-0000-0000-000081110000}"/>
    <cellStyle name="常规 3 7 3" xfId="697" xr:uid="{00000000-0005-0000-0000-0000E8020000}"/>
    <cellStyle name="常规 3 7 4" xfId="701" xr:uid="{00000000-0005-0000-0000-0000EC020000}"/>
    <cellStyle name="常规 3 8" xfId="4054" xr:uid="{00000000-0005-0000-0000-000005100000}"/>
    <cellStyle name="常规 3 8 2" xfId="4477" xr:uid="{00000000-0005-0000-0000-0000AC110000}"/>
    <cellStyle name="常规 3 8 2 2" xfId="4478" xr:uid="{00000000-0005-0000-0000-0000AD110000}"/>
    <cellStyle name="常规 3 8 2 3" xfId="4479" xr:uid="{00000000-0005-0000-0000-0000AE110000}"/>
    <cellStyle name="常规 3 8 3" xfId="4480" xr:uid="{00000000-0005-0000-0000-0000AF110000}"/>
    <cellStyle name="常规 3 8 4" xfId="4481" xr:uid="{00000000-0005-0000-0000-0000B0110000}"/>
    <cellStyle name="常规 3 9" xfId="4482" xr:uid="{00000000-0005-0000-0000-0000B1110000}"/>
    <cellStyle name="常规 3 9 2" xfId="4483" xr:uid="{00000000-0005-0000-0000-0000B2110000}"/>
    <cellStyle name="常规 3 9 2 2" xfId="4484" xr:uid="{00000000-0005-0000-0000-0000B3110000}"/>
    <cellStyle name="常规 3 9 2 3" xfId="4485" xr:uid="{00000000-0005-0000-0000-0000B4110000}"/>
    <cellStyle name="常规 3 9 3" xfId="1089" xr:uid="{00000000-0005-0000-0000-000070040000}"/>
    <cellStyle name="常规 3 9 4" xfId="2" xr:uid="{00000000-0005-0000-0000-000003000000}"/>
    <cellStyle name="常规 3_成本利润预算(公司目标)" xfId="2020" xr:uid="{00000000-0005-0000-0000-000013080000}"/>
    <cellStyle name="常规 30" xfId="2158" xr:uid="{00000000-0005-0000-0000-00009D080000}"/>
    <cellStyle name="常规 30 2" xfId="2897" xr:uid="{00000000-0005-0000-0000-0000800B0000}"/>
    <cellStyle name="常规 31" xfId="162" xr:uid="{00000000-0005-0000-0000-0000B9000000}"/>
    <cellStyle name="常规 31 2" xfId="31" xr:uid="{00000000-0005-0000-0000-000024000000}"/>
    <cellStyle name="常规 31 3" xfId="226" xr:uid="{00000000-0005-0000-0000-00000A010000}"/>
    <cellStyle name="常规 31 4" xfId="235" xr:uid="{00000000-0005-0000-0000-000015010000}"/>
    <cellStyle name="常规 32" xfId="2839" xr:uid="{00000000-0005-0000-0000-0000460B0000}"/>
    <cellStyle name="常规 32 2" xfId="2850" xr:uid="{00000000-0005-0000-0000-0000510B0000}"/>
    <cellStyle name="常规 32 3" xfId="4423" xr:uid="{00000000-0005-0000-0000-000076110000}"/>
    <cellStyle name="常规 32 4" xfId="4486" xr:uid="{00000000-0005-0000-0000-0000B5110000}"/>
    <cellStyle name="常规 33" xfId="2855" xr:uid="{00000000-0005-0000-0000-0000560B0000}"/>
    <cellStyle name="常规 33 2" xfId="2904" xr:uid="{00000000-0005-0000-0000-0000870B0000}"/>
    <cellStyle name="常规 33 3" xfId="4163" xr:uid="{00000000-0005-0000-0000-000072100000}"/>
    <cellStyle name="常规 33 4" xfId="4425" xr:uid="{00000000-0005-0000-0000-000078110000}"/>
    <cellStyle name="常规 34" xfId="2319" xr:uid="{00000000-0005-0000-0000-00003E090000}"/>
    <cellStyle name="常规 34 2" xfId="2327" xr:uid="{00000000-0005-0000-0000-000046090000}"/>
    <cellStyle name="常规 35" xfId="1522" xr:uid="{00000000-0005-0000-0000-000021060000}"/>
    <cellStyle name="常规 35 2" xfId="1531" xr:uid="{00000000-0005-0000-0000-00002A060000}"/>
    <cellStyle name="常规 36" xfId="863" xr:uid="{00000000-0005-0000-0000-00008E030000}"/>
    <cellStyle name="常规 36 2" xfId="1540" xr:uid="{00000000-0005-0000-0000-000033060000}"/>
    <cellStyle name="常规 36 3" xfId="4488" xr:uid="{00000000-0005-0000-0000-0000B7110000}"/>
    <cellStyle name="常规 36 4" xfId="4489" xr:uid="{00000000-0005-0000-0000-0000B8110000}"/>
    <cellStyle name="常规 37" xfId="871" xr:uid="{00000000-0005-0000-0000-000096030000}"/>
    <cellStyle name="常规 37 2" xfId="826" xr:uid="{00000000-0005-0000-0000-000069030000}"/>
    <cellStyle name="常规 37 3" xfId="2519" xr:uid="{00000000-0005-0000-0000-0000060A0000}"/>
    <cellStyle name="常规 37 4" xfId="2530" xr:uid="{00000000-0005-0000-0000-0000110A0000}"/>
    <cellStyle name="常规 38" xfId="1545" xr:uid="{00000000-0005-0000-0000-000038060000}"/>
    <cellStyle name="常规 38 2" xfId="1551" xr:uid="{00000000-0005-0000-0000-00003E060000}"/>
    <cellStyle name="常规 39" xfId="12" xr:uid="{00000000-0005-0000-0000-00000F000000}"/>
    <cellStyle name="常规 39 2" xfId="1557" xr:uid="{00000000-0005-0000-0000-000044060000}"/>
    <cellStyle name="常规 4" xfId="3754" xr:uid="{00000000-0005-0000-0000-0000D90E0000}"/>
    <cellStyle name="常规 4 10" xfId="4490" xr:uid="{00000000-0005-0000-0000-0000B9110000}"/>
    <cellStyle name="常规 4 10 2" xfId="3335" xr:uid="{00000000-0005-0000-0000-0000360D0000}"/>
    <cellStyle name="常规 4 10 3" xfId="3338" xr:uid="{00000000-0005-0000-0000-0000390D0000}"/>
    <cellStyle name="常规 4 11" xfId="4491" xr:uid="{00000000-0005-0000-0000-0000BA110000}"/>
    <cellStyle name="常规 4 11 2" xfId="3347" xr:uid="{00000000-0005-0000-0000-0000420D0000}"/>
    <cellStyle name="常规 4 11 3" xfId="4492" xr:uid="{00000000-0005-0000-0000-0000BB110000}"/>
    <cellStyle name="常规 4 12" xfId="4493" xr:uid="{00000000-0005-0000-0000-0000BC110000}"/>
    <cellStyle name="常规 4 12 2" xfId="3351" xr:uid="{00000000-0005-0000-0000-0000460D0000}"/>
    <cellStyle name="常规 4 12 3" xfId="64" xr:uid="{00000000-0005-0000-0000-00004B000000}"/>
    <cellStyle name="常规 4 13" xfId="4494" xr:uid="{00000000-0005-0000-0000-0000BD110000}"/>
    <cellStyle name="常规 4 13 2" xfId="3356" xr:uid="{00000000-0005-0000-0000-00004B0D0000}"/>
    <cellStyle name="常规 4 13 3" xfId="4495" xr:uid="{00000000-0005-0000-0000-0000BE110000}"/>
    <cellStyle name="常规 4 14" xfId="4496" xr:uid="{00000000-0005-0000-0000-0000BF110000}"/>
    <cellStyle name="常规 4 15" xfId="3763" xr:uid="{00000000-0005-0000-0000-0000E20E0000}"/>
    <cellStyle name="常规 4 16" xfId="3766" xr:uid="{00000000-0005-0000-0000-0000E50E0000}"/>
    <cellStyle name="常规 4 17" xfId="4497" xr:uid="{00000000-0005-0000-0000-0000C0110000}"/>
    <cellStyle name="常规 4 18" xfId="4498" xr:uid="{00000000-0005-0000-0000-0000C1110000}"/>
    <cellStyle name="常规 4 19" xfId="4499" xr:uid="{00000000-0005-0000-0000-0000C2110000}"/>
    <cellStyle name="常规 4 2" xfId="3926" xr:uid="{00000000-0005-0000-0000-0000850F0000}"/>
    <cellStyle name="常规 4 2 10" xfId="4500" xr:uid="{00000000-0005-0000-0000-0000C3110000}"/>
    <cellStyle name="常规 4 2 11" xfId="4501" xr:uid="{00000000-0005-0000-0000-0000C4110000}"/>
    <cellStyle name="常规 4 2 12" xfId="4502" xr:uid="{00000000-0005-0000-0000-0000C5110000}"/>
    <cellStyle name="常规 4 2 13" xfId="4503" xr:uid="{00000000-0005-0000-0000-0000C6110000}"/>
    <cellStyle name="常规 4 2 2" xfId="4504" xr:uid="{00000000-0005-0000-0000-0000C7110000}"/>
    <cellStyle name="常规 4 2 2 10" xfId="4386" xr:uid="{00000000-0005-0000-0000-000051110000}"/>
    <cellStyle name="常规 4 2 2 11" xfId="4390" xr:uid="{00000000-0005-0000-0000-000055110000}"/>
    <cellStyle name="常规 4 2 2 12" xfId="4394" xr:uid="{00000000-0005-0000-0000-000059110000}"/>
    <cellStyle name="常规 4 2 2 2" xfId="141" xr:uid="{00000000-0005-0000-0000-0000A0000000}"/>
    <cellStyle name="常规 4 2 2 3" xfId="76" xr:uid="{00000000-0005-0000-0000-00005B000000}"/>
    <cellStyle name="常规 4 2 2 4" xfId="434" xr:uid="{00000000-0005-0000-0000-0000E1010000}"/>
    <cellStyle name="常规 4 2 2 5" xfId="1947" xr:uid="{00000000-0005-0000-0000-0000CA070000}"/>
    <cellStyle name="常规 4 2 2 6" xfId="1954" xr:uid="{00000000-0005-0000-0000-0000D1070000}"/>
    <cellStyle name="常规 4 2 2 7" xfId="4506" xr:uid="{00000000-0005-0000-0000-0000C9110000}"/>
    <cellStyle name="常规 4 2 2 8" xfId="4509" xr:uid="{00000000-0005-0000-0000-0000CC110000}"/>
    <cellStyle name="常规 4 2 2 9" xfId="4511" xr:uid="{00000000-0005-0000-0000-0000CE110000}"/>
    <cellStyle name="常规 4 2 3" xfId="4513" xr:uid="{00000000-0005-0000-0000-0000D0110000}"/>
    <cellStyle name="常规 4 2 4" xfId="4122" xr:uid="{00000000-0005-0000-0000-000049100000}"/>
    <cellStyle name="常规 4 2 5" xfId="4515" xr:uid="{00000000-0005-0000-0000-0000D2110000}"/>
    <cellStyle name="常规 4 2 6" xfId="4517" xr:uid="{00000000-0005-0000-0000-0000D4110000}"/>
    <cellStyle name="常规 4 2 7" xfId="2653" xr:uid="{00000000-0005-0000-0000-00008C0A0000}"/>
    <cellStyle name="常规 4 2 8" xfId="1931" xr:uid="{00000000-0005-0000-0000-0000BA070000}"/>
    <cellStyle name="常规 4 2 9" xfId="1537" xr:uid="{00000000-0005-0000-0000-000030060000}"/>
    <cellStyle name="常规 4 20" xfId="3764" xr:uid="{00000000-0005-0000-0000-0000E30E0000}"/>
    <cellStyle name="常规 4 3" xfId="4519" xr:uid="{00000000-0005-0000-0000-0000D6110000}"/>
    <cellStyle name="常规 4 3 10" xfId="4311" xr:uid="{00000000-0005-0000-0000-000006110000}"/>
    <cellStyle name="常规 4 3 11" xfId="4314" xr:uid="{00000000-0005-0000-0000-000009110000}"/>
    <cellStyle name="常规 4 3 12" xfId="4011" xr:uid="{00000000-0005-0000-0000-0000DA0F0000}"/>
    <cellStyle name="常规 4 3 13" xfId="2183" xr:uid="{00000000-0005-0000-0000-0000B6080000}"/>
    <cellStyle name="常规 4 3 2" xfId="4521" xr:uid="{00000000-0005-0000-0000-0000D8110000}"/>
    <cellStyle name="常规 4 3 2 2" xfId="4523" xr:uid="{00000000-0005-0000-0000-0000DA110000}"/>
    <cellStyle name="常规 4 3 2 3" xfId="2714" xr:uid="{00000000-0005-0000-0000-0000C90A0000}"/>
    <cellStyle name="常规 4 3 3" xfId="4526" xr:uid="{00000000-0005-0000-0000-0000DD110000}"/>
    <cellStyle name="常规 4 3 4" xfId="3029" xr:uid="{00000000-0005-0000-0000-0000040C0000}"/>
    <cellStyle name="常规 4 3 5" xfId="3037" xr:uid="{00000000-0005-0000-0000-00000C0C0000}"/>
    <cellStyle name="常规 4 3 6" xfId="3045" xr:uid="{00000000-0005-0000-0000-0000140C0000}"/>
    <cellStyle name="常规 4 3 7" xfId="3049" xr:uid="{00000000-0005-0000-0000-0000180C0000}"/>
    <cellStyle name="常规 4 3 8" xfId="821" xr:uid="{00000000-0005-0000-0000-000064030000}"/>
    <cellStyle name="常规 4 3 9" xfId="833" xr:uid="{00000000-0005-0000-0000-000070030000}"/>
    <cellStyle name="常规 4 4" xfId="4505" xr:uid="{00000000-0005-0000-0000-0000C8110000}"/>
    <cellStyle name="常规 4 4 10" xfId="4387" xr:uid="{00000000-0005-0000-0000-000052110000}"/>
    <cellStyle name="常规 4 4 11" xfId="4391" xr:uid="{00000000-0005-0000-0000-000056110000}"/>
    <cellStyle name="常规 4 4 12" xfId="4395" xr:uid="{00000000-0005-0000-0000-00005A110000}"/>
    <cellStyle name="常规 4 4 13" xfId="4398" xr:uid="{00000000-0005-0000-0000-00005D110000}"/>
    <cellStyle name="常规 4 4 2" xfId="142" xr:uid="{00000000-0005-0000-0000-0000A1000000}"/>
    <cellStyle name="常规 4 4 2 2" xfId="4529" xr:uid="{00000000-0005-0000-0000-0000E0110000}"/>
    <cellStyle name="常规 4 4 2 3" xfId="2722" xr:uid="{00000000-0005-0000-0000-0000D10A0000}"/>
    <cellStyle name="常规 4 4 3" xfId="77" xr:uid="{00000000-0005-0000-0000-00005C000000}"/>
    <cellStyle name="常规 4 4 4" xfId="435" xr:uid="{00000000-0005-0000-0000-0000E2010000}"/>
    <cellStyle name="常规 4 4 5" xfId="1948" xr:uid="{00000000-0005-0000-0000-0000CB070000}"/>
    <cellStyle name="常规 4 4 6" xfId="1955" xr:uid="{00000000-0005-0000-0000-0000D2070000}"/>
    <cellStyle name="常规 4 4 7" xfId="4507" xr:uid="{00000000-0005-0000-0000-0000CA110000}"/>
    <cellStyle name="常规 4 4 8" xfId="4510" xr:uid="{00000000-0005-0000-0000-0000CD110000}"/>
    <cellStyle name="常规 4 4 9" xfId="4512" xr:uid="{00000000-0005-0000-0000-0000CF110000}"/>
    <cellStyle name="常规 4 5" xfId="4514" xr:uid="{00000000-0005-0000-0000-0000D1110000}"/>
    <cellStyle name="常规 4 5 10" xfId="139" xr:uid="{00000000-0005-0000-0000-00009E000000}"/>
    <cellStyle name="常规 4 5 11" xfId="4533" xr:uid="{00000000-0005-0000-0000-0000E4110000}"/>
    <cellStyle name="常规 4 5 12" xfId="4535" xr:uid="{00000000-0005-0000-0000-0000E6110000}"/>
    <cellStyle name="常规 4 5 13" xfId="2550" xr:uid="{00000000-0005-0000-0000-0000250A0000}"/>
    <cellStyle name="常规 4 5 2" xfId="4537" xr:uid="{00000000-0005-0000-0000-0000E8110000}"/>
    <cellStyle name="常规 4 5 2 2" xfId="4539" xr:uid="{00000000-0005-0000-0000-0000EA110000}"/>
    <cellStyle name="常规 4 5 2 3" xfId="543" xr:uid="{00000000-0005-0000-0000-00004E020000}"/>
    <cellStyle name="常规 4 5 3" xfId="4542" xr:uid="{00000000-0005-0000-0000-0000ED110000}"/>
    <cellStyle name="常规 4 5 4" xfId="3131" xr:uid="{00000000-0005-0000-0000-00006A0C0000}"/>
    <cellStyle name="常规 4 5 5" xfId="1777" xr:uid="{00000000-0005-0000-0000-000020070000}"/>
    <cellStyle name="常规 4 5 6" xfId="3134" xr:uid="{00000000-0005-0000-0000-00006D0C0000}"/>
    <cellStyle name="常规 4 5 7" xfId="4116" xr:uid="{00000000-0005-0000-0000-000043100000}"/>
    <cellStyle name="常规 4 5 8" xfId="4119" xr:uid="{00000000-0005-0000-0000-000046100000}"/>
    <cellStyle name="常规 4 5 9" xfId="4544" xr:uid="{00000000-0005-0000-0000-0000EF110000}"/>
    <cellStyle name="常规 4 6" xfId="4123" xr:uid="{00000000-0005-0000-0000-00004A100000}"/>
    <cellStyle name="常规 4 6 2" xfId="4126" xr:uid="{00000000-0005-0000-0000-00004D100000}"/>
    <cellStyle name="常规 4 6 2 2" xfId="4546" xr:uid="{00000000-0005-0000-0000-0000F1110000}"/>
    <cellStyle name="常规 4 6 2 3" xfId="930" xr:uid="{00000000-0005-0000-0000-0000D1030000}"/>
    <cellStyle name="常规 4 6 3" xfId="4129" xr:uid="{00000000-0005-0000-0000-000050100000}"/>
    <cellStyle name="常规 4 6 4" xfId="3143" xr:uid="{00000000-0005-0000-0000-0000760C0000}"/>
    <cellStyle name="常规 4 7" xfId="4516" xr:uid="{00000000-0005-0000-0000-0000D3110000}"/>
    <cellStyle name="常规 4 7 2" xfId="2615" xr:uid="{00000000-0005-0000-0000-0000660A0000}"/>
    <cellStyle name="常规 4 7 2 2" xfId="2618" xr:uid="{00000000-0005-0000-0000-0000690A0000}"/>
    <cellStyle name="常规 4 7 2 3" xfId="1249" xr:uid="{00000000-0005-0000-0000-000010050000}"/>
    <cellStyle name="常规 4 7 3" xfId="2622" xr:uid="{00000000-0005-0000-0000-00006D0A0000}"/>
    <cellStyle name="常规 4 7 4" xfId="2632" xr:uid="{00000000-0005-0000-0000-0000770A0000}"/>
    <cellStyle name="常规 4 8" xfId="4518" xr:uid="{00000000-0005-0000-0000-0000D5110000}"/>
    <cellStyle name="常规 4 8 2" xfId="2759" xr:uid="{00000000-0005-0000-0000-0000F60A0000}"/>
    <cellStyle name="常规 4 8 2 2" xfId="2761" xr:uid="{00000000-0005-0000-0000-0000F80A0000}"/>
    <cellStyle name="常规 4 8 2 3" xfId="189" xr:uid="{00000000-0005-0000-0000-0000DA000000}"/>
    <cellStyle name="常规 4 8 3" xfId="2764" xr:uid="{00000000-0005-0000-0000-0000FB0A0000}"/>
    <cellStyle name="常规 4 8 4" xfId="760" xr:uid="{00000000-0005-0000-0000-000027030000}"/>
    <cellStyle name="常规 4 9" xfId="2654" xr:uid="{00000000-0005-0000-0000-00008D0A0000}"/>
    <cellStyle name="常规 4 9 2" xfId="2919" xr:uid="{00000000-0005-0000-0000-0000960B0000}"/>
    <cellStyle name="常规 4 9 2 2" xfId="2921" xr:uid="{00000000-0005-0000-0000-0000980B0000}"/>
    <cellStyle name="常规 4 9 2 3" xfId="37" xr:uid="{00000000-0005-0000-0000-00002B000000}"/>
    <cellStyle name="常规 4 9 3" xfId="2927" xr:uid="{00000000-0005-0000-0000-00009E0B0000}"/>
    <cellStyle name="常规 4 9 4" xfId="1063" xr:uid="{00000000-0005-0000-0000-000056040000}"/>
    <cellStyle name="常规 4_期间费用--2014" xfId="3" xr:uid="{00000000-0005-0000-0000-000004000000}"/>
    <cellStyle name="常规 40" xfId="1523" xr:uid="{00000000-0005-0000-0000-000022060000}"/>
    <cellStyle name="常规 40 2" xfId="1532" xr:uid="{00000000-0005-0000-0000-00002B060000}"/>
    <cellStyle name="常规 41" xfId="864" xr:uid="{00000000-0005-0000-0000-00008F030000}"/>
    <cellStyle name="常规 41 2" xfId="1541" xr:uid="{00000000-0005-0000-0000-000034060000}"/>
    <cellStyle name="常规 42" xfId="872" xr:uid="{00000000-0005-0000-0000-000097030000}"/>
    <cellStyle name="常规 42 2" xfId="827" xr:uid="{00000000-0005-0000-0000-00006A030000}"/>
    <cellStyle name="常规 43" xfId="1546" xr:uid="{00000000-0005-0000-0000-000039060000}"/>
    <cellStyle name="常规 43 2" xfId="1552" xr:uid="{00000000-0005-0000-0000-00003F060000}"/>
    <cellStyle name="常规 44" xfId="13" xr:uid="{00000000-0005-0000-0000-000010000000}"/>
    <cellStyle name="常规 44 2" xfId="1558" xr:uid="{00000000-0005-0000-0000-000045060000}"/>
    <cellStyle name="常规 45" xfId="981" xr:uid="{00000000-0005-0000-0000-000004040000}"/>
    <cellStyle name="常规 45 2" xfId="1562" xr:uid="{00000000-0005-0000-0000-000049060000}"/>
    <cellStyle name="常规 46" xfId="986" xr:uid="{00000000-0005-0000-0000-000009040000}"/>
    <cellStyle name="常规 46 2" xfId="1567" xr:uid="{00000000-0005-0000-0000-00004E060000}"/>
    <cellStyle name="常规 47" xfId="895" xr:uid="{00000000-0005-0000-0000-0000AE030000}"/>
    <cellStyle name="常规 47 2" xfId="1574" xr:uid="{00000000-0005-0000-0000-000055060000}"/>
    <cellStyle name="常规 47 2 2" xfId="3822" xr:uid="{00000000-0005-0000-0000-00001D0F0000}"/>
    <cellStyle name="常规 47 3" xfId="4548" xr:uid="{00000000-0005-0000-0000-0000F3110000}"/>
    <cellStyle name="常规 48" xfId="2756" xr:uid="{00000000-0005-0000-0000-0000F30A0000}"/>
    <cellStyle name="常规 48 2" xfId="3672" xr:uid="{00000000-0005-0000-0000-0000870E0000}"/>
    <cellStyle name="常规 49" xfId="4549" xr:uid="{00000000-0005-0000-0000-0000F4110000}"/>
    <cellStyle name="常规 49 2" xfId="4550" xr:uid="{00000000-0005-0000-0000-0000F5110000}"/>
    <cellStyle name="常规 5" xfId="3758" xr:uid="{00000000-0005-0000-0000-0000DD0E0000}"/>
    <cellStyle name="常规 5 10" xfId="4551" xr:uid="{00000000-0005-0000-0000-0000F6110000}"/>
    <cellStyle name="常规 5 10 2" xfId="3385" xr:uid="{00000000-0005-0000-0000-0000680D0000}"/>
    <cellStyle name="常规 5 10 3" xfId="4168" xr:uid="{00000000-0005-0000-0000-000077100000}"/>
    <cellStyle name="常规 5 11" xfId="4552" xr:uid="{00000000-0005-0000-0000-0000F7110000}"/>
    <cellStyle name="常规 5 11 2" xfId="4553" xr:uid="{00000000-0005-0000-0000-0000F8110000}"/>
    <cellStyle name="常规 5 11 3" xfId="4554" xr:uid="{00000000-0005-0000-0000-0000F9110000}"/>
    <cellStyle name="常规 5 12" xfId="4555" xr:uid="{00000000-0005-0000-0000-0000FA110000}"/>
    <cellStyle name="常规 5 12 2" xfId="4556" xr:uid="{00000000-0005-0000-0000-0000FB110000}"/>
    <cellStyle name="常规 5 12 3" xfId="4557" xr:uid="{00000000-0005-0000-0000-0000FC110000}"/>
    <cellStyle name="常规 5 13" xfId="3686" xr:uid="{00000000-0005-0000-0000-0000950E0000}"/>
    <cellStyle name="常规 5 13 2" xfId="3688" xr:uid="{00000000-0005-0000-0000-0000970E0000}"/>
    <cellStyle name="常规 5 13 3" xfId="3690" xr:uid="{00000000-0005-0000-0000-0000990E0000}"/>
    <cellStyle name="常规 5 14" xfId="4558" xr:uid="{00000000-0005-0000-0000-0000FD110000}"/>
    <cellStyle name="常规 5 15" xfId="3792" xr:uid="{00000000-0005-0000-0000-0000FF0E0000}"/>
    <cellStyle name="常规 5 16" xfId="4326" xr:uid="{00000000-0005-0000-0000-000015110000}"/>
    <cellStyle name="常规 5 17" xfId="4329" xr:uid="{00000000-0005-0000-0000-000018110000}"/>
    <cellStyle name="常规 5 18" xfId="3006" xr:uid="{00000000-0005-0000-0000-0000ED0B0000}"/>
    <cellStyle name="常规 5 19" xfId="4302" xr:uid="{00000000-0005-0000-0000-0000FD100000}"/>
    <cellStyle name="常规 5 2" xfId="4559" xr:uid="{00000000-0005-0000-0000-0000FE110000}"/>
    <cellStyle name="常规 5 2 10" xfId="4560" xr:uid="{00000000-0005-0000-0000-0000FF110000}"/>
    <cellStyle name="常规 5 2 11" xfId="4561" xr:uid="{00000000-0005-0000-0000-000000120000}"/>
    <cellStyle name="常规 5 2 12" xfId="4562" xr:uid="{00000000-0005-0000-0000-000001120000}"/>
    <cellStyle name="常规 5 2 13" xfId="597" xr:uid="{00000000-0005-0000-0000-000084020000}"/>
    <cellStyle name="常规 5 2 2" xfId="4563" xr:uid="{00000000-0005-0000-0000-000002120000}"/>
    <cellStyle name="常规 5 2 2 10" xfId="963" xr:uid="{00000000-0005-0000-0000-0000F2030000}"/>
    <cellStyle name="常规 5 2 2 11" xfId="2995" xr:uid="{00000000-0005-0000-0000-0000E20B0000}"/>
    <cellStyle name="常规 5 2 2 12" xfId="4564" xr:uid="{00000000-0005-0000-0000-000003120000}"/>
    <cellStyle name="常规 5 2 2 2" xfId="4565" xr:uid="{00000000-0005-0000-0000-000004120000}"/>
    <cellStyle name="常规 5 2 2 3" xfId="4566" xr:uid="{00000000-0005-0000-0000-000005120000}"/>
    <cellStyle name="常规 5 2 2 4" xfId="4202" xr:uid="{00000000-0005-0000-0000-000099100000}"/>
    <cellStyle name="常规 5 2 2 5" xfId="4204" xr:uid="{00000000-0005-0000-0000-00009B100000}"/>
    <cellStyle name="常规 5 2 2 6" xfId="4567" xr:uid="{00000000-0005-0000-0000-000006120000}"/>
    <cellStyle name="常规 5 2 2 7" xfId="3839" xr:uid="{00000000-0005-0000-0000-00002E0F0000}"/>
    <cellStyle name="常规 5 2 2 8" xfId="3841" xr:uid="{00000000-0005-0000-0000-0000300F0000}"/>
    <cellStyle name="常规 5 2 2 9" xfId="4568" xr:uid="{00000000-0005-0000-0000-000007120000}"/>
    <cellStyle name="常规 5 2 3" xfId="4569" xr:uid="{00000000-0005-0000-0000-000008120000}"/>
    <cellStyle name="常规 5 2 4" xfId="73" xr:uid="{00000000-0005-0000-0000-000056000000}"/>
    <cellStyle name="常规 5 2 5" xfId="4570" xr:uid="{00000000-0005-0000-0000-000009120000}"/>
    <cellStyle name="常规 5 2 6" xfId="4571" xr:uid="{00000000-0005-0000-0000-00000A120000}"/>
    <cellStyle name="常规 5 2 7" xfId="4572" xr:uid="{00000000-0005-0000-0000-00000B120000}"/>
    <cellStyle name="常规 5 2 8" xfId="521" xr:uid="{00000000-0005-0000-0000-000038020000}"/>
    <cellStyle name="常规 5 2 9" xfId="851" xr:uid="{00000000-0005-0000-0000-000082030000}"/>
    <cellStyle name="常规 5 20" xfId="3793" xr:uid="{00000000-0005-0000-0000-0000000F0000}"/>
    <cellStyle name="常规 5 3" xfId="4574" xr:uid="{00000000-0005-0000-0000-00000D120000}"/>
    <cellStyle name="常规 5 3 10" xfId="4575" xr:uid="{00000000-0005-0000-0000-00000E120000}"/>
    <cellStyle name="常规 5 3 11" xfId="3211" xr:uid="{00000000-0005-0000-0000-0000BA0C0000}"/>
    <cellStyle name="常规 5 3 12" xfId="4577" xr:uid="{00000000-0005-0000-0000-000010120000}"/>
    <cellStyle name="常规 5 3 13" xfId="4578" xr:uid="{00000000-0005-0000-0000-000011120000}"/>
    <cellStyle name="常规 5 3 2" xfId="4579" xr:uid="{00000000-0005-0000-0000-000012120000}"/>
    <cellStyle name="常规 5 3 2 2" xfId="4580" xr:uid="{00000000-0005-0000-0000-000013120000}"/>
    <cellStyle name="常规 5 3 2 3" xfId="4581" xr:uid="{00000000-0005-0000-0000-000014120000}"/>
    <cellStyle name="常规 5 3 3" xfId="4582" xr:uid="{00000000-0005-0000-0000-000015120000}"/>
    <cellStyle name="常规 5 3 3 2" xfId="2047" xr:uid="{00000000-0005-0000-0000-00002E080000}"/>
    <cellStyle name="常规 5 3 3 3" xfId="4583" xr:uid="{00000000-0005-0000-0000-000016120000}"/>
    <cellStyle name="常规 5 3 4" xfId="3158" xr:uid="{00000000-0005-0000-0000-0000850C0000}"/>
    <cellStyle name="常规 5 3 5" xfId="4584" xr:uid="{00000000-0005-0000-0000-000017120000}"/>
    <cellStyle name="常规 5 3 6" xfId="270" xr:uid="{00000000-0005-0000-0000-00003D010000}"/>
    <cellStyle name="常规 5 3 7" xfId="105" xr:uid="{00000000-0005-0000-0000-000079000000}"/>
    <cellStyle name="常规 5 3 8" xfId="273" xr:uid="{00000000-0005-0000-0000-000040010000}"/>
    <cellStyle name="常规 5 3 9" xfId="328" xr:uid="{00000000-0005-0000-0000-000077010000}"/>
    <cellStyle name="常规 5 4" xfId="4522" xr:uid="{00000000-0005-0000-0000-0000D9110000}"/>
    <cellStyle name="常规 5 4 2" xfId="4524" xr:uid="{00000000-0005-0000-0000-0000DB110000}"/>
    <cellStyle name="常规 5 4 2 2" xfId="4585" xr:uid="{00000000-0005-0000-0000-000018120000}"/>
    <cellStyle name="常规 5 4 2 3" xfId="4586" xr:uid="{00000000-0005-0000-0000-000019120000}"/>
    <cellStyle name="常规 5 4 3" xfId="2715" xr:uid="{00000000-0005-0000-0000-0000CA0A0000}"/>
    <cellStyle name="常规 5 4 4" xfId="3161" xr:uid="{00000000-0005-0000-0000-0000880C0000}"/>
    <cellStyle name="常规 5 5" xfId="4527" xr:uid="{00000000-0005-0000-0000-0000DE110000}"/>
    <cellStyle name="常规 5 5 2" xfId="1902" xr:uid="{00000000-0005-0000-0000-00009D070000}"/>
    <cellStyle name="常规 5 5 2 2" xfId="3684" xr:uid="{00000000-0005-0000-0000-0000930E0000}"/>
    <cellStyle name="常规 5 5 2 3" xfId="103" xr:uid="{00000000-0005-0000-0000-000077000000}"/>
    <cellStyle name="常规 5 5 3" xfId="4590" xr:uid="{00000000-0005-0000-0000-00001D120000}"/>
    <cellStyle name="常规 5 5 4" xfId="3166" xr:uid="{00000000-0005-0000-0000-00008D0C0000}"/>
    <cellStyle name="常规 5 6" xfId="3030" xr:uid="{00000000-0005-0000-0000-0000050C0000}"/>
    <cellStyle name="常规 5 6 2" xfId="3033" xr:uid="{00000000-0005-0000-0000-0000080C0000}"/>
    <cellStyle name="常规 5 6 2 2" xfId="4591" xr:uid="{00000000-0005-0000-0000-00001E120000}"/>
    <cellStyle name="常规 5 6 2 3" xfId="4593" xr:uid="{00000000-0005-0000-0000-000020120000}"/>
    <cellStyle name="常规 5 6 3" xfId="3124" xr:uid="{00000000-0005-0000-0000-0000630C0000}"/>
    <cellStyle name="常规 5 6 4" xfId="3171" xr:uid="{00000000-0005-0000-0000-0000920C0000}"/>
    <cellStyle name="常规 5 7" xfId="3038" xr:uid="{00000000-0005-0000-0000-00000D0C0000}"/>
    <cellStyle name="常规 5 7 2" xfId="3041" xr:uid="{00000000-0005-0000-0000-0000100C0000}"/>
    <cellStyle name="常规 5 7 2 2" xfId="4594" xr:uid="{00000000-0005-0000-0000-000021120000}"/>
    <cellStyle name="常规 5 7 2 3" xfId="4596" xr:uid="{00000000-0005-0000-0000-000023120000}"/>
    <cellStyle name="常规 5 7 3" xfId="3126" xr:uid="{00000000-0005-0000-0000-0000650C0000}"/>
    <cellStyle name="常规 5 7 4" xfId="3177" xr:uid="{00000000-0005-0000-0000-0000980C0000}"/>
    <cellStyle name="常规 5 8" xfId="3046" xr:uid="{00000000-0005-0000-0000-0000150C0000}"/>
    <cellStyle name="常规 5 8 2" xfId="4597" xr:uid="{00000000-0005-0000-0000-000024120000}"/>
    <cellStyle name="常规 5 8 2 2" xfId="4598" xr:uid="{00000000-0005-0000-0000-000025120000}"/>
    <cellStyle name="常规 5 8 2 3" xfId="4599" xr:uid="{00000000-0005-0000-0000-000026120000}"/>
    <cellStyle name="常规 5 8 3" xfId="4600" xr:uid="{00000000-0005-0000-0000-000027120000}"/>
    <cellStyle name="常规 5 8 4" xfId="2175" xr:uid="{00000000-0005-0000-0000-0000AE080000}"/>
    <cellStyle name="常规 5 9" xfId="3050" xr:uid="{00000000-0005-0000-0000-0000190C0000}"/>
    <cellStyle name="常规 5 9 2" xfId="4601" xr:uid="{00000000-0005-0000-0000-000028120000}"/>
    <cellStyle name="常规 5 9 2 2" xfId="4602" xr:uid="{00000000-0005-0000-0000-000029120000}"/>
    <cellStyle name="常规 5 9 2 3" xfId="4603" xr:uid="{00000000-0005-0000-0000-00002A120000}"/>
    <cellStyle name="常规 5 9 3" xfId="4604" xr:uid="{00000000-0005-0000-0000-00002B120000}"/>
    <cellStyle name="常规 5 9 4" xfId="2178" xr:uid="{00000000-0005-0000-0000-0000B1080000}"/>
    <cellStyle name="常规 50" xfId="982" xr:uid="{00000000-0005-0000-0000-000005040000}"/>
    <cellStyle name="常规 50 2" xfId="1563" xr:uid="{00000000-0005-0000-0000-00004A060000}"/>
    <cellStyle name="常规 51" xfId="987" xr:uid="{00000000-0005-0000-0000-00000A040000}"/>
    <cellStyle name="常规 51 2" xfId="1568" xr:uid="{00000000-0005-0000-0000-00004F060000}"/>
    <cellStyle name="常规 52" xfId="896" xr:uid="{00000000-0005-0000-0000-0000AF030000}"/>
    <cellStyle name="常规 55" xfId="4606" xr:uid="{00000000-0005-0000-0000-00002D120000}"/>
    <cellStyle name="常规 6" xfId="4607" xr:uid="{00000000-0005-0000-0000-00002E120000}"/>
    <cellStyle name="常规 6 10" xfId="4608" xr:uid="{00000000-0005-0000-0000-00002F120000}"/>
    <cellStyle name="常规 6 10 2" xfId="3437" xr:uid="{00000000-0005-0000-0000-00009C0D0000}"/>
    <cellStyle name="常规 6 11" xfId="3349" xr:uid="{00000000-0005-0000-0000-0000440D0000}"/>
    <cellStyle name="常规 6 11 2" xfId="3503" xr:uid="{00000000-0005-0000-0000-0000DE0D0000}"/>
    <cellStyle name="常规 6 12" xfId="3352" xr:uid="{00000000-0005-0000-0000-0000470D0000}"/>
    <cellStyle name="常规 6 13" xfId="65" xr:uid="{00000000-0005-0000-0000-00004C000000}"/>
    <cellStyle name="常规 6 14" xfId="459" xr:uid="{00000000-0005-0000-0000-0000FA010000}"/>
    <cellStyle name="常规 6 2" xfId="2890" xr:uid="{00000000-0005-0000-0000-0000790B0000}"/>
    <cellStyle name="常规 6 2 10" xfId="4609" xr:uid="{00000000-0005-0000-0000-000030120000}"/>
    <cellStyle name="常规 6 2 11" xfId="4610" xr:uid="{00000000-0005-0000-0000-000031120000}"/>
    <cellStyle name="常规 6 2 12" xfId="4611" xr:uid="{00000000-0005-0000-0000-000032120000}"/>
    <cellStyle name="常规 6 2 13" xfId="4612" xr:uid="{00000000-0005-0000-0000-000033120000}"/>
    <cellStyle name="常规 6 2 2" xfId="966" xr:uid="{00000000-0005-0000-0000-0000F5030000}"/>
    <cellStyle name="常规 6 2 2 2" xfId="314" xr:uid="{00000000-0005-0000-0000-000069010000}"/>
    <cellStyle name="常规 6 2 2 3" xfId="974" xr:uid="{00000000-0005-0000-0000-0000FD030000}"/>
    <cellStyle name="常规 6 2 3" xfId="4613" xr:uid="{00000000-0005-0000-0000-000034120000}"/>
    <cellStyle name="常规 6 2 4" xfId="4614" xr:uid="{00000000-0005-0000-0000-000035120000}"/>
    <cellStyle name="常规 6 2 5" xfId="4615" xr:uid="{00000000-0005-0000-0000-000036120000}"/>
    <cellStyle name="常规 6 2 6" xfId="575" xr:uid="{00000000-0005-0000-0000-00006E020000}"/>
    <cellStyle name="常规 6 2 7" xfId="581" xr:uid="{00000000-0005-0000-0000-000074020000}"/>
    <cellStyle name="常规 6 2 8" xfId="1035" xr:uid="{00000000-0005-0000-0000-00003A040000}"/>
    <cellStyle name="常规 6 2 9" xfId="4616" xr:uid="{00000000-0005-0000-0000-000037120000}"/>
    <cellStyle name="常规 6 3" xfId="120" xr:uid="{00000000-0005-0000-0000-00008A000000}"/>
    <cellStyle name="常规 6 3 2" xfId="4618" xr:uid="{00000000-0005-0000-0000-000039120000}"/>
    <cellStyle name="常规 6 3 2 2" xfId="4145" xr:uid="{00000000-0005-0000-0000-000060100000}"/>
    <cellStyle name="常规 6 3 2 3" xfId="3673" xr:uid="{00000000-0005-0000-0000-0000880E0000}"/>
    <cellStyle name="常规 6 3 3" xfId="4620" xr:uid="{00000000-0005-0000-0000-00003B120000}"/>
    <cellStyle name="常规 6 3 4" xfId="1031" xr:uid="{00000000-0005-0000-0000-000036040000}"/>
    <cellStyle name="常规 6 4" xfId="143" xr:uid="{00000000-0005-0000-0000-0000A2000000}"/>
    <cellStyle name="常规 6 4 2" xfId="4530" xr:uid="{00000000-0005-0000-0000-0000E1110000}"/>
    <cellStyle name="常规 6 4 2 2" xfId="3769" xr:uid="{00000000-0005-0000-0000-0000E80E0000}"/>
    <cellStyle name="常规 6 4 2 3" xfId="3774" xr:uid="{00000000-0005-0000-0000-0000ED0E0000}"/>
    <cellStyle name="常规 6 4 3" xfId="2723" xr:uid="{00000000-0005-0000-0000-0000D20A0000}"/>
    <cellStyle name="常规 6 4 4" xfId="3191" xr:uid="{00000000-0005-0000-0000-0000A60C0000}"/>
    <cellStyle name="常规 6 5" xfId="78" xr:uid="{00000000-0005-0000-0000-00005D000000}"/>
    <cellStyle name="常规 6 5 2" xfId="1910" xr:uid="{00000000-0005-0000-0000-0000A5070000}"/>
    <cellStyle name="常规 6 5 2 2" xfId="4623" xr:uid="{00000000-0005-0000-0000-00003E120000}"/>
    <cellStyle name="常规 6 5 2 3" xfId="1221" xr:uid="{00000000-0005-0000-0000-0000F4040000}"/>
    <cellStyle name="常规 6 5 3" xfId="4625" xr:uid="{00000000-0005-0000-0000-000040120000}"/>
    <cellStyle name="常规 6 5 4" xfId="3194" xr:uid="{00000000-0005-0000-0000-0000A90C0000}"/>
    <cellStyle name="常规 6 6" xfId="436" xr:uid="{00000000-0005-0000-0000-0000E3010000}"/>
    <cellStyle name="常规 6 6 2" xfId="1944" xr:uid="{00000000-0005-0000-0000-0000C7070000}"/>
    <cellStyle name="常规 6 6 2 2" xfId="4626" xr:uid="{00000000-0005-0000-0000-000041120000}"/>
    <cellStyle name="常规 6 6 2 3" xfId="4627" xr:uid="{00000000-0005-0000-0000-000042120000}"/>
    <cellStyle name="常规 6 6 3" xfId="4628" xr:uid="{00000000-0005-0000-0000-000043120000}"/>
    <cellStyle name="常规 6 6 4" xfId="3201" xr:uid="{00000000-0005-0000-0000-0000B00C0000}"/>
    <cellStyle name="常规 6 7" xfId="1949" xr:uid="{00000000-0005-0000-0000-0000CC070000}"/>
    <cellStyle name="常规 6 7 2" xfId="4629" xr:uid="{00000000-0005-0000-0000-000044120000}"/>
    <cellStyle name="常规 6 7 2 2" xfId="4630" xr:uid="{00000000-0005-0000-0000-000045120000}"/>
    <cellStyle name="常规 6 7 2 3" xfId="4631" xr:uid="{00000000-0005-0000-0000-000046120000}"/>
    <cellStyle name="常规 6 7 3" xfId="4633" xr:uid="{00000000-0005-0000-0000-000048120000}"/>
    <cellStyle name="常规 6 7 4" xfId="1279" xr:uid="{00000000-0005-0000-0000-00002E050000}"/>
    <cellStyle name="常规 6 8" xfId="1956" xr:uid="{00000000-0005-0000-0000-0000D3070000}"/>
    <cellStyle name="常规 6 8 2" xfId="4634" xr:uid="{00000000-0005-0000-0000-000049120000}"/>
    <cellStyle name="常规 6 8 2 2" xfId="4635" xr:uid="{00000000-0005-0000-0000-00004A120000}"/>
    <cellStyle name="常规 6 8 2 3" xfId="4636" xr:uid="{00000000-0005-0000-0000-00004B120000}"/>
    <cellStyle name="常规 6 8 3" xfId="4637" xr:uid="{00000000-0005-0000-0000-00004C120000}"/>
    <cellStyle name="常规 6 8 4" xfId="1504" xr:uid="{00000000-0005-0000-0000-00000F060000}"/>
    <cellStyle name="常规 6 9" xfId="4508" xr:uid="{00000000-0005-0000-0000-0000CB110000}"/>
    <cellStyle name="常规 6 9 2" xfId="3475" xr:uid="{00000000-0005-0000-0000-0000C20D0000}"/>
    <cellStyle name="常规 6 9 2 2" xfId="4639" xr:uid="{00000000-0005-0000-0000-00004E120000}"/>
    <cellStyle name="常规 6 9 2 3" xfId="4642" xr:uid="{00000000-0005-0000-0000-000051120000}"/>
    <cellStyle name="常规 6 9 3" xfId="3478" xr:uid="{00000000-0005-0000-0000-0000C50D0000}"/>
    <cellStyle name="常规 6 9 4" xfId="1766" xr:uid="{00000000-0005-0000-0000-000015070000}"/>
    <cellStyle name="常规 6_成本利润预算(公司目标)" xfId="4644" xr:uid="{00000000-0005-0000-0000-000053120000}"/>
    <cellStyle name="常规 7" xfId="3382" xr:uid="{00000000-0005-0000-0000-0000650D0000}"/>
    <cellStyle name="常规 7 10" xfId="4645" xr:uid="{00000000-0005-0000-0000-000054120000}"/>
    <cellStyle name="常规 7 10 2" xfId="4528" xr:uid="{00000000-0005-0000-0000-0000DF110000}"/>
    <cellStyle name="常规 7 11" xfId="292" xr:uid="{00000000-0005-0000-0000-000053010000}"/>
    <cellStyle name="常规 7 11 2" xfId="79" xr:uid="{00000000-0005-0000-0000-00005E000000}"/>
    <cellStyle name="常规 7 12" xfId="300" xr:uid="{00000000-0005-0000-0000-00005B010000}"/>
    <cellStyle name="常规 7 13" xfId="2708" xr:uid="{00000000-0005-0000-0000-0000C30A0000}"/>
    <cellStyle name="常规 7 14" xfId="4646" xr:uid="{00000000-0005-0000-0000-000055120000}"/>
    <cellStyle name="常规 7 2" xfId="1518" xr:uid="{00000000-0005-0000-0000-00001D060000}"/>
    <cellStyle name="常规 7 2 2" xfId="4647" xr:uid="{00000000-0005-0000-0000-000056120000}"/>
    <cellStyle name="常规 7 2 3" xfId="4648" xr:uid="{00000000-0005-0000-0000-000057120000}"/>
    <cellStyle name="常规 7 3" xfId="50" xr:uid="{00000000-0005-0000-0000-000039000000}"/>
    <cellStyle name="常规 7 3 2" xfId="604" xr:uid="{00000000-0005-0000-0000-00008B020000}"/>
    <cellStyle name="常规 7 3 3" xfId="4576" xr:uid="{00000000-0005-0000-0000-00000F120000}"/>
    <cellStyle name="常规 7 4" xfId="4538" xr:uid="{00000000-0005-0000-0000-0000E9110000}"/>
    <cellStyle name="常规 7 4 2" xfId="4540" xr:uid="{00000000-0005-0000-0000-0000EB110000}"/>
    <cellStyle name="常规 7 5" xfId="4543" xr:uid="{00000000-0005-0000-0000-0000EE110000}"/>
    <cellStyle name="常规 7 5 2" xfId="1918" xr:uid="{00000000-0005-0000-0000-0000AD070000}"/>
    <cellStyle name="常规 7 6" xfId="3132" xr:uid="{00000000-0005-0000-0000-00006B0C0000}"/>
    <cellStyle name="常规 7 6 2" xfId="2799" xr:uid="{00000000-0005-0000-0000-00001E0B0000}"/>
    <cellStyle name="常规 7 7" xfId="1778" xr:uid="{00000000-0005-0000-0000-000021070000}"/>
    <cellStyle name="常规 7 7 2" xfId="4649" xr:uid="{00000000-0005-0000-0000-000058120000}"/>
    <cellStyle name="常规 7 8" xfId="3135" xr:uid="{00000000-0005-0000-0000-00006E0C0000}"/>
    <cellStyle name="常规 7 8 2" xfId="4650" xr:uid="{00000000-0005-0000-0000-000059120000}"/>
    <cellStyle name="常规 7 9" xfId="4117" xr:uid="{00000000-0005-0000-0000-000044100000}"/>
    <cellStyle name="常规 7 9 2" xfId="3513" xr:uid="{00000000-0005-0000-0000-0000E80D0000}"/>
    <cellStyle name="常规 8" xfId="3386" xr:uid="{00000000-0005-0000-0000-0000690D0000}"/>
    <cellStyle name="常规 8 10" xfId="4651" xr:uid="{00000000-0005-0000-0000-00005A120000}"/>
    <cellStyle name="常规 8 10 2" xfId="2590" xr:uid="{00000000-0005-0000-0000-00004D0A0000}"/>
    <cellStyle name="常规 8 11" xfId="393" xr:uid="{00000000-0005-0000-0000-0000B8010000}"/>
    <cellStyle name="常规 8 11 2" xfId="1250" xr:uid="{00000000-0005-0000-0000-000011050000}"/>
    <cellStyle name="常规 8 12" xfId="403" xr:uid="{00000000-0005-0000-0000-0000C2010000}"/>
    <cellStyle name="常规 8 13" xfId="415" xr:uid="{00000000-0005-0000-0000-0000CE010000}"/>
    <cellStyle name="常规 8 14" xfId="4652" xr:uid="{00000000-0005-0000-0000-00005B120000}"/>
    <cellStyle name="常规 8 2" xfId="4654" xr:uid="{00000000-0005-0000-0000-00005D120000}"/>
    <cellStyle name="常规 8 2 2" xfId="4656" xr:uid="{00000000-0005-0000-0000-00005F120000}"/>
    <cellStyle name="常规 8 2 3" xfId="3602" xr:uid="{00000000-0005-0000-0000-0000410E0000}"/>
    <cellStyle name="常规 8 3" xfId="4658" xr:uid="{00000000-0005-0000-0000-000061120000}"/>
    <cellStyle name="常规 8 3 2" xfId="4660" xr:uid="{00000000-0005-0000-0000-000063120000}"/>
    <cellStyle name="常规 8 4" xfId="4127" xr:uid="{00000000-0005-0000-0000-00004E100000}"/>
    <cellStyle name="常规 8 4 2" xfId="4547" xr:uid="{00000000-0005-0000-0000-0000F2110000}"/>
    <cellStyle name="常规 8 5" xfId="4130" xr:uid="{00000000-0005-0000-0000-000051100000}"/>
    <cellStyle name="常规 8 5 2" xfId="2659" xr:uid="{00000000-0005-0000-0000-0000920A0000}"/>
    <cellStyle name="常规 8 6" xfId="3144" xr:uid="{00000000-0005-0000-0000-0000770C0000}"/>
    <cellStyle name="常规 8 6 2" xfId="3146" xr:uid="{00000000-0005-0000-0000-0000790C0000}"/>
    <cellStyle name="常规 8 7" xfId="1783" xr:uid="{00000000-0005-0000-0000-000026070000}"/>
    <cellStyle name="常规 8 7 2" xfId="4661" xr:uid="{00000000-0005-0000-0000-000064120000}"/>
    <cellStyle name="常规 8 8" xfId="3148" xr:uid="{00000000-0005-0000-0000-00007B0C0000}"/>
    <cellStyle name="常规 8 8 2" xfId="4662" xr:uid="{00000000-0005-0000-0000-000065120000}"/>
    <cellStyle name="常规 8 9" xfId="4663" xr:uid="{00000000-0005-0000-0000-000066120000}"/>
    <cellStyle name="常规 8 9 2" xfId="4664" xr:uid="{00000000-0005-0000-0000-000067120000}"/>
    <cellStyle name="常规 9" xfId="4169" xr:uid="{00000000-0005-0000-0000-000078100000}"/>
    <cellStyle name="常规 9 2" xfId="2539" xr:uid="{00000000-0005-0000-0000-00001A0A0000}"/>
    <cellStyle name="常规 9 2 2" xfId="2548" xr:uid="{00000000-0005-0000-0000-0000230A0000}"/>
    <cellStyle name="常规 9 2 2 2" xfId="2228" xr:uid="{00000000-0005-0000-0000-0000E3080000}"/>
    <cellStyle name="常规 9 2 3" xfId="2552" xr:uid="{00000000-0005-0000-0000-0000270A0000}"/>
    <cellStyle name="常规 9 2 4" xfId="2557" xr:uid="{00000000-0005-0000-0000-00002C0A0000}"/>
    <cellStyle name="常规 9 3" xfId="1773" xr:uid="{00000000-0005-0000-0000-00001C070000}"/>
    <cellStyle name="常规 9 3 2" xfId="2587" xr:uid="{00000000-0005-0000-0000-00004A0A0000}"/>
    <cellStyle name="常规 9 4" xfId="2616" xr:uid="{00000000-0005-0000-0000-0000670A0000}"/>
    <cellStyle name="常规 9 4 2" xfId="2619" xr:uid="{00000000-0005-0000-0000-00006A0A0000}"/>
    <cellStyle name="常规 9 5" xfId="2623" xr:uid="{00000000-0005-0000-0000-00006E0A0000}"/>
    <cellStyle name="常规 9 5 2" xfId="1187" xr:uid="{00000000-0005-0000-0000-0000D2040000}"/>
    <cellStyle name="常规 9 6" xfId="2633" xr:uid="{00000000-0005-0000-0000-0000780A0000}"/>
    <cellStyle name="常规 9 7" xfId="2645" xr:uid="{00000000-0005-0000-0000-0000840A0000}"/>
    <cellStyle name="常规 9 8" xfId="2650" xr:uid="{00000000-0005-0000-0000-0000890A0000}"/>
    <cellStyle name="常规 9_成本利润预算(公司目标)" xfId="4665" xr:uid="{00000000-0005-0000-0000-000068120000}"/>
    <cellStyle name="超级链接" xfId="4666" xr:uid="{00000000-0005-0000-0000-000069120000}"/>
    <cellStyle name="超级链接 2" xfId="4667" xr:uid="{00000000-0005-0000-0000-00006A120000}"/>
    <cellStyle name="超级链接 3" xfId="4668" xr:uid="{00000000-0005-0000-0000-00006B120000}"/>
    <cellStyle name="超级链接 4" xfId="3346" xr:uid="{00000000-0005-0000-0000-0000410D0000}"/>
    <cellStyle name="超連結" xfId="3728" xr:uid="{00000000-0005-0000-0000-0000BF0E0000}"/>
    <cellStyle name="超連結 2" xfId="4669" xr:uid="{00000000-0005-0000-0000-00006C120000}"/>
    <cellStyle name="超連結 3" xfId="4670" xr:uid="{00000000-0005-0000-0000-00006D120000}"/>
    <cellStyle name="好 10" xfId="4237" xr:uid="{00000000-0005-0000-0000-0000BC100000}"/>
    <cellStyle name="好 10 2" xfId="1434" xr:uid="{00000000-0005-0000-0000-0000C9050000}"/>
    <cellStyle name="好 11" xfId="4429" xr:uid="{00000000-0005-0000-0000-00007C110000}"/>
    <cellStyle name="好 12" xfId="3755" xr:uid="{00000000-0005-0000-0000-0000DA0E0000}"/>
    <cellStyle name="好 2" xfId="4296" xr:uid="{00000000-0005-0000-0000-0000F7100000}"/>
    <cellStyle name="好 2 10" xfId="2766" xr:uid="{00000000-0005-0000-0000-0000FD0A0000}"/>
    <cellStyle name="好 2 11" xfId="840" xr:uid="{00000000-0005-0000-0000-000077030000}"/>
    <cellStyle name="好 2 12" xfId="1606" xr:uid="{00000000-0005-0000-0000-000075060000}"/>
    <cellStyle name="好 2 13" xfId="1345" xr:uid="{00000000-0005-0000-0000-000070050000}"/>
    <cellStyle name="好 2 14" xfId="1143" xr:uid="{00000000-0005-0000-0000-0000A6040000}"/>
    <cellStyle name="好 2 15" xfId="1147" xr:uid="{00000000-0005-0000-0000-0000AA040000}"/>
    <cellStyle name="好 2 2" xfId="4671" xr:uid="{00000000-0005-0000-0000-00006E120000}"/>
    <cellStyle name="好 2 2 10" xfId="1919" xr:uid="{00000000-0005-0000-0000-0000AE070000}"/>
    <cellStyle name="好 2 2 2" xfId="4672" xr:uid="{00000000-0005-0000-0000-00006F120000}"/>
    <cellStyle name="好 2 2 2 2" xfId="796" xr:uid="{00000000-0005-0000-0000-00004B030000}"/>
    <cellStyle name="好 2 2 2 3" xfId="2207" xr:uid="{00000000-0005-0000-0000-0000CE080000}"/>
    <cellStyle name="好 2 2 3" xfId="4674" xr:uid="{00000000-0005-0000-0000-000071120000}"/>
    <cellStyle name="好 2 2 4" xfId="1475" xr:uid="{00000000-0005-0000-0000-0000F2050000}"/>
    <cellStyle name="好 2 2 5" xfId="4676" xr:uid="{00000000-0005-0000-0000-000073120000}"/>
    <cellStyle name="好 2 2 6" xfId="4678" xr:uid="{00000000-0005-0000-0000-000075120000}"/>
    <cellStyle name="好 2 2 7" xfId="4679" xr:uid="{00000000-0005-0000-0000-000076120000}"/>
    <cellStyle name="好 2 2 8" xfId="4680" xr:uid="{00000000-0005-0000-0000-000077120000}"/>
    <cellStyle name="好 2 2 9" xfId="3076" xr:uid="{00000000-0005-0000-0000-0000330C0000}"/>
    <cellStyle name="好 2 3" xfId="2989" xr:uid="{00000000-0005-0000-0000-0000DC0B0000}"/>
    <cellStyle name="好 2 3 2" xfId="2364" xr:uid="{00000000-0005-0000-0000-00006B090000}"/>
    <cellStyle name="好 2 4" xfId="3067" xr:uid="{00000000-0005-0000-0000-00002A0C0000}"/>
    <cellStyle name="好 2 4 2" xfId="3069" xr:uid="{00000000-0005-0000-0000-00002C0C0000}"/>
    <cellStyle name="好 2 4 3" xfId="3072" xr:uid="{00000000-0005-0000-0000-00002F0C0000}"/>
    <cellStyle name="好 2 5" xfId="3081" xr:uid="{00000000-0005-0000-0000-0000380C0000}"/>
    <cellStyle name="好 2 5 2" xfId="3084" xr:uid="{00000000-0005-0000-0000-00003B0C0000}"/>
    <cellStyle name="好 2 5 3" xfId="3086" xr:uid="{00000000-0005-0000-0000-00003D0C0000}"/>
    <cellStyle name="好 2 6" xfId="2435" xr:uid="{00000000-0005-0000-0000-0000B2090000}"/>
    <cellStyle name="好 2 6 2" xfId="3096" xr:uid="{00000000-0005-0000-0000-0000470C0000}"/>
    <cellStyle name="好 2 6 3" xfId="3099" xr:uid="{00000000-0005-0000-0000-00004A0C0000}"/>
    <cellStyle name="好 2 7" xfId="969" xr:uid="{00000000-0005-0000-0000-0000F8030000}"/>
    <cellStyle name="好 2 7 2" xfId="317" xr:uid="{00000000-0005-0000-0000-00006C010000}"/>
    <cellStyle name="好 2 7 3" xfId="977" xr:uid="{00000000-0005-0000-0000-000000040000}"/>
    <cellStyle name="好 2 8" xfId="2112" xr:uid="{00000000-0005-0000-0000-00006F080000}"/>
    <cellStyle name="好 2 8 2" xfId="2116" xr:uid="{00000000-0005-0000-0000-000073080000}"/>
    <cellStyle name="好 2 8 3" xfId="3104" xr:uid="{00000000-0005-0000-0000-00004F0C0000}"/>
    <cellStyle name="好 2 9" xfId="2120" xr:uid="{00000000-0005-0000-0000-000077080000}"/>
    <cellStyle name="好 2 9 2" xfId="3109" xr:uid="{00000000-0005-0000-0000-0000540C0000}"/>
    <cellStyle name="好 2 9 3" xfId="3116" xr:uid="{00000000-0005-0000-0000-00005B0C0000}"/>
    <cellStyle name="好 3" xfId="4681" xr:uid="{00000000-0005-0000-0000-000078120000}"/>
    <cellStyle name="好 3 2" xfId="4682" xr:uid="{00000000-0005-0000-0000-000079120000}"/>
    <cellStyle name="好 4" xfId="2389" xr:uid="{00000000-0005-0000-0000-000084090000}"/>
    <cellStyle name="好 4 2" xfId="4195" xr:uid="{00000000-0005-0000-0000-000092100000}"/>
    <cellStyle name="好 4 3" xfId="4199" xr:uid="{00000000-0005-0000-0000-000096100000}"/>
    <cellStyle name="好 5" xfId="3862" xr:uid="{00000000-0005-0000-0000-0000450F0000}"/>
    <cellStyle name="好 5 2" xfId="3866" xr:uid="{00000000-0005-0000-0000-0000490F0000}"/>
    <cellStyle name="好 5 3" xfId="3870" xr:uid="{00000000-0005-0000-0000-00004D0F0000}"/>
    <cellStyle name="好 6" xfId="3876" xr:uid="{00000000-0005-0000-0000-0000530F0000}"/>
    <cellStyle name="好 6 2" xfId="657" xr:uid="{00000000-0005-0000-0000-0000C0020000}"/>
    <cellStyle name="好 6 3" xfId="4683" xr:uid="{00000000-0005-0000-0000-00007A120000}"/>
    <cellStyle name="好 7" xfId="3878" xr:uid="{00000000-0005-0000-0000-0000550F0000}"/>
    <cellStyle name="好 7 2" xfId="3880" xr:uid="{00000000-0005-0000-0000-0000570F0000}"/>
    <cellStyle name="好 7 2 2" xfId="4685" xr:uid="{00000000-0005-0000-0000-00007C120000}"/>
    <cellStyle name="好 7 2 3" xfId="4687" xr:uid="{00000000-0005-0000-0000-00007E120000}"/>
    <cellStyle name="好 7 3" xfId="3882" xr:uid="{00000000-0005-0000-0000-0000590F0000}"/>
    <cellStyle name="好 7 4" xfId="4688" xr:uid="{00000000-0005-0000-0000-00007F120000}"/>
    <cellStyle name="好 8" xfId="3884" xr:uid="{00000000-0005-0000-0000-00005B0F0000}"/>
    <cellStyle name="好 8 2" xfId="3886" xr:uid="{00000000-0005-0000-0000-00005D0F0000}"/>
    <cellStyle name="好 8 2 2" xfId="2074" xr:uid="{00000000-0005-0000-0000-000049080000}"/>
    <cellStyle name="好 8 2 3" xfId="1190" xr:uid="{00000000-0005-0000-0000-0000D5040000}"/>
    <cellStyle name="好 8 3" xfId="3888" xr:uid="{00000000-0005-0000-0000-00005F0F0000}"/>
    <cellStyle name="好 8 4" xfId="3802" xr:uid="{00000000-0005-0000-0000-0000090F0000}"/>
    <cellStyle name="好 9" xfId="3891" xr:uid="{00000000-0005-0000-0000-0000620F0000}"/>
    <cellStyle name="好 9 2" xfId="3894" xr:uid="{00000000-0005-0000-0000-0000650F0000}"/>
    <cellStyle name="好_PBT0305仪征资产分公司2009年度计划上报" xfId="4690" xr:uid="{00000000-0005-0000-0000-000081120000}"/>
    <cellStyle name="好_PBT0305仪征资产分公司2009年度计划上报 2" xfId="3570" xr:uid="{00000000-0005-0000-0000-0000210E0000}"/>
    <cellStyle name="好_PBT0305仪征资产分公司2009年度计划上报 3" xfId="4692" xr:uid="{00000000-0005-0000-0000-000083120000}"/>
    <cellStyle name="好_PBT0305仪征资产分公司2009年度计划上报 4" xfId="4694" xr:uid="{00000000-0005-0000-0000-000085120000}"/>
    <cellStyle name="好_Sheet1" xfId="4695" xr:uid="{00000000-0005-0000-0000-000086120000}"/>
    <cellStyle name="好_安庆" xfId="4040" xr:uid="{00000000-0005-0000-0000-0000F70F0000}"/>
    <cellStyle name="好_安庆 2" xfId="4697" xr:uid="{00000000-0005-0000-0000-000088120000}"/>
    <cellStyle name="好_安庆 3" xfId="1494" xr:uid="{00000000-0005-0000-0000-000005060000}"/>
    <cellStyle name="好_安庆 4" xfId="1496" xr:uid="{00000000-0005-0000-0000-000007060000}"/>
    <cellStyle name="好_报表" xfId="4698" xr:uid="{00000000-0005-0000-0000-000089120000}"/>
    <cellStyle name="好_报表 2" xfId="4240" xr:uid="{00000000-0005-0000-0000-0000BF100000}"/>
    <cellStyle name="好_报表 3" xfId="4245" xr:uid="{00000000-0005-0000-0000-0000C4100000}"/>
    <cellStyle name="好_报表 4" xfId="4251" xr:uid="{00000000-0005-0000-0000-0000CA100000}"/>
    <cellStyle name="好_产品产销表" xfId="1293" xr:uid="{00000000-0005-0000-0000-00003C050000}"/>
    <cellStyle name="好_产品产销表 2" xfId="4595" xr:uid="{00000000-0005-0000-0000-000022120000}"/>
    <cellStyle name="好_产品产销表 3" xfId="4699" xr:uid="{00000000-0005-0000-0000-00008A120000}"/>
    <cellStyle name="好_产品产销表 4" xfId="4700" xr:uid="{00000000-0005-0000-0000-00008B120000}"/>
    <cellStyle name="好_产品产销表_PBT0305仪征资产分公司2009年度计划上报" xfId="3234" xr:uid="{00000000-0005-0000-0000-0000D10C0000}"/>
    <cellStyle name="好_产品产销表_PBT0305仪征资产分公司2009年度计划上报 2" xfId="3549" xr:uid="{00000000-0005-0000-0000-00000C0E0000}"/>
    <cellStyle name="好_产品产销表_PBT0305仪征资产分公司2009年度计划上报 3" xfId="3554" xr:uid="{00000000-0005-0000-0000-0000110E0000}"/>
    <cellStyle name="好_产品产销表_PBT0305仪征资产分公司2009年度计划上报 4" xfId="3559" xr:uid="{00000000-0005-0000-0000-0000160E0000}"/>
    <cellStyle name="好_产品产销表_一季度计划上报规范格式v1.00" xfId="3159" xr:uid="{00000000-0005-0000-0000-0000860C0000}"/>
    <cellStyle name="好_产品产销表_一季度计划上报规范格式v1.00 2" xfId="4701" xr:uid="{00000000-0005-0000-0000-00008C120000}"/>
    <cellStyle name="好_产品产销表_一季度计划上报规范格式v1.00 3" xfId="4702" xr:uid="{00000000-0005-0000-0000-00008D120000}"/>
    <cellStyle name="好_产品产销表_一季度计划上报规范格式v1.00 4" xfId="4703" xr:uid="{00000000-0005-0000-0000-00008E120000}"/>
    <cellStyle name="好_分析附表---2013比上年" xfId="218" xr:uid="{00000000-0005-0000-0000-000002010000}"/>
    <cellStyle name="好_国资委预算报表" xfId="4704" xr:uid="{00000000-0005-0000-0000-00008F120000}"/>
    <cellStyle name="好_国资委预算报表 2" xfId="4705" xr:uid="{00000000-0005-0000-0000-000090120000}"/>
    <cellStyle name="好_国资委预算报表 3" xfId="4706" xr:uid="{00000000-0005-0000-0000-000091120000}"/>
    <cellStyle name="好_国资委预算报表 4" xfId="1713" xr:uid="{00000000-0005-0000-0000-0000E0060000}"/>
    <cellStyle name="好_化工计划优化报表(四季度）" xfId="3408" xr:uid="{00000000-0005-0000-0000-00007F0D0000}"/>
    <cellStyle name="好_化工计划优化报表(四季度） 2" xfId="2966" xr:uid="{00000000-0005-0000-0000-0000C50B0000}"/>
    <cellStyle name="好_化工计划优化报表(四季度） 3" xfId="2969" xr:uid="{00000000-0005-0000-0000-0000C80B0000}"/>
    <cellStyle name="好_化工计划优化报表(四季度） 4" xfId="4707" xr:uid="{00000000-0005-0000-0000-000092120000}"/>
    <cellStyle name="好_化工计划优化报表722" xfId="4708" xr:uid="{00000000-0005-0000-0000-000093120000}"/>
    <cellStyle name="好_化工计划优化报表722 2" xfId="362" xr:uid="{00000000-0005-0000-0000-000099010000}"/>
    <cellStyle name="好_化工计划优化报表722 3" xfId="516" xr:uid="{00000000-0005-0000-0000-000033020000}"/>
    <cellStyle name="好_化工计划优化报表722 4" xfId="843" xr:uid="{00000000-0005-0000-0000-00007A030000}"/>
    <cellStyle name="好_化工计划优化报表8" xfId="1659" xr:uid="{00000000-0005-0000-0000-0000AA060000}"/>
    <cellStyle name="好_化工计划优化报表8 2" xfId="3293" xr:uid="{00000000-0005-0000-0000-00000C0D0000}"/>
    <cellStyle name="好_化工计划优化报表8 3" xfId="2583" xr:uid="{00000000-0005-0000-0000-0000460A0000}"/>
    <cellStyle name="好_化工计划优化报表8 4" xfId="4709" xr:uid="{00000000-0005-0000-0000-000094120000}"/>
    <cellStyle name="好_化纤分牌号产品产销表" xfId="4711" xr:uid="{00000000-0005-0000-0000-000096120000}"/>
    <cellStyle name="好_化纤分牌号产品产销表 2" xfId="2275" xr:uid="{00000000-0005-0000-0000-000012090000}"/>
    <cellStyle name="好_化纤分牌号产品产销表 3" xfId="2282" xr:uid="{00000000-0005-0000-0000-000019090000}"/>
    <cellStyle name="好_化纤分牌号产品产销表 4" xfId="2292" xr:uid="{00000000-0005-0000-0000-000023090000}"/>
    <cellStyle name="好_化纤分牌号产品产销表_PBT0305仪征资产分公司2009年度计划上报" xfId="3446" xr:uid="{00000000-0005-0000-0000-0000A50D0000}"/>
    <cellStyle name="好_化纤分牌号产品产销表_PBT0305仪征资产分公司2009年度计划上报 2" xfId="3448" xr:uid="{00000000-0005-0000-0000-0000A70D0000}"/>
    <cellStyle name="好_化纤分牌号产品产销表_PBT0305仪征资产分公司2009年度计划上报 3" xfId="1043" xr:uid="{00000000-0005-0000-0000-000042040000}"/>
    <cellStyle name="好_化纤分牌号产品产销表_PBT0305仪征资产分公司2009年度计划上报 4" xfId="2566" xr:uid="{00000000-0005-0000-0000-0000350A0000}"/>
    <cellStyle name="好_化纤分牌号产品产销表_一季度计划上报规范格式v1.00" xfId="3286" xr:uid="{00000000-0005-0000-0000-0000050D0000}"/>
    <cellStyle name="好_化纤分牌号产品产销表_一季度计划上报规范格式v1.00 2" xfId="4713" xr:uid="{00000000-0005-0000-0000-000098120000}"/>
    <cellStyle name="好_化纤分牌号产品产销表_一季度计划上报规范格式v1.00 3" xfId="3693" xr:uid="{00000000-0005-0000-0000-00009C0E0000}"/>
    <cellStyle name="好_化纤分牌号产品产销表_一季度计划上报规范格式v1.00 4" xfId="3696" xr:uid="{00000000-0005-0000-0000-00009F0E0000}"/>
    <cellStyle name="好_洛阳-于百双整理" xfId="3560" xr:uid="{00000000-0005-0000-0000-0000170E0000}"/>
    <cellStyle name="好_洛阳-于百双整理 2" xfId="1152" xr:uid="{00000000-0005-0000-0000-0000AF040000}"/>
    <cellStyle name="好_洛阳-于百双整理 3" xfId="1165" xr:uid="{00000000-0005-0000-0000-0000BC040000}"/>
    <cellStyle name="好_洛阳-于百双整理 4" xfId="1168" xr:uid="{00000000-0005-0000-0000-0000BF040000}"/>
    <cellStyle name="好_齐鲁化工轻油" xfId="4714" xr:uid="{00000000-0005-0000-0000-000099120000}"/>
    <cellStyle name="好_齐鲁化工轻油 2" xfId="4234" xr:uid="{00000000-0005-0000-0000-0000B9100000}"/>
    <cellStyle name="好_齐鲁化工轻油 3" xfId="4640" xr:uid="{00000000-0005-0000-0000-00004F120000}"/>
    <cellStyle name="好_齐鲁化工轻油 4" xfId="4643" xr:uid="{00000000-0005-0000-0000-000052120000}"/>
    <cellStyle name="好_齐鲁检修" xfId="4716" xr:uid="{00000000-0005-0000-0000-00009B120000}"/>
    <cellStyle name="好_齐鲁检修 2" xfId="4717" xr:uid="{00000000-0005-0000-0000-00009C120000}"/>
    <cellStyle name="好_齐鲁检修 3" xfId="4718" xr:uid="{00000000-0005-0000-0000-00009D120000}"/>
    <cellStyle name="好_齐鲁检修 4" xfId="4592" xr:uid="{00000000-0005-0000-0000-00001F120000}"/>
    <cellStyle name="好_齐鲁物料互供" xfId="952" xr:uid="{00000000-0005-0000-0000-0000E7030000}"/>
    <cellStyle name="好_齐鲁物料互供 2" xfId="49" xr:uid="{00000000-0005-0000-0000-000038000000}"/>
    <cellStyle name="好_齐鲁物料互供 3" xfId="4536" xr:uid="{00000000-0005-0000-0000-0000E7110000}"/>
    <cellStyle name="好_齐鲁物料互供 4" xfId="4541" xr:uid="{00000000-0005-0000-0000-0000EC110000}"/>
    <cellStyle name="好_其他销售配置" xfId="4719" xr:uid="{00000000-0005-0000-0000-00009E120000}"/>
    <cellStyle name="好_其他销售配置 2" xfId="486" xr:uid="{00000000-0005-0000-0000-000015020000}"/>
    <cellStyle name="好_其他销售配置 3" xfId="1976" xr:uid="{00000000-0005-0000-0000-0000E7070000}"/>
    <cellStyle name="好_其他销售配置 4" xfId="1980" xr:uid="{00000000-0005-0000-0000-0000EB070000}"/>
    <cellStyle name="好_上海标准报表" xfId="400" xr:uid="{00000000-0005-0000-0000-0000BF010000}"/>
    <cellStyle name="好_上海标准报表 2" xfId="2624" xr:uid="{00000000-0005-0000-0000-00006F0A0000}"/>
    <cellStyle name="好_上海标准报表 3" xfId="2627" xr:uid="{00000000-0005-0000-0000-0000720A0000}"/>
    <cellStyle name="好_上海标准报表 4" xfId="3653" xr:uid="{00000000-0005-0000-0000-0000740E0000}"/>
    <cellStyle name="好_上海化工计划优化报表8月" xfId="1156" xr:uid="{00000000-0005-0000-0000-0000B3040000}"/>
    <cellStyle name="好_上海化工计划优化报表8月 2" xfId="21" xr:uid="{00000000-0005-0000-0000-000019000000}"/>
    <cellStyle name="好_上海化工计划优化报表8月 3" xfId="4720" xr:uid="{00000000-0005-0000-0000-00009F120000}"/>
    <cellStyle name="好_上海化工计划优化报表8月 4" xfId="4721" xr:uid="{00000000-0005-0000-0000-0000A0120000}"/>
    <cellStyle name="好_树脂分牌号产品产销表" xfId="4722" xr:uid="{00000000-0005-0000-0000-0000A1120000}"/>
    <cellStyle name="好_树脂分牌号产品产销表 2" xfId="509" xr:uid="{00000000-0005-0000-0000-00002C020000}"/>
    <cellStyle name="好_树脂分牌号产品产销表 3" xfId="4723" xr:uid="{00000000-0005-0000-0000-0000A2120000}"/>
    <cellStyle name="好_树脂分牌号产品产销表 4" xfId="4725" xr:uid="{00000000-0005-0000-0000-0000A4120000}"/>
    <cellStyle name="好_树脂分牌号产品产销表_PBT0305仪征资产分公司2009年度计划上报" xfId="4726" xr:uid="{00000000-0005-0000-0000-0000A5120000}"/>
    <cellStyle name="好_树脂分牌号产品产销表_PBT0305仪征资产分公司2009年度计划上报 2" xfId="3254" xr:uid="{00000000-0005-0000-0000-0000E50C0000}"/>
    <cellStyle name="好_树脂分牌号产品产销表_PBT0305仪征资产分公司2009年度计划上报 3" xfId="4727" xr:uid="{00000000-0005-0000-0000-0000A6120000}"/>
    <cellStyle name="好_树脂分牌号产品产销表_PBT0305仪征资产分公司2009年度计划上报 4" xfId="4728" xr:uid="{00000000-0005-0000-0000-0000A7120000}"/>
    <cellStyle name="好_树脂分牌号产品产销表_一季度计划上报规范格式v1.00" xfId="2961" xr:uid="{00000000-0005-0000-0000-0000C00B0000}"/>
    <cellStyle name="好_树脂分牌号产品产销表_一季度计划上报规范格式v1.00 2" xfId="197" xr:uid="{00000000-0005-0000-0000-0000E5000000}"/>
    <cellStyle name="好_树脂分牌号产品产销表_一季度计划上报规范格式v1.00 3" xfId="180" xr:uid="{00000000-0005-0000-0000-0000CE000000}"/>
    <cellStyle name="好_树脂分牌号产品产销表_一季度计划上报规范格式v1.00 4" xfId="209" xr:uid="{00000000-0005-0000-0000-0000F6000000}"/>
    <cellStyle name="好_橡胶分牌号产品产销表" xfId="451" xr:uid="{00000000-0005-0000-0000-0000F2010000}"/>
    <cellStyle name="好_橡胶分牌号产品产销表 2" xfId="4729" xr:uid="{00000000-0005-0000-0000-0000A8120000}"/>
    <cellStyle name="好_橡胶分牌号产品产销表 3" xfId="4730" xr:uid="{00000000-0005-0000-0000-0000A9120000}"/>
    <cellStyle name="好_橡胶分牌号产品产销表 4" xfId="538" xr:uid="{00000000-0005-0000-0000-000049020000}"/>
    <cellStyle name="好_橡胶分牌号产品产销表_PBT0305仪征资产分公司2009年度计划上报" xfId="2513" xr:uid="{00000000-0005-0000-0000-0000000A0000}"/>
    <cellStyle name="好_橡胶分牌号产品产销表_PBT0305仪征资产分公司2009年度计划上报 2" xfId="4731" xr:uid="{00000000-0005-0000-0000-0000AA120000}"/>
    <cellStyle name="好_橡胶分牌号产品产销表_PBT0305仪征资产分公司2009年度计划上报 3" xfId="4732" xr:uid="{00000000-0005-0000-0000-0000AB120000}"/>
    <cellStyle name="好_橡胶分牌号产品产销表_PBT0305仪征资产分公司2009年度计划上报 4" xfId="4733" xr:uid="{00000000-0005-0000-0000-0000AC120000}"/>
    <cellStyle name="好_橡胶分牌号产品产销表_一季度计划上报规范格式v1.00" xfId="4734" xr:uid="{00000000-0005-0000-0000-0000AD120000}"/>
    <cellStyle name="好_橡胶分牌号产品产销表_一季度计划上报规范格式v1.00 2" xfId="4735" xr:uid="{00000000-0005-0000-0000-0000AE120000}"/>
    <cellStyle name="好_橡胶分牌号产品产销表_一季度计划上报规范格式v1.00 3" xfId="97" xr:uid="{00000000-0005-0000-0000-000070000000}"/>
    <cellStyle name="好_橡胶分牌号产品产销表_一季度计划上报规范格式v1.00 4" xfId="3252" xr:uid="{00000000-0005-0000-0000-0000E30C0000}"/>
    <cellStyle name="好_新建装置" xfId="2212" xr:uid="{00000000-0005-0000-0000-0000D3080000}"/>
    <cellStyle name="好_新建装置 2" xfId="1959" xr:uid="{00000000-0005-0000-0000-0000D6070000}"/>
    <cellStyle name="好_新建装置 3" xfId="1962" xr:uid="{00000000-0005-0000-0000-0000D9070000}"/>
    <cellStyle name="好_新建装置 4" xfId="1548" xr:uid="{00000000-0005-0000-0000-00003B060000}"/>
    <cellStyle name="好_新建装置_PBT0305仪征资产分公司2009年度计划上报" xfId="2535" xr:uid="{00000000-0005-0000-0000-0000160A0000}"/>
    <cellStyle name="好_新建装置_PBT0305仪征资产分公司2009年度计划上报 2" xfId="2735" xr:uid="{00000000-0005-0000-0000-0000DE0A0000}"/>
    <cellStyle name="好_新建装置_PBT0305仪征资产分公司2009年度计划上报 3" xfId="4736" xr:uid="{00000000-0005-0000-0000-0000AF120000}"/>
    <cellStyle name="好_新建装置_PBT0305仪征资产分公司2009年度计划上报 4" xfId="4737" xr:uid="{00000000-0005-0000-0000-0000B0120000}"/>
    <cellStyle name="好_新建装置_一季度计划上报规范格式v1.00" xfId="1228" xr:uid="{00000000-0005-0000-0000-0000FB040000}"/>
    <cellStyle name="好_新建装置_一季度计划上报规范格式v1.00 2" xfId="4738" xr:uid="{00000000-0005-0000-0000-0000B1120000}"/>
    <cellStyle name="好_新建装置_一季度计划上报规范格式v1.00 3" xfId="4739" xr:uid="{00000000-0005-0000-0000-0000B2120000}"/>
    <cellStyle name="好_新建装置_一季度计划上报规范格式v1.00 4" xfId="3015" xr:uid="{00000000-0005-0000-0000-0000F60B0000}"/>
    <cellStyle name="好_一季度计划上报规范格式v1.00" xfId="4740" xr:uid="{00000000-0005-0000-0000-0000B3120000}"/>
    <cellStyle name="好_一季度计划上报规范格式v1.00 2" xfId="4741" xr:uid="{00000000-0005-0000-0000-0000B4120000}"/>
    <cellStyle name="好_一季度计划上报规范格式v1.00 3" xfId="4742" xr:uid="{00000000-0005-0000-0000-0000B5120000}"/>
    <cellStyle name="好_一季度计划上报规范格式v1.00 4" xfId="4743" xr:uid="{00000000-0005-0000-0000-0000B6120000}"/>
    <cellStyle name="后继超级链接" xfId="247" xr:uid="{00000000-0005-0000-0000-000026010000}"/>
    <cellStyle name="后继超级链接 2" xfId="4605" xr:uid="{00000000-0005-0000-0000-00002C120000}"/>
    <cellStyle name="后继超级链接 3" xfId="4744" xr:uid="{00000000-0005-0000-0000-0000B7120000}"/>
    <cellStyle name="后继超级链接 4" xfId="3865" xr:uid="{00000000-0005-0000-0000-0000480F0000}"/>
    <cellStyle name="汇总 10" xfId="4745" xr:uid="{00000000-0005-0000-0000-0000B8120000}"/>
    <cellStyle name="汇总 10 2" xfId="1716" xr:uid="{00000000-0005-0000-0000-0000E3060000}"/>
    <cellStyle name="汇总 11" xfId="4746" xr:uid="{00000000-0005-0000-0000-0000B9120000}"/>
    <cellStyle name="汇总 12" xfId="4747" xr:uid="{00000000-0005-0000-0000-0000BA120000}"/>
    <cellStyle name="汇总 2" xfId="878" xr:uid="{00000000-0005-0000-0000-00009D030000}"/>
    <cellStyle name="汇总 2 10" xfId="4748" xr:uid="{00000000-0005-0000-0000-0000BB120000}"/>
    <cellStyle name="汇总 2 11" xfId="4749" xr:uid="{00000000-0005-0000-0000-0000BC120000}"/>
    <cellStyle name="汇总 2 12" xfId="4750" xr:uid="{00000000-0005-0000-0000-0000BD120000}"/>
    <cellStyle name="汇总 2 13" xfId="4751" xr:uid="{00000000-0005-0000-0000-0000BE120000}"/>
    <cellStyle name="汇总 2 14" xfId="4752" xr:uid="{00000000-0005-0000-0000-0000BF120000}"/>
    <cellStyle name="汇总 2 15" xfId="4754" xr:uid="{00000000-0005-0000-0000-0000C1120000}"/>
    <cellStyle name="汇总 2 2" xfId="533" xr:uid="{00000000-0005-0000-0000-000044020000}"/>
    <cellStyle name="汇总 2 2 10" xfId="4755" xr:uid="{00000000-0005-0000-0000-0000C2120000}"/>
    <cellStyle name="汇总 2 2 11" xfId="4756" xr:uid="{00000000-0005-0000-0000-0000C3120000}"/>
    <cellStyle name="汇总 2 2 2" xfId="4757" xr:uid="{00000000-0005-0000-0000-0000C4120000}"/>
    <cellStyle name="汇总 2 2 2 2" xfId="1008" xr:uid="{00000000-0005-0000-0000-00001F040000}"/>
    <cellStyle name="汇总 2 2 2 3" xfId="4759" xr:uid="{00000000-0005-0000-0000-0000C6120000}"/>
    <cellStyle name="汇总 2 2 3" xfId="4760" xr:uid="{00000000-0005-0000-0000-0000C7120000}"/>
    <cellStyle name="汇总 2 2 4" xfId="4761" xr:uid="{00000000-0005-0000-0000-0000C8120000}"/>
    <cellStyle name="汇总 2 2 5" xfId="4762" xr:uid="{00000000-0005-0000-0000-0000C9120000}"/>
    <cellStyle name="汇总 2 2 6" xfId="4763" xr:uid="{00000000-0005-0000-0000-0000CA120000}"/>
    <cellStyle name="汇总 2 2 7" xfId="4764" xr:uid="{00000000-0005-0000-0000-0000CB120000}"/>
    <cellStyle name="汇总 2 2 8" xfId="4765" xr:uid="{00000000-0005-0000-0000-0000CC120000}"/>
    <cellStyle name="汇总 2 2 9" xfId="932" xr:uid="{00000000-0005-0000-0000-0000D3030000}"/>
    <cellStyle name="汇总 2 3" xfId="880" xr:uid="{00000000-0005-0000-0000-00009F030000}"/>
    <cellStyle name="汇总 2 3 2" xfId="2438" xr:uid="{00000000-0005-0000-0000-0000B5090000}"/>
    <cellStyle name="汇总 2 3 2 2" xfId="4766" xr:uid="{00000000-0005-0000-0000-0000CD120000}"/>
    <cellStyle name="汇总 2 3 3" xfId="4767" xr:uid="{00000000-0005-0000-0000-0000CE120000}"/>
    <cellStyle name="汇总 2 4" xfId="2468" xr:uid="{00000000-0005-0000-0000-0000D3090000}"/>
    <cellStyle name="汇总 2 4 2" xfId="4768" xr:uid="{00000000-0005-0000-0000-0000CF120000}"/>
    <cellStyle name="汇总 2 4 2 2" xfId="3814" xr:uid="{00000000-0005-0000-0000-0000150F0000}"/>
    <cellStyle name="汇总 2 4 3" xfId="1632" xr:uid="{00000000-0005-0000-0000-00008F060000}"/>
    <cellStyle name="汇总 2 5" xfId="2470" xr:uid="{00000000-0005-0000-0000-0000D5090000}"/>
    <cellStyle name="汇总 2 5 2" xfId="4769" xr:uid="{00000000-0005-0000-0000-0000D0120000}"/>
    <cellStyle name="汇总 2 5 2 2" xfId="4474" xr:uid="{00000000-0005-0000-0000-0000A9110000}"/>
    <cellStyle name="汇总 2 5 3" xfId="4770" xr:uid="{00000000-0005-0000-0000-0000D1120000}"/>
    <cellStyle name="汇总 2 6" xfId="4771" xr:uid="{00000000-0005-0000-0000-0000D2120000}"/>
    <cellStyle name="汇总 2 6 2" xfId="3138" xr:uid="{00000000-0005-0000-0000-0000710C0000}"/>
    <cellStyle name="汇总 2 6 2 2" xfId="3140" xr:uid="{00000000-0005-0000-0000-0000730C0000}"/>
    <cellStyle name="汇总 2 6 3" xfId="3149" xr:uid="{00000000-0005-0000-0000-00007C0C0000}"/>
    <cellStyle name="汇总 2 7" xfId="4772" xr:uid="{00000000-0005-0000-0000-0000D3120000}"/>
    <cellStyle name="汇总 2 7 2" xfId="3167" xr:uid="{00000000-0005-0000-0000-00008E0C0000}"/>
    <cellStyle name="汇总 2 7 2 2" xfId="3169" xr:uid="{00000000-0005-0000-0000-0000900C0000}"/>
    <cellStyle name="汇总 2 7 3" xfId="3173" xr:uid="{00000000-0005-0000-0000-0000940C0000}"/>
    <cellStyle name="汇总 2 8" xfId="1823" xr:uid="{00000000-0005-0000-0000-00004E070000}"/>
    <cellStyle name="汇总 2 8 2" xfId="3197" xr:uid="{00000000-0005-0000-0000-0000AC0C0000}"/>
    <cellStyle name="汇总 2 8 2 2" xfId="3199" xr:uid="{00000000-0005-0000-0000-0000AE0C0000}"/>
    <cellStyle name="汇总 2 8 3" xfId="3205" xr:uid="{00000000-0005-0000-0000-0000B40C0000}"/>
    <cellStyle name="汇总 2 9" xfId="4774" xr:uid="{00000000-0005-0000-0000-0000D5120000}"/>
    <cellStyle name="汇总 2 9 2" xfId="4775" xr:uid="{00000000-0005-0000-0000-0000D6120000}"/>
    <cellStyle name="汇总 2 9 3" xfId="4776" xr:uid="{00000000-0005-0000-0000-0000D7120000}"/>
    <cellStyle name="汇总 3" xfId="4777" xr:uid="{00000000-0005-0000-0000-0000D8120000}"/>
    <cellStyle name="汇总 3 2" xfId="588" xr:uid="{00000000-0005-0000-0000-00007B020000}"/>
    <cellStyle name="汇总 3 2 2" xfId="219" xr:uid="{00000000-0005-0000-0000-000003010000}"/>
    <cellStyle name="汇总 3 3" xfId="4778" xr:uid="{00000000-0005-0000-0000-0000D9120000}"/>
    <cellStyle name="汇总 4" xfId="4779" xr:uid="{00000000-0005-0000-0000-0000DA120000}"/>
    <cellStyle name="汇总 4 2" xfId="4780" xr:uid="{00000000-0005-0000-0000-0000DB120000}"/>
    <cellStyle name="汇总 4 2 2" xfId="4781" xr:uid="{00000000-0005-0000-0000-0000DC120000}"/>
    <cellStyle name="汇总 4 3" xfId="4782" xr:uid="{00000000-0005-0000-0000-0000DD120000}"/>
    <cellStyle name="汇总 5" xfId="1708" xr:uid="{00000000-0005-0000-0000-0000DB060000}"/>
    <cellStyle name="汇总 5 2" xfId="1714" xr:uid="{00000000-0005-0000-0000-0000E1060000}"/>
    <cellStyle name="汇总 5 2 2" xfId="4783" xr:uid="{00000000-0005-0000-0000-0000DE120000}"/>
    <cellStyle name="汇总 5 3" xfId="4259" xr:uid="{00000000-0005-0000-0000-0000D2100000}"/>
    <cellStyle name="汇总 6" xfId="4785" xr:uid="{00000000-0005-0000-0000-0000E0120000}"/>
    <cellStyle name="汇总 6 2" xfId="4185" xr:uid="{00000000-0005-0000-0000-000088100000}"/>
    <cellStyle name="汇总 6 2 2" xfId="1085" xr:uid="{00000000-0005-0000-0000-00006C040000}"/>
    <cellStyle name="汇总 6 3" xfId="4786" xr:uid="{00000000-0005-0000-0000-0000E1120000}"/>
    <cellStyle name="汇总 7" xfId="4787" xr:uid="{00000000-0005-0000-0000-0000E2120000}"/>
    <cellStyle name="汇总 7 2" xfId="1989" xr:uid="{00000000-0005-0000-0000-0000F4070000}"/>
    <cellStyle name="汇总 7 2 2" xfId="1923" xr:uid="{00000000-0005-0000-0000-0000B2070000}"/>
    <cellStyle name="汇总 7 2 3" xfId="1993" xr:uid="{00000000-0005-0000-0000-0000F8070000}"/>
    <cellStyle name="汇总 7 3" xfId="805" xr:uid="{00000000-0005-0000-0000-000054030000}"/>
    <cellStyle name="汇总 7 4" xfId="4788" xr:uid="{00000000-0005-0000-0000-0000E3120000}"/>
    <cellStyle name="汇总 8" xfId="1007" xr:uid="{00000000-0005-0000-0000-00001E040000}"/>
    <cellStyle name="汇总 8 2" xfId="1010" xr:uid="{00000000-0005-0000-0000-000021040000}"/>
    <cellStyle name="汇总 8 2 2" xfId="1260" xr:uid="{00000000-0005-0000-0000-00001B050000}"/>
    <cellStyle name="汇总 8 2 3" xfId="4789" xr:uid="{00000000-0005-0000-0000-0000E4120000}"/>
    <cellStyle name="汇总 8 3" xfId="1014" xr:uid="{00000000-0005-0000-0000-000025040000}"/>
    <cellStyle name="汇总 8 4" xfId="4790" xr:uid="{00000000-0005-0000-0000-0000E5120000}"/>
    <cellStyle name="汇总 9" xfId="4758" xr:uid="{00000000-0005-0000-0000-0000C5120000}"/>
    <cellStyle name="汇总 9 2" xfId="2031" xr:uid="{00000000-0005-0000-0000-00001E080000}"/>
    <cellStyle name="货币 2" xfId="1559" xr:uid="{00000000-0005-0000-0000-000046060000}"/>
    <cellStyle name="货币 2 2" xfId="439" xr:uid="{00000000-0005-0000-0000-0000E6010000}"/>
    <cellStyle name="计算 10" xfId="4791" xr:uid="{00000000-0005-0000-0000-0000E6120000}"/>
    <cellStyle name="计算 10 2" xfId="4793" xr:uid="{00000000-0005-0000-0000-0000E8120000}"/>
    <cellStyle name="计算 11" xfId="4794" xr:uid="{00000000-0005-0000-0000-0000E9120000}"/>
    <cellStyle name="计算 12" xfId="2542" xr:uid="{00000000-0005-0000-0000-00001D0A0000}"/>
    <cellStyle name="计算 2" xfId="4795" xr:uid="{00000000-0005-0000-0000-0000EA120000}"/>
    <cellStyle name="计算 2 10" xfId="87" xr:uid="{00000000-0005-0000-0000-000066000000}"/>
    <cellStyle name="计算 2 11" xfId="3288" xr:uid="{00000000-0005-0000-0000-0000070D0000}"/>
    <cellStyle name="计算 2 12" xfId="1657" xr:uid="{00000000-0005-0000-0000-0000A8060000}"/>
    <cellStyle name="计算 2 13" xfId="3294" xr:uid="{00000000-0005-0000-0000-00000D0D0000}"/>
    <cellStyle name="计算 2 14" xfId="2602" xr:uid="{00000000-0005-0000-0000-0000590A0000}"/>
    <cellStyle name="计算 2 15" xfId="2463" xr:uid="{00000000-0005-0000-0000-0000CE090000}"/>
    <cellStyle name="计算 2 2" xfId="4796" xr:uid="{00000000-0005-0000-0000-0000EB120000}"/>
    <cellStyle name="计算 2 2 10" xfId="1463" xr:uid="{00000000-0005-0000-0000-0000E6050000}"/>
    <cellStyle name="计算 2 2 11" xfId="1618" xr:uid="{00000000-0005-0000-0000-000081060000}"/>
    <cellStyle name="计算 2 2 2" xfId="4797" xr:uid="{00000000-0005-0000-0000-0000EC120000}"/>
    <cellStyle name="计算 2 2 2 2" xfId="4798" xr:uid="{00000000-0005-0000-0000-0000ED120000}"/>
    <cellStyle name="计算 2 2 2 3" xfId="4799" xr:uid="{00000000-0005-0000-0000-0000EE120000}"/>
    <cellStyle name="计算 2 2 3" xfId="4800" xr:uid="{00000000-0005-0000-0000-0000EF120000}"/>
    <cellStyle name="计算 2 2 4" xfId="4801" xr:uid="{00000000-0005-0000-0000-0000F0120000}"/>
    <cellStyle name="计算 2 2 5" xfId="4802" xr:uid="{00000000-0005-0000-0000-0000F1120000}"/>
    <cellStyle name="计算 2 2 6" xfId="4803" xr:uid="{00000000-0005-0000-0000-0000F2120000}"/>
    <cellStyle name="计算 2 2 7" xfId="4804" xr:uid="{00000000-0005-0000-0000-0000F3120000}"/>
    <cellStyle name="计算 2 2 8" xfId="4806" xr:uid="{00000000-0005-0000-0000-0000F5120000}"/>
    <cellStyle name="计算 2 2 9" xfId="4808" xr:uid="{00000000-0005-0000-0000-0000F7120000}"/>
    <cellStyle name="计算 2 3" xfId="4809" xr:uid="{00000000-0005-0000-0000-0000F8120000}"/>
    <cellStyle name="计算 2 3 2" xfId="3731" xr:uid="{00000000-0005-0000-0000-0000C20E0000}"/>
    <cellStyle name="计算 2 3 2 2" xfId="4810" xr:uid="{00000000-0005-0000-0000-0000F9120000}"/>
    <cellStyle name="计算 2 3 3" xfId="166" xr:uid="{00000000-0005-0000-0000-0000BD000000}"/>
    <cellStyle name="计算 2 4" xfId="4811" xr:uid="{00000000-0005-0000-0000-0000FA120000}"/>
    <cellStyle name="计算 2 4 2" xfId="430" xr:uid="{00000000-0005-0000-0000-0000DD010000}"/>
    <cellStyle name="计算 2 4 2 2" xfId="4812" xr:uid="{00000000-0005-0000-0000-0000FB120000}"/>
    <cellStyle name="计算 2 4 3" xfId="3278" xr:uid="{00000000-0005-0000-0000-0000FD0C0000}"/>
    <cellStyle name="计算 2 5" xfId="4814" xr:uid="{00000000-0005-0000-0000-0000FD120000}"/>
    <cellStyle name="计算 2 5 2" xfId="1301" xr:uid="{00000000-0005-0000-0000-000044050000}"/>
    <cellStyle name="计算 2 5 2 2" xfId="4283" xr:uid="{00000000-0005-0000-0000-0000EA100000}"/>
    <cellStyle name="计算 2 5 3" xfId="40" xr:uid="{00000000-0005-0000-0000-00002E000000}"/>
    <cellStyle name="计算 2 6" xfId="4815" xr:uid="{00000000-0005-0000-0000-0000FE120000}"/>
    <cellStyle name="计算 2 6 2" xfId="3741" xr:uid="{00000000-0005-0000-0000-0000CC0E0000}"/>
    <cellStyle name="计算 2 6 2 2" xfId="4085" xr:uid="{00000000-0005-0000-0000-000024100000}"/>
    <cellStyle name="计算 2 6 3" xfId="4816" xr:uid="{00000000-0005-0000-0000-0000FF120000}"/>
    <cellStyle name="计算 2 7" xfId="4817" xr:uid="{00000000-0005-0000-0000-000000130000}"/>
    <cellStyle name="计算 2 7 2" xfId="3745" xr:uid="{00000000-0005-0000-0000-0000D00E0000}"/>
    <cellStyle name="计算 2 7 2 2" xfId="4330" xr:uid="{00000000-0005-0000-0000-000019110000}"/>
    <cellStyle name="计算 2 7 3" xfId="4818" xr:uid="{00000000-0005-0000-0000-000001130000}"/>
    <cellStyle name="计算 2 8" xfId="4819" xr:uid="{00000000-0005-0000-0000-000002130000}"/>
    <cellStyle name="计算 2 8 2" xfId="3749" xr:uid="{00000000-0005-0000-0000-0000D40E0000}"/>
    <cellStyle name="计算 2 8 2 2" xfId="4820" xr:uid="{00000000-0005-0000-0000-000003130000}"/>
    <cellStyle name="计算 2 8 3" xfId="4821" xr:uid="{00000000-0005-0000-0000-000004130000}"/>
    <cellStyle name="计算 2 9" xfId="4822" xr:uid="{00000000-0005-0000-0000-000005130000}"/>
    <cellStyle name="计算 2 9 2" xfId="3759" xr:uid="{00000000-0005-0000-0000-0000DE0E0000}"/>
    <cellStyle name="计算 2 9 3" xfId="4823" xr:uid="{00000000-0005-0000-0000-000006130000}"/>
    <cellStyle name="计算 3" xfId="4824" xr:uid="{00000000-0005-0000-0000-000007130000}"/>
    <cellStyle name="计算 3 2" xfId="4825" xr:uid="{00000000-0005-0000-0000-000008130000}"/>
    <cellStyle name="计算 3 2 2" xfId="4826" xr:uid="{00000000-0005-0000-0000-000009130000}"/>
    <cellStyle name="计算 3 3" xfId="4827" xr:uid="{00000000-0005-0000-0000-00000A130000}"/>
    <cellStyle name="计算 4" xfId="3895" xr:uid="{00000000-0005-0000-0000-0000660F0000}"/>
    <cellStyle name="计算 4 2" xfId="4828" xr:uid="{00000000-0005-0000-0000-00000B130000}"/>
    <cellStyle name="计算 4 2 2" xfId="4829" xr:uid="{00000000-0005-0000-0000-00000C130000}"/>
    <cellStyle name="计算 4 3" xfId="4830" xr:uid="{00000000-0005-0000-0000-00000D130000}"/>
    <cellStyle name="计算 5" xfId="3897" xr:uid="{00000000-0005-0000-0000-0000680F0000}"/>
    <cellStyle name="计算 5 2" xfId="4831" xr:uid="{00000000-0005-0000-0000-00000E130000}"/>
    <cellStyle name="计算 5 2 2" xfId="2312" xr:uid="{00000000-0005-0000-0000-000037090000}"/>
    <cellStyle name="计算 5 3" xfId="4832" xr:uid="{00000000-0005-0000-0000-00000F130000}"/>
    <cellStyle name="计算 6" xfId="4834" xr:uid="{00000000-0005-0000-0000-000011130000}"/>
    <cellStyle name="计算 6 2" xfId="4835" xr:uid="{00000000-0005-0000-0000-000012130000}"/>
    <cellStyle name="计算 6 2 2" xfId="4836" xr:uid="{00000000-0005-0000-0000-000013130000}"/>
    <cellStyle name="计算 6 3" xfId="4837" xr:uid="{00000000-0005-0000-0000-000014130000}"/>
    <cellStyle name="计算 7" xfId="3439" xr:uid="{00000000-0005-0000-0000-00009E0D0000}"/>
    <cellStyle name="计算 7 2" xfId="3441" xr:uid="{00000000-0005-0000-0000-0000A00D0000}"/>
    <cellStyle name="计算 7 2 2" xfId="4838" xr:uid="{00000000-0005-0000-0000-000015130000}"/>
    <cellStyle name="计算 7 2 3" xfId="4839" xr:uid="{00000000-0005-0000-0000-000016130000}"/>
    <cellStyle name="计算 7 3" xfId="3443" xr:uid="{00000000-0005-0000-0000-0000A20D0000}"/>
    <cellStyle name="计算 7 4" xfId="1487" xr:uid="{00000000-0005-0000-0000-0000FE050000}"/>
    <cellStyle name="计算 8" xfId="2247" xr:uid="{00000000-0005-0000-0000-0000F6080000}"/>
    <cellStyle name="计算 8 2" xfId="4840" xr:uid="{00000000-0005-0000-0000-000017130000}"/>
    <cellStyle name="计算 8 2 2" xfId="4841" xr:uid="{00000000-0005-0000-0000-000018130000}"/>
    <cellStyle name="计算 8 2 3" xfId="3480" xr:uid="{00000000-0005-0000-0000-0000C70D0000}"/>
    <cellStyle name="计算 8 3" xfId="4842" xr:uid="{00000000-0005-0000-0000-000019130000}"/>
    <cellStyle name="计算 8 4" xfId="4843" xr:uid="{00000000-0005-0000-0000-00001A130000}"/>
    <cellStyle name="计算 9" xfId="2560" xr:uid="{00000000-0005-0000-0000-00002F0A0000}"/>
    <cellStyle name="计算 9 2" xfId="4844" xr:uid="{00000000-0005-0000-0000-00001B130000}"/>
    <cellStyle name="检查单元格 10" xfId="4845" xr:uid="{00000000-0005-0000-0000-00001C130000}"/>
    <cellStyle name="检查单元格 10 2" xfId="4846" xr:uid="{00000000-0005-0000-0000-00001D130000}"/>
    <cellStyle name="检查单元格 11" xfId="4847" xr:uid="{00000000-0005-0000-0000-00001E130000}"/>
    <cellStyle name="检查单元格 12" xfId="4848" xr:uid="{00000000-0005-0000-0000-00001F130000}"/>
    <cellStyle name="检查单元格 2" xfId="4849" xr:uid="{00000000-0005-0000-0000-000020130000}"/>
    <cellStyle name="检查单元格 2 10" xfId="4852" xr:uid="{00000000-0005-0000-0000-000023130000}"/>
    <cellStyle name="检查单元格 2 11" xfId="4854" xr:uid="{00000000-0005-0000-0000-000025130000}"/>
    <cellStyle name="检查单元格 2 12" xfId="4855" xr:uid="{00000000-0005-0000-0000-000026130000}"/>
    <cellStyle name="检查单元格 2 13" xfId="2998" xr:uid="{00000000-0005-0000-0000-0000E50B0000}"/>
    <cellStyle name="检查单元格 2 14" xfId="631" xr:uid="{00000000-0005-0000-0000-0000A6020000}"/>
    <cellStyle name="检查单元格 2 15" xfId="4856" xr:uid="{00000000-0005-0000-0000-000027130000}"/>
    <cellStyle name="检查单元格 2 2" xfId="4857" xr:uid="{00000000-0005-0000-0000-000028130000}"/>
    <cellStyle name="检查单元格 2 2 10" xfId="4858" xr:uid="{00000000-0005-0000-0000-000029130000}"/>
    <cellStyle name="检查单元格 2 2 2" xfId="4859" xr:uid="{00000000-0005-0000-0000-00002A130000}"/>
    <cellStyle name="检查单元格 2 2 2 2" xfId="4860" xr:uid="{00000000-0005-0000-0000-00002B130000}"/>
    <cellStyle name="检查单元格 2 2 2 3" xfId="4861" xr:uid="{00000000-0005-0000-0000-00002C130000}"/>
    <cellStyle name="检查单元格 2 2 3" xfId="4173" xr:uid="{00000000-0005-0000-0000-00007C100000}"/>
    <cellStyle name="检查单元格 2 2 4" xfId="2145" xr:uid="{00000000-0005-0000-0000-000090080000}"/>
    <cellStyle name="检查单元格 2 2 5" xfId="2152" xr:uid="{00000000-0005-0000-0000-000097080000}"/>
    <cellStyle name="检查单元格 2 2 6" xfId="2159" xr:uid="{00000000-0005-0000-0000-00009E080000}"/>
    <cellStyle name="检查单元格 2 2 7" xfId="163" xr:uid="{00000000-0005-0000-0000-0000BA000000}"/>
    <cellStyle name="检查单元格 2 2 8" xfId="2840" xr:uid="{00000000-0005-0000-0000-0000470B0000}"/>
    <cellStyle name="检查单元格 2 2 9" xfId="2856" xr:uid="{00000000-0005-0000-0000-0000570B0000}"/>
    <cellStyle name="检查单元格 2 3" xfId="4862" xr:uid="{00000000-0005-0000-0000-00002D130000}"/>
    <cellStyle name="检查单元格 2 3 2" xfId="3422" xr:uid="{00000000-0005-0000-0000-00008D0D0000}"/>
    <cellStyle name="检查单元格 2 4" xfId="4863" xr:uid="{00000000-0005-0000-0000-00002E130000}"/>
    <cellStyle name="检查单元格 2 4 2" xfId="3427" xr:uid="{00000000-0005-0000-0000-0000920D0000}"/>
    <cellStyle name="检查单元格 2 4 3" xfId="4864" xr:uid="{00000000-0005-0000-0000-00002F130000}"/>
    <cellStyle name="检查单元格 2 5" xfId="4865" xr:uid="{00000000-0005-0000-0000-000030130000}"/>
    <cellStyle name="检查单元格 2 5 2" xfId="2223" xr:uid="{00000000-0005-0000-0000-0000DE080000}"/>
    <cellStyle name="检查单元格 2 5 3" xfId="2226" xr:uid="{00000000-0005-0000-0000-0000E1080000}"/>
    <cellStyle name="检查单元格 2 6" xfId="4866" xr:uid="{00000000-0005-0000-0000-000031130000}"/>
    <cellStyle name="检查单元格 2 6 2" xfId="2241" xr:uid="{00000000-0005-0000-0000-0000F0080000}"/>
    <cellStyle name="检查单元格 2 6 3" xfId="2553" xr:uid="{00000000-0005-0000-0000-0000280A0000}"/>
    <cellStyle name="检查单元格 2 7" xfId="4867" xr:uid="{00000000-0005-0000-0000-000032130000}"/>
    <cellStyle name="检查单元格 2 7 2" xfId="2246" xr:uid="{00000000-0005-0000-0000-0000F5080000}"/>
    <cellStyle name="检查单元格 2 7 3" xfId="2559" xr:uid="{00000000-0005-0000-0000-00002E0A0000}"/>
    <cellStyle name="检查单元格 2 8" xfId="4868" xr:uid="{00000000-0005-0000-0000-000033130000}"/>
    <cellStyle name="检查单元格 2 8 2" xfId="1042" xr:uid="{00000000-0005-0000-0000-000041040000}"/>
    <cellStyle name="检查单元格 2 8 3" xfId="2564" xr:uid="{00000000-0005-0000-0000-0000330A0000}"/>
    <cellStyle name="检查单元格 2 9" xfId="275" xr:uid="{00000000-0005-0000-0000-000042010000}"/>
    <cellStyle name="检查单元格 2 9 2" xfId="2253" xr:uid="{00000000-0005-0000-0000-0000FC080000}"/>
    <cellStyle name="检查单元格 2 9 3" xfId="2567" xr:uid="{00000000-0005-0000-0000-0000360A0000}"/>
    <cellStyle name="检查单元格 3" xfId="4869" xr:uid="{00000000-0005-0000-0000-000034130000}"/>
    <cellStyle name="检查单元格 3 2" xfId="4870" xr:uid="{00000000-0005-0000-0000-000035130000}"/>
    <cellStyle name="检查单元格 4" xfId="4871" xr:uid="{00000000-0005-0000-0000-000036130000}"/>
    <cellStyle name="检查单元格 4 2" xfId="4872" xr:uid="{00000000-0005-0000-0000-000037130000}"/>
    <cellStyle name="检查单元格 4 3" xfId="4873" xr:uid="{00000000-0005-0000-0000-000038130000}"/>
    <cellStyle name="检查单元格 5" xfId="4874" xr:uid="{00000000-0005-0000-0000-000039130000}"/>
    <cellStyle name="检查单元格 5 2" xfId="4875" xr:uid="{00000000-0005-0000-0000-00003A130000}"/>
    <cellStyle name="检查单元格 5 3" xfId="4876" xr:uid="{00000000-0005-0000-0000-00003B130000}"/>
    <cellStyle name="检查单元格 6" xfId="3846" xr:uid="{00000000-0005-0000-0000-0000350F0000}"/>
    <cellStyle name="检查单元格 6 2" xfId="4340" xr:uid="{00000000-0005-0000-0000-000023110000}"/>
    <cellStyle name="检查单元格 6 3" xfId="3715" xr:uid="{00000000-0005-0000-0000-0000B20E0000}"/>
    <cellStyle name="检查单元格 7" xfId="3849" xr:uid="{00000000-0005-0000-0000-0000380F0000}"/>
    <cellStyle name="检查单元格 7 2" xfId="4877" xr:uid="{00000000-0005-0000-0000-00003C130000}"/>
    <cellStyle name="检查单元格 7 2 2" xfId="4878" xr:uid="{00000000-0005-0000-0000-00003D130000}"/>
    <cellStyle name="检查单元格 7 2 3" xfId="4879" xr:uid="{00000000-0005-0000-0000-00003E130000}"/>
    <cellStyle name="检查单元格 7 3" xfId="4880" xr:uid="{00000000-0005-0000-0000-00003F130000}"/>
    <cellStyle name="检查单元格 7 4" xfId="4881" xr:uid="{00000000-0005-0000-0000-000040130000}"/>
    <cellStyle name="检查单元格 8" xfId="4342" xr:uid="{00000000-0005-0000-0000-000025110000}"/>
    <cellStyle name="检查单元格 8 2" xfId="4882" xr:uid="{00000000-0005-0000-0000-000041130000}"/>
    <cellStyle name="检查单元格 8 2 2" xfId="4883" xr:uid="{00000000-0005-0000-0000-000042130000}"/>
    <cellStyle name="检查单元格 8 2 3" xfId="4884" xr:uid="{00000000-0005-0000-0000-000043130000}"/>
    <cellStyle name="检查单元格 8 3" xfId="4" xr:uid="{00000000-0005-0000-0000-000006000000}"/>
    <cellStyle name="检查单元格 8 4" xfId="4885" xr:uid="{00000000-0005-0000-0000-000044130000}"/>
    <cellStyle name="检查单元格 9" xfId="4344" xr:uid="{00000000-0005-0000-0000-000027110000}"/>
    <cellStyle name="检查单元格 9 2" xfId="4886" xr:uid="{00000000-0005-0000-0000-000045130000}"/>
    <cellStyle name="解释性文本 10" xfId="3538" xr:uid="{00000000-0005-0000-0000-0000010E0000}"/>
    <cellStyle name="解释性文本 10 2" xfId="4887" xr:uid="{00000000-0005-0000-0000-000046130000}"/>
    <cellStyle name="解释性文本 11" xfId="4888" xr:uid="{00000000-0005-0000-0000-000047130000}"/>
    <cellStyle name="解释性文本 12" xfId="4889" xr:uid="{00000000-0005-0000-0000-000048130000}"/>
    <cellStyle name="解释性文本 2" xfId="4891" xr:uid="{00000000-0005-0000-0000-00004A130000}"/>
    <cellStyle name="解释性文本 2 10" xfId="4893" xr:uid="{00000000-0005-0000-0000-00004C130000}"/>
    <cellStyle name="解释性文本 2 11" xfId="4617" xr:uid="{00000000-0005-0000-0000-000038120000}"/>
    <cellStyle name="解释性文本 2 12" xfId="4619" xr:uid="{00000000-0005-0000-0000-00003A120000}"/>
    <cellStyle name="解释性文本 2 13" xfId="1029" xr:uid="{00000000-0005-0000-0000-000034040000}"/>
    <cellStyle name="解释性文本 2 14" xfId="4894" xr:uid="{00000000-0005-0000-0000-00004D130000}"/>
    <cellStyle name="解释性文本 2 15" xfId="4895" xr:uid="{00000000-0005-0000-0000-00004E130000}"/>
    <cellStyle name="解释性文本 2 2" xfId="4896" xr:uid="{00000000-0005-0000-0000-00004F130000}"/>
    <cellStyle name="解释性文本 2 2 10" xfId="4897" xr:uid="{00000000-0005-0000-0000-000050130000}"/>
    <cellStyle name="解释性文本 2 2 2" xfId="2186" xr:uid="{00000000-0005-0000-0000-0000B9080000}"/>
    <cellStyle name="解释性文本 2 2 2 2" xfId="3487" xr:uid="{00000000-0005-0000-0000-0000CE0D0000}"/>
    <cellStyle name="解释性文本 2 2 2 3" xfId="3489" xr:uid="{00000000-0005-0000-0000-0000D00D0000}"/>
    <cellStyle name="解释性文本 2 2 3" xfId="3491" xr:uid="{00000000-0005-0000-0000-0000D20D0000}"/>
    <cellStyle name="解释性文本 2 2 4" xfId="1586" xr:uid="{00000000-0005-0000-0000-000061060000}"/>
    <cellStyle name="解释性文本 2 2 5" xfId="2960" xr:uid="{00000000-0005-0000-0000-0000BF0B0000}"/>
    <cellStyle name="解释性文本 2 2 6" xfId="2892" xr:uid="{00000000-0005-0000-0000-00007B0B0000}"/>
    <cellStyle name="解释性文本 2 2 7" xfId="2971" xr:uid="{00000000-0005-0000-0000-0000CA0B0000}"/>
    <cellStyle name="解释性文本 2 2 8" xfId="2977" xr:uid="{00000000-0005-0000-0000-0000D00B0000}"/>
    <cellStyle name="解释性文本 2 2 9" xfId="1672" xr:uid="{00000000-0005-0000-0000-0000B7060000}"/>
    <cellStyle name="解释性文本 2 3" xfId="4898" xr:uid="{00000000-0005-0000-0000-000051130000}"/>
    <cellStyle name="解释性文本 2 3 2" xfId="4899" xr:uid="{00000000-0005-0000-0000-000052130000}"/>
    <cellStyle name="解释性文本 2 4" xfId="4900" xr:uid="{00000000-0005-0000-0000-000053130000}"/>
    <cellStyle name="解释性文本 2 4 2" xfId="4901" xr:uid="{00000000-0005-0000-0000-000054130000}"/>
    <cellStyle name="解释性文本 2 4 3" xfId="4902" xr:uid="{00000000-0005-0000-0000-000055130000}"/>
    <cellStyle name="解释性文本 2 5" xfId="4903" xr:uid="{00000000-0005-0000-0000-000056130000}"/>
    <cellStyle name="解释性文本 2 5 2" xfId="4904" xr:uid="{00000000-0005-0000-0000-000057130000}"/>
    <cellStyle name="解释性文本 2 5 3" xfId="4905" xr:uid="{00000000-0005-0000-0000-000058130000}"/>
    <cellStyle name="解释性文本 2 6" xfId="4906" xr:uid="{00000000-0005-0000-0000-000059130000}"/>
    <cellStyle name="解释性文本 2 6 2" xfId="4907" xr:uid="{00000000-0005-0000-0000-00005A130000}"/>
    <cellStyle name="解释性文本 2 6 3" xfId="4908" xr:uid="{00000000-0005-0000-0000-00005B130000}"/>
    <cellStyle name="解释性文本 2 7" xfId="4909" xr:uid="{00000000-0005-0000-0000-00005C130000}"/>
    <cellStyle name="解释性文本 2 7 2" xfId="4910" xr:uid="{00000000-0005-0000-0000-00005D130000}"/>
    <cellStyle name="解释性文本 2 7 3" xfId="802" xr:uid="{00000000-0005-0000-0000-000051030000}"/>
    <cellStyle name="解释性文本 2 8" xfId="4911" xr:uid="{00000000-0005-0000-0000-00005E130000}"/>
    <cellStyle name="解释性文本 2 8 2" xfId="4912" xr:uid="{00000000-0005-0000-0000-00005F130000}"/>
    <cellStyle name="解释性文本 2 8 3" xfId="4913" xr:uid="{00000000-0005-0000-0000-000060130000}"/>
    <cellStyle name="解释性文本 2 9" xfId="2447" xr:uid="{00000000-0005-0000-0000-0000BE090000}"/>
    <cellStyle name="解释性文本 2 9 2" xfId="4914" xr:uid="{00000000-0005-0000-0000-000061130000}"/>
    <cellStyle name="解释性文本 2 9 3" xfId="3330" xr:uid="{00000000-0005-0000-0000-0000310D0000}"/>
    <cellStyle name="解释性文本 3" xfId="1176" xr:uid="{00000000-0005-0000-0000-0000C7040000}"/>
    <cellStyle name="解释性文本 3 2" xfId="1181" xr:uid="{00000000-0005-0000-0000-0000CC040000}"/>
    <cellStyle name="解释性文本 4" xfId="4915" xr:uid="{00000000-0005-0000-0000-000062130000}"/>
    <cellStyle name="解释性文本 4 2" xfId="4916" xr:uid="{00000000-0005-0000-0000-000063130000}"/>
    <cellStyle name="解释性文本 4 3" xfId="4917" xr:uid="{00000000-0005-0000-0000-000064130000}"/>
    <cellStyle name="解释性文本 5" xfId="4918" xr:uid="{00000000-0005-0000-0000-000065130000}"/>
    <cellStyle name="解释性文本 5 2" xfId="4919" xr:uid="{00000000-0005-0000-0000-000066130000}"/>
    <cellStyle name="解释性文本 5 3" xfId="4920" xr:uid="{00000000-0005-0000-0000-000067130000}"/>
    <cellStyle name="解释性文本 6" xfId="3608" xr:uid="{00000000-0005-0000-0000-0000470E0000}"/>
    <cellStyle name="解释性文本 6 2" xfId="3613" xr:uid="{00000000-0005-0000-0000-00004C0E0000}"/>
    <cellStyle name="解释性文本 6 3" xfId="3615" xr:uid="{00000000-0005-0000-0000-00004E0E0000}"/>
    <cellStyle name="解释性文本 7" xfId="3617" xr:uid="{00000000-0005-0000-0000-0000500E0000}"/>
    <cellStyle name="解释性文本 7 2" xfId="3621" xr:uid="{00000000-0005-0000-0000-0000540E0000}"/>
    <cellStyle name="解释性文本 7 2 2" xfId="4922" xr:uid="{00000000-0005-0000-0000-000069130000}"/>
    <cellStyle name="解释性文本 7 2 3" xfId="4924" xr:uid="{00000000-0005-0000-0000-00006B130000}"/>
    <cellStyle name="解释性文本 7 3" xfId="3625" xr:uid="{00000000-0005-0000-0000-0000580E0000}"/>
    <cellStyle name="解释性文本 7 4" xfId="4925" xr:uid="{00000000-0005-0000-0000-00006C130000}"/>
    <cellStyle name="解释性文本 8" xfId="3629" xr:uid="{00000000-0005-0000-0000-00005C0E0000}"/>
    <cellStyle name="解释性文本 8 2" xfId="3634" xr:uid="{00000000-0005-0000-0000-0000610E0000}"/>
    <cellStyle name="解释性文本 8 2 2" xfId="4926" xr:uid="{00000000-0005-0000-0000-00006D130000}"/>
    <cellStyle name="解释性文本 8 2 3" xfId="4928" xr:uid="{00000000-0005-0000-0000-00006F130000}"/>
    <cellStyle name="解释性文本 8 3" xfId="3637" xr:uid="{00000000-0005-0000-0000-0000640E0000}"/>
    <cellStyle name="解释性文本 8 4" xfId="4929" xr:uid="{00000000-0005-0000-0000-000070130000}"/>
    <cellStyle name="解释性文本 9" xfId="4930" xr:uid="{00000000-0005-0000-0000-000071130000}"/>
    <cellStyle name="解释性文本 9 2" xfId="4932" xr:uid="{00000000-0005-0000-0000-000073130000}"/>
    <cellStyle name="警告文本 10" xfId="1850" xr:uid="{00000000-0005-0000-0000-000069070000}"/>
    <cellStyle name="警告文本 10 2" xfId="4933" xr:uid="{00000000-0005-0000-0000-000074130000}"/>
    <cellStyle name="警告文本 11" xfId="3832" xr:uid="{00000000-0005-0000-0000-0000270F0000}"/>
    <cellStyle name="警告文本 12" xfId="4934" xr:uid="{00000000-0005-0000-0000-000075130000}"/>
    <cellStyle name="警告文本 2" xfId="1909" xr:uid="{00000000-0005-0000-0000-0000A4070000}"/>
    <cellStyle name="警告文本 2 10" xfId="3533" xr:uid="{00000000-0005-0000-0000-0000FC0D0000}"/>
    <cellStyle name="警告文本 2 11" xfId="3535" xr:uid="{00000000-0005-0000-0000-0000FE0D0000}"/>
    <cellStyle name="警告文本 2 12" xfId="4935" xr:uid="{00000000-0005-0000-0000-000076130000}"/>
    <cellStyle name="警告文本 2 13" xfId="4936" xr:uid="{00000000-0005-0000-0000-000077130000}"/>
    <cellStyle name="警告文本 2 14" xfId="4937" xr:uid="{00000000-0005-0000-0000-000078130000}"/>
    <cellStyle name="警告文本 2 15" xfId="4938" xr:uid="{00000000-0005-0000-0000-000079130000}"/>
    <cellStyle name="警告文本 2 2" xfId="4622" xr:uid="{00000000-0005-0000-0000-00003D120000}"/>
    <cellStyle name="警告文本 2 2 10" xfId="4939" xr:uid="{00000000-0005-0000-0000-00007A130000}"/>
    <cellStyle name="警告文本 2 2 2" xfId="4942" xr:uid="{00000000-0005-0000-0000-00007D130000}"/>
    <cellStyle name="警告文本 2 2 2 2" xfId="4944" xr:uid="{00000000-0005-0000-0000-00007F130000}"/>
    <cellStyle name="警告文本 2 2 2 3" xfId="4945" xr:uid="{00000000-0005-0000-0000-000080130000}"/>
    <cellStyle name="警告文本 2 2 3" xfId="4947" xr:uid="{00000000-0005-0000-0000-000082130000}"/>
    <cellStyle name="警告文本 2 2 4" xfId="4949" xr:uid="{00000000-0005-0000-0000-000084130000}"/>
    <cellStyle name="警告文本 2 2 5" xfId="55" xr:uid="{00000000-0005-0000-0000-00003F000000}"/>
    <cellStyle name="警告文本 2 2 6" xfId="4950" xr:uid="{00000000-0005-0000-0000-000085130000}"/>
    <cellStyle name="警告文本 2 2 7" xfId="927" xr:uid="{00000000-0005-0000-0000-0000CE030000}"/>
    <cellStyle name="警告文本 2 2 8" xfId="935" xr:uid="{00000000-0005-0000-0000-0000D6030000}"/>
    <cellStyle name="警告文本 2 2 9" xfId="4952" xr:uid="{00000000-0005-0000-0000-000087130000}"/>
    <cellStyle name="警告文本 2 3" xfId="1219" xr:uid="{00000000-0005-0000-0000-0000F2040000}"/>
    <cellStyle name="警告文本 2 3 2" xfId="2338" xr:uid="{00000000-0005-0000-0000-000051090000}"/>
    <cellStyle name="警告文本 2 4" xfId="1626" xr:uid="{00000000-0005-0000-0000-000089060000}"/>
    <cellStyle name="警告文本 2 4 2" xfId="1637" xr:uid="{00000000-0005-0000-0000-000094060000}"/>
    <cellStyle name="警告文本 2 4 3" xfId="1643" xr:uid="{00000000-0005-0000-0000-00009A060000}"/>
    <cellStyle name="警告文本 2 5" xfId="1650" xr:uid="{00000000-0005-0000-0000-0000A1060000}"/>
    <cellStyle name="警告文本 2 5 2" xfId="4954" xr:uid="{00000000-0005-0000-0000-000089130000}"/>
    <cellStyle name="警告文本 2 5 3" xfId="4956" xr:uid="{00000000-0005-0000-0000-00008B130000}"/>
    <cellStyle name="警告文本 2 6" xfId="666" xr:uid="{00000000-0005-0000-0000-0000C9020000}"/>
    <cellStyle name="警告文本 2 6 2" xfId="4958" xr:uid="{00000000-0005-0000-0000-00008D130000}"/>
    <cellStyle name="警告文本 2 6 3" xfId="4960" xr:uid="{00000000-0005-0000-0000-00008F130000}"/>
    <cellStyle name="警告文本 2 7" xfId="4962" xr:uid="{00000000-0005-0000-0000-000091130000}"/>
    <cellStyle name="警告文本 2 7 2" xfId="4964" xr:uid="{00000000-0005-0000-0000-000093130000}"/>
    <cellStyle name="警告文本 2 7 3" xfId="4966" xr:uid="{00000000-0005-0000-0000-000095130000}"/>
    <cellStyle name="警告文本 2 8" xfId="4968" xr:uid="{00000000-0005-0000-0000-000097130000}"/>
    <cellStyle name="警告文本 2 8 2" xfId="3203" xr:uid="{00000000-0005-0000-0000-0000B20C0000}"/>
    <cellStyle name="警告文本 2 8 3" xfId="2192" xr:uid="{00000000-0005-0000-0000-0000BF080000}"/>
    <cellStyle name="警告文本 2 9" xfId="4971" xr:uid="{00000000-0005-0000-0000-00009A130000}"/>
    <cellStyle name="警告文本 2 9 2" xfId="4973" xr:uid="{00000000-0005-0000-0000-00009C130000}"/>
    <cellStyle name="警告文本 2 9 3" xfId="4975" xr:uid="{00000000-0005-0000-0000-00009E130000}"/>
    <cellStyle name="警告文本 3" xfId="4624" xr:uid="{00000000-0005-0000-0000-00003F120000}"/>
    <cellStyle name="警告文本 3 2" xfId="467" xr:uid="{00000000-0005-0000-0000-000002020000}"/>
    <cellStyle name="警告文本 4" xfId="3192" xr:uid="{00000000-0005-0000-0000-0000A70C0000}"/>
    <cellStyle name="警告文本 4 2" xfId="4976" xr:uid="{00000000-0005-0000-0000-00009F130000}"/>
    <cellStyle name="警告文本 4 3" xfId="4978" xr:uid="{00000000-0005-0000-0000-0000A1130000}"/>
    <cellStyle name="警告文本 5" xfId="4979" xr:uid="{00000000-0005-0000-0000-0000A2130000}"/>
    <cellStyle name="警告文本 5 2" xfId="4980" xr:uid="{00000000-0005-0000-0000-0000A3130000}"/>
    <cellStyle name="警告文本 5 3" xfId="4981" xr:uid="{00000000-0005-0000-0000-0000A4130000}"/>
    <cellStyle name="警告文本 6" xfId="4982" xr:uid="{00000000-0005-0000-0000-0000A5130000}"/>
    <cellStyle name="警告文本 6 2" xfId="4983" xr:uid="{00000000-0005-0000-0000-0000A6130000}"/>
    <cellStyle name="警告文本 6 3" xfId="4684" xr:uid="{00000000-0005-0000-0000-00007B120000}"/>
    <cellStyle name="警告文本 7" xfId="4984" xr:uid="{00000000-0005-0000-0000-0000A7130000}"/>
    <cellStyle name="警告文本 7 2" xfId="4927" xr:uid="{00000000-0005-0000-0000-00006E130000}"/>
    <cellStyle name="警告文本 7 2 2" xfId="1991" xr:uid="{00000000-0005-0000-0000-0000F6070000}"/>
    <cellStyle name="警告文本 7 2 3" xfId="4985" xr:uid="{00000000-0005-0000-0000-0000A8130000}"/>
    <cellStyle name="警告文本 7 3" xfId="4986" xr:uid="{00000000-0005-0000-0000-0000A9130000}"/>
    <cellStyle name="警告文本 7 4" xfId="4987" xr:uid="{00000000-0005-0000-0000-0000AA130000}"/>
    <cellStyle name="警告文本 8" xfId="4988" xr:uid="{00000000-0005-0000-0000-0000AB130000}"/>
    <cellStyle name="警告文本 8 2" xfId="4989" xr:uid="{00000000-0005-0000-0000-0000AC130000}"/>
    <cellStyle name="警告文本 8 2 2" xfId="4990" xr:uid="{00000000-0005-0000-0000-0000AD130000}"/>
    <cellStyle name="警告文本 8 2 3" xfId="4991" xr:uid="{00000000-0005-0000-0000-0000AE130000}"/>
    <cellStyle name="警告文本 8 3" xfId="4992" xr:uid="{00000000-0005-0000-0000-0000AF130000}"/>
    <cellStyle name="警告文本 8 4" xfId="4993" xr:uid="{00000000-0005-0000-0000-0000B0130000}"/>
    <cellStyle name="警告文本 9" xfId="4994" xr:uid="{00000000-0005-0000-0000-0000B1130000}"/>
    <cellStyle name="警告文本 9 2" xfId="4995" xr:uid="{00000000-0005-0000-0000-0000B2130000}"/>
    <cellStyle name="链接单元格 10" xfId="4996" xr:uid="{00000000-0005-0000-0000-0000B3130000}"/>
    <cellStyle name="链接单元格 10 2" xfId="4998" xr:uid="{00000000-0005-0000-0000-0000B5130000}"/>
    <cellStyle name="链接单元格 11" xfId="377" xr:uid="{00000000-0005-0000-0000-0000A8010000}"/>
    <cellStyle name="链接单元格 12" xfId="5000" xr:uid="{00000000-0005-0000-0000-0000B7130000}"/>
    <cellStyle name="链接单元格 2" xfId="341" xr:uid="{00000000-0005-0000-0000-000084010000}"/>
    <cellStyle name="链接单元格 2 10" xfId="5001" xr:uid="{00000000-0005-0000-0000-0000B8130000}"/>
    <cellStyle name="链接单元格 2 11" xfId="5002" xr:uid="{00000000-0005-0000-0000-0000B9130000}"/>
    <cellStyle name="链接单元格 2 12" xfId="16" xr:uid="{00000000-0005-0000-0000-000014000000}"/>
    <cellStyle name="链接单元格 2 13" xfId="5003" xr:uid="{00000000-0005-0000-0000-0000BA130000}"/>
    <cellStyle name="链接单元格 2 14" xfId="4931" xr:uid="{00000000-0005-0000-0000-000072130000}"/>
    <cellStyle name="链接单元格 2 15" xfId="5004" xr:uid="{00000000-0005-0000-0000-0000BB130000}"/>
    <cellStyle name="链接单元格 2 2" xfId="5005" xr:uid="{00000000-0005-0000-0000-0000BC130000}"/>
    <cellStyle name="链接单元格 2 2 10" xfId="5006" xr:uid="{00000000-0005-0000-0000-0000BD130000}"/>
    <cellStyle name="链接单元格 2 2 2" xfId="3055" xr:uid="{00000000-0005-0000-0000-00001E0C0000}"/>
    <cellStyle name="链接单元格 2 2 2 2" xfId="2692" xr:uid="{00000000-0005-0000-0000-0000B30A0000}"/>
    <cellStyle name="链接单元格 2 2 2 3" xfId="5007" xr:uid="{00000000-0005-0000-0000-0000BE130000}"/>
    <cellStyle name="链接单元格 2 2 3" xfId="5009" xr:uid="{00000000-0005-0000-0000-0000C0130000}"/>
    <cellStyle name="链接单元格 2 2 4" xfId="1636" xr:uid="{00000000-0005-0000-0000-000093060000}"/>
    <cellStyle name="链接单元格 2 2 5" xfId="1642" xr:uid="{00000000-0005-0000-0000-000099060000}"/>
    <cellStyle name="链接单元格 2 2 6" xfId="3590" xr:uid="{00000000-0005-0000-0000-0000350E0000}"/>
    <cellStyle name="链接单元格 2 2 7" xfId="3089" xr:uid="{00000000-0005-0000-0000-0000400C0000}"/>
    <cellStyle name="链接单元格 2 2 8" xfId="5011" xr:uid="{00000000-0005-0000-0000-0000C2130000}"/>
    <cellStyle name="链接单元格 2 2 9" xfId="5014" xr:uid="{00000000-0005-0000-0000-0000C5130000}"/>
    <cellStyle name="链接单元格 2 3" xfId="5015" xr:uid="{00000000-0005-0000-0000-0000C6130000}"/>
    <cellStyle name="链接单元格 2 3 2" xfId="1964" xr:uid="{00000000-0005-0000-0000-0000DB070000}"/>
    <cellStyle name="链接单元格 2 4" xfId="5016" xr:uid="{00000000-0005-0000-0000-0000C7130000}"/>
    <cellStyle name="链接单元格 2 4 2" xfId="5017" xr:uid="{00000000-0005-0000-0000-0000C8130000}"/>
    <cellStyle name="链接单元格 2 4 3" xfId="5018" xr:uid="{00000000-0005-0000-0000-0000C9130000}"/>
    <cellStyle name="链接单元格 2 5" xfId="5019" xr:uid="{00000000-0005-0000-0000-0000CA130000}"/>
    <cellStyle name="链接单元格 2 5 2" xfId="5020" xr:uid="{00000000-0005-0000-0000-0000CB130000}"/>
    <cellStyle name="链接单元格 2 5 3" xfId="5021" xr:uid="{00000000-0005-0000-0000-0000CC130000}"/>
    <cellStyle name="链接单元格 2 6" xfId="2826" xr:uid="{00000000-0005-0000-0000-0000390B0000}"/>
    <cellStyle name="链接单元格 2 6 2" xfId="2864" xr:uid="{00000000-0005-0000-0000-00005F0B0000}"/>
    <cellStyle name="链接单元格 2 6 3" xfId="3195" xr:uid="{00000000-0005-0000-0000-0000AA0C0000}"/>
    <cellStyle name="链接单元格 2 7" xfId="2828" xr:uid="{00000000-0005-0000-0000-00003B0B0000}"/>
    <cellStyle name="链接单元格 2 7 2" xfId="5022" xr:uid="{00000000-0005-0000-0000-0000CD130000}"/>
    <cellStyle name="链接单元格 2 7 3" xfId="5023" xr:uid="{00000000-0005-0000-0000-0000CE130000}"/>
    <cellStyle name="链接单元格 2 8" xfId="2869" xr:uid="{00000000-0005-0000-0000-0000640B0000}"/>
    <cellStyle name="链接单元格 2 8 2" xfId="5024" xr:uid="{00000000-0005-0000-0000-0000CF130000}"/>
    <cellStyle name="链接单元格 2 8 3" xfId="5025" xr:uid="{00000000-0005-0000-0000-0000D0130000}"/>
    <cellStyle name="链接单元格 2 9" xfId="5026" xr:uid="{00000000-0005-0000-0000-0000D1130000}"/>
    <cellStyle name="链接单元格 2 9 2" xfId="5027" xr:uid="{00000000-0005-0000-0000-0000D2130000}"/>
    <cellStyle name="链接单元格 2 9 3" xfId="5028" xr:uid="{00000000-0005-0000-0000-0000D3130000}"/>
    <cellStyle name="链接单元格 3" xfId="5029" xr:uid="{00000000-0005-0000-0000-0000D4130000}"/>
    <cellStyle name="链接单元格 3 2" xfId="5030" xr:uid="{00000000-0005-0000-0000-0000D5130000}"/>
    <cellStyle name="链接单元格 4" xfId="5031" xr:uid="{00000000-0005-0000-0000-0000D6130000}"/>
    <cellStyle name="链接单元格 4 2" xfId="5032" xr:uid="{00000000-0005-0000-0000-0000D7130000}"/>
    <cellStyle name="链接单元格 4 3" xfId="5033" xr:uid="{00000000-0005-0000-0000-0000D8130000}"/>
    <cellStyle name="链接单元格 5" xfId="5034" xr:uid="{00000000-0005-0000-0000-0000D9130000}"/>
    <cellStyle name="链接单元格 5 2" xfId="5035" xr:uid="{00000000-0005-0000-0000-0000DA130000}"/>
    <cellStyle name="链接单元格 5 3" xfId="5037" xr:uid="{00000000-0005-0000-0000-0000DC130000}"/>
    <cellStyle name="链接单元格 6" xfId="215" xr:uid="{00000000-0005-0000-0000-0000FF000000}"/>
    <cellStyle name="链接单元格 6 2" xfId="733" xr:uid="{00000000-0005-0000-0000-00000C030000}"/>
    <cellStyle name="链接单元格 6 3" xfId="743" xr:uid="{00000000-0005-0000-0000-000016030000}"/>
    <cellStyle name="链接单元格 7" xfId="4653" xr:uid="{00000000-0005-0000-0000-00005C120000}"/>
    <cellStyle name="链接单元格 7 2" xfId="4655" xr:uid="{00000000-0005-0000-0000-00005E120000}"/>
    <cellStyle name="链接单元格 7 2 2" xfId="683" xr:uid="{00000000-0005-0000-0000-0000DA020000}"/>
    <cellStyle name="链接单元格 7 2 3" xfId="5038" xr:uid="{00000000-0005-0000-0000-0000DD130000}"/>
    <cellStyle name="链接单元格 7 3" xfId="3601" xr:uid="{00000000-0005-0000-0000-0000400E0000}"/>
    <cellStyle name="链接单元格 7 4" xfId="5039" xr:uid="{00000000-0005-0000-0000-0000DE130000}"/>
    <cellStyle name="链接单元格 8" xfId="4657" xr:uid="{00000000-0005-0000-0000-000060120000}"/>
    <cellStyle name="链接单元格 8 2" xfId="4659" xr:uid="{00000000-0005-0000-0000-000062120000}"/>
    <cellStyle name="链接单元格 8 2 2" xfId="5040" xr:uid="{00000000-0005-0000-0000-0000DF130000}"/>
    <cellStyle name="链接单元格 8 2 3" xfId="5041" xr:uid="{00000000-0005-0000-0000-0000E0130000}"/>
    <cellStyle name="链接单元格 8 3" xfId="4997" xr:uid="{00000000-0005-0000-0000-0000B4130000}"/>
    <cellStyle name="链接单元格 8 4" xfId="3220" xr:uid="{00000000-0005-0000-0000-0000C30C0000}"/>
    <cellStyle name="链接单元格 9" xfId="4124" xr:uid="{00000000-0005-0000-0000-00004B100000}"/>
    <cellStyle name="链接单元格 9 2" xfId="4545" xr:uid="{00000000-0005-0000-0000-0000F0110000}"/>
    <cellStyle name="普通_ 白土" xfId="4813" xr:uid="{00000000-0005-0000-0000-0000FC120000}"/>
    <cellStyle name="千分位[0]_ 白土" xfId="5042" xr:uid="{00000000-0005-0000-0000-0000E1130000}"/>
    <cellStyle name="千分位_ 白土" xfId="5043" xr:uid="{00000000-0005-0000-0000-0000E2130000}"/>
    <cellStyle name="千位[0]_19" xfId="5044" xr:uid="{00000000-0005-0000-0000-0000E3130000}"/>
    <cellStyle name="千位_19" xfId="2355" xr:uid="{00000000-0005-0000-0000-000062090000}"/>
    <cellStyle name="千位分隔" xfId="46" builtinId="3"/>
    <cellStyle name="千位分隔 10" xfId="5046" xr:uid="{00000000-0005-0000-0000-0000E5130000}"/>
    <cellStyle name="千位分隔 2" xfId="600" xr:uid="{00000000-0005-0000-0000-000087020000}"/>
    <cellStyle name="千位分隔 2 10" xfId="5047" xr:uid="{00000000-0005-0000-0000-0000E6130000}"/>
    <cellStyle name="千位分隔 2 11" xfId="5048" xr:uid="{00000000-0005-0000-0000-0000E7130000}"/>
    <cellStyle name="千位分隔 2 12" xfId="5049" xr:uid="{00000000-0005-0000-0000-0000E8130000}"/>
    <cellStyle name="千位分隔 2 13" xfId="5050" xr:uid="{00000000-0005-0000-0000-0000E9130000}"/>
    <cellStyle name="千位分隔 2 14" xfId="1703" xr:uid="{00000000-0005-0000-0000-0000D6060000}"/>
    <cellStyle name="千位分隔 2 15" xfId="1719" xr:uid="{00000000-0005-0000-0000-0000E6060000}"/>
    <cellStyle name="千位分隔 2 2" xfId="5051" xr:uid="{00000000-0005-0000-0000-0000EA130000}"/>
    <cellStyle name="千位分隔 2 2 2" xfId="5052" xr:uid="{00000000-0005-0000-0000-0000EB130000}"/>
    <cellStyle name="千位分隔 2 2 3" xfId="5053" xr:uid="{00000000-0005-0000-0000-0000EC130000}"/>
    <cellStyle name="千位分隔 2 3" xfId="5054" xr:uid="{00000000-0005-0000-0000-0000ED130000}"/>
    <cellStyle name="千位分隔 2 4" xfId="3582" xr:uid="{00000000-0005-0000-0000-00002D0E0000}"/>
    <cellStyle name="千位分隔 2 5" xfId="5055" xr:uid="{00000000-0005-0000-0000-0000EE130000}"/>
    <cellStyle name="千位分隔 2 6" xfId="2255" xr:uid="{00000000-0005-0000-0000-0000FE080000}"/>
    <cellStyle name="千位分隔 2 7" xfId="5056" xr:uid="{00000000-0005-0000-0000-0000EF130000}"/>
    <cellStyle name="千位分隔 2 8" xfId="5057" xr:uid="{00000000-0005-0000-0000-0000F0130000}"/>
    <cellStyle name="千位分隔 2 9" xfId="5058" xr:uid="{00000000-0005-0000-0000-0000F1130000}"/>
    <cellStyle name="千位分隔 3" xfId="2526" xr:uid="{00000000-0005-0000-0000-00000D0A0000}"/>
    <cellStyle name="千位分隔 3 10" xfId="1527" xr:uid="{00000000-0005-0000-0000-000026060000}"/>
    <cellStyle name="千位分隔 3 11" xfId="3933" xr:uid="{00000000-0005-0000-0000-00008C0F0000}"/>
    <cellStyle name="千位分隔 3 12" xfId="3935" xr:uid="{00000000-0005-0000-0000-00008E0F0000}"/>
    <cellStyle name="千位分隔 3 2" xfId="3902" xr:uid="{00000000-0005-0000-0000-00006D0F0000}"/>
    <cellStyle name="千位分隔 3 3" xfId="957" xr:uid="{00000000-0005-0000-0000-0000EC030000}"/>
    <cellStyle name="千位分隔 3 4" xfId="3950" xr:uid="{00000000-0005-0000-0000-00009D0F0000}"/>
    <cellStyle name="千位分隔 3 5" xfId="3952" xr:uid="{00000000-0005-0000-0000-00009F0F0000}"/>
    <cellStyle name="千位分隔 3 6" xfId="3956" xr:uid="{00000000-0005-0000-0000-0000A30F0000}"/>
    <cellStyle name="千位分隔 3 7" xfId="2572" xr:uid="{00000000-0005-0000-0000-00003B0A0000}"/>
    <cellStyle name="千位分隔 3 8" xfId="3958" xr:uid="{00000000-0005-0000-0000-0000A50F0000}"/>
    <cellStyle name="千位分隔 3 9" xfId="3960" xr:uid="{00000000-0005-0000-0000-0000A70F0000}"/>
    <cellStyle name="千位分隔 4" xfId="3964" xr:uid="{00000000-0005-0000-0000-0000AB0F0000}"/>
    <cellStyle name="千位分隔 4 2" xfId="3967" xr:uid="{00000000-0005-0000-0000-0000AE0F0000}"/>
    <cellStyle name="千位分隔 4 3" xfId="5059" xr:uid="{00000000-0005-0000-0000-0000F2130000}"/>
    <cellStyle name="千位分隔 5" xfId="3970" xr:uid="{00000000-0005-0000-0000-0000B10F0000}"/>
    <cellStyle name="千位分隔 5 2" xfId="3972" xr:uid="{00000000-0005-0000-0000-0000B30F0000}"/>
    <cellStyle name="千位分隔 6" xfId="3975" xr:uid="{00000000-0005-0000-0000-0000B60F0000}"/>
    <cellStyle name="千位分隔 6 2" xfId="3977" xr:uid="{00000000-0005-0000-0000-0000B80F0000}"/>
    <cellStyle name="千位分隔 6 3" xfId="3979" xr:uid="{00000000-0005-0000-0000-0000BA0F0000}"/>
    <cellStyle name="千位分隔 7" xfId="3981" xr:uid="{00000000-0005-0000-0000-0000BC0F0000}"/>
    <cellStyle name="千位分隔 7 2" xfId="3983" xr:uid="{00000000-0005-0000-0000-0000BE0F0000}"/>
    <cellStyle name="千位分隔 7 3" xfId="3985" xr:uid="{00000000-0005-0000-0000-0000C00F0000}"/>
    <cellStyle name="千位分隔 8 2" xfId="3989" xr:uid="{00000000-0005-0000-0000-0000C40F0000}"/>
    <cellStyle name="千位分隔 8 3" xfId="676" xr:uid="{00000000-0005-0000-0000-0000D3020000}"/>
    <cellStyle name="千位分隔 9" xfId="3996" xr:uid="{00000000-0005-0000-0000-0000CB0F0000}"/>
    <cellStyle name="千位分隔[0] 2" xfId="1645" xr:uid="{00000000-0005-0000-0000-00009C060000}"/>
    <cellStyle name="千位分隔[0] 3" xfId="3592" xr:uid="{00000000-0005-0000-0000-0000370E0000}"/>
    <cellStyle name="千位分隔[0] 3 2" xfId="3456" xr:uid="{00000000-0005-0000-0000-0000AF0D0000}"/>
    <cellStyle name="千位分隔[0] 4" xfId="5060" xr:uid="{00000000-0005-0000-0000-0000F3130000}"/>
    <cellStyle name="千位分隔[0] 5" xfId="5061" xr:uid="{00000000-0005-0000-0000-0000F4130000}"/>
    <cellStyle name="千位分隔[0] 6" xfId="5062" xr:uid="{00000000-0005-0000-0000-0000F5130000}"/>
    <cellStyle name="千位分隔[0] 7" xfId="5063" xr:uid="{00000000-0005-0000-0000-0000F6130000}"/>
    <cellStyle name="千位分隔[0] 8" xfId="5064" xr:uid="{00000000-0005-0000-0000-0000F7130000}"/>
    <cellStyle name="千位分隔[0] 9" xfId="5065" xr:uid="{00000000-0005-0000-0000-0000F8130000}"/>
    <cellStyle name="强调文字颜色 1 10" xfId="4180" xr:uid="{00000000-0005-0000-0000-000083100000}"/>
    <cellStyle name="强调文字颜色 1 10 2" xfId="5066" xr:uid="{00000000-0005-0000-0000-0000F9130000}"/>
    <cellStyle name="强调文字颜色 1 2" xfId="1067" xr:uid="{00000000-0005-0000-0000-00005A040000}"/>
    <cellStyle name="强调文字颜色 1 2 10" xfId="3871" xr:uid="{00000000-0005-0000-0000-00004E0F0000}"/>
    <cellStyle name="强调文字颜色 1 2 11" xfId="3873" xr:uid="{00000000-0005-0000-0000-0000500F0000}"/>
    <cellStyle name="强调文字颜色 1 2 12" xfId="3418" xr:uid="{00000000-0005-0000-0000-0000890D0000}"/>
    <cellStyle name="强调文字颜色 1 2 13" xfId="3421" xr:uid="{00000000-0005-0000-0000-00008C0D0000}"/>
    <cellStyle name="强调文字颜色 1 2 2" xfId="3399" xr:uid="{00000000-0005-0000-0000-0000760D0000}"/>
    <cellStyle name="强调文字颜色 1 2 2 10" xfId="5067" xr:uid="{00000000-0005-0000-0000-0000FA130000}"/>
    <cellStyle name="强调文字颜色 1 2 2 2" xfId="3401" xr:uid="{00000000-0005-0000-0000-0000780D0000}"/>
    <cellStyle name="强调文字颜色 1 2 2 2 2" xfId="5068" xr:uid="{00000000-0005-0000-0000-0000FB130000}"/>
    <cellStyle name="强调文字颜色 1 2 2 2 3" xfId="5069" xr:uid="{00000000-0005-0000-0000-0000FC130000}"/>
    <cellStyle name="强调文字颜色 1 2 2 3" xfId="5070" xr:uid="{00000000-0005-0000-0000-0000FD130000}"/>
    <cellStyle name="强调文字颜色 1 2 2 4" xfId="5071" xr:uid="{00000000-0005-0000-0000-0000FE130000}"/>
    <cellStyle name="强调文字颜色 1 2 2 5" xfId="330" xr:uid="{00000000-0005-0000-0000-000079010000}"/>
    <cellStyle name="强调文字颜色 1 2 2 6" xfId="334" xr:uid="{00000000-0005-0000-0000-00007D010000}"/>
    <cellStyle name="强调文字颜色 1 2 2 7" xfId="339" xr:uid="{00000000-0005-0000-0000-000082010000}"/>
    <cellStyle name="强调文字颜色 1 2 2 8" xfId="5072" xr:uid="{00000000-0005-0000-0000-0000FF130000}"/>
    <cellStyle name="强调文字颜色 1 2 2 9" xfId="5073" xr:uid="{00000000-0005-0000-0000-000000140000}"/>
    <cellStyle name="强调文字颜色 1 2 3" xfId="93" xr:uid="{00000000-0005-0000-0000-00006C000000}"/>
    <cellStyle name="强调文字颜色 1 2 3 2" xfId="130" xr:uid="{00000000-0005-0000-0000-000094000000}"/>
    <cellStyle name="强调文字颜色 1 2 3 3" xfId="153" xr:uid="{00000000-0005-0000-0000-0000AD000000}"/>
    <cellStyle name="强调文字颜色 1 2 4" xfId="1367" xr:uid="{00000000-0005-0000-0000-000086050000}"/>
    <cellStyle name="强调文字颜色 1 2 4 2" xfId="1376" xr:uid="{00000000-0005-0000-0000-00008F050000}"/>
    <cellStyle name="强调文字颜色 1 2 4 3" xfId="1383" xr:uid="{00000000-0005-0000-0000-000096050000}"/>
    <cellStyle name="强调文字颜色 1 2 5" xfId="1392" xr:uid="{00000000-0005-0000-0000-00009F050000}"/>
    <cellStyle name="强调文字颜色 1 2 5 2" xfId="1398" xr:uid="{00000000-0005-0000-0000-0000A5050000}"/>
    <cellStyle name="强调文字颜色 1 2 5 3" xfId="5074" xr:uid="{00000000-0005-0000-0000-000001140000}"/>
    <cellStyle name="强调文字颜色 1 2 6" xfId="1402" xr:uid="{00000000-0005-0000-0000-0000A9050000}"/>
    <cellStyle name="强调文字颜色 1 2 6 2" xfId="250" xr:uid="{00000000-0005-0000-0000-000029010000}"/>
    <cellStyle name="强调文字颜色 1 2 6 3" xfId="5075" xr:uid="{00000000-0005-0000-0000-000002140000}"/>
    <cellStyle name="强调文字颜色 1 2 7" xfId="1407" xr:uid="{00000000-0005-0000-0000-0000AE050000}"/>
    <cellStyle name="强调文字颜色 1 2 7 2" xfId="1411" xr:uid="{00000000-0005-0000-0000-0000B2050000}"/>
    <cellStyle name="强调文字颜色 1 2 7 3" xfId="5076" xr:uid="{00000000-0005-0000-0000-000003140000}"/>
    <cellStyle name="强调文字颜色 1 2 8" xfId="1416" xr:uid="{00000000-0005-0000-0000-0000B7050000}"/>
    <cellStyle name="强调文字颜色 1 2 8 2" xfId="1421" xr:uid="{00000000-0005-0000-0000-0000BC050000}"/>
    <cellStyle name="强调文字颜色 1 2 8 3" xfId="5077" xr:uid="{00000000-0005-0000-0000-000004140000}"/>
    <cellStyle name="强调文字颜色 1 2 9" xfId="5078" xr:uid="{00000000-0005-0000-0000-000005140000}"/>
    <cellStyle name="强调文字颜色 1 2 9 2" xfId="1484" xr:uid="{00000000-0005-0000-0000-0000FB050000}"/>
    <cellStyle name="强调文字颜色 1 2 9 3" xfId="1491" xr:uid="{00000000-0005-0000-0000-000002060000}"/>
    <cellStyle name="强调文字颜色 1 2_成本利润预算(公司目标)" xfId="1311" xr:uid="{00000000-0005-0000-0000-00004E050000}"/>
    <cellStyle name="强调文字颜色 1 3" xfId="5079" xr:uid="{00000000-0005-0000-0000-000006140000}"/>
    <cellStyle name="强调文字颜色 1 3 2" xfId="5080" xr:uid="{00000000-0005-0000-0000-000007140000}"/>
    <cellStyle name="强调文字颜色 1 4" xfId="5081" xr:uid="{00000000-0005-0000-0000-000008140000}"/>
    <cellStyle name="强调文字颜色 1 4 2" xfId="5082" xr:uid="{00000000-0005-0000-0000-000009140000}"/>
    <cellStyle name="强调文字颜色 1 4 3" xfId="5083" xr:uid="{00000000-0005-0000-0000-00000A140000}"/>
    <cellStyle name="强调文字颜色 1 5" xfId="5084" xr:uid="{00000000-0005-0000-0000-00000B140000}"/>
    <cellStyle name="强调文字颜色 1 5 2" xfId="5085" xr:uid="{00000000-0005-0000-0000-00000C140000}"/>
    <cellStyle name="强调文字颜色 1 5 3" xfId="5086" xr:uid="{00000000-0005-0000-0000-00000D140000}"/>
    <cellStyle name="强调文字颜色 1 6" xfId="5087" xr:uid="{00000000-0005-0000-0000-00000E140000}"/>
    <cellStyle name="强调文字颜色 1 6 2" xfId="5088" xr:uid="{00000000-0005-0000-0000-00000F140000}"/>
    <cellStyle name="强调文字颜色 1 6 3" xfId="5089" xr:uid="{00000000-0005-0000-0000-000010140000}"/>
    <cellStyle name="强调文字颜色 1 7" xfId="5090" xr:uid="{00000000-0005-0000-0000-000011140000}"/>
    <cellStyle name="强调文字颜色 1 7 2" xfId="370" xr:uid="{00000000-0005-0000-0000-0000A1010000}"/>
    <cellStyle name="强调文字颜色 1 7 2 2" xfId="376" xr:uid="{00000000-0005-0000-0000-0000A7010000}"/>
    <cellStyle name="强调文字颜色 1 7 2 3" xfId="4999" xr:uid="{00000000-0005-0000-0000-0000B6130000}"/>
    <cellStyle name="强调文字颜色 1 7 3" xfId="383" xr:uid="{00000000-0005-0000-0000-0000AE010000}"/>
    <cellStyle name="强调文字颜色 1 7 4" xfId="421" xr:uid="{00000000-0005-0000-0000-0000D4010000}"/>
    <cellStyle name="强调文字颜色 1 8" xfId="5091" xr:uid="{00000000-0005-0000-0000-000012140000}"/>
    <cellStyle name="强调文字颜色 1 8 2" xfId="5092" xr:uid="{00000000-0005-0000-0000-000013140000}"/>
    <cellStyle name="强调文字颜色 1 8 2 2" xfId="5093" xr:uid="{00000000-0005-0000-0000-000014140000}"/>
    <cellStyle name="强调文字颜色 1 8 2 3" xfId="5094" xr:uid="{00000000-0005-0000-0000-000015140000}"/>
    <cellStyle name="强调文字颜色 1 8 3" xfId="5095" xr:uid="{00000000-0005-0000-0000-000016140000}"/>
    <cellStyle name="强调文字颜色 1 8 4" xfId="5096" xr:uid="{00000000-0005-0000-0000-000017140000}"/>
    <cellStyle name="强调文字颜色 1 9" xfId="5097" xr:uid="{00000000-0005-0000-0000-000018140000}"/>
    <cellStyle name="强调文字颜色 1 9 2" xfId="5098" xr:uid="{00000000-0005-0000-0000-000019140000}"/>
    <cellStyle name="强调文字颜色 2 10" xfId="2301" xr:uid="{00000000-0005-0000-0000-00002C090000}"/>
    <cellStyle name="强调文字颜色 2 10 2" xfId="2033" xr:uid="{00000000-0005-0000-0000-000020080000}"/>
    <cellStyle name="强调文字颜色 2 2" xfId="5099" xr:uid="{00000000-0005-0000-0000-00001A140000}"/>
    <cellStyle name="强调文字颜色 2 2 10" xfId="3913" xr:uid="{00000000-0005-0000-0000-0000780F0000}"/>
    <cellStyle name="强调文字颜色 2 2 11" xfId="5100" xr:uid="{00000000-0005-0000-0000-00001B140000}"/>
    <cellStyle name="强调文字颜色 2 2 12" xfId="5101" xr:uid="{00000000-0005-0000-0000-00001C140000}"/>
    <cellStyle name="强调文字颜色 2 2 13" xfId="5102" xr:uid="{00000000-0005-0000-0000-00001D140000}"/>
    <cellStyle name="强调文字颜色 2 2 2" xfId="5103" xr:uid="{00000000-0005-0000-0000-00001E140000}"/>
    <cellStyle name="强调文字颜色 2 2 2 10" xfId="5104" xr:uid="{00000000-0005-0000-0000-00001F140000}"/>
    <cellStyle name="强调文字颜色 2 2 2 2" xfId="1280" xr:uid="{00000000-0005-0000-0000-00002F050000}"/>
    <cellStyle name="强调文字颜色 2 2 2 2 2" xfId="1286" xr:uid="{00000000-0005-0000-0000-000035050000}"/>
    <cellStyle name="强调文字颜色 2 2 2 2 3" xfId="567" xr:uid="{00000000-0005-0000-0000-000066020000}"/>
    <cellStyle name="强调文字颜色 2 2 2 3" xfId="1306" xr:uid="{00000000-0005-0000-0000-000049050000}"/>
    <cellStyle name="强调文字颜色 2 2 2 4" xfId="1332" xr:uid="{00000000-0005-0000-0000-000063050000}"/>
    <cellStyle name="强调文字颜色 2 2 2 5" xfId="1336" xr:uid="{00000000-0005-0000-0000-000067050000}"/>
    <cellStyle name="强调文字颜色 2 2 2 6" xfId="1341" xr:uid="{00000000-0005-0000-0000-00006C050000}"/>
    <cellStyle name="强调文字颜色 2 2 2 7" xfId="1350" xr:uid="{00000000-0005-0000-0000-000075050000}"/>
    <cellStyle name="强调文字颜色 2 2 2 8" xfId="714" xr:uid="{00000000-0005-0000-0000-0000F9020000}"/>
    <cellStyle name="强调文字颜色 2 2 2 9" xfId="724" xr:uid="{00000000-0005-0000-0000-000003030000}"/>
    <cellStyle name="强调文字颜色 2 2 3" xfId="5105" xr:uid="{00000000-0005-0000-0000-000020140000}"/>
    <cellStyle name="强调文字颜色 2 2 3 2" xfId="1505" xr:uid="{00000000-0005-0000-0000-000010060000}"/>
    <cellStyle name="强调文字颜色 2 2 3 3" xfId="1579" xr:uid="{00000000-0005-0000-0000-00005A060000}"/>
    <cellStyle name="强调文字颜色 2 2 4" xfId="5106" xr:uid="{00000000-0005-0000-0000-000021140000}"/>
    <cellStyle name="强调文字颜色 2 2 4 2" xfId="1769" xr:uid="{00000000-0005-0000-0000-000018070000}"/>
    <cellStyle name="强调文字颜色 2 2 4 3" xfId="1838" xr:uid="{00000000-0005-0000-0000-00005D070000}"/>
    <cellStyle name="强调文字颜色 2 2 5" xfId="5107" xr:uid="{00000000-0005-0000-0000-000022140000}"/>
    <cellStyle name="强调文字颜色 2 2 5 2" xfId="740" xr:uid="{00000000-0005-0000-0000-000013030000}"/>
    <cellStyle name="强调文字颜色 2 2 5 3" xfId="1381" xr:uid="{00000000-0005-0000-0000-000094050000}"/>
    <cellStyle name="强调文字颜色 2 2 6" xfId="5108" xr:uid="{00000000-0005-0000-0000-000023140000}"/>
    <cellStyle name="强调文字颜色 2 2 6 2" xfId="2168" xr:uid="{00000000-0005-0000-0000-0000A7080000}"/>
    <cellStyle name="强调文字颜色 2 2 6 3" xfId="990" xr:uid="{00000000-0005-0000-0000-00000D040000}"/>
    <cellStyle name="强调文字颜色 2 2 7" xfId="5109" xr:uid="{00000000-0005-0000-0000-000024140000}"/>
    <cellStyle name="强调文字颜色 2 2 7 2" xfId="2200" xr:uid="{00000000-0005-0000-0000-0000C7080000}"/>
    <cellStyle name="强调文字颜色 2 2 7 3" xfId="2333" xr:uid="{00000000-0005-0000-0000-00004C090000}"/>
    <cellStyle name="强调文字颜色 2 2 8" xfId="5110" xr:uid="{00000000-0005-0000-0000-000025140000}"/>
    <cellStyle name="强调文字颜色 2 2 8 2" xfId="5111" xr:uid="{00000000-0005-0000-0000-000026140000}"/>
    <cellStyle name="强调文字颜色 2 2 8 3" xfId="3674" xr:uid="{00000000-0005-0000-0000-0000890E0000}"/>
    <cellStyle name="强调文字颜色 2 2 9" xfId="5112" xr:uid="{00000000-0005-0000-0000-000027140000}"/>
    <cellStyle name="强调文字颜色 2 2 9 2" xfId="5113" xr:uid="{00000000-0005-0000-0000-000028140000}"/>
    <cellStyle name="强调文字颜色 2 2 9 3" xfId="5114" xr:uid="{00000000-0005-0000-0000-000029140000}"/>
    <cellStyle name="强调文字颜色 2 2_成本利润预算(公司目标)" xfId="5115" xr:uid="{00000000-0005-0000-0000-00002A140000}"/>
    <cellStyle name="强调文字颜色 2 3" xfId="5116" xr:uid="{00000000-0005-0000-0000-00002B140000}"/>
    <cellStyle name="强调文字颜色 2 3 2" xfId="5" xr:uid="{00000000-0005-0000-0000-000008000000}"/>
    <cellStyle name="强调文字颜色 2 4" xfId="5117" xr:uid="{00000000-0005-0000-0000-00002C140000}"/>
    <cellStyle name="强调文字颜色 2 4 2" xfId="5118" xr:uid="{00000000-0005-0000-0000-00002D140000}"/>
    <cellStyle name="强调文字颜色 2 4 3" xfId="5119" xr:uid="{00000000-0005-0000-0000-00002E140000}"/>
    <cellStyle name="强调文字颜色 2 5" xfId="4108" xr:uid="{00000000-0005-0000-0000-00003B100000}"/>
    <cellStyle name="强调文字颜色 2 5 2" xfId="5120" xr:uid="{00000000-0005-0000-0000-00002F140000}"/>
    <cellStyle name="强调文字颜色 2 5 3" xfId="5121" xr:uid="{00000000-0005-0000-0000-000030140000}"/>
    <cellStyle name="强调文字颜色 2 6" xfId="4110" xr:uid="{00000000-0005-0000-0000-00003D100000}"/>
    <cellStyle name="强调文字颜色 2 6 2" xfId="5122" xr:uid="{00000000-0005-0000-0000-000031140000}"/>
    <cellStyle name="强调文字颜色 2 6 3" xfId="5123" xr:uid="{00000000-0005-0000-0000-000032140000}"/>
    <cellStyle name="强调文字颜色 2 7" xfId="4112" xr:uid="{00000000-0005-0000-0000-00003F100000}"/>
    <cellStyle name="强调文字颜色 2 7 2" xfId="5124" xr:uid="{00000000-0005-0000-0000-000033140000}"/>
    <cellStyle name="强调文字颜色 2 7 2 2" xfId="5125" xr:uid="{00000000-0005-0000-0000-000034140000}"/>
    <cellStyle name="强调文字颜色 2 7 2 3" xfId="5126" xr:uid="{00000000-0005-0000-0000-000035140000}"/>
    <cellStyle name="强调文字颜色 2 7 3" xfId="5127" xr:uid="{00000000-0005-0000-0000-000036140000}"/>
    <cellStyle name="强调文字颜色 2 7 4" xfId="5128" xr:uid="{00000000-0005-0000-0000-000037140000}"/>
    <cellStyle name="强调文字颜色 2 8" xfId="5129" xr:uid="{00000000-0005-0000-0000-000038140000}"/>
    <cellStyle name="强调文字颜色 2 8 2" xfId="861" xr:uid="{00000000-0005-0000-0000-00008C030000}"/>
    <cellStyle name="强调文字颜色 2 8 2 2" xfId="1539" xr:uid="{00000000-0005-0000-0000-000032060000}"/>
    <cellStyle name="强调文字颜色 2 8 2 3" xfId="4487" xr:uid="{00000000-0005-0000-0000-0000B6110000}"/>
    <cellStyle name="强调文字颜色 2 8 3" xfId="870" xr:uid="{00000000-0005-0000-0000-000095030000}"/>
    <cellStyle name="强调文字颜色 2 8 4" xfId="1544" xr:uid="{00000000-0005-0000-0000-000037060000}"/>
    <cellStyle name="强调文字颜色 2 9" xfId="5130" xr:uid="{00000000-0005-0000-0000-000039140000}"/>
    <cellStyle name="强调文字颜色 2 9 2" xfId="5131" xr:uid="{00000000-0005-0000-0000-00003A140000}"/>
    <cellStyle name="强调文字颜色 3 10" xfId="5132" xr:uid="{00000000-0005-0000-0000-00003B140000}"/>
    <cellStyle name="强调文字颜色 3 10 2" xfId="5133" xr:uid="{00000000-0005-0000-0000-00003C140000}"/>
    <cellStyle name="强调文字颜色 3 2" xfId="5134" xr:uid="{00000000-0005-0000-0000-00003D140000}"/>
    <cellStyle name="强调文字颜色 3 2 10" xfId="5036" xr:uid="{00000000-0005-0000-0000-0000DB130000}"/>
    <cellStyle name="强调文字颜色 3 2 11" xfId="5135" xr:uid="{00000000-0005-0000-0000-00003E140000}"/>
    <cellStyle name="强调文字颜色 3 2 12" xfId="5136" xr:uid="{00000000-0005-0000-0000-00003F140000}"/>
    <cellStyle name="强调文字颜色 3 2 13" xfId="944" xr:uid="{00000000-0005-0000-0000-0000DF030000}"/>
    <cellStyle name="强调文字颜色 3 2 2" xfId="4315" xr:uid="{00000000-0005-0000-0000-00000A110000}"/>
    <cellStyle name="强调文字颜色 3 2 2 10" xfId="5137" xr:uid="{00000000-0005-0000-0000-000040140000}"/>
    <cellStyle name="强调文字颜色 3 2 2 2" xfId="5138" xr:uid="{00000000-0005-0000-0000-000041140000}"/>
    <cellStyle name="强调文字颜色 3 2 2 2 2" xfId="5139" xr:uid="{00000000-0005-0000-0000-000042140000}"/>
    <cellStyle name="强调文字颜色 3 2 2 2 3" xfId="3681" xr:uid="{00000000-0005-0000-0000-0000900E0000}"/>
    <cellStyle name="强调文字颜色 3 2 2 3" xfId="5140" xr:uid="{00000000-0005-0000-0000-000043140000}"/>
    <cellStyle name="强调文字颜色 3 2 2 4" xfId="5141" xr:uid="{00000000-0005-0000-0000-000044140000}"/>
    <cellStyle name="强调文字颜色 3 2 2 5" xfId="5142" xr:uid="{00000000-0005-0000-0000-000045140000}"/>
    <cellStyle name="强调文字颜色 3 2 2 6" xfId="5143" xr:uid="{00000000-0005-0000-0000-000046140000}"/>
    <cellStyle name="强调文字颜色 3 2 2 7" xfId="5144" xr:uid="{00000000-0005-0000-0000-000047140000}"/>
    <cellStyle name="强调文字颜色 3 2 2 8" xfId="5145" xr:uid="{00000000-0005-0000-0000-000048140000}"/>
    <cellStyle name="强调文字颜色 3 2 2 9" xfId="5146" xr:uid="{00000000-0005-0000-0000-000049140000}"/>
    <cellStyle name="强调文字颜色 3 2 3" xfId="3543" xr:uid="{00000000-0005-0000-0000-0000060E0000}"/>
    <cellStyle name="强调文字颜色 3 2 3 2" xfId="4715" xr:uid="{00000000-0005-0000-0000-00009A120000}"/>
    <cellStyle name="强调文字颜色 3 2 3 3" xfId="5147" xr:uid="{00000000-0005-0000-0000-00004A140000}"/>
    <cellStyle name="强调文字颜色 3 2 4" xfId="3545" xr:uid="{00000000-0005-0000-0000-0000080E0000}"/>
    <cellStyle name="强调文字颜色 3 2 4 2" xfId="5148" xr:uid="{00000000-0005-0000-0000-00004B140000}"/>
    <cellStyle name="强调文字颜色 3 2 4 3" xfId="5149" xr:uid="{00000000-0005-0000-0000-00004C140000}"/>
    <cellStyle name="强调文字颜色 3 2 5" xfId="3938" xr:uid="{00000000-0005-0000-0000-0000910F0000}"/>
    <cellStyle name="强调文字颜色 3 2 5 2" xfId="5150" xr:uid="{00000000-0005-0000-0000-00004D140000}"/>
    <cellStyle name="强调文字颜色 3 2 5 3" xfId="5151" xr:uid="{00000000-0005-0000-0000-00004E140000}"/>
    <cellStyle name="强调文字颜色 3 2 6" xfId="3940" xr:uid="{00000000-0005-0000-0000-0000930F0000}"/>
    <cellStyle name="强调文字颜色 3 2 6 2" xfId="5152" xr:uid="{00000000-0005-0000-0000-00004F140000}"/>
    <cellStyle name="强调文字颜色 3 2 6 3" xfId="114" xr:uid="{00000000-0005-0000-0000-000082000000}"/>
    <cellStyle name="强调文字颜色 3 2 7" xfId="5153" xr:uid="{00000000-0005-0000-0000-000050140000}"/>
    <cellStyle name="强调文字颜色 3 2 7 2" xfId="4724" xr:uid="{00000000-0005-0000-0000-0000A3120000}"/>
    <cellStyle name="强调文字颜色 3 2 7 3" xfId="4851" xr:uid="{00000000-0005-0000-0000-000022130000}"/>
    <cellStyle name="强调文字颜色 3 2 8" xfId="5154" xr:uid="{00000000-0005-0000-0000-000051140000}"/>
    <cellStyle name="强调文字颜色 3 2 8 2" xfId="1018" xr:uid="{00000000-0005-0000-0000-000029040000}"/>
    <cellStyle name="强调文字颜色 3 2 8 3" xfId="5156" xr:uid="{00000000-0005-0000-0000-000053140000}"/>
    <cellStyle name="强调文字颜色 3 2 9" xfId="5157" xr:uid="{00000000-0005-0000-0000-000054140000}"/>
    <cellStyle name="强调文字颜色 3 2 9 2" xfId="5158" xr:uid="{00000000-0005-0000-0000-000055140000}"/>
    <cellStyle name="强调文字颜色 3 2 9 3" xfId="5159" xr:uid="{00000000-0005-0000-0000-000056140000}"/>
    <cellStyle name="强调文字颜色 3 2_成本利润预算(公司目标)" xfId="425" xr:uid="{00000000-0005-0000-0000-0000D8010000}"/>
    <cellStyle name="强调文字颜色 3 3" xfId="4238" xr:uid="{00000000-0005-0000-0000-0000BD100000}"/>
    <cellStyle name="强调文字颜色 3 3 2" xfId="4241" xr:uid="{00000000-0005-0000-0000-0000C0100000}"/>
    <cellStyle name="强调文字颜色 3 4" xfId="4243" xr:uid="{00000000-0005-0000-0000-0000C2100000}"/>
    <cellStyle name="强调文字颜色 3 4 2" xfId="4246" xr:uid="{00000000-0005-0000-0000-0000C5100000}"/>
    <cellStyle name="强调文字颜色 3 4 3" xfId="2383" xr:uid="{00000000-0005-0000-0000-00007E090000}"/>
    <cellStyle name="强调文字颜色 3 5" xfId="4249" xr:uid="{00000000-0005-0000-0000-0000C8100000}"/>
    <cellStyle name="强调文字颜色 3 5 2" xfId="4252" xr:uid="{00000000-0005-0000-0000-0000CB100000}"/>
    <cellStyle name="强调文字颜色 3 5 3" xfId="2401" xr:uid="{00000000-0005-0000-0000-000090090000}"/>
    <cellStyle name="强调文字颜色 3 6" xfId="4255" xr:uid="{00000000-0005-0000-0000-0000CE100000}"/>
    <cellStyle name="强调文字颜色 3 6 2" xfId="5160" xr:uid="{00000000-0005-0000-0000-000057140000}"/>
    <cellStyle name="强调文字颜色 3 6 3" xfId="2416" xr:uid="{00000000-0005-0000-0000-00009F090000}"/>
    <cellStyle name="强调文字颜色 3 7" xfId="4257" xr:uid="{00000000-0005-0000-0000-0000D0100000}"/>
    <cellStyle name="强调文字颜色 3 7 2" xfId="1702" xr:uid="{00000000-0005-0000-0000-0000D5060000}"/>
    <cellStyle name="强调文字颜色 3 7 2 2" xfId="1707" xr:uid="{00000000-0005-0000-0000-0000DA060000}"/>
    <cellStyle name="强调文字颜色 3 7 2 3" xfId="4784" xr:uid="{00000000-0005-0000-0000-0000DF120000}"/>
    <cellStyle name="强调文字颜色 3 7 3" xfId="1718" xr:uid="{00000000-0005-0000-0000-0000E5060000}"/>
    <cellStyle name="强调文字颜色 3 7 4" xfId="1735" xr:uid="{00000000-0005-0000-0000-0000F6060000}"/>
    <cellStyle name="强调文字颜色 3 8" xfId="4264" xr:uid="{00000000-0005-0000-0000-0000D7100000}"/>
    <cellStyle name="强调文字颜色 3 8 2" xfId="1123" xr:uid="{00000000-0005-0000-0000-000092040000}"/>
    <cellStyle name="强调文字颜色 3 8 2 2" xfId="5161" xr:uid="{00000000-0005-0000-0000-000058140000}"/>
    <cellStyle name="强调文字颜色 3 8 2 3" xfId="5162" xr:uid="{00000000-0005-0000-0000-000059140000}"/>
    <cellStyle name="强调文字颜色 3 8 3" xfId="1132" xr:uid="{00000000-0005-0000-0000-00009B040000}"/>
    <cellStyle name="强调文字颜色 3 8 4" xfId="1800" xr:uid="{00000000-0005-0000-0000-000037070000}"/>
    <cellStyle name="强调文字颜色 3 9" xfId="4267" xr:uid="{00000000-0005-0000-0000-0000DA100000}"/>
    <cellStyle name="强调文字颜色 3 9 2" xfId="5163" xr:uid="{00000000-0005-0000-0000-00005A140000}"/>
    <cellStyle name="强调文字颜色 4 10" xfId="3355" xr:uid="{00000000-0005-0000-0000-00004A0D0000}"/>
    <cellStyle name="强调文字颜色 4 10 2" xfId="5164" xr:uid="{00000000-0005-0000-0000-00005B140000}"/>
    <cellStyle name="强调文字颜色 4 2" xfId="5165" xr:uid="{00000000-0005-0000-0000-00005C140000}"/>
    <cellStyle name="强调文字颜色 4 2 10" xfId="4673" xr:uid="{00000000-0005-0000-0000-000070120000}"/>
    <cellStyle name="强调文字颜色 4 2 11" xfId="1474" xr:uid="{00000000-0005-0000-0000-0000F1050000}"/>
    <cellStyle name="强调文字颜色 4 2 12" xfId="4675" xr:uid="{00000000-0005-0000-0000-000072120000}"/>
    <cellStyle name="强调文字颜色 4 2 13" xfId="4677" xr:uid="{00000000-0005-0000-0000-000074120000}"/>
    <cellStyle name="强调文字颜色 4 2 2" xfId="5166" xr:uid="{00000000-0005-0000-0000-00005D140000}"/>
    <cellStyle name="强调文字颜色 4 2 2 10" xfId="5167" xr:uid="{00000000-0005-0000-0000-00005E140000}"/>
    <cellStyle name="强调文字颜色 4 2 2 2" xfId="5168" xr:uid="{00000000-0005-0000-0000-00005F140000}"/>
    <cellStyle name="强调文字颜色 4 2 2 2 2" xfId="5169" xr:uid="{00000000-0005-0000-0000-000060140000}"/>
    <cellStyle name="强调文字颜色 4 2 2 2 3" xfId="5170" xr:uid="{00000000-0005-0000-0000-000061140000}"/>
    <cellStyle name="强调文字颜色 4 2 2 3" xfId="5171" xr:uid="{00000000-0005-0000-0000-000062140000}"/>
    <cellStyle name="强调文字颜色 4 2 2 4" xfId="5172" xr:uid="{00000000-0005-0000-0000-000063140000}"/>
    <cellStyle name="强调文字颜色 4 2 2 5" xfId="5173" xr:uid="{00000000-0005-0000-0000-000064140000}"/>
    <cellStyle name="强调文字颜色 4 2 2 6" xfId="5174" xr:uid="{00000000-0005-0000-0000-000065140000}"/>
    <cellStyle name="强调文字颜色 4 2 2 7" xfId="5175" xr:uid="{00000000-0005-0000-0000-000066140000}"/>
    <cellStyle name="强调文字颜色 4 2 2 8" xfId="5177" xr:uid="{00000000-0005-0000-0000-000068140000}"/>
    <cellStyle name="强调文字颜色 4 2 2 9" xfId="5179" xr:uid="{00000000-0005-0000-0000-00006A140000}"/>
    <cellStyle name="强调文字颜色 4 2 3" xfId="5180" xr:uid="{00000000-0005-0000-0000-00006B140000}"/>
    <cellStyle name="强调文字颜色 4 2 3 2" xfId="5181" xr:uid="{00000000-0005-0000-0000-00006C140000}"/>
    <cellStyle name="强调文字颜色 4 2 3 3" xfId="5182" xr:uid="{00000000-0005-0000-0000-00006D140000}"/>
    <cellStyle name="强调文字颜色 4 2 4" xfId="5183" xr:uid="{00000000-0005-0000-0000-00006E140000}"/>
    <cellStyle name="强调文字颜色 4 2 4 2" xfId="5184" xr:uid="{00000000-0005-0000-0000-00006F140000}"/>
    <cellStyle name="强调文字颜色 4 2 4 3" xfId="5185" xr:uid="{00000000-0005-0000-0000-000070140000}"/>
    <cellStyle name="强调文字颜色 4 2 5" xfId="5186" xr:uid="{00000000-0005-0000-0000-000071140000}"/>
    <cellStyle name="强调文字颜色 4 2 5 2" xfId="5187" xr:uid="{00000000-0005-0000-0000-000072140000}"/>
    <cellStyle name="强调文字颜色 4 2 5 3" xfId="5188" xr:uid="{00000000-0005-0000-0000-000073140000}"/>
    <cellStyle name="强调文字颜色 4 2 6" xfId="5189" xr:uid="{00000000-0005-0000-0000-000074140000}"/>
    <cellStyle name="强调文字颜色 4 2 6 2" xfId="5045" xr:uid="{00000000-0005-0000-0000-0000E4130000}"/>
    <cellStyle name="强调文字颜色 4 2 6 3" xfId="5191" xr:uid="{00000000-0005-0000-0000-000076140000}"/>
    <cellStyle name="强调文字颜色 4 2 7" xfId="5192" xr:uid="{00000000-0005-0000-0000-000077140000}"/>
    <cellStyle name="强调文字颜色 4 2 7 2" xfId="5193" xr:uid="{00000000-0005-0000-0000-000078140000}"/>
    <cellStyle name="强调文字颜色 4 2 7 3" xfId="4941" xr:uid="{00000000-0005-0000-0000-00007C130000}"/>
    <cellStyle name="强调文字颜色 4 2 8" xfId="5194" xr:uid="{00000000-0005-0000-0000-000079140000}"/>
    <cellStyle name="强调文字颜色 4 2 8 2" xfId="5195" xr:uid="{00000000-0005-0000-0000-00007A140000}"/>
    <cellStyle name="强调文字颜色 4 2 8 3" xfId="2337" xr:uid="{00000000-0005-0000-0000-000050090000}"/>
    <cellStyle name="强调文字颜色 4 2 9" xfId="5196" xr:uid="{00000000-0005-0000-0000-00007B140000}"/>
    <cellStyle name="强调文字颜色 4 2 9 2" xfId="5008" xr:uid="{00000000-0005-0000-0000-0000BF130000}"/>
    <cellStyle name="强调文字颜色 4 2 9 3" xfId="1635" xr:uid="{00000000-0005-0000-0000-000092060000}"/>
    <cellStyle name="强调文字颜色 4 2_成本利润预算(公司目标)" xfId="2531" xr:uid="{00000000-0005-0000-0000-0000120A0000}"/>
    <cellStyle name="强调文字颜色 4 3" xfId="5197" xr:uid="{00000000-0005-0000-0000-00007C140000}"/>
    <cellStyle name="强调文字颜色 4 3 2" xfId="5198" xr:uid="{00000000-0005-0000-0000-00007D140000}"/>
    <cellStyle name="强调文字颜色 4 4" xfId="4712" xr:uid="{00000000-0005-0000-0000-000097120000}"/>
    <cellStyle name="强调文字颜色 4 4 2" xfId="4453" xr:uid="{00000000-0005-0000-0000-000094110000}"/>
    <cellStyle name="强调文字颜色 4 4 3" xfId="58" xr:uid="{00000000-0005-0000-0000-000044000000}"/>
    <cellStyle name="强调文字颜色 4 5" xfId="3692" xr:uid="{00000000-0005-0000-0000-00009B0E0000}"/>
    <cellStyle name="强调文字颜色 4 5 2" xfId="4456" xr:uid="{00000000-0005-0000-0000-000097110000}"/>
    <cellStyle name="强调文字颜色 4 5 3" xfId="3073" xr:uid="{00000000-0005-0000-0000-0000300C0000}"/>
    <cellStyle name="强调文字颜色 4 6" xfId="3695" xr:uid="{00000000-0005-0000-0000-00009E0E0000}"/>
    <cellStyle name="强调文字颜色 4 6 2" xfId="5199" xr:uid="{00000000-0005-0000-0000-00007E140000}"/>
    <cellStyle name="强调文字颜色 4 6 3" xfId="3077" xr:uid="{00000000-0005-0000-0000-0000340C0000}"/>
    <cellStyle name="强调文字颜色 4 7" xfId="5200" xr:uid="{00000000-0005-0000-0000-00007F140000}"/>
    <cellStyle name="强调文字颜色 4 7 2" xfId="4753" xr:uid="{00000000-0005-0000-0000-0000C0120000}"/>
    <cellStyle name="强调文字颜色 4 7 2 2" xfId="1868" xr:uid="{00000000-0005-0000-0000-00007B070000}"/>
    <cellStyle name="强调文字颜色 4 7 2 3" xfId="1873" xr:uid="{00000000-0005-0000-0000-000080070000}"/>
    <cellStyle name="强调文字颜色 4 7 3" xfId="489" xr:uid="{00000000-0005-0000-0000-000018020000}"/>
    <cellStyle name="强调文字颜色 4 7 4" xfId="5201" xr:uid="{00000000-0005-0000-0000-000080140000}"/>
    <cellStyle name="强调文字颜色 4 8" xfId="5203" xr:uid="{00000000-0005-0000-0000-000082140000}"/>
    <cellStyle name="强调文字颜色 4 8 2" xfId="5205" xr:uid="{00000000-0005-0000-0000-000084140000}"/>
    <cellStyle name="强调文字颜色 4 8 2 2" xfId="1387" xr:uid="{00000000-0005-0000-0000-00009A050000}"/>
    <cellStyle name="强调文字颜色 4 8 2 3" xfId="1405" xr:uid="{00000000-0005-0000-0000-0000AC050000}"/>
    <cellStyle name="强调文字颜色 4 8 3" xfId="2007" xr:uid="{00000000-0005-0000-0000-000006080000}"/>
    <cellStyle name="强调文字颜色 4 8 4" xfId="5206" xr:uid="{00000000-0005-0000-0000-000085140000}"/>
    <cellStyle name="强调文字颜色 4 9" xfId="5208" xr:uid="{00000000-0005-0000-0000-000087140000}"/>
    <cellStyle name="强调文字颜色 4 9 2" xfId="5209" xr:uid="{00000000-0005-0000-0000-000088140000}"/>
    <cellStyle name="强调文字颜色 5 10" xfId="5210" xr:uid="{00000000-0005-0000-0000-000089140000}"/>
    <cellStyle name="强调文字颜色 5 10 2" xfId="4589" xr:uid="{00000000-0005-0000-0000-00001C120000}"/>
    <cellStyle name="强调文字颜色 5 2" xfId="3641" xr:uid="{00000000-0005-0000-0000-0000680E0000}"/>
    <cellStyle name="强调文字颜色 5 2 10" xfId="4686" xr:uid="{00000000-0005-0000-0000-00007D120000}"/>
    <cellStyle name="强调文字颜色 5 2 11" xfId="5211" xr:uid="{00000000-0005-0000-0000-00008A140000}"/>
    <cellStyle name="强调文字颜色 5 2 12" xfId="5212" xr:uid="{00000000-0005-0000-0000-00008B140000}"/>
    <cellStyle name="强调文字颜色 5 2 13" xfId="5213" xr:uid="{00000000-0005-0000-0000-00008C140000}"/>
    <cellStyle name="强调文字颜色 5 2 2" xfId="5214" xr:uid="{00000000-0005-0000-0000-00008D140000}"/>
    <cellStyle name="强调文字颜色 5 2 2 10" xfId="5215" xr:uid="{00000000-0005-0000-0000-00008E140000}"/>
    <cellStyle name="强调文字颜色 5 2 2 2" xfId="5216" xr:uid="{00000000-0005-0000-0000-00008F140000}"/>
    <cellStyle name="强调文字颜色 5 2 2 2 2" xfId="5217" xr:uid="{00000000-0005-0000-0000-000090140000}"/>
    <cellStyle name="强调文字颜色 5 2 2 2 3" xfId="3136" xr:uid="{00000000-0005-0000-0000-00006F0C0000}"/>
    <cellStyle name="强调文字颜色 5 2 2 3" xfId="5218" xr:uid="{00000000-0005-0000-0000-000091140000}"/>
    <cellStyle name="强调文字颜色 5 2 2 4" xfId="5219" xr:uid="{00000000-0005-0000-0000-000092140000}"/>
    <cellStyle name="强调文字颜色 5 2 2 5" xfId="5220" xr:uid="{00000000-0005-0000-0000-000093140000}"/>
    <cellStyle name="强调文字颜色 5 2 2 6" xfId="5221" xr:uid="{00000000-0005-0000-0000-000094140000}"/>
    <cellStyle name="强调文字颜色 5 2 2 7" xfId="5222" xr:uid="{00000000-0005-0000-0000-000095140000}"/>
    <cellStyle name="强调文字颜色 5 2 2 8" xfId="5223" xr:uid="{00000000-0005-0000-0000-000096140000}"/>
    <cellStyle name="强调文字颜色 5 2 2 9" xfId="5224" xr:uid="{00000000-0005-0000-0000-000097140000}"/>
    <cellStyle name="强调文字颜色 5 2 3" xfId="5225" xr:uid="{00000000-0005-0000-0000-000098140000}"/>
    <cellStyle name="强调文字颜色 5 2 3 2" xfId="5226" xr:uid="{00000000-0005-0000-0000-000099140000}"/>
    <cellStyle name="强调文字颜色 5 2 3 3" xfId="5227" xr:uid="{00000000-0005-0000-0000-00009A140000}"/>
    <cellStyle name="强调文字颜色 5 2 4" xfId="3929" xr:uid="{00000000-0005-0000-0000-0000880F0000}"/>
    <cellStyle name="强调文字颜色 5 2 4 2" xfId="3931" xr:uid="{00000000-0005-0000-0000-00008A0F0000}"/>
    <cellStyle name="强调文字颜色 5 2 4 3" xfId="5228" xr:uid="{00000000-0005-0000-0000-00009B140000}"/>
    <cellStyle name="强调文字颜色 5 2 5" xfId="1000" xr:uid="{00000000-0005-0000-0000-000017040000}"/>
    <cellStyle name="强调文字颜色 5 2 5 2" xfId="5230" xr:uid="{00000000-0005-0000-0000-00009D140000}"/>
    <cellStyle name="强调文字颜色 5 2 5 3" xfId="4135" xr:uid="{00000000-0005-0000-0000-000056100000}"/>
    <cellStyle name="强调文字颜色 5 2 6" xfId="1004" xr:uid="{00000000-0005-0000-0000-00001B040000}"/>
    <cellStyle name="强调文字颜色 5 2 6 2" xfId="5231" xr:uid="{00000000-0005-0000-0000-00009E140000}"/>
    <cellStyle name="强调文字颜色 5 2 6 3" xfId="4401" xr:uid="{00000000-0005-0000-0000-000060110000}"/>
    <cellStyle name="强调文字颜色 5 2 7" xfId="5232" xr:uid="{00000000-0005-0000-0000-00009F140000}"/>
    <cellStyle name="强调文字颜色 5 2 7 2" xfId="5233" xr:uid="{00000000-0005-0000-0000-0000A0140000}"/>
    <cellStyle name="强调文字颜色 5 2 7 3" xfId="4892" xr:uid="{00000000-0005-0000-0000-00004B130000}"/>
    <cellStyle name="强调文字颜色 5 2 8" xfId="5234" xr:uid="{00000000-0005-0000-0000-0000A1140000}"/>
    <cellStyle name="强调文字颜色 5 2 8 2" xfId="5235" xr:uid="{00000000-0005-0000-0000-0000A2140000}"/>
    <cellStyle name="强调文字颜色 5 2 8 3" xfId="5236" xr:uid="{00000000-0005-0000-0000-0000A3140000}"/>
    <cellStyle name="强调文字颜色 5 2 9" xfId="5237" xr:uid="{00000000-0005-0000-0000-0000A4140000}"/>
    <cellStyle name="强调文字颜色 5 2 9 2" xfId="5238" xr:uid="{00000000-0005-0000-0000-0000A5140000}"/>
    <cellStyle name="强调文字颜色 5 2 9 3" xfId="5239" xr:uid="{00000000-0005-0000-0000-0000A6140000}"/>
    <cellStyle name="强调文字颜色 5 2_成本利润预算(公司目标)" xfId="5240" xr:uid="{00000000-0005-0000-0000-0000A7140000}"/>
    <cellStyle name="强调文字颜色 5 3" xfId="5241" xr:uid="{00000000-0005-0000-0000-0000A8140000}"/>
    <cellStyle name="强调文字颜色 5 3 2" xfId="4948" xr:uid="{00000000-0005-0000-0000-000083130000}"/>
    <cellStyle name="强调文字颜色 5 4" xfId="5242" xr:uid="{00000000-0005-0000-0000-0000A9140000}"/>
    <cellStyle name="强调文字颜色 5 4 2" xfId="3709" xr:uid="{00000000-0005-0000-0000-0000AC0E0000}"/>
    <cellStyle name="强调文字颜色 5 4 3" xfId="2235" xr:uid="{00000000-0005-0000-0000-0000EA080000}"/>
    <cellStyle name="强调文字颜色 5 5" xfId="5243" xr:uid="{00000000-0005-0000-0000-0000AA140000}"/>
    <cellStyle name="强调文字颜色 5 5 2" xfId="3589" xr:uid="{00000000-0005-0000-0000-0000340E0000}"/>
    <cellStyle name="强调文字颜色 5 5 3" xfId="3088" xr:uid="{00000000-0005-0000-0000-00003F0C0000}"/>
    <cellStyle name="强调文字颜色 5 6" xfId="5244" xr:uid="{00000000-0005-0000-0000-0000AB140000}"/>
    <cellStyle name="强调文字颜色 5 6 2" xfId="5245" xr:uid="{00000000-0005-0000-0000-0000AC140000}"/>
    <cellStyle name="强调文字颜色 5 6 3" xfId="3092" xr:uid="{00000000-0005-0000-0000-0000430C0000}"/>
    <cellStyle name="强调文字颜色 5 7" xfId="5246" xr:uid="{00000000-0005-0000-0000-0000AD140000}"/>
    <cellStyle name="强调文字颜色 5 7 2" xfId="5247" xr:uid="{00000000-0005-0000-0000-0000AE140000}"/>
    <cellStyle name="强调文字颜色 5 7 2 2" xfId="5248" xr:uid="{00000000-0005-0000-0000-0000AF140000}"/>
    <cellStyle name="强调文字颜色 5 7 2 3" xfId="5249" xr:uid="{00000000-0005-0000-0000-0000B0140000}"/>
    <cellStyle name="强调文字颜色 5 7 3" xfId="2096" xr:uid="{00000000-0005-0000-0000-00005F080000}"/>
    <cellStyle name="强调文字颜色 5 7 4" xfId="2106" xr:uid="{00000000-0005-0000-0000-000069080000}"/>
    <cellStyle name="强调文字颜色 5 8" xfId="5250" xr:uid="{00000000-0005-0000-0000-0000B1140000}"/>
    <cellStyle name="强调文字颜色 5 8 2" xfId="5251" xr:uid="{00000000-0005-0000-0000-0000B2140000}"/>
    <cellStyle name="强调文字颜色 5 8 2 2" xfId="5252" xr:uid="{00000000-0005-0000-0000-0000B3140000}"/>
    <cellStyle name="强调文字颜色 5 8 2 3" xfId="5253" xr:uid="{00000000-0005-0000-0000-0000B4140000}"/>
    <cellStyle name="强调文字颜色 5 8 3" xfId="127" xr:uid="{00000000-0005-0000-0000-000091000000}"/>
    <cellStyle name="强调文字颜色 5 8 4" xfId="5254" xr:uid="{00000000-0005-0000-0000-0000B5140000}"/>
    <cellStyle name="强调文字颜色 5 9" xfId="5255" xr:uid="{00000000-0005-0000-0000-0000B6140000}"/>
    <cellStyle name="强调文字颜色 5 9 2" xfId="2196" xr:uid="{00000000-0005-0000-0000-0000C3080000}"/>
    <cellStyle name="强调文字颜色 6 10" xfId="557" xr:uid="{00000000-0005-0000-0000-00005C020000}"/>
    <cellStyle name="强调文字颜色 6 10 2" xfId="2478" xr:uid="{00000000-0005-0000-0000-0000DD090000}"/>
    <cellStyle name="强调文字颜色 6 2" xfId="5256" xr:uid="{00000000-0005-0000-0000-0000B7140000}"/>
    <cellStyle name="强调文字颜色 6 2 10" xfId="3942" xr:uid="{00000000-0005-0000-0000-0000950F0000}"/>
    <cellStyle name="强调文字颜色 6 2 11" xfId="3944" xr:uid="{00000000-0005-0000-0000-0000970F0000}"/>
    <cellStyle name="强调文字颜色 6 2 12" xfId="3946" xr:uid="{00000000-0005-0000-0000-0000990F0000}"/>
    <cellStyle name="强调文字颜色 6 2 13" xfId="3948" xr:uid="{00000000-0005-0000-0000-00009B0F0000}"/>
    <cellStyle name="强调文字颜色 6 2 2" xfId="5257" xr:uid="{00000000-0005-0000-0000-0000B8140000}"/>
    <cellStyle name="强调文字颜色 6 2 2 10" xfId="3988" xr:uid="{00000000-0005-0000-0000-0000C30F0000}"/>
    <cellStyle name="强调文字颜色 6 2 2 2" xfId="5258" xr:uid="{00000000-0005-0000-0000-0000B9140000}"/>
    <cellStyle name="强调文字颜色 6 2 2 2 2" xfId="5259" xr:uid="{00000000-0005-0000-0000-0000BA140000}"/>
    <cellStyle name="强调文字颜色 6 2 2 2 3" xfId="5260" xr:uid="{00000000-0005-0000-0000-0000BB140000}"/>
    <cellStyle name="强调文字颜色 6 2 2 3" xfId="5261" xr:uid="{00000000-0005-0000-0000-0000BC140000}"/>
    <cellStyle name="强调文字颜色 6 2 2 4" xfId="5262" xr:uid="{00000000-0005-0000-0000-0000BD140000}"/>
    <cellStyle name="强调文字颜色 6 2 2 5" xfId="5263" xr:uid="{00000000-0005-0000-0000-0000BE140000}"/>
    <cellStyle name="强调文字颜色 6 2 2 6" xfId="5264" xr:uid="{00000000-0005-0000-0000-0000BF140000}"/>
    <cellStyle name="强调文字颜色 6 2 2 7" xfId="5265" xr:uid="{00000000-0005-0000-0000-0000C0140000}"/>
    <cellStyle name="强调文字颜色 6 2 2 8" xfId="5266" xr:uid="{00000000-0005-0000-0000-0000C1140000}"/>
    <cellStyle name="强调文字颜色 6 2 2 9" xfId="3893" xr:uid="{00000000-0005-0000-0000-0000640F0000}"/>
    <cellStyle name="强调文字颜色 6 2 3" xfId="5267" xr:uid="{00000000-0005-0000-0000-0000C2140000}"/>
    <cellStyle name="强调文字颜色 6 2 3 2" xfId="4970" xr:uid="{00000000-0005-0000-0000-000099130000}"/>
    <cellStyle name="强调文字颜色 6 2 3 3" xfId="5269" xr:uid="{00000000-0005-0000-0000-0000C4140000}"/>
    <cellStyle name="强调文字颜色 6 2 4" xfId="5270" xr:uid="{00000000-0005-0000-0000-0000C5140000}"/>
    <cellStyle name="强调文字颜色 6 2 4 2" xfId="5271" xr:uid="{00000000-0005-0000-0000-0000C6140000}"/>
    <cellStyle name="强调文字颜色 6 2 4 3" xfId="5272" xr:uid="{00000000-0005-0000-0000-0000C7140000}"/>
    <cellStyle name="强调文字颜色 6 2 5" xfId="5273" xr:uid="{00000000-0005-0000-0000-0000C8140000}"/>
    <cellStyle name="强调文字颜色 6 2 5 2" xfId="5274" xr:uid="{00000000-0005-0000-0000-0000C9140000}"/>
    <cellStyle name="强调文字颜色 6 2 5 3" xfId="5275" xr:uid="{00000000-0005-0000-0000-0000CA140000}"/>
    <cellStyle name="强调文字颜色 6 2 6" xfId="5276" xr:uid="{00000000-0005-0000-0000-0000CB140000}"/>
    <cellStyle name="强调文字颜色 6 2 6 2" xfId="5277" xr:uid="{00000000-0005-0000-0000-0000CC140000}"/>
    <cellStyle name="强调文字颜色 6 2 6 3" xfId="5278" xr:uid="{00000000-0005-0000-0000-0000CD140000}"/>
    <cellStyle name="强调文字颜色 6 2 7" xfId="5279" xr:uid="{00000000-0005-0000-0000-0000CE140000}"/>
    <cellStyle name="强调文字颜色 6 2 7 2" xfId="5280" xr:uid="{00000000-0005-0000-0000-0000CF140000}"/>
    <cellStyle name="强调文字颜色 6 2 7 3" xfId="5281" xr:uid="{00000000-0005-0000-0000-0000D0140000}"/>
    <cellStyle name="强调文字颜色 6 2 8" xfId="5282" xr:uid="{00000000-0005-0000-0000-0000D1140000}"/>
    <cellStyle name="强调文字颜色 6 2 8 2" xfId="5283" xr:uid="{00000000-0005-0000-0000-0000D2140000}"/>
    <cellStyle name="强调文字颜色 6 2 8 3" xfId="5284" xr:uid="{00000000-0005-0000-0000-0000D3140000}"/>
    <cellStyle name="强调文字颜色 6 2 9" xfId="5285" xr:uid="{00000000-0005-0000-0000-0000D4140000}"/>
    <cellStyle name="强调文字颜色 6 2 9 2" xfId="5286" xr:uid="{00000000-0005-0000-0000-0000D5140000}"/>
    <cellStyle name="强调文字颜色 6 2 9 3" xfId="5287" xr:uid="{00000000-0005-0000-0000-0000D6140000}"/>
    <cellStyle name="强调文字颜色 6 2_成本利润预算(公司目标)" xfId="5288" xr:uid="{00000000-0005-0000-0000-0000D7140000}"/>
    <cellStyle name="强调文字颜色 6 3" xfId="5289" xr:uid="{00000000-0005-0000-0000-0000D8140000}"/>
    <cellStyle name="强调文字颜色 6 3 2" xfId="5290" xr:uid="{00000000-0005-0000-0000-0000D9140000}"/>
    <cellStyle name="强调文字颜色 6 4" xfId="5291" xr:uid="{00000000-0005-0000-0000-0000DA140000}"/>
    <cellStyle name="强调文字颜色 6 4 2" xfId="4466" xr:uid="{00000000-0005-0000-0000-0000A1110000}"/>
    <cellStyle name="强调文字颜色 6 4 3" xfId="5292" xr:uid="{00000000-0005-0000-0000-0000DB140000}"/>
    <cellStyle name="强调文字颜色 6 5" xfId="5293" xr:uid="{00000000-0005-0000-0000-0000DC140000}"/>
    <cellStyle name="强调文字颜色 6 5 2" xfId="5294" xr:uid="{00000000-0005-0000-0000-0000DD140000}"/>
    <cellStyle name="强调文字颜色 6 5 3" xfId="5295" xr:uid="{00000000-0005-0000-0000-0000DE140000}"/>
    <cellStyle name="强调文字颜色 6 6" xfId="5296" xr:uid="{00000000-0005-0000-0000-0000DF140000}"/>
    <cellStyle name="强调文字颜色 6 6 2" xfId="5297" xr:uid="{00000000-0005-0000-0000-0000E0140000}"/>
    <cellStyle name="强调文字颜色 6 6 3" xfId="5298" xr:uid="{00000000-0005-0000-0000-0000E1140000}"/>
    <cellStyle name="强调文字颜色 6 7" xfId="4710" xr:uid="{00000000-0005-0000-0000-000095120000}"/>
    <cellStyle name="强调文字颜色 6 7 2" xfId="2274" xr:uid="{00000000-0005-0000-0000-000011090000}"/>
    <cellStyle name="强调文字颜色 6 7 2 2" xfId="5299" xr:uid="{00000000-0005-0000-0000-0000E2140000}"/>
    <cellStyle name="强调文字颜色 6 7 2 3" xfId="5300" xr:uid="{00000000-0005-0000-0000-0000E3140000}"/>
    <cellStyle name="强调文字颜色 6 7 3" xfId="2281" xr:uid="{00000000-0005-0000-0000-000018090000}"/>
    <cellStyle name="强调文字颜色 6 7 4" xfId="2291" xr:uid="{00000000-0005-0000-0000-000022090000}"/>
    <cellStyle name="强调文字颜色 6 8" xfId="5301" xr:uid="{00000000-0005-0000-0000-0000E4140000}"/>
    <cellStyle name="强调文字颜色 6 8 2" xfId="5302" xr:uid="{00000000-0005-0000-0000-0000E5140000}"/>
    <cellStyle name="强调文字颜色 6 8 2 2" xfId="303" xr:uid="{00000000-0005-0000-0000-00005E010000}"/>
    <cellStyle name="强调文字颜色 6 8 2 3" xfId="5303" xr:uid="{00000000-0005-0000-0000-0000E6140000}"/>
    <cellStyle name="强调文字颜色 6 8 3" xfId="2039" xr:uid="{00000000-0005-0000-0000-000026080000}"/>
    <cellStyle name="强调文字颜色 6 8 4" xfId="5304" xr:uid="{00000000-0005-0000-0000-0000E7140000}"/>
    <cellStyle name="强调文字颜色 6 9" xfId="5305" xr:uid="{00000000-0005-0000-0000-0000E8140000}"/>
    <cellStyle name="强调文字颜色 6 9 2" xfId="2345" xr:uid="{00000000-0005-0000-0000-000058090000}"/>
    <cellStyle name="适中 10" xfId="2051" xr:uid="{00000000-0005-0000-0000-000032080000}"/>
    <cellStyle name="适中 10 2" xfId="5306" xr:uid="{00000000-0005-0000-0000-0000E9140000}"/>
    <cellStyle name="适中 11" xfId="2015" xr:uid="{00000000-0005-0000-0000-00000E080000}"/>
    <cellStyle name="适中 12" xfId="5307" xr:uid="{00000000-0005-0000-0000-0000EA140000}"/>
    <cellStyle name="适中 2" xfId="1827" xr:uid="{00000000-0005-0000-0000-000052070000}"/>
    <cellStyle name="适中 2 10" xfId="4833" xr:uid="{00000000-0005-0000-0000-000010130000}"/>
    <cellStyle name="适中 2 11" xfId="3438" xr:uid="{00000000-0005-0000-0000-00009D0D0000}"/>
    <cellStyle name="适中 2 12" xfId="2245" xr:uid="{00000000-0005-0000-0000-0000F4080000}"/>
    <cellStyle name="适中 2 13" xfId="2558" xr:uid="{00000000-0005-0000-0000-00002D0A0000}"/>
    <cellStyle name="适中 2 14" xfId="5308" xr:uid="{00000000-0005-0000-0000-0000EB140000}"/>
    <cellStyle name="适中 2 15" xfId="5309" xr:uid="{00000000-0005-0000-0000-0000EC140000}"/>
    <cellStyle name="适中 2 2" xfId="5310" xr:uid="{00000000-0005-0000-0000-0000ED140000}"/>
    <cellStyle name="适中 2 2 10" xfId="5311" xr:uid="{00000000-0005-0000-0000-0000EE140000}"/>
    <cellStyle name="适中 2 2 2" xfId="5312" xr:uid="{00000000-0005-0000-0000-0000EF140000}"/>
    <cellStyle name="适中 2 2 2 2" xfId="5313" xr:uid="{00000000-0005-0000-0000-0000F0140000}"/>
    <cellStyle name="适中 2 2 2 3" xfId="5314" xr:uid="{00000000-0005-0000-0000-0000F1140000}"/>
    <cellStyle name="适中 2 2 3" xfId="4149" xr:uid="{00000000-0005-0000-0000-000064100000}"/>
    <cellStyle name="适中 2 2 4" xfId="4153" xr:uid="{00000000-0005-0000-0000-000068100000}"/>
    <cellStyle name="适中 2 2 5" xfId="3992" xr:uid="{00000000-0005-0000-0000-0000C70F0000}"/>
    <cellStyle name="适中 2 2 6" xfId="674" xr:uid="{00000000-0005-0000-0000-0000D1020000}"/>
    <cellStyle name="适中 2 2 7" xfId="685" xr:uid="{00000000-0005-0000-0000-0000DC020000}"/>
    <cellStyle name="适中 2 2 8" xfId="5315" xr:uid="{00000000-0005-0000-0000-0000F2140000}"/>
    <cellStyle name="适中 2 2 9" xfId="5316" xr:uid="{00000000-0005-0000-0000-0000F3140000}"/>
    <cellStyle name="适中 2 3" xfId="5317" xr:uid="{00000000-0005-0000-0000-0000F4140000}"/>
    <cellStyle name="适中 2 3 2" xfId="5318" xr:uid="{00000000-0005-0000-0000-0000F5140000}"/>
    <cellStyle name="适中 2 4" xfId="2341" xr:uid="{00000000-0005-0000-0000-000054090000}"/>
    <cellStyle name="适中 2 4 2" xfId="62" xr:uid="{00000000-0005-0000-0000-000048000000}"/>
    <cellStyle name="适中 2 4 3" xfId="5319" xr:uid="{00000000-0005-0000-0000-0000F6140000}"/>
    <cellStyle name="适中 2 5" xfId="2344" xr:uid="{00000000-0005-0000-0000-000057090000}"/>
    <cellStyle name="适中 2 5 2" xfId="5320" xr:uid="{00000000-0005-0000-0000-0000F7140000}"/>
    <cellStyle name="适中 2 5 3" xfId="5321" xr:uid="{00000000-0005-0000-0000-0000F8140000}"/>
    <cellStyle name="适中 2 6" xfId="2350" xr:uid="{00000000-0005-0000-0000-00005D090000}"/>
    <cellStyle name="适中 2 6 2" xfId="156" xr:uid="{00000000-0005-0000-0000-0000B1000000}"/>
    <cellStyle name="适中 2 6 3" xfId="236" xr:uid="{00000000-0005-0000-0000-000017010000}"/>
    <cellStyle name="适中 2 7" xfId="2353" xr:uid="{00000000-0005-0000-0000-000060090000}"/>
    <cellStyle name="适中 2 7 2" xfId="5322" xr:uid="{00000000-0005-0000-0000-0000F9140000}"/>
    <cellStyle name="适中 2 7 3" xfId="5323" xr:uid="{00000000-0005-0000-0000-0000FA140000}"/>
    <cellStyle name="适中 2 8" xfId="5324" xr:uid="{00000000-0005-0000-0000-0000FB140000}"/>
    <cellStyle name="适中 2 8 2" xfId="5325" xr:uid="{00000000-0005-0000-0000-0000FC140000}"/>
    <cellStyle name="适中 2 8 3" xfId="5326" xr:uid="{00000000-0005-0000-0000-0000FD140000}"/>
    <cellStyle name="适中 2 9" xfId="5327" xr:uid="{00000000-0005-0000-0000-0000FE140000}"/>
    <cellStyle name="适中 2 9 2" xfId="5328" xr:uid="{00000000-0005-0000-0000-0000FF140000}"/>
    <cellStyle name="适中 2 9 3" xfId="5329" xr:uid="{00000000-0005-0000-0000-000000150000}"/>
    <cellStyle name="适中 3" xfId="3466" xr:uid="{00000000-0005-0000-0000-0000B90D0000}"/>
    <cellStyle name="适中 3 2" xfId="5330" xr:uid="{00000000-0005-0000-0000-000001150000}"/>
    <cellStyle name="适中 4" xfId="3468" xr:uid="{00000000-0005-0000-0000-0000BB0D0000}"/>
    <cellStyle name="适中 4 2" xfId="5331" xr:uid="{00000000-0005-0000-0000-000002150000}"/>
    <cellStyle name="适中 4 3" xfId="5332" xr:uid="{00000000-0005-0000-0000-000003150000}"/>
    <cellStyle name="适中 5" xfId="3470" xr:uid="{00000000-0005-0000-0000-0000BD0D0000}"/>
    <cellStyle name="适中 5 2" xfId="5333" xr:uid="{00000000-0005-0000-0000-000004150000}"/>
    <cellStyle name="适中 5 3" xfId="5334" xr:uid="{00000000-0005-0000-0000-000005150000}"/>
    <cellStyle name="适中 6" xfId="3473" xr:uid="{00000000-0005-0000-0000-0000C00D0000}"/>
    <cellStyle name="适中 6 2" xfId="4638" xr:uid="{00000000-0005-0000-0000-00004D120000}"/>
    <cellStyle name="适中 6 3" xfId="4641" xr:uid="{00000000-0005-0000-0000-000050120000}"/>
    <cellStyle name="适中 7" xfId="3476" xr:uid="{00000000-0005-0000-0000-0000C30D0000}"/>
    <cellStyle name="适中 7 2" xfId="5335" xr:uid="{00000000-0005-0000-0000-000006150000}"/>
    <cellStyle name="适中 7 2 2" xfId="5336" xr:uid="{00000000-0005-0000-0000-000007150000}"/>
    <cellStyle name="适中 7 2 3" xfId="5337" xr:uid="{00000000-0005-0000-0000-000008150000}"/>
    <cellStyle name="适中 7 3" xfId="5338" xr:uid="{00000000-0005-0000-0000-000009150000}"/>
    <cellStyle name="适中 7 4" xfId="5339" xr:uid="{00000000-0005-0000-0000-00000A150000}"/>
    <cellStyle name="适中 8" xfId="1762" xr:uid="{00000000-0005-0000-0000-000011070000}"/>
    <cellStyle name="适中 8 2" xfId="243" xr:uid="{00000000-0005-0000-0000-000020010000}"/>
    <cellStyle name="适中 8 2 2" xfId="1786" xr:uid="{00000000-0005-0000-0000-000029070000}"/>
    <cellStyle name="适中 8 2 3" xfId="3151" xr:uid="{00000000-0005-0000-0000-00007E0C0000}"/>
    <cellStyle name="适中 8 3" xfId="5340" xr:uid="{00000000-0005-0000-0000-00000B150000}"/>
    <cellStyle name="适中 8 4" xfId="5341" xr:uid="{00000000-0005-0000-0000-00000C150000}"/>
    <cellStyle name="适中 9" xfId="5342" xr:uid="{00000000-0005-0000-0000-00000D150000}"/>
    <cellStyle name="适中 9 2" xfId="5343" xr:uid="{00000000-0005-0000-0000-00000E150000}"/>
    <cellStyle name="输出 10" xfId="3521" xr:uid="{00000000-0005-0000-0000-0000F00D0000}"/>
    <cellStyle name="输出 10 2" xfId="5344" xr:uid="{00000000-0005-0000-0000-00000F150000}"/>
    <cellStyle name="输出 11" xfId="3523" xr:uid="{00000000-0005-0000-0000-0000F20D0000}"/>
    <cellStyle name="输出 12" xfId="3525" xr:uid="{00000000-0005-0000-0000-0000F40D0000}"/>
    <cellStyle name="输出 2" xfId="1595" xr:uid="{00000000-0005-0000-0000-00006A060000}"/>
    <cellStyle name="输出 2 10" xfId="4573" xr:uid="{00000000-0005-0000-0000-00000C120000}"/>
    <cellStyle name="输出 2 11" xfId="4520" xr:uid="{00000000-0005-0000-0000-0000D7110000}"/>
    <cellStyle name="输出 2 12" xfId="4525" xr:uid="{00000000-0005-0000-0000-0000DC110000}"/>
    <cellStyle name="输出 2 13" xfId="3027" xr:uid="{00000000-0005-0000-0000-0000020C0000}"/>
    <cellStyle name="输出 2 14" xfId="3035" xr:uid="{00000000-0005-0000-0000-00000A0C0000}"/>
    <cellStyle name="输出 2 15" xfId="3043" xr:uid="{00000000-0005-0000-0000-0000120C0000}"/>
    <cellStyle name="输出 2 2" xfId="5176" xr:uid="{00000000-0005-0000-0000-000067140000}"/>
    <cellStyle name="输出 2 2 10" xfId="4977" xr:uid="{00000000-0005-0000-0000-0000A0130000}"/>
    <cellStyle name="输出 2 2 11" xfId="5345" xr:uid="{00000000-0005-0000-0000-000010150000}"/>
    <cellStyle name="输出 2 2 2" xfId="3784" xr:uid="{00000000-0005-0000-0000-0000F70E0000}"/>
    <cellStyle name="输出 2 2 2 2" xfId="2669" xr:uid="{00000000-0005-0000-0000-00009C0A0000}"/>
    <cellStyle name="输出 2 2 2 3" xfId="2674" xr:uid="{00000000-0005-0000-0000-0000A10A0000}"/>
    <cellStyle name="输出 2 2 3" xfId="5346" xr:uid="{00000000-0005-0000-0000-000011150000}"/>
    <cellStyle name="输出 2 2 4" xfId="5347" xr:uid="{00000000-0005-0000-0000-000012150000}"/>
    <cellStyle name="输出 2 2 5" xfId="5348" xr:uid="{00000000-0005-0000-0000-000013150000}"/>
    <cellStyle name="输出 2 2 6" xfId="5349" xr:uid="{00000000-0005-0000-0000-000014150000}"/>
    <cellStyle name="输出 2 2 7" xfId="5350" xr:uid="{00000000-0005-0000-0000-000015150000}"/>
    <cellStyle name="输出 2 2 8" xfId="5351" xr:uid="{00000000-0005-0000-0000-000016150000}"/>
    <cellStyle name="输出 2 2 9" xfId="774" xr:uid="{00000000-0005-0000-0000-000035030000}"/>
    <cellStyle name="输出 2 3" xfId="5178" xr:uid="{00000000-0005-0000-0000-000069140000}"/>
    <cellStyle name="输出 2 3 2" xfId="3789" xr:uid="{00000000-0005-0000-0000-0000FC0E0000}"/>
    <cellStyle name="输出 2 3 2 2" xfId="5352" xr:uid="{00000000-0005-0000-0000-000017150000}"/>
    <cellStyle name="输出 2 3 3" xfId="5353" xr:uid="{00000000-0005-0000-0000-000018150000}"/>
    <cellStyle name="输出 2 4" xfId="5354" xr:uid="{00000000-0005-0000-0000-000019150000}"/>
    <cellStyle name="输出 2 4 2" xfId="4328" xr:uid="{00000000-0005-0000-0000-000017110000}"/>
    <cellStyle name="输出 2 4 2 2" xfId="5355" xr:uid="{00000000-0005-0000-0000-00001A150000}"/>
    <cellStyle name="输出 2 4 3" xfId="3005" xr:uid="{00000000-0005-0000-0000-0000EC0B0000}"/>
    <cellStyle name="输出 2 5" xfId="746" xr:uid="{00000000-0005-0000-0000-000019030000}"/>
    <cellStyle name="输出 2 5 2" xfId="749" xr:uid="{00000000-0005-0000-0000-00001C030000}"/>
    <cellStyle name="输出 2 5 2 2" xfId="5357" xr:uid="{00000000-0005-0000-0000-00001C150000}"/>
    <cellStyle name="输出 2 5 3" xfId="751" xr:uid="{00000000-0005-0000-0000-00001E030000}"/>
    <cellStyle name="输出 2 6" xfId="709" xr:uid="{00000000-0005-0000-0000-0000F4020000}"/>
    <cellStyle name="输出 2 6 2" xfId="720" xr:uid="{00000000-0005-0000-0000-0000FF020000}"/>
    <cellStyle name="输出 2 6 2 2" xfId="5358" xr:uid="{00000000-0005-0000-0000-00001D150000}"/>
    <cellStyle name="输出 2 6 3" xfId="729" xr:uid="{00000000-0005-0000-0000-000008030000}"/>
    <cellStyle name="输出 2 7" xfId="785" xr:uid="{00000000-0005-0000-0000-000040030000}"/>
    <cellStyle name="输出 2 7 2" xfId="793" xr:uid="{00000000-0005-0000-0000-000048030000}"/>
    <cellStyle name="输出 2 7 2 2" xfId="2791" xr:uid="{00000000-0005-0000-0000-0000160B0000}"/>
    <cellStyle name="输出 2 7 3" xfId="262" xr:uid="{00000000-0005-0000-0000-000035010000}"/>
    <cellStyle name="输出 2 8" xfId="5359" xr:uid="{00000000-0005-0000-0000-00001E150000}"/>
    <cellStyle name="输出 2 8 2" xfId="5360" xr:uid="{00000000-0005-0000-0000-00001F150000}"/>
    <cellStyle name="输出 2 8 2 2" xfId="5361" xr:uid="{00000000-0005-0000-0000-000020150000}"/>
    <cellStyle name="输出 2 8 3" xfId="1227" xr:uid="{00000000-0005-0000-0000-0000FA040000}"/>
    <cellStyle name="输出 2 9" xfId="5362" xr:uid="{00000000-0005-0000-0000-000021150000}"/>
    <cellStyle name="输出 2 9 2" xfId="5363" xr:uid="{00000000-0005-0000-0000-000022150000}"/>
    <cellStyle name="输出 2 9 3" xfId="5364" xr:uid="{00000000-0005-0000-0000-000023150000}"/>
    <cellStyle name="输出 3" xfId="5365" xr:uid="{00000000-0005-0000-0000-000024150000}"/>
    <cellStyle name="输出 3 2" xfId="5366" xr:uid="{00000000-0005-0000-0000-000025150000}"/>
    <cellStyle name="输出 3 2 2" xfId="3851" xr:uid="{00000000-0005-0000-0000-00003A0F0000}"/>
    <cellStyle name="输出 3 3" xfId="5367" xr:uid="{00000000-0005-0000-0000-000026150000}"/>
    <cellStyle name="输出 4" xfId="5368" xr:uid="{00000000-0005-0000-0000-000027150000}"/>
    <cellStyle name="输出 4 2" xfId="4427" xr:uid="{00000000-0005-0000-0000-00007A110000}"/>
    <cellStyle name="输出 4 2 2" xfId="3918" xr:uid="{00000000-0005-0000-0000-00007D0F0000}"/>
    <cellStyle name="输出 4 3" xfId="3753" xr:uid="{00000000-0005-0000-0000-0000D80E0000}"/>
    <cellStyle name="输出 5" xfId="5369" xr:uid="{00000000-0005-0000-0000-000028150000}"/>
    <cellStyle name="输出 5 2" xfId="5370" xr:uid="{00000000-0005-0000-0000-000029150000}"/>
    <cellStyle name="输出 5 2 2" xfId="688" xr:uid="{00000000-0005-0000-0000-0000DF020000}"/>
    <cellStyle name="输出 5 3" xfId="5371" xr:uid="{00000000-0005-0000-0000-00002A150000}"/>
    <cellStyle name="输出 6" xfId="172" xr:uid="{00000000-0005-0000-0000-0000C5000000}"/>
    <cellStyle name="输出 6 2" xfId="999" xr:uid="{00000000-0005-0000-0000-000016040000}"/>
    <cellStyle name="输出 6 2 2" xfId="5229" xr:uid="{00000000-0005-0000-0000-00009C140000}"/>
    <cellStyle name="输出 6 3" xfId="1003" xr:uid="{00000000-0005-0000-0000-00001A040000}"/>
    <cellStyle name="输出 7" xfId="920" xr:uid="{00000000-0005-0000-0000-0000C7030000}"/>
    <cellStyle name="输出 7 2" xfId="926" xr:uid="{00000000-0005-0000-0000-0000CD030000}"/>
    <cellStyle name="输出 7 2 2" xfId="5372" xr:uid="{00000000-0005-0000-0000-00002B150000}"/>
    <cellStyle name="输出 7 2 3" xfId="5373" xr:uid="{00000000-0005-0000-0000-00002C150000}"/>
    <cellStyle name="输出 7 3" xfId="934" xr:uid="{00000000-0005-0000-0000-0000D5030000}"/>
    <cellStyle name="输出 7 4" xfId="4951" xr:uid="{00000000-0005-0000-0000-000086130000}"/>
    <cellStyle name="输出 8" xfId="4689" xr:uid="{00000000-0005-0000-0000-000080120000}"/>
    <cellStyle name="输出 8 2" xfId="3569" xr:uid="{00000000-0005-0000-0000-0000200E0000}"/>
    <cellStyle name="输出 8 2 2" xfId="1045" xr:uid="{00000000-0005-0000-0000-000044040000}"/>
    <cellStyle name="输出 8 2 3" xfId="3242" xr:uid="{00000000-0005-0000-0000-0000D90C0000}"/>
    <cellStyle name="输出 8 3" xfId="4691" xr:uid="{00000000-0005-0000-0000-000082120000}"/>
    <cellStyle name="输出 8 4" xfId="4693" xr:uid="{00000000-0005-0000-0000-000084120000}"/>
    <cellStyle name="输出 9" xfId="5374" xr:uid="{00000000-0005-0000-0000-00002D150000}"/>
    <cellStyle name="输出 9 2" xfId="5013" xr:uid="{00000000-0005-0000-0000-0000C4130000}"/>
    <cellStyle name="输入 10" xfId="5202" xr:uid="{00000000-0005-0000-0000-000081140000}"/>
    <cellStyle name="输入 10 2" xfId="5204" xr:uid="{00000000-0005-0000-0000-000083140000}"/>
    <cellStyle name="输入 11" xfId="5207" xr:uid="{00000000-0005-0000-0000-000086140000}"/>
    <cellStyle name="输入 12" xfId="5375" xr:uid="{00000000-0005-0000-0000-00002E150000}"/>
    <cellStyle name="输入 2" xfId="4048" xr:uid="{00000000-0005-0000-0000-0000FF0F0000}"/>
    <cellStyle name="输入 2 10" xfId="648" xr:uid="{00000000-0005-0000-0000-0000B7020000}"/>
    <cellStyle name="输入 2 11" xfId="4376" xr:uid="{00000000-0005-0000-0000-000047110000}"/>
    <cellStyle name="输入 2 12" xfId="4378" xr:uid="{00000000-0005-0000-0000-000049110000}"/>
    <cellStyle name="输入 2 13" xfId="5376" xr:uid="{00000000-0005-0000-0000-00002F150000}"/>
    <cellStyle name="输入 2 14" xfId="5377" xr:uid="{00000000-0005-0000-0000-000030150000}"/>
    <cellStyle name="输入 2 15" xfId="5378" xr:uid="{00000000-0005-0000-0000-000031150000}"/>
    <cellStyle name="输入 2 2" xfId="4380" xr:uid="{00000000-0005-0000-0000-00004B110000}"/>
    <cellStyle name="输入 2 2 10" xfId="3527" xr:uid="{00000000-0005-0000-0000-0000F60D0000}"/>
    <cellStyle name="输入 2 2 11" xfId="3529" xr:uid="{00000000-0005-0000-0000-0000F80D0000}"/>
    <cellStyle name="输入 2 2 2" xfId="4034" xr:uid="{00000000-0005-0000-0000-0000F10F0000}"/>
    <cellStyle name="输入 2 2 2 2" xfId="5379" xr:uid="{00000000-0005-0000-0000-000032150000}"/>
    <cellStyle name="输入 2 2 2 3" xfId="5380" xr:uid="{00000000-0005-0000-0000-000033150000}"/>
    <cellStyle name="输入 2 2 3" xfId="4382" xr:uid="{00000000-0005-0000-0000-00004D110000}"/>
    <cellStyle name="输入 2 2 4" xfId="5381" xr:uid="{00000000-0005-0000-0000-000034150000}"/>
    <cellStyle name="输入 2 2 5" xfId="2888" xr:uid="{00000000-0005-0000-0000-0000770B0000}"/>
    <cellStyle name="输入 2 2 6" xfId="5382" xr:uid="{00000000-0005-0000-0000-000035150000}"/>
    <cellStyle name="输入 2 2 7" xfId="5383" xr:uid="{00000000-0005-0000-0000-000036150000}"/>
    <cellStyle name="输入 2 2 8" xfId="5384" xr:uid="{00000000-0005-0000-0000-000037150000}"/>
    <cellStyle name="输入 2 2 9" xfId="2211" xr:uid="{00000000-0005-0000-0000-0000D2080000}"/>
    <cellStyle name="输入 2 3" xfId="4384" xr:uid="{00000000-0005-0000-0000-00004F110000}"/>
    <cellStyle name="输入 2 3 2" xfId="4039" xr:uid="{00000000-0005-0000-0000-0000F60F0000}"/>
    <cellStyle name="输入 2 3 2 2" xfId="4696" xr:uid="{00000000-0005-0000-0000-000087120000}"/>
    <cellStyle name="输入 2 3 3" xfId="5385" xr:uid="{00000000-0005-0000-0000-000038150000}"/>
    <cellStyle name="输入 2 4" xfId="4388" xr:uid="{00000000-0005-0000-0000-000053110000}"/>
    <cellStyle name="输入 2 4 2" xfId="5386" xr:uid="{00000000-0005-0000-0000-000039150000}"/>
    <cellStyle name="输入 2 4 2 2" xfId="5387" xr:uid="{00000000-0005-0000-0000-00003A150000}"/>
    <cellStyle name="输入 2 4 3" xfId="5388" xr:uid="{00000000-0005-0000-0000-00003B150000}"/>
    <cellStyle name="输入 2 5" xfId="4392" xr:uid="{00000000-0005-0000-0000-000057110000}"/>
    <cellStyle name="输入 2 5 2" xfId="3118" xr:uid="{00000000-0005-0000-0000-00005D0C0000}"/>
    <cellStyle name="输入 2 5 2 2" xfId="5389" xr:uid="{00000000-0005-0000-0000-00003C150000}"/>
    <cellStyle name="输入 2 5 3" xfId="3120" xr:uid="{00000000-0005-0000-0000-00005F0C0000}"/>
    <cellStyle name="输入 2 6" xfId="4396" xr:uid="{00000000-0005-0000-0000-00005B110000}"/>
    <cellStyle name="输入 2 6 2" xfId="1969" xr:uid="{00000000-0005-0000-0000-0000E0070000}"/>
    <cellStyle name="输入 2 6 2 2" xfId="2830" xr:uid="{00000000-0005-0000-0000-00003D0B0000}"/>
    <cellStyle name="输入 2 6 3" xfId="2063" xr:uid="{00000000-0005-0000-0000-00003E080000}"/>
    <cellStyle name="输入 2 7" xfId="3230" xr:uid="{00000000-0005-0000-0000-0000CD0C0000}"/>
    <cellStyle name="输入 2 7 2" xfId="5390" xr:uid="{00000000-0005-0000-0000-00003D150000}"/>
    <cellStyle name="输入 2 7 2 2" xfId="5391" xr:uid="{00000000-0005-0000-0000-00003E150000}"/>
    <cellStyle name="输入 2 7 3" xfId="5392" xr:uid="{00000000-0005-0000-0000-00003F150000}"/>
    <cellStyle name="输入 2 8" xfId="4399" xr:uid="{00000000-0005-0000-0000-00005E110000}"/>
    <cellStyle name="输入 2 8 2" xfId="5393" xr:uid="{00000000-0005-0000-0000-000040150000}"/>
    <cellStyle name="输入 2 8 2 2" xfId="5394" xr:uid="{00000000-0005-0000-0000-000041150000}"/>
    <cellStyle name="输入 2 8 3" xfId="5395" xr:uid="{00000000-0005-0000-0000-000042150000}"/>
    <cellStyle name="输入 2 9" xfId="4156" xr:uid="{00000000-0005-0000-0000-00006B100000}"/>
    <cellStyle name="输入 2 9 2" xfId="4773" xr:uid="{00000000-0005-0000-0000-0000D4120000}"/>
    <cellStyle name="输入 2 9 3" xfId="5396" xr:uid="{00000000-0005-0000-0000-000043150000}"/>
    <cellStyle name="输入 3" xfId="4403" xr:uid="{00000000-0005-0000-0000-000062110000}"/>
    <cellStyle name="输入 3 2" xfId="3450" xr:uid="{00000000-0005-0000-0000-0000A90D0000}"/>
    <cellStyle name="输入 3 2 2" xfId="4405" xr:uid="{00000000-0005-0000-0000-000064110000}"/>
    <cellStyle name="输入 3 3" xfId="3453" xr:uid="{00000000-0005-0000-0000-0000AC0D0000}"/>
    <cellStyle name="输入 4" xfId="5397" xr:uid="{00000000-0005-0000-0000-000044150000}"/>
    <cellStyle name="输入 4 2" xfId="2940" xr:uid="{00000000-0005-0000-0000-0000AB0B0000}"/>
    <cellStyle name="输入 4 2 2" xfId="2943" xr:uid="{00000000-0005-0000-0000-0000AE0B0000}"/>
    <cellStyle name="输入 4 3" xfId="493" xr:uid="{00000000-0005-0000-0000-00001C020000}"/>
    <cellStyle name="输入 5" xfId="5398" xr:uid="{00000000-0005-0000-0000-000045150000}"/>
    <cellStyle name="输入 5 2" xfId="1049" xr:uid="{00000000-0005-0000-0000-000048040000}"/>
    <cellStyle name="输入 5 2 2" xfId="1661" xr:uid="{00000000-0005-0000-0000-0000AC060000}"/>
    <cellStyle name="输入 5 3" xfId="1052" xr:uid="{00000000-0005-0000-0000-00004B040000}"/>
    <cellStyle name="输入 6" xfId="5399" xr:uid="{00000000-0005-0000-0000-000046150000}"/>
    <cellStyle name="输入 6 2" xfId="5400" xr:uid="{00000000-0005-0000-0000-000047150000}"/>
    <cellStyle name="输入 6 2 2" xfId="5401" xr:uid="{00000000-0005-0000-0000-000048150000}"/>
    <cellStyle name="输入 6 3" xfId="1660" xr:uid="{00000000-0005-0000-0000-0000AB060000}"/>
    <cellStyle name="输入 7" xfId="5402" xr:uid="{00000000-0005-0000-0000-000049150000}"/>
    <cellStyle name="输入 7 2" xfId="5404" xr:uid="{00000000-0005-0000-0000-00004B150000}"/>
    <cellStyle name="输入 7 2 2" xfId="3214" xr:uid="{00000000-0005-0000-0000-0000BD0C0000}"/>
    <cellStyle name="输入 7 2 3" xfId="1857" xr:uid="{00000000-0005-0000-0000-000070070000}"/>
    <cellStyle name="输入 7 3" xfId="137" xr:uid="{00000000-0005-0000-0000-00009C000000}"/>
    <cellStyle name="输入 7 4" xfId="4532" xr:uid="{00000000-0005-0000-0000-0000E3110000}"/>
    <cellStyle name="输入 8" xfId="5405" xr:uid="{00000000-0005-0000-0000-00004C150000}"/>
    <cellStyle name="输入 8 2" xfId="5406" xr:uid="{00000000-0005-0000-0000-00004D150000}"/>
    <cellStyle name="输入 8 2 2" xfId="5408" xr:uid="{00000000-0005-0000-0000-00004F150000}"/>
    <cellStyle name="输入 8 2 3" xfId="2188" xr:uid="{00000000-0005-0000-0000-0000BB080000}"/>
    <cellStyle name="输入 8 3" xfId="5409" xr:uid="{00000000-0005-0000-0000-000050150000}"/>
    <cellStyle name="输入 8 4" xfId="5410" xr:uid="{00000000-0005-0000-0000-000051150000}"/>
    <cellStyle name="输入 9" xfId="5411" xr:uid="{00000000-0005-0000-0000-000052150000}"/>
    <cellStyle name="输入 9 2" xfId="178" xr:uid="{00000000-0005-0000-0000-0000CB000000}"/>
    <cellStyle name="隨後的超連結" xfId="4632" xr:uid="{00000000-0005-0000-0000-000047120000}"/>
    <cellStyle name="隨後的超連結 2" xfId="5412" xr:uid="{00000000-0005-0000-0000-000053150000}"/>
    <cellStyle name="隨後的超連結 3" xfId="3679" xr:uid="{00000000-0005-0000-0000-00008E0E0000}"/>
    <cellStyle name="样式 1" xfId="5413" xr:uid="{00000000-0005-0000-0000-000054150000}"/>
    <cellStyle name="样式 1 10" xfId="5414" xr:uid="{00000000-0005-0000-0000-000055150000}"/>
    <cellStyle name="样式 1 10 2" xfId="5415" xr:uid="{00000000-0005-0000-0000-000056150000}"/>
    <cellStyle name="样式 1 10 3" xfId="5416" xr:uid="{00000000-0005-0000-0000-000057150000}"/>
    <cellStyle name="样式 1 11" xfId="5417" xr:uid="{00000000-0005-0000-0000-000058150000}"/>
    <cellStyle name="样式 1 11 2" xfId="5418" xr:uid="{00000000-0005-0000-0000-000059150000}"/>
    <cellStyle name="样式 1 11 3" xfId="5419" xr:uid="{00000000-0005-0000-0000-00005A150000}"/>
    <cellStyle name="样式 1 12" xfId="5420" xr:uid="{00000000-0005-0000-0000-00005B150000}"/>
    <cellStyle name="样式 1 12 2" xfId="5421" xr:uid="{00000000-0005-0000-0000-00005C150000}"/>
    <cellStyle name="样式 1 12 3" xfId="5422" xr:uid="{00000000-0005-0000-0000-00005D150000}"/>
    <cellStyle name="样式 1 13" xfId="5423" xr:uid="{00000000-0005-0000-0000-00005E150000}"/>
    <cellStyle name="样式 1 13 2" xfId="4045" xr:uid="{00000000-0005-0000-0000-0000FC0F0000}"/>
    <cellStyle name="样式 1 13 3" xfId="363" xr:uid="{00000000-0005-0000-0000-00009A010000}"/>
    <cellStyle name="样式 1 14" xfId="1901" xr:uid="{00000000-0005-0000-0000-00009C070000}"/>
    <cellStyle name="样式 1 15" xfId="4588" xr:uid="{00000000-0005-0000-0000-00001B120000}"/>
    <cellStyle name="样式 1 16" xfId="3164" xr:uid="{00000000-0005-0000-0000-00008B0C0000}"/>
    <cellStyle name="样式 1 17" xfId="5424" xr:uid="{00000000-0005-0000-0000-00005F150000}"/>
    <cellStyle name="样式 1 18" xfId="5425" xr:uid="{00000000-0005-0000-0000-000060150000}"/>
    <cellStyle name="样式 1 19" xfId="5426" xr:uid="{00000000-0005-0000-0000-000061150000}"/>
    <cellStyle name="样式 1 2" xfId="1625" xr:uid="{00000000-0005-0000-0000-000088060000}"/>
    <cellStyle name="样式 1 2 10" xfId="5427" xr:uid="{00000000-0005-0000-0000-000062150000}"/>
    <cellStyle name="样式 1 2 11" xfId="5430" xr:uid="{00000000-0005-0000-0000-000065150000}"/>
    <cellStyle name="样式 1 2 12" xfId="5407" xr:uid="{00000000-0005-0000-0000-00004E150000}"/>
    <cellStyle name="样式 1 2 2" xfId="1634" xr:uid="{00000000-0005-0000-0000-000091060000}"/>
    <cellStyle name="样式 1 2 3" xfId="1641" xr:uid="{00000000-0005-0000-0000-000098060000}"/>
    <cellStyle name="样式 1 2 4" xfId="3588" xr:uid="{00000000-0005-0000-0000-0000330E0000}"/>
    <cellStyle name="样式 1 2 5" xfId="3087" xr:uid="{00000000-0005-0000-0000-00003E0C0000}"/>
    <cellStyle name="样式 1 2 6" xfId="5010" xr:uid="{00000000-0005-0000-0000-0000C1130000}"/>
    <cellStyle name="样式 1 2 7" xfId="5012" xr:uid="{00000000-0005-0000-0000-0000C3130000}"/>
    <cellStyle name="样式 1 2 8" xfId="5431" xr:uid="{00000000-0005-0000-0000-000066150000}"/>
    <cellStyle name="样式 1 2 9" xfId="296" xr:uid="{00000000-0005-0000-0000-000057010000}"/>
    <cellStyle name="样式 1 20" xfId="4587" xr:uid="{00000000-0005-0000-0000-00001A120000}"/>
    <cellStyle name="样式 1 21" xfId="3163" xr:uid="{00000000-0005-0000-0000-00008A0C0000}"/>
    <cellStyle name="样式 1 3" xfId="1649" xr:uid="{00000000-0005-0000-0000-0000A0060000}"/>
    <cellStyle name="样式 1 3 2" xfId="4953" xr:uid="{00000000-0005-0000-0000-000088130000}"/>
    <cellStyle name="样式 1 3 3" xfId="4955" xr:uid="{00000000-0005-0000-0000-00008A130000}"/>
    <cellStyle name="样式 1 4" xfId="665" xr:uid="{00000000-0005-0000-0000-0000C8020000}"/>
    <cellStyle name="样式 1 4 2" xfId="4957" xr:uid="{00000000-0005-0000-0000-00008C130000}"/>
    <cellStyle name="样式 1 4 3" xfId="4959" xr:uid="{00000000-0005-0000-0000-00008E130000}"/>
    <cellStyle name="样式 1 5" xfId="4961" xr:uid="{00000000-0005-0000-0000-000090130000}"/>
    <cellStyle name="样式 1 5 2" xfId="4963" xr:uid="{00000000-0005-0000-0000-000092130000}"/>
    <cellStyle name="样式 1 5 3" xfId="4965" xr:uid="{00000000-0005-0000-0000-000094130000}"/>
    <cellStyle name="样式 1 6" xfId="4967" xr:uid="{00000000-0005-0000-0000-000096130000}"/>
    <cellStyle name="样式 1 6 2" xfId="3202" xr:uid="{00000000-0005-0000-0000-0000B10C0000}"/>
    <cellStyle name="样式 1 6 3" xfId="2191" xr:uid="{00000000-0005-0000-0000-0000BE080000}"/>
    <cellStyle name="样式 1 7" xfId="4969" xr:uid="{00000000-0005-0000-0000-000098130000}"/>
    <cellStyle name="样式 1 7 2" xfId="4972" xr:uid="{00000000-0005-0000-0000-00009B130000}"/>
    <cellStyle name="样式 1 7 3" xfId="4974" xr:uid="{00000000-0005-0000-0000-00009D130000}"/>
    <cellStyle name="样式 1 8" xfId="5268" xr:uid="{00000000-0005-0000-0000-0000C3140000}"/>
    <cellStyle name="样式 1 8 2" xfId="5432" xr:uid="{00000000-0005-0000-0000-000067150000}"/>
    <cellStyle name="样式 1 8 3" xfId="5433" xr:uid="{00000000-0005-0000-0000-000068150000}"/>
    <cellStyle name="样式 1 9" xfId="5434" xr:uid="{00000000-0005-0000-0000-000069150000}"/>
    <cellStyle name="样式 1 9 2" xfId="5435" xr:uid="{00000000-0005-0000-0000-00006A150000}"/>
    <cellStyle name="样式 1 9 3" xfId="5437" xr:uid="{00000000-0005-0000-0000-00006C150000}"/>
    <cellStyle name="样式 1_化工计划优化报表(四季度）" xfId="5438" xr:uid="{00000000-0005-0000-0000-00006D150000}"/>
    <cellStyle name="一般_11" xfId="5439" xr:uid="{00000000-0005-0000-0000-00006E150000}"/>
    <cellStyle name="注释 10" xfId="4426" xr:uid="{00000000-0005-0000-0000-000079110000}"/>
    <cellStyle name="注释 10 2" xfId="3917" xr:uid="{00000000-0005-0000-0000-00007C0F0000}"/>
    <cellStyle name="注释 11" xfId="3752" xr:uid="{00000000-0005-0000-0000-0000D70E0000}"/>
    <cellStyle name="注释 12" xfId="3757" xr:uid="{00000000-0005-0000-0000-0000DC0E0000}"/>
    <cellStyle name="注释 2" xfId="5440" xr:uid="{00000000-0005-0000-0000-00006F150000}"/>
    <cellStyle name="注释 2 10" xfId="5441" xr:uid="{00000000-0005-0000-0000-000070150000}"/>
    <cellStyle name="注释 2 10 2" xfId="113" xr:uid="{00000000-0005-0000-0000-000081000000}"/>
    <cellStyle name="注释 2 10 2 2" xfId="4890" xr:uid="{00000000-0005-0000-0000-000049130000}"/>
    <cellStyle name="注释 2 10 3" xfId="5356" xr:uid="{00000000-0005-0000-0000-00001B150000}"/>
    <cellStyle name="注释 2 11" xfId="3768" xr:uid="{00000000-0005-0000-0000-0000E70E0000}"/>
    <cellStyle name="注释 2 11 2" xfId="4850" xr:uid="{00000000-0005-0000-0000-000021130000}"/>
    <cellStyle name="注释 2 11 2 2" xfId="5442" xr:uid="{00000000-0005-0000-0000-000071150000}"/>
    <cellStyle name="注释 2 11 3" xfId="4853" xr:uid="{00000000-0005-0000-0000-000024130000}"/>
    <cellStyle name="注释 2 12" xfId="3773" xr:uid="{00000000-0005-0000-0000-0000EC0E0000}"/>
    <cellStyle name="注释 2 12 2" xfId="5155" xr:uid="{00000000-0005-0000-0000-000052140000}"/>
    <cellStyle name="注释 2 13" xfId="5443" xr:uid="{00000000-0005-0000-0000-000072150000}"/>
    <cellStyle name="注释 2 14" xfId="5444" xr:uid="{00000000-0005-0000-0000-000073150000}"/>
    <cellStyle name="注释 2 15" xfId="5445" xr:uid="{00000000-0005-0000-0000-000074150000}"/>
    <cellStyle name="注释 2 16" xfId="5446" xr:uid="{00000000-0005-0000-0000-000075150000}"/>
    <cellStyle name="注释 2 2" xfId="967" xr:uid="{00000000-0005-0000-0000-0000F6030000}"/>
    <cellStyle name="注释 2 2 10" xfId="2657" xr:uid="{00000000-0005-0000-0000-0000900A0000}"/>
    <cellStyle name="注释 2 2 11" xfId="5447" xr:uid="{00000000-0005-0000-0000-000076150000}"/>
    <cellStyle name="注释 2 2 12" xfId="5448" xr:uid="{00000000-0005-0000-0000-000077150000}"/>
    <cellStyle name="注释 2 2 2" xfId="315" xr:uid="{00000000-0005-0000-0000-00006A010000}"/>
    <cellStyle name="注释 2 2 2 2" xfId="3100" xr:uid="{00000000-0005-0000-0000-00004B0C0000}"/>
    <cellStyle name="注释 2 2 2 3" xfId="4792" xr:uid="{00000000-0005-0000-0000-0000E7120000}"/>
    <cellStyle name="注释 2 2 3" xfId="975" xr:uid="{00000000-0005-0000-0000-0000FE030000}"/>
    <cellStyle name="注释 2 2 4" xfId="2915" xr:uid="{00000000-0005-0000-0000-0000920B0000}"/>
    <cellStyle name="注释 2 2 5" xfId="5449" xr:uid="{00000000-0005-0000-0000-000078150000}"/>
    <cellStyle name="注释 2 2 6" xfId="5450" xr:uid="{00000000-0005-0000-0000-000079150000}"/>
    <cellStyle name="注释 2 2 7" xfId="1460" xr:uid="{00000000-0005-0000-0000-0000E3050000}"/>
    <cellStyle name="注释 2 2 8" xfId="44" xr:uid="{00000000-0005-0000-0000-000033000000}"/>
    <cellStyle name="注释 2 2 9" xfId="536" xr:uid="{00000000-0005-0000-0000-000047020000}"/>
    <cellStyle name="注释 2 3" xfId="2109" xr:uid="{00000000-0005-0000-0000-00006C080000}"/>
    <cellStyle name="注释 2 3 2" xfId="2113" xr:uid="{00000000-0005-0000-0000-000070080000}"/>
    <cellStyle name="注释 2 3 2 2" xfId="2450" xr:uid="{00000000-0005-0000-0000-0000C1090000}"/>
    <cellStyle name="注释 2 3 3" xfId="3102" xr:uid="{00000000-0005-0000-0000-00004D0C0000}"/>
    <cellStyle name="注释 2 4" xfId="2117" xr:uid="{00000000-0005-0000-0000-000074080000}"/>
    <cellStyle name="注释 2 4 2" xfId="3106" xr:uid="{00000000-0005-0000-0000-0000510C0000}"/>
    <cellStyle name="注释 2 4 2 2" xfId="3110" xr:uid="{00000000-0005-0000-0000-0000550C0000}"/>
    <cellStyle name="注释 2 4 3" xfId="3113" xr:uid="{00000000-0005-0000-0000-0000580C0000}"/>
    <cellStyle name="注释 2 5" xfId="2121" xr:uid="{00000000-0005-0000-0000-000078080000}"/>
    <cellStyle name="注释 2 5 2" xfId="107" xr:uid="{00000000-0005-0000-0000-00007B000000}"/>
    <cellStyle name="注释 2 5 2 2" xfId="289" xr:uid="{00000000-0005-0000-0000-000050010000}"/>
    <cellStyle name="注释 2 5 3" xfId="2710" xr:uid="{00000000-0005-0000-0000-0000C50A0000}"/>
    <cellStyle name="注释 2 6" xfId="577" xr:uid="{00000000-0005-0000-0000-000070020000}"/>
    <cellStyle name="注释 2 6 2" xfId="5451" xr:uid="{00000000-0005-0000-0000-00007A150000}"/>
    <cellStyle name="注释 2 6 2 2" xfId="5452" xr:uid="{00000000-0005-0000-0000-00007B150000}"/>
    <cellStyle name="注释 2 6 3" xfId="5453" xr:uid="{00000000-0005-0000-0000-00007C150000}"/>
    <cellStyle name="注释 2 7" xfId="5454" xr:uid="{00000000-0005-0000-0000-00007D150000}"/>
    <cellStyle name="注释 2 7 2" xfId="5455" xr:uid="{00000000-0005-0000-0000-00007E150000}"/>
    <cellStyle name="注释 2 7 2 2" xfId="5456" xr:uid="{00000000-0005-0000-0000-00007F150000}"/>
    <cellStyle name="注释 2 7 3" xfId="5457" xr:uid="{00000000-0005-0000-0000-000080150000}"/>
    <cellStyle name="注释 2 8" xfId="5458" xr:uid="{00000000-0005-0000-0000-000081150000}"/>
    <cellStyle name="注释 2 8 2" xfId="5459" xr:uid="{00000000-0005-0000-0000-000082150000}"/>
    <cellStyle name="注释 2 8 2 2" xfId="3337" xr:uid="{00000000-0005-0000-0000-0000380D0000}"/>
    <cellStyle name="注释 2 8 3" xfId="5460" xr:uid="{00000000-0005-0000-0000-000083150000}"/>
    <cellStyle name="注释 2 9" xfId="5461" xr:uid="{00000000-0005-0000-0000-000084150000}"/>
    <cellStyle name="注释 2 9 2" xfId="5462" xr:uid="{00000000-0005-0000-0000-000085150000}"/>
    <cellStyle name="注释 2 9 2 2" xfId="2294" xr:uid="{00000000-0005-0000-0000-000025090000}"/>
    <cellStyle name="注释 2 9 3" xfId="5463" xr:uid="{00000000-0005-0000-0000-000086150000}"/>
    <cellStyle name="注释 3" xfId="5403" xr:uid="{00000000-0005-0000-0000-00004A150000}"/>
    <cellStyle name="注释 3 10" xfId="4921" xr:uid="{00000000-0005-0000-0000-000068130000}"/>
    <cellStyle name="注释 3 10 2" xfId="4805" xr:uid="{00000000-0005-0000-0000-0000F4120000}"/>
    <cellStyle name="注释 3 10 2 2" xfId="5464" xr:uid="{00000000-0005-0000-0000-000087150000}"/>
    <cellStyle name="注释 3 10 3" xfId="4807" xr:uid="{00000000-0005-0000-0000-0000F6120000}"/>
    <cellStyle name="注释 3 11" xfId="4923" xr:uid="{00000000-0005-0000-0000-00006A130000}"/>
    <cellStyle name="注释 3 11 2" xfId="1757" xr:uid="{00000000-0005-0000-0000-00000C070000}"/>
    <cellStyle name="注释 3 11 2 2" xfId="4414" xr:uid="{00000000-0005-0000-0000-00006D110000}"/>
    <cellStyle name="注释 3 11 3" xfId="5465" xr:uid="{00000000-0005-0000-0000-000088150000}"/>
    <cellStyle name="注释 3 12" xfId="5466" xr:uid="{00000000-0005-0000-0000-000089150000}"/>
    <cellStyle name="注释 3 12 2" xfId="5467" xr:uid="{00000000-0005-0000-0000-00008A150000}"/>
    <cellStyle name="注释 3 13" xfId="5468" xr:uid="{00000000-0005-0000-0000-00008B150000}"/>
    <cellStyle name="注释 3 2" xfId="3213" xr:uid="{00000000-0005-0000-0000-0000BC0C0000}"/>
    <cellStyle name="注释 3 2 2" xfId="3217" xr:uid="{00000000-0005-0000-0000-0000C00C0000}"/>
    <cellStyle name="注释 3 2 2 2" xfId="3219" xr:uid="{00000000-0005-0000-0000-0000C20C0000}"/>
    <cellStyle name="注释 3 2 3" xfId="3223" xr:uid="{00000000-0005-0000-0000-0000C60C0000}"/>
    <cellStyle name="注释 3 3" xfId="1856" xr:uid="{00000000-0005-0000-0000-00006F070000}"/>
    <cellStyle name="注释 3 3 2" xfId="2131" xr:uid="{00000000-0005-0000-0000-000082080000}"/>
    <cellStyle name="注释 3 3 2 2" xfId="2594" xr:uid="{00000000-0005-0000-0000-0000510A0000}"/>
    <cellStyle name="注释 3 3 3" xfId="3227" xr:uid="{00000000-0005-0000-0000-0000CA0C0000}"/>
    <cellStyle name="注释 3 4" xfId="1026" xr:uid="{00000000-0005-0000-0000-000031040000}"/>
    <cellStyle name="注释 3 4 2" xfId="584" xr:uid="{00000000-0005-0000-0000-000077020000}"/>
    <cellStyle name="注释 3 4 2 2" xfId="2749" xr:uid="{00000000-0005-0000-0000-0000EC0A0000}"/>
    <cellStyle name="注释 3 4 3" xfId="2949" xr:uid="{00000000-0005-0000-0000-0000B40B0000}"/>
    <cellStyle name="注释 3 5" xfId="2136" xr:uid="{00000000-0005-0000-0000-000087080000}"/>
    <cellStyle name="注释 3 5 2" xfId="2807" xr:uid="{00000000-0005-0000-0000-0000260B0000}"/>
    <cellStyle name="注释 3 5 2 2" xfId="2813" xr:uid="{00000000-0005-0000-0000-00002C0B0000}"/>
    <cellStyle name="注释 3 5 3" xfId="2820" xr:uid="{00000000-0005-0000-0000-0000330B0000}"/>
    <cellStyle name="注释 3 6" xfId="5469" xr:uid="{00000000-0005-0000-0000-00008C150000}"/>
    <cellStyle name="注释 3 6 2" xfId="5470" xr:uid="{00000000-0005-0000-0000-00008D150000}"/>
    <cellStyle name="注释 3 6 2 2" xfId="2845" xr:uid="{00000000-0005-0000-0000-00004C0B0000}"/>
    <cellStyle name="注释 3 6 3" xfId="5471" xr:uid="{00000000-0005-0000-0000-00008E150000}"/>
    <cellStyle name="注释 3 7" xfId="5472" xr:uid="{00000000-0005-0000-0000-00008F150000}"/>
    <cellStyle name="注释 3 7 2" xfId="5473" xr:uid="{00000000-0005-0000-0000-000090150000}"/>
    <cellStyle name="注释 3 7 2 2" xfId="2861" xr:uid="{00000000-0005-0000-0000-00005C0B0000}"/>
    <cellStyle name="注释 3 7 3" xfId="5474" xr:uid="{00000000-0005-0000-0000-000091150000}"/>
    <cellStyle name="注释 3 8" xfId="5475" xr:uid="{00000000-0005-0000-0000-000092150000}"/>
    <cellStyle name="注释 3 8 2" xfId="5476" xr:uid="{00000000-0005-0000-0000-000093150000}"/>
    <cellStyle name="注释 3 8 2 2" xfId="2867" xr:uid="{00000000-0005-0000-0000-0000620B0000}"/>
    <cellStyle name="注释 3 8 3" xfId="5477" xr:uid="{00000000-0005-0000-0000-000094150000}"/>
    <cellStyle name="注释 3 9" xfId="5478" xr:uid="{00000000-0005-0000-0000-000095150000}"/>
    <cellStyle name="注释 3 9 2" xfId="5479" xr:uid="{00000000-0005-0000-0000-000096150000}"/>
    <cellStyle name="注释 3 9 2 2" xfId="2873" xr:uid="{00000000-0005-0000-0000-0000680B0000}"/>
    <cellStyle name="注释 3 9 3" xfId="5480" xr:uid="{00000000-0005-0000-0000-000097150000}"/>
    <cellStyle name="注释 4" xfId="136" xr:uid="{00000000-0005-0000-0000-00009B000000}"/>
    <cellStyle name="注释 4 10" xfId="819" xr:uid="{00000000-0005-0000-0000-000062030000}"/>
    <cellStyle name="注释 4 10 2" xfId="5481" xr:uid="{00000000-0005-0000-0000-000098150000}"/>
    <cellStyle name="注释 4 10 2 2" xfId="3573" xr:uid="{00000000-0005-0000-0000-0000240E0000}"/>
    <cellStyle name="注释 4 10 3" xfId="5482" xr:uid="{00000000-0005-0000-0000-000099150000}"/>
    <cellStyle name="注释 4 11" xfId="831" xr:uid="{00000000-0005-0000-0000-00006E030000}"/>
    <cellStyle name="注释 4 11 2" xfId="5483" xr:uid="{00000000-0005-0000-0000-00009A150000}"/>
    <cellStyle name="注释 4 11 2 2" xfId="5484" xr:uid="{00000000-0005-0000-0000-00009B150000}"/>
    <cellStyle name="注释 4 11 3" xfId="5485" xr:uid="{00000000-0005-0000-0000-00009C150000}"/>
    <cellStyle name="注释 4 12" xfId="3053" xr:uid="{00000000-0005-0000-0000-00001C0C0000}"/>
    <cellStyle name="注释 4 12 2" xfId="5429" xr:uid="{00000000-0005-0000-0000-000064150000}"/>
    <cellStyle name="注释 4 13" xfId="3128" xr:uid="{00000000-0005-0000-0000-0000670C0000}"/>
    <cellStyle name="注释 4 2" xfId="4170" xr:uid="{00000000-0005-0000-0000-000079100000}"/>
    <cellStyle name="注释 4 2 2" xfId="4219" xr:uid="{00000000-0005-0000-0000-0000AA100000}"/>
    <cellStyle name="注释 4 2 2 2" xfId="5486" xr:uid="{00000000-0005-0000-0000-00009D150000}"/>
    <cellStyle name="注释 4 2 3" xfId="4222" xr:uid="{00000000-0005-0000-0000-0000AD100000}"/>
    <cellStyle name="注释 4 3" xfId="2141" xr:uid="{00000000-0005-0000-0000-00008C080000}"/>
    <cellStyle name="注释 4 3 2" xfId="641" xr:uid="{00000000-0005-0000-0000-0000B0020000}"/>
    <cellStyle name="注释 4 3 2 2" xfId="5487" xr:uid="{00000000-0005-0000-0000-00009E150000}"/>
    <cellStyle name="注释 4 3 3" xfId="4227" xr:uid="{00000000-0005-0000-0000-0000B2100000}"/>
    <cellStyle name="注释 4 4" xfId="2148" xr:uid="{00000000-0005-0000-0000-000093080000}"/>
    <cellStyle name="注释 4 4 2" xfId="4231" xr:uid="{00000000-0005-0000-0000-0000B6100000}"/>
    <cellStyle name="注释 4 4 2 2" xfId="5488" xr:uid="{00000000-0005-0000-0000-00009F150000}"/>
    <cellStyle name="注释 4 4 3" xfId="1675" xr:uid="{00000000-0005-0000-0000-0000BA060000}"/>
    <cellStyle name="注释 4 5" xfId="2155" xr:uid="{00000000-0005-0000-0000-00009A080000}"/>
    <cellStyle name="注释 4 5 2" xfId="2895" xr:uid="{00000000-0005-0000-0000-00007E0B0000}"/>
    <cellStyle name="注释 4 5 2 2" xfId="5489" xr:uid="{00000000-0005-0000-0000-0000A0150000}"/>
    <cellStyle name="注释 4 5 3" xfId="4418" xr:uid="{00000000-0005-0000-0000-000071110000}"/>
    <cellStyle name="注释 4 6" xfId="161" xr:uid="{00000000-0005-0000-0000-0000B8000000}"/>
    <cellStyle name="注释 4 6 2" xfId="29" xr:uid="{00000000-0005-0000-0000-000022000000}"/>
    <cellStyle name="注释 4 6 2 2" xfId="2786" xr:uid="{00000000-0005-0000-0000-0000110B0000}"/>
    <cellStyle name="注释 4 6 3" xfId="224" xr:uid="{00000000-0005-0000-0000-000008010000}"/>
    <cellStyle name="注释 4 7" xfId="2838" xr:uid="{00000000-0005-0000-0000-0000450B0000}"/>
    <cellStyle name="注释 4 7 2" xfId="2848" xr:uid="{00000000-0005-0000-0000-00004F0B0000}"/>
    <cellStyle name="注释 4 7 2 2" xfId="5491" xr:uid="{00000000-0005-0000-0000-0000A2150000}"/>
    <cellStyle name="注释 4 7 3" xfId="4421" xr:uid="{00000000-0005-0000-0000-000074110000}"/>
    <cellStyle name="注释 4 8" xfId="2853" xr:uid="{00000000-0005-0000-0000-0000540B0000}"/>
    <cellStyle name="注释 4 8 2" xfId="2901" xr:uid="{00000000-0005-0000-0000-0000840B0000}"/>
    <cellStyle name="注释 4 8 2 2" xfId="5493" xr:uid="{00000000-0005-0000-0000-0000A4150000}"/>
    <cellStyle name="注释 4 8 3" xfId="4160" xr:uid="{00000000-0005-0000-0000-00006F100000}"/>
    <cellStyle name="注释 4 9" xfId="2316" xr:uid="{00000000-0005-0000-0000-00003B090000}"/>
    <cellStyle name="注释 4 9 2" xfId="2324" xr:uid="{00000000-0005-0000-0000-000043090000}"/>
    <cellStyle name="注释 4 9 2 2" xfId="5494" xr:uid="{00000000-0005-0000-0000-0000A5150000}"/>
    <cellStyle name="注释 4 9 3" xfId="1091" xr:uid="{00000000-0005-0000-0000-000072040000}"/>
    <cellStyle name="注释 5" xfId="4531" xr:uid="{00000000-0005-0000-0000-0000E2110000}"/>
    <cellStyle name="注释 5 10" xfId="1848" xr:uid="{00000000-0005-0000-0000-000067070000}"/>
    <cellStyle name="注释 5 10 2" xfId="3963" xr:uid="{00000000-0005-0000-0000-0000AA0F0000}"/>
    <cellStyle name="注释 5 10 2 2" xfId="3966" xr:uid="{00000000-0005-0000-0000-0000AD0F0000}"/>
    <cellStyle name="注释 5 10 3" xfId="3969" xr:uid="{00000000-0005-0000-0000-0000B00F0000}"/>
    <cellStyle name="注释 5 11" xfId="1572" xr:uid="{00000000-0005-0000-0000-000053060000}"/>
    <cellStyle name="注释 5 11 2" xfId="4020" xr:uid="{00000000-0005-0000-0000-0000E30F0000}"/>
    <cellStyle name="注释 5 11 2 2" xfId="213" xr:uid="{00000000-0005-0000-0000-0000FC000000}"/>
    <cellStyle name="注释 5 11 3" xfId="4022" xr:uid="{00000000-0005-0000-0000-0000E50F0000}"/>
    <cellStyle name="注释 5 12" xfId="2087" xr:uid="{00000000-0005-0000-0000-000056080000}"/>
    <cellStyle name="注释 5 12 2" xfId="1239" xr:uid="{00000000-0005-0000-0000-000006050000}"/>
    <cellStyle name="注释 5 13" xfId="2091" xr:uid="{00000000-0005-0000-0000-00005A080000}"/>
    <cellStyle name="注释 5 2" xfId="5495" xr:uid="{00000000-0005-0000-0000-0000A6150000}"/>
    <cellStyle name="注释 5 2 2" xfId="5496" xr:uid="{00000000-0005-0000-0000-0000A7150000}"/>
    <cellStyle name="注释 5 2 2 2" xfId="1897" xr:uid="{00000000-0005-0000-0000-000098070000}"/>
    <cellStyle name="注释 5 2 3" xfId="5497" xr:uid="{00000000-0005-0000-0000-0000A8150000}"/>
    <cellStyle name="注释 5 3" xfId="2021" xr:uid="{00000000-0005-0000-0000-000014080000}"/>
    <cellStyle name="注释 5 3 2" xfId="462" xr:uid="{00000000-0005-0000-0000-0000FD010000}"/>
    <cellStyle name="注释 5 3 2 2" xfId="5498" xr:uid="{00000000-0005-0000-0000-0000A9150000}"/>
    <cellStyle name="注释 5 3 3" xfId="5499" xr:uid="{00000000-0005-0000-0000-0000AA150000}"/>
    <cellStyle name="注释 5 4" xfId="2025" xr:uid="{00000000-0005-0000-0000-000018080000}"/>
    <cellStyle name="注释 5 4 2" xfId="5500" xr:uid="{00000000-0005-0000-0000-0000AB150000}"/>
    <cellStyle name="注释 5 4 2 2" xfId="5436" xr:uid="{00000000-0005-0000-0000-00006B150000}"/>
    <cellStyle name="注释 5 4 3" xfId="5501" xr:uid="{00000000-0005-0000-0000-0000AC150000}"/>
    <cellStyle name="注释 5 5" xfId="5502" xr:uid="{00000000-0005-0000-0000-0000AD150000}"/>
    <cellStyle name="注释 5 5 2" xfId="5503" xr:uid="{00000000-0005-0000-0000-0000AE150000}"/>
    <cellStyle name="注释 5 5 2 2" xfId="5504" xr:uid="{00000000-0005-0000-0000-0000AF150000}"/>
    <cellStyle name="注释 5 5 3" xfId="5505" xr:uid="{00000000-0005-0000-0000-0000B0150000}"/>
    <cellStyle name="注释 5 6" xfId="5506" xr:uid="{00000000-0005-0000-0000-0000B1150000}"/>
    <cellStyle name="注释 5 6 2" xfId="2910" xr:uid="{00000000-0005-0000-0000-00008D0B0000}"/>
    <cellStyle name="注释 5 6 2 2" xfId="5507" xr:uid="{00000000-0005-0000-0000-0000B2150000}"/>
    <cellStyle name="注释 5 6 3" xfId="4338" xr:uid="{00000000-0005-0000-0000-000021110000}"/>
    <cellStyle name="注释 5 7" xfId="2811" xr:uid="{00000000-0005-0000-0000-00002A0B0000}"/>
    <cellStyle name="注释 5 7 2" xfId="5508" xr:uid="{00000000-0005-0000-0000-0000B3150000}"/>
    <cellStyle name="注释 5 7 2 2" xfId="5509" xr:uid="{00000000-0005-0000-0000-0000B4150000}"/>
    <cellStyle name="注释 5 7 3" xfId="5510" xr:uid="{00000000-0005-0000-0000-0000B5150000}"/>
    <cellStyle name="注释 5 8" xfId="2056" xr:uid="{00000000-0005-0000-0000-000037080000}"/>
    <cellStyle name="注释 5 8 2" xfId="5511" xr:uid="{00000000-0005-0000-0000-0000B6150000}"/>
    <cellStyle name="注释 5 8 2 2" xfId="5512" xr:uid="{00000000-0005-0000-0000-0000B7150000}"/>
    <cellStyle name="注释 5 8 3" xfId="5513" xr:uid="{00000000-0005-0000-0000-0000B8150000}"/>
    <cellStyle name="注释 5 9" xfId="5514" xr:uid="{00000000-0005-0000-0000-0000B9150000}"/>
    <cellStyle name="注释 5 9 2" xfId="5515" xr:uid="{00000000-0005-0000-0000-0000BA150000}"/>
    <cellStyle name="注释 5 9 2 2" xfId="5516" xr:uid="{00000000-0005-0000-0000-0000BB150000}"/>
    <cellStyle name="注释 5 9 3" xfId="5517" xr:uid="{00000000-0005-0000-0000-0000BC150000}"/>
    <cellStyle name="注释 6" xfId="4534" xr:uid="{00000000-0005-0000-0000-0000E5110000}"/>
    <cellStyle name="注释 6 10" xfId="2837" xr:uid="{00000000-0005-0000-0000-0000440B0000}"/>
    <cellStyle name="注释 6 10 2" xfId="2847" xr:uid="{00000000-0005-0000-0000-00004E0B0000}"/>
    <cellStyle name="注释 6 10 2 2" xfId="5490" xr:uid="{00000000-0005-0000-0000-0000A1150000}"/>
    <cellStyle name="注释 6 10 3" xfId="4420" xr:uid="{00000000-0005-0000-0000-000073110000}"/>
    <cellStyle name="注释 6 11" xfId="2852" xr:uid="{00000000-0005-0000-0000-0000530B0000}"/>
    <cellStyle name="注释 6 11 2" xfId="2900" xr:uid="{00000000-0005-0000-0000-0000830B0000}"/>
    <cellStyle name="注释 6 11 2 2" xfId="5492" xr:uid="{00000000-0005-0000-0000-0000A3150000}"/>
    <cellStyle name="注释 6 11 3" xfId="4159" xr:uid="{00000000-0005-0000-0000-00006E100000}"/>
    <cellStyle name="注释 6 12" xfId="2315" xr:uid="{00000000-0005-0000-0000-00003A090000}"/>
    <cellStyle name="注释 6 12 2" xfId="2323" xr:uid="{00000000-0005-0000-0000-000042090000}"/>
    <cellStyle name="注释 6 13" xfId="1520" xr:uid="{00000000-0005-0000-0000-00001F060000}"/>
    <cellStyle name="注释 6 2" xfId="5518" xr:uid="{00000000-0005-0000-0000-0000BD150000}"/>
    <cellStyle name="注释 6 2 2" xfId="5519" xr:uid="{00000000-0005-0000-0000-0000BE150000}"/>
    <cellStyle name="注释 6 2 2 2" xfId="3208" xr:uid="{00000000-0005-0000-0000-0000B70C0000}"/>
    <cellStyle name="注释 6 2 3" xfId="5520" xr:uid="{00000000-0005-0000-0000-0000BF150000}"/>
    <cellStyle name="注释 6 3" xfId="2161" xr:uid="{00000000-0005-0000-0000-0000A0080000}"/>
    <cellStyle name="注释 6 3 2" xfId="3052" xr:uid="{00000000-0005-0000-0000-00001B0C0000}"/>
    <cellStyle name="注释 6 3 2 2" xfId="5428" xr:uid="{00000000-0005-0000-0000-000063150000}"/>
    <cellStyle name="注释 6 3 3" xfId="3127" xr:uid="{00000000-0005-0000-0000-0000660C0000}"/>
    <cellStyle name="注释 6 4" xfId="2163" xr:uid="{00000000-0005-0000-0000-0000A2080000}"/>
    <cellStyle name="注释 6 4 2" xfId="5521" xr:uid="{00000000-0005-0000-0000-0000C0150000}"/>
    <cellStyle name="注释 6 4 2 2" xfId="5522" xr:uid="{00000000-0005-0000-0000-0000C1150000}"/>
    <cellStyle name="注释 6 4 3" xfId="5523" xr:uid="{00000000-0005-0000-0000-0000C2150000}"/>
    <cellStyle name="注释 6 5" xfId="5524" xr:uid="{00000000-0005-0000-0000-0000C3150000}"/>
    <cellStyle name="注释 6 5 2" xfId="2923" xr:uid="{00000000-0005-0000-0000-00009A0B0000}"/>
    <cellStyle name="注释 6 5 2 2" xfId="3650" xr:uid="{00000000-0005-0000-0000-0000710E0000}"/>
    <cellStyle name="注释 6 5 3" xfId="3655" xr:uid="{00000000-0005-0000-0000-0000760E0000}"/>
    <cellStyle name="注释 6 6" xfId="38" xr:uid="{00000000-0005-0000-0000-00002C000000}"/>
    <cellStyle name="注释 6 6 2" xfId="5525" xr:uid="{00000000-0005-0000-0000-0000C4150000}"/>
    <cellStyle name="注释 6 6 2 2" xfId="5526" xr:uid="{00000000-0005-0000-0000-0000C5150000}"/>
    <cellStyle name="注释 6 6 3" xfId="5527" xr:uid="{00000000-0005-0000-0000-0000C6150000}"/>
    <cellStyle name="注释 6 7" xfId="2823" xr:uid="{00000000-0005-0000-0000-0000360B0000}"/>
    <cellStyle name="注释 6 7 2" xfId="5528" xr:uid="{00000000-0005-0000-0000-0000C7150000}"/>
    <cellStyle name="注释 6 7 2 2" xfId="5529" xr:uid="{00000000-0005-0000-0000-0000C8150000}"/>
    <cellStyle name="注释 6 7 3" xfId="5530" xr:uid="{00000000-0005-0000-0000-0000C9150000}"/>
    <cellStyle name="注释 6 8" xfId="2832" xr:uid="{00000000-0005-0000-0000-00003F0B0000}"/>
    <cellStyle name="注释 6 8 2" xfId="2086" xr:uid="{00000000-0005-0000-0000-000055080000}"/>
    <cellStyle name="注释 6 8 2 2" xfId="1238" xr:uid="{00000000-0005-0000-0000-000005050000}"/>
    <cellStyle name="注释 6 8 3" xfId="2090" xr:uid="{00000000-0005-0000-0000-000059080000}"/>
    <cellStyle name="注释 6 9" xfId="5531" xr:uid="{00000000-0005-0000-0000-0000CA150000}"/>
    <cellStyle name="注释 6 9 2" xfId="5532" xr:uid="{00000000-0005-0000-0000-0000CB150000}"/>
    <cellStyle name="注释 6 9 2 2" xfId="5533" xr:uid="{00000000-0005-0000-0000-0000CC150000}"/>
    <cellStyle name="注释 6 9 3" xfId="5534" xr:uid="{00000000-0005-0000-0000-0000CD150000}"/>
    <cellStyle name="注释 7" xfId="2549" xr:uid="{00000000-0005-0000-0000-0000240A0000}"/>
    <cellStyle name="注释 7 10" xfId="5535" xr:uid="{00000000-0005-0000-0000-0000CE150000}"/>
    <cellStyle name="注释 7 10 2" xfId="5190" xr:uid="{00000000-0005-0000-0000-000075140000}"/>
    <cellStyle name="注释 7 10 2 2" xfId="4014" xr:uid="{00000000-0005-0000-0000-0000DD0F0000}"/>
    <cellStyle name="注释 7 10 3" xfId="5536" xr:uid="{00000000-0005-0000-0000-0000CF150000}"/>
    <cellStyle name="注释 7 11" xfId="4621" xr:uid="{00000000-0005-0000-0000-00003C120000}"/>
    <cellStyle name="注释 7 11 2" xfId="4940" xr:uid="{00000000-0005-0000-0000-00007B130000}"/>
    <cellStyle name="注释 7 11 2 2" xfId="4943" xr:uid="{00000000-0005-0000-0000-00007E130000}"/>
    <cellStyle name="注释 7 11 3" xfId="4946" xr:uid="{00000000-0005-0000-0000-000081130000}"/>
    <cellStyle name="注释 7 12" xfId="1218" xr:uid="{00000000-0005-0000-0000-0000F1040000}"/>
    <cellStyle name="注释 7 12 2" xfId="2336" xr:uid="{00000000-0005-0000-0000-00004F090000}"/>
    <cellStyle name="注释 7 13" xfId="1624" xr:uid="{00000000-0005-0000-0000-000087060000}"/>
    <cellStyle name="注释 7 2" xfId="2229" xr:uid="{00000000-0005-0000-0000-0000E4080000}"/>
    <cellStyle name="注释 7 2 2" xfId="5537" xr:uid="{00000000-0005-0000-0000-0000D0150000}"/>
    <cellStyle name="注释 7 2 2 2" xfId="5538" xr:uid="{00000000-0005-0000-0000-0000D1150000}"/>
    <cellStyle name="注释 7 2 3" xfId="5539" xr:uid="{00000000-0005-0000-0000-0000D2150000}"/>
    <cellStyle name="注释 7 3" xfId="2232" xr:uid="{00000000-0005-0000-0000-0000E7080000}"/>
    <cellStyle name="注释 7 3 2" xfId="5540" xr:uid="{00000000-0005-0000-0000-0000D3150000}"/>
    <cellStyle name="注释 7 3 2 2" xfId="5541" xr:uid="{00000000-0005-0000-0000-0000D4150000}"/>
    <cellStyle name="注释 7 3 3" xfId="5542" xr:uid="{00000000-0005-0000-0000-0000D5150000}"/>
    <cellStyle name="注释 7 4" xfId="5543" xr:uid="{00000000-0005-0000-0000-0000D6150000}"/>
    <cellStyle name="注释 7 4 2" xfId="5544" xr:uid="{00000000-0005-0000-0000-0000D7150000}"/>
    <cellStyle name="注释 7 4 2 2" xfId="5545" xr:uid="{00000000-0005-0000-0000-0000D8150000}"/>
    <cellStyle name="注释 7 4 3" xfId="5546" xr:uid="{00000000-0005-0000-0000-0000D9150000}"/>
    <cellStyle name="注释 7 5" xfId="5547" xr:uid="{00000000-0005-0000-0000-0000DA150000}"/>
    <cellStyle name="注释 7 5 2" xfId="5548" xr:uid="{00000000-0005-0000-0000-0000DB150000}"/>
    <cellStyle name="注释 7 5 2 2" xfId="5549" xr:uid="{00000000-0005-0000-0000-0000DC150000}"/>
    <cellStyle name="注释 7 5 3" xfId="3853" xr:uid="{00000000-0005-0000-0000-00003C0F0000}"/>
    <cellStyle name="注释 7 6" xfId="5550" xr:uid="{00000000-0005-0000-0000-0000DD150000}"/>
    <cellStyle name="注释 7 6 2" xfId="5551" xr:uid="{00000000-0005-0000-0000-0000DE150000}"/>
    <cellStyle name="注释 7 6 2 2" xfId="5552" xr:uid="{00000000-0005-0000-0000-0000DF150000}"/>
    <cellStyle name="注释 7 6 3" xfId="5553" xr:uid="{00000000-0005-0000-0000-0000E0150000}"/>
    <cellStyle name="注释 7 7" xfId="5554" xr:uid="{00000000-0005-0000-0000-0000E1150000}"/>
    <cellStyle name="注释 7 7 2" xfId="5555" xr:uid="{00000000-0005-0000-0000-0000E2150000}"/>
    <cellStyle name="注释 7 7 2 2" xfId="5556" xr:uid="{00000000-0005-0000-0000-0000E3150000}"/>
    <cellStyle name="注释 7 7 3" xfId="5557" xr:uid="{00000000-0005-0000-0000-0000E4150000}"/>
    <cellStyle name="注释 7 8" xfId="5558" xr:uid="{00000000-0005-0000-0000-0000E5150000}"/>
    <cellStyle name="注释 7 8 2" xfId="5559" xr:uid="{00000000-0005-0000-0000-0000E6150000}"/>
    <cellStyle name="注释 7 8 2 2" xfId="5560" xr:uid="{00000000-0005-0000-0000-0000E7150000}"/>
    <cellStyle name="注释 7 8 3" xfId="5561" xr:uid="{00000000-0005-0000-0000-0000E8150000}"/>
    <cellStyle name="注释 7 9" xfId="5562" xr:uid="{00000000-0005-0000-0000-0000E9150000}"/>
    <cellStyle name="注释 7 9 2" xfId="5563" xr:uid="{00000000-0005-0000-0000-0000EA150000}"/>
    <cellStyle name="注释 7 9 2 2" xfId="5564" xr:uid="{00000000-0005-0000-0000-0000EB150000}"/>
    <cellStyle name="注释 7 9 3" xfId="4447" xr:uid="{00000000-0005-0000-0000-00008E110000}"/>
    <cellStyle name="注释 8" xfId="5565" xr:uid="{00000000-0005-0000-0000-0000EC150000}"/>
    <cellStyle name="注释 8 2" xfId="5566" xr:uid="{00000000-0005-0000-0000-0000ED150000}"/>
    <cellStyle name="注释 9" xfId="5567" xr:uid="{00000000-0005-0000-0000-0000EE150000}"/>
    <cellStyle name="注释 9 2" xfId="5568" xr:uid="{00000000-0005-0000-0000-0000EF150000}"/>
    <cellStyle name="표준_S1PG" xfId="5569" xr:uid="{00000000-0005-0000-0000-0000F015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144;&#21806;&#20013;&#24515;--&#35745;&#21010;&#32479;&#35745;/&#39044;&#31639;/8&#26376;/2022&#24180;7&#26376;&#21407;&#26009;&#39044;&#31639;&#65288;&#31532;&#19968;&#29256;&#65289;&#20844;&#24335;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料中间表"/>
      <sheetName val="原料本月"/>
      <sheetName val="原料次月"/>
      <sheetName val="2022年9月"/>
      <sheetName val="2022年10月"/>
      <sheetName val="2022年11月"/>
      <sheetName val="2022年四季度"/>
      <sheetName val="Sheet3"/>
      <sheetName val="四季度"/>
      <sheetName val="Sheet1"/>
    </sheetNames>
    <sheetDataSet>
      <sheetData sheetId="0" refreshError="1"/>
      <sheetData sheetId="1" refreshError="1"/>
      <sheetData sheetId="2">
        <row r="14">
          <cell r="M14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3"/>
  <sheetViews>
    <sheetView workbookViewId="0">
      <pane xSplit="1" ySplit="2" topLeftCell="B3" activePane="bottomRight" state="frozen"/>
      <selection pane="topRight"/>
      <selection pane="bottomLeft"/>
      <selection pane="bottomRight" activeCell="K4" sqref="K4"/>
    </sheetView>
  </sheetViews>
  <sheetFormatPr defaultColWidth="9" defaultRowHeight="14.4"/>
  <cols>
    <col min="1" max="1" width="14.109375" style="239" customWidth="1"/>
    <col min="2" max="3" width="7.6640625" style="239" customWidth="1"/>
    <col min="4" max="4" width="9" style="239" customWidth="1"/>
    <col min="5" max="6" width="7.6640625" style="239" customWidth="1"/>
    <col min="7" max="7" width="12.88671875" style="239" customWidth="1"/>
    <col min="8" max="8" width="11" style="239" customWidth="1"/>
    <col min="9" max="9" width="9.44140625" style="239" customWidth="1"/>
    <col min="10" max="10" width="6.88671875" style="239" customWidth="1"/>
    <col min="11" max="11" width="7.6640625" style="239" customWidth="1"/>
    <col min="12" max="12" width="30.33203125" style="239" customWidth="1"/>
    <col min="13" max="13" width="8.6640625" style="239" customWidth="1"/>
    <col min="14" max="14" width="13.6640625" style="239" customWidth="1"/>
    <col min="15" max="15" width="8.6640625" style="239" customWidth="1"/>
    <col min="16" max="16" width="12.109375" style="239" customWidth="1"/>
    <col min="17" max="17" width="4.6640625" style="239" customWidth="1"/>
    <col min="18" max="18" width="10" style="239" customWidth="1"/>
    <col min="19" max="24" width="9" style="239" customWidth="1"/>
    <col min="25" max="25" width="9.88671875" style="239" customWidth="1"/>
    <col min="26" max="26" width="10.21875" style="239" customWidth="1"/>
    <col min="27" max="16384" width="9" style="239"/>
  </cols>
  <sheetData>
    <row r="1" spans="1:28" ht="28.2">
      <c r="A1" s="452" t="s">
        <v>0</v>
      </c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30"/>
      <c r="N1" s="430"/>
      <c r="O1" s="430"/>
      <c r="P1" s="430"/>
    </row>
    <row r="2" spans="1:28" ht="13.5" customHeight="1">
      <c r="A2" s="449" t="s">
        <v>1</v>
      </c>
      <c r="B2" s="453" t="s">
        <v>2</v>
      </c>
      <c r="C2" s="453"/>
      <c r="D2" s="453"/>
      <c r="E2" s="453"/>
      <c r="F2" s="454" t="s">
        <v>3</v>
      </c>
      <c r="G2" s="454"/>
      <c r="H2" s="454"/>
      <c r="I2" s="414"/>
      <c r="J2" s="414"/>
      <c r="K2" s="414"/>
      <c r="L2" s="450" t="s">
        <v>4</v>
      </c>
      <c r="M2" s="455" t="s">
        <v>5</v>
      </c>
      <c r="N2" s="455"/>
      <c r="O2" s="455" t="s">
        <v>6</v>
      </c>
      <c r="P2" s="455"/>
      <c r="Q2" s="435"/>
      <c r="R2" s="436"/>
      <c r="S2" s="437"/>
      <c r="T2" s="437"/>
      <c r="U2" s="451" t="s">
        <v>7</v>
      </c>
      <c r="V2" s="446" t="s">
        <v>8</v>
      </c>
      <c r="W2" s="446" t="s">
        <v>9</v>
      </c>
    </row>
    <row r="3" spans="1:28" ht="29.25" customHeight="1">
      <c r="A3" s="449"/>
      <c r="B3" s="415" t="s">
        <v>10</v>
      </c>
      <c r="C3" s="415" t="s">
        <v>11</v>
      </c>
      <c r="D3" s="415" t="s">
        <v>12</v>
      </c>
      <c r="E3" s="398" t="s">
        <v>13</v>
      </c>
      <c r="F3" s="398" t="s">
        <v>14</v>
      </c>
      <c r="G3" s="398" t="s">
        <v>15</v>
      </c>
      <c r="H3" s="415" t="s">
        <v>16</v>
      </c>
      <c r="I3" s="415" t="s">
        <v>17</v>
      </c>
      <c r="J3" s="415" t="s">
        <v>18</v>
      </c>
      <c r="K3" s="415" t="s">
        <v>19</v>
      </c>
      <c r="L3" s="450"/>
      <c r="M3" s="398" t="s">
        <v>14</v>
      </c>
      <c r="N3" s="398" t="s">
        <v>15</v>
      </c>
      <c r="O3" s="398" t="s">
        <v>14</v>
      </c>
      <c r="P3" s="398" t="s">
        <v>15</v>
      </c>
      <c r="Q3" s="438"/>
      <c r="R3" s="439" t="s">
        <v>20</v>
      </c>
      <c r="S3" s="439" t="s">
        <v>21</v>
      </c>
      <c r="T3" s="439" t="s">
        <v>22</v>
      </c>
      <c r="U3" s="451"/>
      <c r="V3" s="446"/>
      <c r="W3" s="446"/>
      <c r="Z3" s="440"/>
      <c r="AB3" s="440"/>
    </row>
    <row r="4" spans="1:28" ht="21.9" customHeight="1">
      <c r="A4" s="441" t="s">
        <v>23</v>
      </c>
      <c r="B4" s="416">
        <v>825</v>
      </c>
      <c r="C4" s="416">
        <v>16000</v>
      </c>
      <c r="D4" s="416">
        <v>760</v>
      </c>
      <c r="E4" s="416">
        <v>2000</v>
      </c>
      <c r="F4" s="442">
        <v>15100</v>
      </c>
      <c r="G4" s="443" t="s">
        <v>24</v>
      </c>
      <c r="H4" s="416">
        <v>770</v>
      </c>
      <c r="I4" s="443">
        <v>770</v>
      </c>
      <c r="J4" s="416"/>
      <c r="K4" s="443">
        <f>IF(J4=0,I4,J4)</f>
        <v>770</v>
      </c>
      <c r="L4" s="431"/>
      <c r="M4" s="432">
        <v>10000</v>
      </c>
      <c r="N4" s="432">
        <v>700</v>
      </c>
      <c r="O4" s="432">
        <v>10000</v>
      </c>
      <c r="P4" s="432">
        <v>700</v>
      </c>
      <c r="Q4" s="298"/>
      <c r="R4" s="245"/>
      <c r="S4" s="245"/>
      <c r="T4" s="245"/>
      <c r="U4" s="298">
        <f t="shared" ref="U4:U24" si="0">C4*D4/(10000*1.13)</f>
        <v>1076.1061946902657</v>
      </c>
      <c r="V4" s="298">
        <f t="shared" ref="V4:V26" si="1">F4*K4/(10000*1.13)</f>
        <v>1028.9380530973453</v>
      </c>
      <c r="W4" s="298">
        <f t="shared" ref="W4:W13" si="2">V4-U4</f>
        <v>-47.168141592920392</v>
      </c>
      <c r="Y4" s="298"/>
      <c r="AA4" s="298"/>
      <c r="AB4" s="298"/>
    </row>
    <row r="5" spans="1:28" ht="21.9" customHeight="1">
      <c r="A5" s="107" t="s">
        <v>25</v>
      </c>
      <c r="B5" s="416"/>
      <c r="C5" s="416"/>
      <c r="D5" s="416"/>
      <c r="E5" s="416"/>
      <c r="F5" s="417"/>
      <c r="G5" s="416"/>
      <c r="H5" s="416"/>
      <c r="I5" s="416"/>
      <c r="J5" s="416"/>
      <c r="K5" s="416">
        <f t="shared" ref="K5:K26" si="3">IF(J5=0,I5,J5)</f>
        <v>0</v>
      </c>
      <c r="L5" s="431"/>
      <c r="M5" s="432"/>
      <c r="N5" s="432"/>
      <c r="O5" s="432"/>
      <c r="P5" s="432"/>
      <c r="Q5" s="298"/>
      <c r="R5" s="245"/>
      <c r="S5" s="245"/>
      <c r="T5" s="245"/>
      <c r="U5" s="298">
        <f t="shared" si="0"/>
        <v>0</v>
      </c>
      <c r="V5" s="298">
        <f t="shared" si="1"/>
        <v>0</v>
      </c>
      <c r="W5" s="298">
        <f t="shared" si="2"/>
        <v>0</v>
      </c>
      <c r="AA5" s="298"/>
      <c r="AB5" s="298"/>
    </row>
    <row r="6" spans="1:28" ht="21.9" customHeight="1">
      <c r="A6" s="107" t="s">
        <v>26</v>
      </c>
      <c r="B6" s="416">
        <v>2000</v>
      </c>
      <c r="C6" s="416">
        <v>400</v>
      </c>
      <c r="D6" s="416">
        <v>2100</v>
      </c>
      <c r="E6" s="416">
        <v>300</v>
      </c>
      <c r="F6" s="417">
        <v>200</v>
      </c>
      <c r="G6" s="416" t="s">
        <v>27</v>
      </c>
      <c r="H6" s="416">
        <v>2150</v>
      </c>
      <c r="I6" s="416">
        <v>2150</v>
      </c>
      <c r="J6" s="416"/>
      <c r="K6" s="416">
        <f t="shared" si="3"/>
        <v>2150</v>
      </c>
      <c r="L6" s="431"/>
      <c r="M6" s="432">
        <v>1000</v>
      </c>
      <c r="N6" s="432">
        <v>2000</v>
      </c>
      <c r="O6" s="432">
        <v>1000</v>
      </c>
      <c r="P6" s="432">
        <v>1800</v>
      </c>
      <c r="Q6" s="298"/>
      <c r="R6" s="245"/>
      <c r="S6" s="245"/>
      <c r="T6" s="245"/>
      <c r="U6" s="298">
        <f t="shared" si="0"/>
        <v>74.336283185840713</v>
      </c>
      <c r="V6" s="298">
        <f t="shared" si="1"/>
        <v>38.053097345132748</v>
      </c>
      <c r="W6" s="298">
        <f t="shared" si="2"/>
        <v>-36.283185840707965</v>
      </c>
      <c r="AA6" s="298"/>
      <c r="AB6" s="298"/>
    </row>
    <row r="7" spans="1:28" ht="21.9" customHeight="1">
      <c r="A7" s="107" t="s">
        <v>28</v>
      </c>
      <c r="B7" s="416">
        <v>3650</v>
      </c>
      <c r="C7" s="416">
        <v>8500</v>
      </c>
      <c r="D7" s="416">
        <v>3750</v>
      </c>
      <c r="E7" s="416">
        <v>1500</v>
      </c>
      <c r="F7" s="417">
        <v>6500</v>
      </c>
      <c r="G7" s="418" t="s">
        <v>29</v>
      </c>
      <c r="H7" s="416">
        <v>3500</v>
      </c>
      <c r="I7" s="416">
        <v>3500</v>
      </c>
      <c r="J7" s="416"/>
      <c r="K7" s="416">
        <f t="shared" si="3"/>
        <v>3500</v>
      </c>
      <c r="L7" s="431" t="s">
        <v>30</v>
      </c>
      <c r="M7" s="432">
        <v>4000</v>
      </c>
      <c r="N7" s="432">
        <v>3200</v>
      </c>
      <c r="O7" s="432">
        <v>4000</v>
      </c>
      <c r="P7" s="432">
        <v>3200</v>
      </c>
      <c r="Q7" s="298"/>
      <c r="R7" s="245"/>
      <c r="S7" s="245"/>
      <c r="T7" s="245"/>
      <c r="U7" s="298">
        <f t="shared" si="0"/>
        <v>2820.7964601769918</v>
      </c>
      <c r="V7" s="298">
        <f t="shared" si="1"/>
        <v>2013.2743362831861</v>
      </c>
      <c r="W7" s="298">
        <f t="shared" si="2"/>
        <v>-807.52212389380566</v>
      </c>
      <c r="AA7" s="298"/>
      <c r="AB7" s="298"/>
    </row>
    <row r="8" spans="1:28" ht="21.9" customHeight="1">
      <c r="A8" s="107" t="s">
        <v>31</v>
      </c>
      <c r="B8" s="416"/>
      <c r="C8" s="416"/>
      <c r="D8" s="416"/>
      <c r="E8" s="416"/>
      <c r="F8" s="417"/>
      <c r="G8" s="418"/>
      <c r="H8" s="416"/>
      <c r="I8" s="416"/>
      <c r="J8" s="416"/>
      <c r="K8" s="416">
        <f t="shared" si="3"/>
        <v>0</v>
      </c>
      <c r="L8" s="431"/>
      <c r="M8" s="432">
        <v>1000</v>
      </c>
      <c r="N8" s="432">
        <v>500</v>
      </c>
      <c r="O8" s="432">
        <v>1000</v>
      </c>
      <c r="P8" s="432">
        <v>550</v>
      </c>
      <c r="Q8" s="298"/>
      <c r="R8" s="245"/>
      <c r="S8" s="245"/>
      <c r="T8" s="245"/>
      <c r="U8" s="298">
        <f t="shared" si="0"/>
        <v>0</v>
      </c>
      <c r="V8" s="298">
        <f t="shared" si="1"/>
        <v>0</v>
      </c>
      <c r="W8" s="298">
        <f t="shared" si="2"/>
        <v>0</v>
      </c>
      <c r="AA8" s="298"/>
      <c r="AB8" s="298"/>
    </row>
    <row r="9" spans="1:28" ht="21.9" customHeight="1">
      <c r="A9" s="107" t="s">
        <v>32</v>
      </c>
      <c r="B9" s="416">
        <v>400</v>
      </c>
      <c r="C9" s="416">
        <v>300</v>
      </c>
      <c r="D9" s="416">
        <v>445</v>
      </c>
      <c r="E9" s="416">
        <v>500</v>
      </c>
      <c r="F9" s="417">
        <v>300</v>
      </c>
      <c r="G9" s="418" t="s">
        <v>33</v>
      </c>
      <c r="H9" s="416">
        <v>450</v>
      </c>
      <c r="I9" s="416">
        <v>450</v>
      </c>
      <c r="J9" s="416"/>
      <c r="K9" s="416">
        <f t="shared" si="3"/>
        <v>450</v>
      </c>
      <c r="L9" s="431"/>
      <c r="M9" s="432">
        <v>300</v>
      </c>
      <c r="N9" s="432">
        <v>500</v>
      </c>
      <c r="O9" s="432">
        <v>300</v>
      </c>
      <c r="P9" s="432">
        <v>500</v>
      </c>
      <c r="Q9" s="298"/>
      <c r="R9" s="245"/>
      <c r="S9" s="245"/>
      <c r="T9" s="245"/>
      <c r="U9" s="298">
        <f t="shared" si="0"/>
        <v>11.8141592920354</v>
      </c>
      <c r="V9" s="298">
        <f t="shared" si="1"/>
        <v>11.946902654867259</v>
      </c>
      <c r="W9" s="298">
        <f t="shared" si="2"/>
        <v>0.13274336283185839</v>
      </c>
      <c r="AA9" s="298"/>
      <c r="AB9" s="298"/>
    </row>
    <row r="10" spans="1:28" ht="21.9" customHeight="1">
      <c r="A10" s="107" t="s">
        <v>34</v>
      </c>
      <c r="B10" s="416">
        <v>2</v>
      </c>
      <c r="C10" s="416">
        <v>8000</v>
      </c>
      <c r="D10" s="416">
        <v>2</v>
      </c>
      <c r="E10" s="416">
        <v>2000</v>
      </c>
      <c r="F10" s="416">
        <v>8600</v>
      </c>
      <c r="G10" s="419" t="s">
        <v>35</v>
      </c>
      <c r="H10" s="416">
        <v>2</v>
      </c>
      <c r="I10" s="416">
        <v>2</v>
      </c>
      <c r="J10" s="416"/>
      <c r="K10" s="416">
        <f t="shared" si="3"/>
        <v>2</v>
      </c>
      <c r="L10" s="431"/>
      <c r="M10" s="432">
        <v>8000</v>
      </c>
      <c r="N10" s="432">
        <v>2</v>
      </c>
      <c r="O10" s="432">
        <v>8000</v>
      </c>
      <c r="P10" s="432">
        <v>2</v>
      </c>
      <c r="Q10" s="298"/>
      <c r="R10" s="245"/>
      <c r="S10" s="245"/>
      <c r="T10" s="245"/>
      <c r="U10" s="298">
        <f t="shared" si="0"/>
        <v>1.4159292035398232</v>
      </c>
      <c r="V10" s="298">
        <f t="shared" si="1"/>
        <v>1.5221238938053099</v>
      </c>
      <c r="W10" s="298">
        <f t="shared" si="2"/>
        <v>0.10619469026548667</v>
      </c>
      <c r="Y10" s="298" t="s">
        <v>36</v>
      </c>
      <c r="AA10" s="298"/>
      <c r="AB10" s="298"/>
    </row>
    <row r="11" spans="1:28" ht="21.9" customHeight="1">
      <c r="A11" s="107" t="s">
        <v>37</v>
      </c>
      <c r="B11" s="416">
        <v>50</v>
      </c>
      <c r="C11" s="416">
        <v>120</v>
      </c>
      <c r="D11" s="416">
        <v>50</v>
      </c>
      <c r="E11" s="416">
        <v>30</v>
      </c>
      <c r="F11" s="416">
        <v>300</v>
      </c>
      <c r="G11" s="418" t="s">
        <v>38</v>
      </c>
      <c r="H11" s="416">
        <v>50</v>
      </c>
      <c r="I11" s="416">
        <v>50</v>
      </c>
      <c r="J11" s="416"/>
      <c r="K11" s="416">
        <f t="shared" si="3"/>
        <v>50</v>
      </c>
      <c r="L11" s="431"/>
      <c r="M11" s="432">
        <v>300</v>
      </c>
      <c r="N11" s="432">
        <v>50</v>
      </c>
      <c r="O11" s="432">
        <v>300</v>
      </c>
      <c r="P11" s="432">
        <v>50</v>
      </c>
      <c r="Q11" s="298"/>
      <c r="R11" s="245"/>
      <c r="S11" s="245"/>
      <c r="T11" s="245"/>
      <c r="U11" s="298">
        <f t="shared" si="0"/>
        <v>0.53097345132743368</v>
      </c>
      <c r="V11" s="298">
        <f t="shared" si="1"/>
        <v>1.3274336283185844</v>
      </c>
      <c r="W11" s="298">
        <f t="shared" si="2"/>
        <v>0.79646017699115068</v>
      </c>
      <c r="AA11" s="298"/>
      <c r="AB11" s="298"/>
    </row>
    <row r="12" spans="1:28" ht="21.9" customHeight="1">
      <c r="A12" s="107" t="s">
        <v>39</v>
      </c>
      <c r="B12" s="416">
        <v>1120</v>
      </c>
      <c r="C12" s="416">
        <v>13000</v>
      </c>
      <c r="D12" s="416">
        <v>1290</v>
      </c>
      <c r="E12" s="416">
        <v>2000</v>
      </c>
      <c r="F12" s="416">
        <v>14000</v>
      </c>
      <c r="G12" s="418" t="s">
        <v>40</v>
      </c>
      <c r="H12" s="416">
        <v>1200</v>
      </c>
      <c r="I12" s="416">
        <v>1200</v>
      </c>
      <c r="J12" s="416"/>
      <c r="K12" s="416">
        <f t="shared" si="3"/>
        <v>1200</v>
      </c>
      <c r="L12" s="431" t="s">
        <v>41</v>
      </c>
      <c r="M12" s="432">
        <v>10000</v>
      </c>
      <c r="N12" s="432">
        <v>950</v>
      </c>
      <c r="O12" s="432">
        <v>10000</v>
      </c>
      <c r="P12" s="432">
        <v>920</v>
      </c>
      <c r="Q12" s="298"/>
      <c r="R12" s="245"/>
      <c r="S12" s="245"/>
      <c r="T12" s="245"/>
      <c r="U12" s="298">
        <f t="shared" si="0"/>
        <v>1484.0707964601772</v>
      </c>
      <c r="V12" s="298">
        <f t="shared" si="1"/>
        <v>1486.7256637168143</v>
      </c>
      <c r="W12" s="298">
        <f t="shared" si="2"/>
        <v>2.6548672566370897</v>
      </c>
      <c r="AA12" s="298"/>
      <c r="AB12" s="298"/>
    </row>
    <row r="13" spans="1:28" ht="21.9" customHeight="1">
      <c r="A13" s="107" t="s">
        <v>42</v>
      </c>
      <c r="B13" s="416">
        <v>10100</v>
      </c>
      <c r="C13" s="416">
        <v>16200</v>
      </c>
      <c r="D13" s="416">
        <v>10300</v>
      </c>
      <c r="E13" s="416">
        <v>3400</v>
      </c>
      <c r="F13" s="416">
        <v>16500</v>
      </c>
      <c r="G13" s="420" t="s">
        <v>43</v>
      </c>
      <c r="H13" s="416">
        <v>10500</v>
      </c>
      <c r="I13" s="416">
        <v>10500</v>
      </c>
      <c r="J13" s="433"/>
      <c r="K13" s="416">
        <f t="shared" si="3"/>
        <v>10500</v>
      </c>
      <c r="L13" s="431"/>
      <c r="M13" s="432">
        <v>15000</v>
      </c>
      <c r="N13" s="432">
        <v>10200</v>
      </c>
      <c r="O13" s="432">
        <v>15000</v>
      </c>
      <c r="P13" s="432">
        <v>10000</v>
      </c>
      <c r="Q13" s="298"/>
      <c r="R13" s="269">
        <v>0.85209999999999997</v>
      </c>
      <c r="S13" s="88">
        <f t="shared" ref="S13:S24" si="4">R13*C13</f>
        <v>13804.019999999999</v>
      </c>
      <c r="T13" s="88">
        <f t="shared" ref="T13:T26" si="5">R13*F13</f>
        <v>14059.65</v>
      </c>
      <c r="U13" s="298">
        <f t="shared" si="0"/>
        <v>14766.371681415932</v>
      </c>
      <c r="V13" s="298">
        <f t="shared" si="1"/>
        <v>15331.858407079648</v>
      </c>
      <c r="W13" s="298">
        <f t="shared" si="2"/>
        <v>565.48672566371533</v>
      </c>
      <c r="AA13" s="298"/>
      <c r="AB13" s="298"/>
    </row>
    <row r="14" spans="1:28" ht="21.9" customHeight="1">
      <c r="A14" s="107" t="s">
        <v>44</v>
      </c>
      <c r="B14" s="421"/>
      <c r="C14" s="416"/>
      <c r="D14" s="416"/>
      <c r="E14" s="422"/>
      <c r="F14" s="421"/>
      <c r="G14" s="420" t="s">
        <v>36</v>
      </c>
      <c r="H14" s="416"/>
      <c r="I14" s="416"/>
      <c r="J14" s="434"/>
      <c r="K14" s="416">
        <f t="shared" si="3"/>
        <v>0</v>
      </c>
      <c r="L14" s="431"/>
      <c r="M14" s="432"/>
      <c r="N14" s="432"/>
      <c r="O14" s="432"/>
      <c r="P14" s="432"/>
      <c r="Q14" s="298"/>
      <c r="R14" s="269"/>
      <c r="S14" s="88">
        <f t="shared" si="4"/>
        <v>0</v>
      </c>
      <c r="T14" s="88">
        <f t="shared" si="5"/>
        <v>0</v>
      </c>
      <c r="U14" s="298">
        <f t="shared" si="0"/>
        <v>0</v>
      </c>
      <c r="V14" s="298">
        <f t="shared" si="1"/>
        <v>0</v>
      </c>
      <c r="W14" s="298">
        <f t="shared" ref="W14:W26" si="6">V14-U14</f>
        <v>0</v>
      </c>
      <c r="AA14" s="298"/>
      <c r="AB14" s="298"/>
    </row>
    <row r="15" spans="1:28" ht="21.9" customHeight="1">
      <c r="A15" s="107" t="s">
        <v>45</v>
      </c>
      <c r="B15" s="421"/>
      <c r="C15" s="416"/>
      <c r="D15" s="421"/>
      <c r="E15" s="421"/>
      <c r="F15" s="421"/>
      <c r="G15" s="420"/>
      <c r="H15" s="416"/>
      <c r="I15" s="416"/>
      <c r="J15" s="434"/>
      <c r="K15" s="416">
        <f t="shared" si="3"/>
        <v>0</v>
      </c>
      <c r="L15" s="431"/>
      <c r="M15" s="432"/>
      <c r="N15" s="432"/>
      <c r="O15" s="432"/>
      <c r="P15" s="432"/>
      <c r="Q15" s="298"/>
      <c r="R15" s="269">
        <v>0.6371</v>
      </c>
      <c r="S15" s="88">
        <f t="shared" si="4"/>
        <v>0</v>
      </c>
      <c r="T15" s="88">
        <f t="shared" si="5"/>
        <v>0</v>
      </c>
      <c r="U15" s="298">
        <f t="shared" si="0"/>
        <v>0</v>
      </c>
      <c r="V15" s="298">
        <f t="shared" si="1"/>
        <v>0</v>
      </c>
      <c r="W15" s="298">
        <f t="shared" si="6"/>
        <v>0</v>
      </c>
      <c r="AA15" s="298"/>
      <c r="AB15" s="298"/>
    </row>
    <row r="16" spans="1:28" ht="21.9" customHeight="1">
      <c r="A16" s="107" t="s">
        <v>46</v>
      </c>
      <c r="B16" s="421"/>
      <c r="C16" s="416"/>
      <c r="D16" s="416"/>
      <c r="E16" s="423"/>
      <c r="F16" s="416">
        <v>0</v>
      </c>
      <c r="G16" s="420" t="s">
        <v>47</v>
      </c>
      <c r="H16" s="416">
        <v>15400</v>
      </c>
      <c r="I16" s="416">
        <v>15400</v>
      </c>
      <c r="J16" s="434"/>
      <c r="K16" s="416">
        <f t="shared" si="3"/>
        <v>15400</v>
      </c>
      <c r="L16" s="431"/>
      <c r="M16" s="432">
        <v>400</v>
      </c>
      <c r="N16" s="432">
        <v>14500</v>
      </c>
      <c r="O16" s="432">
        <v>400</v>
      </c>
      <c r="P16" s="432">
        <v>14000</v>
      </c>
      <c r="Q16" s="298"/>
      <c r="R16" s="269">
        <v>0.85250000000000004</v>
      </c>
      <c r="S16" s="88">
        <f t="shared" si="4"/>
        <v>0</v>
      </c>
      <c r="T16" s="88">
        <f t="shared" si="5"/>
        <v>0</v>
      </c>
      <c r="U16" s="298">
        <f t="shared" si="0"/>
        <v>0</v>
      </c>
      <c r="V16" s="298">
        <f t="shared" si="1"/>
        <v>0</v>
      </c>
      <c r="W16" s="298">
        <f t="shared" si="6"/>
        <v>0</v>
      </c>
      <c r="AA16" s="298"/>
      <c r="AB16" s="298"/>
    </row>
    <row r="17" spans="1:28" ht="21.9" customHeight="1">
      <c r="A17" s="107" t="s">
        <v>48</v>
      </c>
      <c r="B17" s="416">
        <v>6600</v>
      </c>
      <c r="C17" s="416">
        <v>4500</v>
      </c>
      <c r="D17" s="416">
        <v>7500</v>
      </c>
      <c r="E17" s="423">
        <v>260</v>
      </c>
      <c r="F17" s="416">
        <v>4380</v>
      </c>
      <c r="G17" s="418" t="s">
        <v>49</v>
      </c>
      <c r="H17" s="416">
        <v>7500</v>
      </c>
      <c r="I17" s="416">
        <v>7500</v>
      </c>
      <c r="J17" s="416"/>
      <c r="K17" s="416">
        <f t="shared" si="3"/>
        <v>7500</v>
      </c>
      <c r="L17" s="431"/>
      <c r="M17" s="432">
        <v>4000</v>
      </c>
      <c r="N17" s="432">
        <v>7100</v>
      </c>
      <c r="O17" s="432">
        <v>4000</v>
      </c>
      <c r="P17" s="432">
        <v>6800</v>
      </c>
      <c r="Q17" s="298"/>
      <c r="R17" s="269">
        <v>0.73</v>
      </c>
      <c r="S17" s="88">
        <f t="shared" si="4"/>
        <v>3285</v>
      </c>
      <c r="T17" s="88">
        <f t="shared" si="5"/>
        <v>3197.4</v>
      </c>
      <c r="U17" s="298">
        <f t="shared" si="0"/>
        <v>2986.7256637168148</v>
      </c>
      <c r="V17" s="298">
        <f t="shared" si="1"/>
        <v>2907.0796460176994</v>
      </c>
      <c r="W17" s="298">
        <f t="shared" si="6"/>
        <v>-79.646017699115419</v>
      </c>
      <c r="AA17" s="298"/>
      <c r="AB17" s="298"/>
    </row>
    <row r="18" spans="1:28" ht="21.9" customHeight="1">
      <c r="A18" s="107" t="s">
        <v>50</v>
      </c>
      <c r="B18" s="416">
        <v>9000</v>
      </c>
      <c r="C18" s="416">
        <v>4550</v>
      </c>
      <c r="D18" s="421">
        <v>9600</v>
      </c>
      <c r="E18" s="423">
        <v>520</v>
      </c>
      <c r="F18" s="416">
        <v>5400</v>
      </c>
      <c r="G18" s="420" t="s">
        <v>51</v>
      </c>
      <c r="H18" s="416">
        <v>9750</v>
      </c>
      <c r="I18" s="416">
        <v>9750</v>
      </c>
      <c r="J18" s="433"/>
      <c r="K18" s="416">
        <f t="shared" si="3"/>
        <v>9750</v>
      </c>
      <c r="L18" s="431"/>
      <c r="M18" s="432">
        <v>3300</v>
      </c>
      <c r="N18" s="432">
        <v>9000</v>
      </c>
      <c r="O18" s="432">
        <v>3300</v>
      </c>
      <c r="P18" s="432">
        <v>8200</v>
      </c>
      <c r="Q18" s="298"/>
      <c r="R18" s="269">
        <v>0.54090000000000005</v>
      </c>
      <c r="S18" s="88">
        <f t="shared" si="4"/>
        <v>2461.0950000000003</v>
      </c>
      <c r="T18" s="88">
        <f t="shared" si="5"/>
        <v>2920.86</v>
      </c>
      <c r="U18" s="298">
        <f t="shared" si="0"/>
        <v>3865.4867256637176</v>
      </c>
      <c r="V18" s="298">
        <f t="shared" si="1"/>
        <v>4659.2920353982308</v>
      </c>
      <c r="W18" s="298">
        <f t="shared" si="6"/>
        <v>793.80530973451323</v>
      </c>
      <c r="AA18" s="298"/>
      <c r="AB18" s="298"/>
    </row>
    <row r="19" spans="1:28" ht="21.9" customHeight="1">
      <c r="A19" s="107" t="s">
        <v>52</v>
      </c>
      <c r="B19" s="416">
        <v>5000</v>
      </c>
      <c r="C19" s="423">
        <v>2450</v>
      </c>
      <c r="D19" s="416">
        <v>5300</v>
      </c>
      <c r="E19" s="423">
        <v>220</v>
      </c>
      <c r="F19" s="416">
        <v>3000</v>
      </c>
      <c r="G19" s="418" t="s">
        <v>53</v>
      </c>
      <c r="H19" s="416">
        <v>4500</v>
      </c>
      <c r="I19" s="416">
        <v>4500</v>
      </c>
      <c r="J19" s="416"/>
      <c r="K19" s="416">
        <f t="shared" si="3"/>
        <v>4500</v>
      </c>
      <c r="L19" s="431"/>
      <c r="M19" s="432">
        <v>1500</v>
      </c>
      <c r="N19" s="432">
        <v>5000</v>
      </c>
      <c r="O19" s="432">
        <v>1500</v>
      </c>
      <c r="P19" s="432">
        <v>4500</v>
      </c>
      <c r="Q19" s="298"/>
      <c r="R19" s="269">
        <v>0.54090000000000005</v>
      </c>
      <c r="S19" s="88">
        <f t="shared" si="4"/>
        <v>1325.2050000000002</v>
      </c>
      <c r="T19" s="88">
        <f t="shared" si="5"/>
        <v>1622.7</v>
      </c>
      <c r="U19" s="298">
        <f t="shared" si="0"/>
        <v>1149.1150442477879</v>
      </c>
      <c r="V19" s="298">
        <f t="shared" si="1"/>
        <v>1194.6902654867258</v>
      </c>
      <c r="W19" s="298">
        <f t="shared" si="6"/>
        <v>45.575221238937957</v>
      </c>
      <c r="AA19" s="298"/>
      <c r="AB19" s="298"/>
    </row>
    <row r="20" spans="1:28" ht="21.9" customHeight="1">
      <c r="A20" s="107" t="s">
        <v>54</v>
      </c>
      <c r="B20" s="416">
        <v>4800</v>
      </c>
      <c r="C20" s="423"/>
      <c r="D20" s="416"/>
      <c r="E20" s="416"/>
      <c r="F20" s="417"/>
      <c r="G20" s="418" t="s">
        <v>55</v>
      </c>
      <c r="H20" s="416">
        <v>4400</v>
      </c>
      <c r="I20" s="416">
        <v>4400</v>
      </c>
      <c r="J20" s="416"/>
      <c r="K20" s="416">
        <f t="shared" si="3"/>
        <v>4400</v>
      </c>
      <c r="L20" s="431"/>
      <c r="M20" s="432">
        <v>200</v>
      </c>
      <c r="N20" s="432">
        <v>4800</v>
      </c>
      <c r="O20" s="432">
        <v>200</v>
      </c>
      <c r="P20" s="432">
        <v>4300</v>
      </c>
      <c r="Q20" s="298"/>
      <c r="R20" s="269">
        <v>0.54090000000000005</v>
      </c>
      <c r="S20" s="88">
        <f t="shared" si="4"/>
        <v>0</v>
      </c>
      <c r="T20" s="88">
        <f t="shared" si="5"/>
        <v>0</v>
      </c>
      <c r="U20" s="298">
        <f t="shared" si="0"/>
        <v>0</v>
      </c>
      <c r="V20" s="298">
        <f t="shared" si="1"/>
        <v>0</v>
      </c>
      <c r="W20" s="298">
        <f t="shared" si="6"/>
        <v>0</v>
      </c>
      <c r="AA20" s="298"/>
      <c r="AB20" s="298"/>
    </row>
    <row r="21" spans="1:28" ht="21.9" customHeight="1">
      <c r="A21" s="107" t="s">
        <v>56</v>
      </c>
      <c r="B21" s="416">
        <v>900</v>
      </c>
      <c r="C21" s="416">
        <v>120</v>
      </c>
      <c r="D21" s="416">
        <v>900</v>
      </c>
      <c r="E21" s="416">
        <v>30</v>
      </c>
      <c r="F21" s="417">
        <v>120</v>
      </c>
      <c r="G21" s="418">
        <v>900</v>
      </c>
      <c r="H21" s="416">
        <v>900</v>
      </c>
      <c r="I21" s="416">
        <v>900</v>
      </c>
      <c r="J21" s="416"/>
      <c r="K21" s="416">
        <f t="shared" si="3"/>
        <v>900</v>
      </c>
      <c r="L21" s="431"/>
      <c r="M21" s="432">
        <v>120</v>
      </c>
      <c r="N21" s="432">
        <v>900</v>
      </c>
      <c r="O21" s="432">
        <v>120</v>
      </c>
      <c r="P21" s="432">
        <v>900</v>
      </c>
      <c r="Q21" s="298"/>
      <c r="R21" s="269"/>
      <c r="S21" s="88">
        <f t="shared" si="4"/>
        <v>0</v>
      </c>
      <c r="T21" s="88">
        <f t="shared" si="5"/>
        <v>0</v>
      </c>
      <c r="U21" s="298">
        <f t="shared" si="0"/>
        <v>9.5575221238938077</v>
      </c>
      <c r="V21" s="298">
        <f t="shared" si="1"/>
        <v>9.5575221238938077</v>
      </c>
      <c r="W21" s="298">
        <f t="shared" si="6"/>
        <v>0</v>
      </c>
      <c r="AA21" s="298"/>
      <c r="AB21" s="298"/>
    </row>
    <row r="22" spans="1:28" ht="21.9" customHeight="1">
      <c r="A22" s="107" t="s">
        <v>57</v>
      </c>
      <c r="B22" s="416">
        <v>12500</v>
      </c>
      <c r="C22" s="416">
        <v>3050</v>
      </c>
      <c r="D22" s="416">
        <v>12900</v>
      </c>
      <c r="E22" s="63">
        <v>200</v>
      </c>
      <c r="F22" s="424">
        <v>2900</v>
      </c>
      <c r="G22" s="63" t="s">
        <v>58</v>
      </c>
      <c r="H22" s="416">
        <v>14000</v>
      </c>
      <c r="I22" s="416">
        <v>14000</v>
      </c>
      <c r="J22" s="416"/>
      <c r="K22" s="416">
        <f t="shared" si="3"/>
        <v>14000</v>
      </c>
      <c r="L22" s="421"/>
      <c r="M22" s="424">
        <v>3000</v>
      </c>
      <c r="N22" s="416" t="s">
        <v>59</v>
      </c>
      <c r="O22" s="424">
        <v>2900</v>
      </c>
      <c r="P22" s="416" t="s">
        <v>60</v>
      </c>
      <c r="Q22" s="298"/>
      <c r="R22" s="269">
        <v>0.45500000000000002</v>
      </c>
      <c r="S22" s="88">
        <f t="shared" si="4"/>
        <v>1387.75</v>
      </c>
      <c r="T22" s="88">
        <f t="shared" si="5"/>
        <v>1319.5</v>
      </c>
      <c r="U22" s="298">
        <f t="shared" si="0"/>
        <v>3481.8584070796464</v>
      </c>
      <c r="V22" s="298">
        <f t="shared" si="1"/>
        <v>3592.9203539823015</v>
      </c>
      <c r="W22" s="298">
        <f t="shared" si="6"/>
        <v>111.06194690265511</v>
      </c>
      <c r="AA22" s="298"/>
      <c r="AB22" s="298"/>
    </row>
    <row r="23" spans="1:28" ht="21.9" customHeight="1">
      <c r="A23" s="404" t="s">
        <v>61</v>
      </c>
      <c r="B23" s="63"/>
      <c r="C23" s="416"/>
      <c r="D23" s="416"/>
      <c r="E23" s="63"/>
      <c r="F23" s="424"/>
      <c r="G23" s="63"/>
      <c r="H23" s="63"/>
      <c r="I23" s="416"/>
      <c r="J23" s="416"/>
      <c r="K23" s="416">
        <f t="shared" si="3"/>
        <v>0</v>
      </c>
      <c r="L23" s="421"/>
      <c r="M23" s="424"/>
      <c r="N23" s="63"/>
      <c r="O23" s="424"/>
      <c r="P23" s="63"/>
      <c r="Q23" s="298"/>
      <c r="R23" s="269">
        <v>0.45500000000000002</v>
      </c>
      <c r="S23" s="88">
        <f t="shared" si="4"/>
        <v>0</v>
      </c>
      <c r="T23" s="88">
        <f t="shared" si="5"/>
        <v>0</v>
      </c>
      <c r="U23" s="298">
        <f t="shared" si="0"/>
        <v>0</v>
      </c>
      <c r="V23" s="298">
        <f t="shared" si="1"/>
        <v>0</v>
      </c>
      <c r="W23" s="298">
        <f t="shared" si="6"/>
        <v>0</v>
      </c>
      <c r="AA23" s="298"/>
      <c r="AB23" s="298"/>
    </row>
    <row r="24" spans="1:28" ht="21.9" customHeight="1">
      <c r="A24" s="425" t="s">
        <v>62</v>
      </c>
      <c r="B24" s="416">
        <v>30800</v>
      </c>
      <c r="C24" s="416">
        <v>1950</v>
      </c>
      <c r="D24" s="416">
        <v>31000</v>
      </c>
      <c r="E24" s="63">
        <v>180</v>
      </c>
      <c r="F24" s="424">
        <v>1550</v>
      </c>
      <c r="G24" s="63" t="s">
        <v>63</v>
      </c>
      <c r="H24" s="416">
        <v>30500</v>
      </c>
      <c r="I24" s="416">
        <v>30500</v>
      </c>
      <c r="J24" s="416"/>
      <c r="K24" s="416">
        <f t="shared" si="3"/>
        <v>30500</v>
      </c>
      <c r="L24" s="421"/>
      <c r="M24" s="424">
        <v>1600</v>
      </c>
      <c r="N24" s="416" t="s">
        <v>64</v>
      </c>
      <c r="O24" s="424">
        <v>1900</v>
      </c>
      <c r="P24" s="416" t="s">
        <v>65</v>
      </c>
      <c r="Q24" s="298"/>
      <c r="R24" s="269">
        <v>0.67520000000000002</v>
      </c>
      <c r="S24" s="88">
        <f t="shared" si="4"/>
        <v>1316.64</v>
      </c>
      <c r="T24" s="88">
        <f t="shared" si="5"/>
        <v>1046.56</v>
      </c>
      <c r="U24" s="298">
        <f t="shared" si="0"/>
        <v>5349.5575221238951</v>
      </c>
      <c r="V24" s="298">
        <f t="shared" si="1"/>
        <v>4183.6283185840712</v>
      </c>
      <c r="W24" s="298">
        <f t="shared" si="6"/>
        <v>-1165.9292035398239</v>
      </c>
      <c r="AA24" s="298"/>
      <c r="AB24" s="298"/>
    </row>
    <row r="25" spans="1:28" ht="21.9" customHeight="1">
      <c r="A25" s="425" t="s">
        <v>66</v>
      </c>
      <c r="B25" s="424"/>
      <c r="C25" s="63"/>
      <c r="D25" s="424"/>
      <c r="E25" s="63"/>
      <c r="F25" s="424"/>
      <c r="G25" s="63"/>
      <c r="H25" s="416"/>
      <c r="I25" s="416"/>
      <c r="J25" s="416"/>
      <c r="K25" s="416">
        <f t="shared" si="3"/>
        <v>0</v>
      </c>
      <c r="L25" s="399"/>
      <c r="M25" s="424"/>
      <c r="N25" s="424"/>
      <c r="O25" s="424"/>
      <c r="P25" s="424"/>
      <c r="Q25" s="298"/>
      <c r="R25" s="269">
        <v>0.67520000000000002</v>
      </c>
      <c r="S25" s="88"/>
      <c r="T25" s="88">
        <f t="shared" si="5"/>
        <v>0</v>
      </c>
      <c r="U25" s="298"/>
      <c r="V25" s="298">
        <f t="shared" si="1"/>
        <v>0</v>
      </c>
      <c r="W25" s="298">
        <f t="shared" si="6"/>
        <v>0</v>
      </c>
      <c r="Y25" s="298">
        <f>SUM(V22:V26)</f>
        <v>8489.8230088495584</v>
      </c>
      <c r="AA25" s="298"/>
      <c r="AB25" s="298"/>
    </row>
    <row r="26" spans="1:28" ht="21.9" customHeight="1">
      <c r="A26" s="5" t="s">
        <v>67</v>
      </c>
      <c r="B26" s="416"/>
      <c r="C26" s="63"/>
      <c r="D26" s="424"/>
      <c r="E26" s="63"/>
      <c r="F26" s="424">
        <v>260</v>
      </c>
      <c r="G26" s="63" t="s">
        <v>63</v>
      </c>
      <c r="H26" s="416">
        <v>31000</v>
      </c>
      <c r="I26" s="416">
        <v>31000</v>
      </c>
      <c r="J26" s="416"/>
      <c r="K26" s="416">
        <f t="shared" si="3"/>
        <v>31000</v>
      </c>
      <c r="L26" s="421"/>
      <c r="M26" s="424">
        <v>250</v>
      </c>
      <c r="N26" s="416" t="s">
        <v>68</v>
      </c>
      <c r="O26" s="424"/>
      <c r="P26" s="416"/>
      <c r="Q26" s="298"/>
      <c r="R26" s="269">
        <v>0.76780000000000004</v>
      </c>
      <c r="S26" s="88">
        <f>R26*C26</f>
        <v>0</v>
      </c>
      <c r="T26" s="88">
        <f t="shared" si="5"/>
        <v>199.62800000000001</v>
      </c>
      <c r="U26" s="298">
        <f>C26*D26/(10000*1.13)</f>
        <v>0</v>
      </c>
      <c r="V26" s="298">
        <f t="shared" si="1"/>
        <v>713.2743362831859</v>
      </c>
      <c r="W26" s="298">
        <f t="shared" si="6"/>
        <v>713.2743362831859</v>
      </c>
      <c r="AA26" s="298"/>
      <c r="AB26" s="298"/>
    </row>
    <row r="27" spans="1:28" ht="21.9" customHeight="1">
      <c r="A27" s="426" t="s">
        <v>69</v>
      </c>
      <c r="B27" s="398"/>
      <c r="C27" s="427">
        <f>SUM(C4:C26)</f>
        <v>79140</v>
      </c>
      <c r="D27" s="427"/>
      <c r="E27" s="427"/>
      <c r="F27" s="427">
        <f>SUM(F4:F26)</f>
        <v>79110</v>
      </c>
      <c r="G27" s="427"/>
      <c r="H27" s="427"/>
      <c r="I27" s="427"/>
      <c r="J27" s="427"/>
      <c r="K27" s="416">
        <f t="shared" ref="K27" si="7">I27</f>
        <v>0</v>
      </c>
      <c r="L27" s="288"/>
      <c r="M27" s="288"/>
      <c r="N27" s="288"/>
      <c r="O27" s="288"/>
      <c r="P27" s="288"/>
      <c r="AA27" s="298"/>
      <c r="AB27" s="298"/>
    </row>
    <row r="28" spans="1:28" ht="21.9" customHeight="1">
      <c r="A28" s="447" t="s">
        <v>70</v>
      </c>
      <c r="B28" s="447"/>
      <c r="C28" s="447"/>
      <c r="D28" s="447"/>
      <c r="E28" s="447"/>
      <c r="F28" s="447"/>
      <c r="G28" s="447"/>
      <c r="H28" s="448"/>
      <c r="I28" s="448"/>
      <c r="J28" s="448"/>
      <c r="K28" s="448"/>
      <c r="L28" s="428"/>
      <c r="M28" s="428"/>
      <c r="N28" s="428"/>
      <c r="O28" s="428"/>
      <c r="P28" s="428"/>
    </row>
    <row r="29" spans="1:28" ht="21.9" customHeight="1">
      <c r="A29" s="428"/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28"/>
      <c r="P29" s="428"/>
      <c r="R29" s="245"/>
      <c r="S29" s="88">
        <f>SUM(S13:S26)</f>
        <v>23579.71</v>
      </c>
      <c r="T29" s="88">
        <f>SUM(T13:T26)</f>
        <v>24366.298000000003</v>
      </c>
      <c r="U29" s="88">
        <f>SUM(U4:U26)</f>
        <v>37077.743362831869</v>
      </c>
      <c r="V29" s="88">
        <f>SUM(V4:V26)</f>
        <v>37174.088495575226</v>
      </c>
      <c r="W29" s="88">
        <f>SUM(W4:W26)</f>
        <v>96.345132743359727</v>
      </c>
      <c r="Y29" s="298" t="e">
        <f>Y10+Y25</f>
        <v>#VALUE!</v>
      </c>
    </row>
    <row r="30" spans="1:28" ht="21.9" customHeight="1">
      <c r="A30" s="428"/>
      <c r="B30" s="428"/>
      <c r="C30" s="428"/>
      <c r="D30" s="428"/>
      <c r="E30" s="428"/>
      <c r="F30" s="428"/>
      <c r="G30" s="428"/>
      <c r="H30" s="428"/>
      <c r="I30" s="428"/>
      <c r="J30" s="428"/>
      <c r="K30" s="428"/>
    </row>
    <row r="31" spans="1:28" ht="21.9" customHeight="1">
      <c r="B31" s="429"/>
    </row>
    <row r="32" spans="1:28" ht="21.9" customHeight="1">
      <c r="B32" s="429"/>
    </row>
    <row r="33" ht="21.9" customHeight="1"/>
  </sheetData>
  <mergeCells count="11">
    <mergeCell ref="A1:L1"/>
    <mergeCell ref="B2:E2"/>
    <mergeCell ref="F2:H2"/>
    <mergeCell ref="M2:N2"/>
    <mergeCell ref="O2:P2"/>
    <mergeCell ref="W2:W3"/>
    <mergeCell ref="A28:K28"/>
    <mergeCell ref="A2:A3"/>
    <mergeCell ref="L2:L3"/>
    <mergeCell ref="U2:U3"/>
    <mergeCell ref="V2:V3"/>
  </mergeCells>
  <phoneticPr fontId="117" type="noConversion"/>
  <pageMargins left="0.31496062992126" right="0.31496062992126" top="0.94488188976377996" bottom="0.15748031496063" header="0.31496062992126" footer="0.31496062992126"/>
  <pageSetup paperSize="9" scale="75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26"/>
  <sheetViews>
    <sheetView workbookViewId="0">
      <selection activeCell="G35" sqref="G35"/>
    </sheetView>
  </sheetViews>
  <sheetFormatPr defaultColWidth="9" defaultRowHeight="14.4"/>
  <cols>
    <col min="1" max="1" width="13.21875" style="220" customWidth="1"/>
    <col min="2" max="2" width="16.77734375" style="220" customWidth="1"/>
    <col min="3" max="3" width="18.6640625" style="220" customWidth="1"/>
    <col min="4" max="4" width="16.44140625" style="220" customWidth="1"/>
    <col min="5" max="6" width="14.6640625" style="220" customWidth="1"/>
    <col min="7" max="7" width="11" style="220" customWidth="1"/>
    <col min="8" max="8" width="22.33203125" style="220" customWidth="1"/>
    <col min="9" max="16384" width="9" style="220"/>
  </cols>
  <sheetData>
    <row r="2" spans="1:9">
      <c r="A2" s="232"/>
      <c r="B2" s="232"/>
      <c r="C2" s="523" t="s">
        <v>233</v>
      </c>
      <c r="D2" s="524"/>
      <c r="E2" s="524"/>
      <c r="F2" s="525"/>
      <c r="G2" s="526" t="s">
        <v>234</v>
      </c>
      <c r="H2" s="526" t="s">
        <v>235</v>
      </c>
    </row>
    <row r="3" spans="1:9">
      <c r="A3" s="224" t="s">
        <v>236</v>
      </c>
      <c r="B3" s="238" t="s">
        <v>237</v>
      </c>
      <c r="C3" s="224" t="s">
        <v>233</v>
      </c>
      <c r="D3" s="224" t="s">
        <v>238</v>
      </c>
      <c r="E3" s="224" t="s">
        <v>239</v>
      </c>
      <c r="F3" s="224" t="s">
        <v>240</v>
      </c>
      <c r="G3" s="527"/>
      <c r="H3" s="527"/>
    </row>
    <row r="4" spans="1:9">
      <c r="A4" s="224" t="s">
        <v>23</v>
      </c>
      <c r="B4" s="225">
        <f>INT(B26*0.6*10+0.5)/10</f>
        <v>663.5</v>
      </c>
      <c r="C4" s="224" t="s">
        <v>241</v>
      </c>
      <c r="D4" s="226">
        <f>+B26</f>
        <v>1105.9000000000001</v>
      </c>
      <c r="E4" s="224">
        <v>0.6</v>
      </c>
      <c r="F4" s="225"/>
      <c r="G4" s="225"/>
      <c r="H4" s="224" t="s">
        <v>242</v>
      </c>
      <c r="I4" s="232"/>
    </row>
    <row r="5" spans="1:9">
      <c r="A5" s="224" t="s">
        <v>26</v>
      </c>
      <c r="B5" s="225">
        <f>INT((F5+G5)*10+0.5)/10</f>
        <v>1572.1</v>
      </c>
      <c r="C5" s="224" t="s">
        <v>243</v>
      </c>
      <c r="D5" s="226">
        <f>+B26*0.5</f>
        <v>552.95000000000005</v>
      </c>
      <c r="E5" s="224">
        <v>2.0609999999999999</v>
      </c>
      <c r="F5" s="225">
        <f>+D5*E5</f>
        <v>1139.62995</v>
      </c>
      <c r="G5" s="224">
        <v>432.45</v>
      </c>
      <c r="H5" s="224" t="s">
        <v>244</v>
      </c>
      <c r="I5" s="232"/>
    </row>
    <row r="6" spans="1:9">
      <c r="A6" s="224" t="s">
        <v>28</v>
      </c>
      <c r="B6" s="227">
        <f>INT((F6+G6-70.8)*10+0.5)/10</f>
        <v>3301.1</v>
      </c>
      <c r="C6" s="224" t="s">
        <v>115</v>
      </c>
      <c r="D6" s="228">
        <f>原料本月!I5</f>
        <v>1283.5090861798774</v>
      </c>
      <c r="E6" s="224">
        <v>1.4850000000000001</v>
      </c>
      <c r="F6" s="225">
        <f t="shared" ref="F6:F11" si="0">+D6*E6</f>
        <v>1906.0109929771181</v>
      </c>
      <c r="G6" s="225">
        <v>1465.88</v>
      </c>
      <c r="H6" s="224" t="s">
        <v>245</v>
      </c>
      <c r="I6" s="232"/>
    </row>
    <row r="7" spans="1:9">
      <c r="A7" s="224" t="s">
        <v>31</v>
      </c>
      <c r="B7" s="224">
        <f t="shared" ref="B7:B17" si="1">INT((F7+G7)*10+0.5)/10</f>
        <v>318.7</v>
      </c>
      <c r="C7" s="229" t="s">
        <v>119</v>
      </c>
      <c r="D7" s="228">
        <f>原料本月!I9</f>
        <v>949.70419093291162</v>
      </c>
      <c r="E7" s="224">
        <v>0.317</v>
      </c>
      <c r="F7" s="225">
        <f t="shared" si="0"/>
        <v>301.05622852573299</v>
      </c>
      <c r="G7" s="224">
        <v>17.62</v>
      </c>
      <c r="H7" s="224"/>
      <c r="I7" s="232"/>
    </row>
    <row r="8" spans="1:9">
      <c r="A8" s="224" t="s">
        <v>32</v>
      </c>
      <c r="B8" s="224">
        <f t="shared" si="1"/>
        <v>289.2</v>
      </c>
      <c r="C8" s="224" t="s">
        <v>119</v>
      </c>
      <c r="D8" s="226">
        <f>D7</f>
        <v>949.70419093291162</v>
      </c>
      <c r="E8" s="224">
        <v>0.317</v>
      </c>
      <c r="F8" s="225">
        <f t="shared" si="0"/>
        <v>301.05622852573299</v>
      </c>
      <c r="G8" s="224">
        <v>-11.88</v>
      </c>
      <c r="H8" s="224"/>
      <c r="I8" s="232"/>
    </row>
    <row r="9" spans="1:9">
      <c r="A9" s="224" t="s">
        <v>34</v>
      </c>
      <c r="B9" s="224">
        <v>100</v>
      </c>
      <c r="C9" s="224"/>
      <c r="D9" s="224"/>
      <c r="E9" s="224"/>
      <c r="F9" s="225">
        <f t="shared" si="0"/>
        <v>0</v>
      </c>
      <c r="G9" s="224"/>
      <c r="H9" s="224" t="s">
        <v>246</v>
      </c>
      <c r="I9" s="232"/>
    </row>
    <row r="10" spans="1:9">
      <c r="A10" s="224" t="s">
        <v>37</v>
      </c>
      <c r="B10" s="224">
        <v>200</v>
      </c>
      <c r="C10" s="224"/>
      <c r="D10" s="224"/>
      <c r="E10" s="224"/>
      <c r="F10" s="225">
        <f t="shared" si="0"/>
        <v>0</v>
      </c>
      <c r="G10" s="224"/>
      <c r="H10" s="224" t="s">
        <v>247</v>
      </c>
      <c r="I10" s="232"/>
    </row>
    <row r="11" spans="1:9">
      <c r="A11" s="224" t="s">
        <v>39</v>
      </c>
      <c r="B11" s="224">
        <f t="shared" si="1"/>
        <v>650.20000000000005</v>
      </c>
      <c r="C11" s="224" t="s">
        <v>248</v>
      </c>
      <c r="D11" s="230">
        <f>原料本月!I7*0.6+原料本月!I8*0.4</f>
        <v>419.33623574664705</v>
      </c>
      <c r="E11" s="224">
        <v>0.503</v>
      </c>
      <c r="F11" s="225">
        <f t="shared" si="0"/>
        <v>210.92612658056348</v>
      </c>
      <c r="G11" s="224">
        <v>439.23</v>
      </c>
      <c r="H11" s="224"/>
      <c r="I11" s="232"/>
    </row>
    <row r="12" spans="1:9">
      <c r="A12" s="224" t="s">
        <v>42</v>
      </c>
      <c r="B12" s="224">
        <f t="shared" si="1"/>
        <v>8051.7</v>
      </c>
      <c r="C12" s="224" t="s">
        <v>45</v>
      </c>
      <c r="D12" s="224">
        <f>+B13</f>
        <v>5089.5</v>
      </c>
      <c r="E12" s="231">
        <v>1.337</v>
      </c>
      <c r="F12" s="225">
        <f>D12*E12</f>
        <v>6804.6615000000002</v>
      </c>
      <c r="G12" s="226">
        <v>1247.02</v>
      </c>
      <c r="H12" s="224"/>
    </row>
    <row r="13" spans="1:9">
      <c r="A13" s="224" t="s">
        <v>45</v>
      </c>
      <c r="B13" s="224">
        <f t="shared" si="1"/>
        <v>5089.5</v>
      </c>
      <c r="C13" s="224" t="s">
        <v>120</v>
      </c>
      <c r="D13" s="230">
        <f>原料本月!I10</f>
        <v>6441.2190406251812</v>
      </c>
      <c r="E13" s="231">
        <v>0.63500000000000001</v>
      </c>
      <c r="F13" s="225">
        <f>D13*E13</f>
        <v>4090.1740907969902</v>
      </c>
      <c r="G13" s="226">
        <v>999.3</v>
      </c>
      <c r="H13" s="224"/>
    </row>
    <row r="14" spans="1:9">
      <c r="A14" s="224" t="s">
        <v>46</v>
      </c>
      <c r="B14" s="224">
        <f t="shared" si="1"/>
        <v>10447.1</v>
      </c>
      <c r="C14" s="224" t="s">
        <v>42</v>
      </c>
      <c r="D14" s="224">
        <f>+B12</f>
        <v>8051.7</v>
      </c>
      <c r="E14" s="224">
        <v>1.0011000000000001</v>
      </c>
      <c r="F14" s="225">
        <f>D14*E14</f>
        <v>8060.5568700000003</v>
      </c>
      <c r="G14" s="226">
        <v>2386.5700000000002</v>
      </c>
      <c r="H14" s="224"/>
    </row>
    <row r="15" spans="1:9">
      <c r="A15" s="224" t="s">
        <v>48</v>
      </c>
      <c r="B15" s="224">
        <f t="shared" si="1"/>
        <v>5314.7</v>
      </c>
      <c r="C15" s="224" t="s">
        <v>120</v>
      </c>
      <c r="D15" s="230">
        <f>D13</f>
        <v>6441.2190406251812</v>
      </c>
      <c r="E15" s="224">
        <v>0.72499999999999998</v>
      </c>
      <c r="F15" s="225">
        <f>+D15*E15</f>
        <v>4669.8838044532558</v>
      </c>
      <c r="G15" s="226">
        <v>644.83000000000004</v>
      </c>
      <c r="H15" s="224"/>
    </row>
    <row r="16" spans="1:9">
      <c r="A16" s="232" t="s">
        <v>50</v>
      </c>
      <c r="B16" s="225">
        <f t="shared" si="1"/>
        <v>5573.4</v>
      </c>
      <c r="C16" s="224" t="s">
        <v>48</v>
      </c>
      <c r="D16" s="224">
        <f>+B15</f>
        <v>5314.7</v>
      </c>
      <c r="E16" s="224">
        <v>0.73599999999999999</v>
      </c>
      <c r="F16" s="225">
        <f t="shared" ref="F16:F17" si="2">D16*E16</f>
        <v>3911.6191999999996</v>
      </c>
      <c r="G16" s="226">
        <v>1661.74</v>
      </c>
      <c r="H16" s="224" t="s">
        <v>249</v>
      </c>
    </row>
    <row r="17" spans="1:9">
      <c r="A17" s="232" t="s">
        <v>90</v>
      </c>
      <c r="B17" s="225">
        <f t="shared" si="1"/>
        <v>5573.4</v>
      </c>
      <c r="C17" s="224" t="s">
        <v>48</v>
      </c>
      <c r="D17" s="224">
        <f>+B15</f>
        <v>5314.7</v>
      </c>
      <c r="E17" s="224">
        <v>0.73599999999999999</v>
      </c>
      <c r="F17" s="225">
        <f t="shared" si="2"/>
        <v>3911.6191999999996</v>
      </c>
      <c r="G17" s="226">
        <v>1661.74</v>
      </c>
      <c r="H17" s="224" t="s">
        <v>249</v>
      </c>
    </row>
    <row r="18" spans="1:9">
      <c r="A18" s="224" t="s">
        <v>56</v>
      </c>
      <c r="B18" s="225">
        <f>+B17</f>
        <v>5573.4</v>
      </c>
      <c r="C18" s="224"/>
      <c r="D18" s="224"/>
      <c r="E18" s="224"/>
      <c r="F18" s="225"/>
      <c r="G18" s="226"/>
      <c r="H18" s="224" t="s">
        <v>249</v>
      </c>
    </row>
    <row r="19" spans="1:9">
      <c r="A19" s="232"/>
      <c r="B19" s="232"/>
      <c r="C19" s="232"/>
      <c r="D19" s="233"/>
      <c r="E19" s="232"/>
      <c r="F19" s="233"/>
      <c r="G19" s="234"/>
      <c r="H19" s="232"/>
    </row>
    <row r="20" spans="1:9">
      <c r="A20" s="224" t="s">
        <v>250</v>
      </c>
      <c r="B20" s="224">
        <f t="shared" ref="B20:B22" si="3">INT((F20+G20)*10+0.5)/10</f>
        <v>9694.1</v>
      </c>
      <c r="C20" s="224" t="s">
        <v>120</v>
      </c>
      <c r="D20" s="230">
        <f>D13</f>
        <v>6441.2190406251812</v>
      </c>
      <c r="E20" s="235"/>
      <c r="F20" s="225">
        <f>D20*0.46+D21*0.69</f>
        <v>6442.1464481928724</v>
      </c>
      <c r="G20" s="226">
        <v>3252</v>
      </c>
      <c r="H20" s="224" t="s">
        <v>251</v>
      </c>
    </row>
    <row r="21" spans="1:9">
      <c r="A21" s="224" t="s">
        <v>252</v>
      </c>
      <c r="B21" s="224">
        <f t="shared" si="3"/>
        <v>14119.2</v>
      </c>
      <c r="C21" s="224" t="s">
        <v>121</v>
      </c>
      <c r="D21" s="230">
        <f>原料本月!I11</f>
        <v>5042.2981007323033</v>
      </c>
      <c r="E21" s="235"/>
      <c r="F21" s="225">
        <f>D20*0.66+D22*0.39</f>
        <v>7830.2332586918492</v>
      </c>
      <c r="G21" s="226">
        <v>6289</v>
      </c>
      <c r="H21" s="224" t="s">
        <v>253</v>
      </c>
    </row>
    <row r="22" spans="1:9">
      <c r="A22" s="224" t="s">
        <v>254</v>
      </c>
      <c r="B22" s="224">
        <f t="shared" si="3"/>
        <v>13989.8</v>
      </c>
      <c r="C22" s="224" t="s">
        <v>122</v>
      </c>
      <c r="D22" s="230">
        <f>原料本月!I12</f>
        <v>9176.9966458441795</v>
      </c>
      <c r="E22" s="235"/>
      <c r="F22" s="225">
        <f>D20*0.72+D21*0.31</f>
        <v>6200.7901204771442</v>
      </c>
      <c r="G22" s="226">
        <v>7789</v>
      </c>
      <c r="H22" s="224" t="s">
        <v>255</v>
      </c>
    </row>
    <row r="23" spans="1:9">
      <c r="A23" s="232"/>
      <c r="B23" s="232"/>
      <c r="C23" s="232"/>
      <c r="D23" s="233"/>
      <c r="E23" s="232"/>
      <c r="F23" s="233"/>
      <c r="G23" s="234"/>
      <c r="H23" s="232"/>
    </row>
    <row r="24" spans="1:9">
      <c r="A24" s="224"/>
      <c r="B24" s="224"/>
      <c r="C24" s="224"/>
      <c r="D24" s="224"/>
      <c r="E24" s="224"/>
      <c r="F24" s="225"/>
      <c r="G24" s="224"/>
      <c r="H24" s="224"/>
      <c r="I24" s="232"/>
    </row>
    <row r="25" spans="1:9">
      <c r="A25" s="224" t="s">
        <v>256</v>
      </c>
      <c r="B25" s="224">
        <f t="shared" ref="B25:B26" si="4">INT((F25+G25)*10+0.5)/10</f>
        <v>9473.6</v>
      </c>
      <c r="C25" s="224" t="s">
        <v>120</v>
      </c>
      <c r="D25" s="225">
        <f>D13</f>
        <v>6441.2190406251812</v>
      </c>
      <c r="E25" s="224">
        <v>0.995</v>
      </c>
      <c r="F25" s="225">
        <f>D25*E25</f>
        <v>6409.0129454220551</v>
      </c>
      <c r="G25" s="226">
        <v>3064.55</v>
      </c>
      <c r="H25" s="224"/>
    </row>
    <row r="26" spans="1:9">
      <c r="A26" s="224" t="s">
        <v>241</v>
      </c>
      <c r="B26" s="225">
        <f t="shared" si="4"/>
        <v>1105.9000000000001</v>
      </c>
      <c r="C26" s="224" t="s">
        <v>28</v>
      </c>
      <c r="D26" s="225">
        <f>+B6+70.8</f>
        <v>3371.9</v>
      </c>
      <c r="E26" s="224">
        <v>0.28799999999999998</v>
      </c>
      <c r="F26" s="225">
        <f>+D26*E26</f>
        <v>971.10719999999992</v>
      </c>
      <c r="G26" s="225">
        <v>134.78</v>
      </c>
      <c r="H26" s="224" t="s">
        <v>257</v>
      </c>
      <c r="I26" s="232"/>
    </row>
  </sheetData>
  <sheetProtection selectLockedCells="1"/>
  <mergeCells count="3">
    <mergeCell ref="C2:F2"/>
    <mergeCell ref="G2:G3"/>
    <mergeCell ref="H2:H3"/>
  </mergeCells>
  <phoneticPr fontId="117" type="noConversion"/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6"/>
  <sheetViews>
    <sheetView tabSelected="1" workbookViewId="0">
      <selection activeCell="K7" sqref="K7"/>
    </sheetView>
  </sheetViews>
  <sheetFormatPr defaultColWidth="9" defaultRowHeight="14.4"/>
  <cols>
    <col min="1" max="1" width="13.21875" style="220" customWidth="1"/>
    <col min="2" max="2" width="10.6640625" style="220" customWidth="1"/>
    <col min="3" max="3" width="12.109375" style="220" customWidth="1"/>
    <col min="4" max="4" width="16.88671875" style="220" customWidth="1"/>
    <col min="5" max="5" width="9.33203125" style="220" customWidth="1"/>
    <col min="6" max="6" width="13" style="220" customWidth="1"/>
    <col min="7" max="7" width="11" style="220" customWidth="1"/>
    <col min="8" max="8" width="22.33203125" style="220" customWidth="1"/>
    <col min="9" max="9" width="9.44140625" style="220" customWidth="1"/>
    <col min="10" max="16384" width="9" style="220"/>
  </cols>
  <sheetData>
    <row r="2" spans="1:9">
      <c r="A2" s="221"/>
      <c r="B2" s="221"/>
      <c r="C2" s="528" t="s">
        <v>233</v>
      </c>
      <c r="D2" s="529"/>
      <c r="E2" s="529"/>
      <c r="F2" s="530"/>
      <c r="G2" s="590" t="s">
        <v>234</v>
      </c>
      <c r="H2" s="531" t="s">
        <v>235</v>
      </c>
    </row>
    <row r="3" spans="1:9" ht="39.75" customHeight="1">
      <c r="A3" s="222" t="s">
        <v>236</v>
      </c>
      <c r="B3" s="223" t="s">
        <v>237</v>
      </c>
      <c r="C3" s="222" t="s">
        <v>233</v>
      </c>
      <c r="D3" s="222" t="s">
        <v>238</v>
      </c>
      <c r="E3" s="589" t="s">
        <v>239</v>
      </c>
      <c r="F3" s="222" t="s">
        <v>240</v>
      </c>
      <c r="G3" s="591"/>
      <c r="H3" s="532"/>
    </row>
    <row r="4" spans="1:9">
      <c r="A4" s="224" t="s">
        <v>23</v>
      </c>
      <c r="B4" s="225">
        <f>INT(B26*0.6*10+0.5)/10</f>
        <v>682.3</v>
      </c>
      <c r="C4" s="224" t="s">
        <v>241</v>
      </c>
      <c r="D4" s="226">
        <f>+B26</f>
        <v>1137.0999999999999</v>
      </c>
      <c r="E4" s="224">
        <v>0.6</v>
      </c>
      <c r="F4" s="225"/>
      <c r="G4" s="225"/>
      <c r="H4" s="224" t="s">
        <v>242</v>
      </c>
      <c r="I4" s="232"/>
    </row>
    <row r="5" spans="1:9">
      <c r="A5" s="224" t="s">
        <v>26</v>
      </c>
      <c r="B5" s="225">
        <f>INT((F5+G5)*10+0.5)/10</f>
        <v>1604.2</v>
      </c>
      <c r="C5" s="224" t="s">
        <v>243</v>
      </c>
      <c r="D5" s="226">
        <f>+B26*0.5</f>
        <v>568.54999999999995</v>
      </c>
      <c r="E5" s="224">
        <v>2.0609999999999999</v>
      </c>
      <c r="F5" s="225">
        <f t="shared" ref="F5:F11" si="0">+D5*E5</f>
        <v>1171.7815499999999</v>
      </c>
      <c r="G5" s="224">
        <v>432.45</v>
      </c>
      <c r="H5" s="224" t="s">
        <v>244</v>
      </c>
      <c r="I5" s="232"/>
    </row>
    <row r="6" spans="1:9">
      <c r="A6" s="224" t="s">
        <v>28</v>
      </c>
      <c r="B6" s="227">
        <f>INT((F6+G6-70.8)*10+0.5)/10</f>
        <v>3409.6</v>
      </c>
      <c r="C6" s="224" t="s">
        <v>115</v>
      </c>
      <c r="D6" s="228">
        <f>原料次月!G5</f>
        <v>1356.5802683559064</v>
      </c>
      <c r="E6" s="224">
        <v>1.4850000000000001</v>
      </c>
      <c r="F6" s="225">
        <f t="shared" si="0"/>
        <v>2014.521698508521</v>
      </c>
      <c r="G6" s="225">
        <v>1465.88</v>
      </c>
      <c r="H6" s="224" t="s">
        <v>245</v>
      </c>
      <c r="I6" s="232"/>
    </row>
    <row r="7" spans="1:9">
      <c r="A7" s="224" t="s">
        <v>31</v>
      </c>
      <c r="B7" s="224">
        <f t="shared" ref="B7:B17" si="1">INT((F7+G7)*10+0.5)/10</f>
        <v>338.1</v>
      </c>
      <c r="C7" s="229" t="s">
        <v>119</v>
      </c>
      <c r="D7" s="228">
        <f>原料次月!G9</f>
        <v>1010.9123739753795</v>
      </c>
      <c r="E7" s="224">
        <v>0.317</v>
      </c>
      <c r="F7" s="225">
        <f t="shared" si="0"/>
        <v>320.45922255019531</v>
      </c>
      <c r="G7" s="224">
        <v>17.62</v>
      </c>
      <c r="H7" s="224"/>
      <c r="I7" s="232"/>
    </row>
    <row r="8" spans="1:9">
      <c r="A8" s="224" t="s">
        <v>32</v>
      </c>
      <c r="B8" s="224">
        <f t="shared" si="1"/>
        <v>308.60000000000002</v>
      </c>
      <c r="C8" s="224" t="s">
        <v>119</v>
      </c>
      <c r="D8" s="226">
        <f>D7</f>
        <v>1010.9123739753795</v>
      </c>
      <c r="E8" s="224">
        <v>0.317</v>
      </c>
      <c r="F8" s="225">
        <f t="shared" si="0"/>
        <v>320.45922255019531</v>
      </c>
      <c r="G8" s="224">
        <v>-11.88</v>
      </c>
      <c r="H8" s="224"/>
      <c r="I8" s="232"/>
    </row>
    <row r="9" spans="1:9">
      <c r="A9" s="224" t="s">
        <v>34</v>
      </c>
      <c r="B9" s="224">
        <v>100</v>
      </c>
      <c r="C9" s="224"/>
      <c r="D9" s="224"/>
      <c r="E9" s="224"/>
      <c r="F9" s="225">
        <f t="shared" si="0"/>
        <v>0</v>
      </c>
      <c r="G9" s="224"/>
      <c r="H9" s="224" t="s">
        <v>246</v>
      </c>
      <c r="I9" s="232"/>
    </row>
    <row r="10" spans="1:9">
      <c r="A10" s="224" t="s">
        <v>37</v>
      </c>
      <c r="B10" s="224">
        <v>200</v>
      </c>
      <c r="C10" s="224"/>
      <c r="D10" s="224"/>
      <c r="E10" s="224"/>
      <c r="F10" s="225">
        <f t="shared" si="0"/>
        <v>0</v>
      </c>
      <c r="G10" s="224"/>
      <c r="H10" s="224" t="s">
        <v>247</v>
      </c>
      <c r="I10" s="232"/>
    </row>
    <row r="11" spans="1:9">
      <c r="A11" s="224" t="s">
        <v>39</v>
      </c>
      <c r="B11" s="224">
        <f t="shared" si="1"/>
        <v>651.4</v>
      </c>
      <c r="C11" s="224" t="s">
        <v>248</v>
      </c>
      <c r="D11" s="230">
        <f>原料次月!G7*0.6+原料次月!G8*0.4</f>
        <v>421.82953332626744</v>
      </c>
      <c r="E11" s="224">
        <v>0.503</v>
      </c>
      <c r="F11" s="225">
        <f t="shared" si="0"/>
        <v>212.18025526311251</v>
      </c>
      <c r="G11" s="224">
        <v>439.23</v>
      </c>
      <c r="H11" s="224"/>
      <c r="I11" s="232"/>
    </row>
    <row r="12" spans="1:9">
      <c r="A12" s="224" t="s">
        <v>42</v>
      </c>
      <c r="B12" s="224">
        <f t="shared" si="1"/>
        <v>8018.9</v>
      </c>
      <c r="C12" s="224" t="s">
        <v>45</v>
      </c>
      <c r="D12" s="224">
        <f>+B13</f>
        <v>5065</v>
      </c>
      <c r="E12" s="231">
        <v>1.337</v>
      </c>
      <c r="F12" s="225">
        <f>D12*E12</f>
        <v>6771.9049999999997</v>
      </c>
      <c r="G12" s="226">
        <v>1247.02</v>
      </c>
      <c r="H12" s="224"/>
      <c r="I12" s="236"/>
    </row>
    <row r="13" spans="1:9">
      <c r="A13" s="224" t="s">
        <v>45</v>
      </c>
      <c r="B13" s="224">
        <f t="shared" si="1"/>
        <v>5065</v>
      </c>
      <c r="C13" s="224" t="s">
        <v>120</v>
      </c>
      <c r="D13" s="230">
        <f>原料次月!G10</f>
        <v>6402.6185985015727</v>
      </c>
      <c r="E13" s="231">
        <v>0.63500000000000001</v>
      </c>
      <c r="F13" s="225">
        <f>D13*E13</f>
        <v>4065.6628100484986</v>
      </c>
      <c r="G13" s="226">
        <v>999.3</v>
      </c>
      <c r="H13" s="224"/>
    </row>
    <row r="14" spans="1:9">
      <c r="A14" s="224" t="s">
        <v>46</v>
      </c>
      <c r="B14" s="224">
        <f t="shared" si="1"/>
        <v>10414.299999999999</v>
      </c>
      <c r="C14" s="224" t="s">
        <v>42</v>
      </c>
      <c r="D14" s="224">
        <f>+B12</f>
        <v>8018.9</v>
      </c>
      <c r="E14" s="224">
        <v>1.0011000000000001</v>
      </c>
      <c r="F14" s="225">
        <f>D14*E14</f>
        <v>8027.7207900000003</v>
      </c>
      <c r="G14" s="226">
        <v>2386.5700000000002</v>
      </c>
      <c r="H14" s="224"/>
    </row>
    <row r="15" spans="1:9">
      <c r="A15" s="224" t="s">
        <v>48</v>
      </c>
      <c r="B15" s="224">
        <f t="shared" si="1"/>
        <v>5286.7</v>
      </c>
      <c r="C15" s="224" t="s">
        <v>120</v>
      </c>
      <c r="D15" s="230">
        <f>D13</f>
        <v>6402.6185985015727</v>
      </c>
      <c r="E15" s="224">
        <v>0.72499999999999998</v>
      </c>
      <c r="F15" s="225">
        <f>+D15*E15</f>
        <v>4641.8984839136401</v>
      </c>
      <c r="G15" s="226">
        <v>644.83000000000004</v>
      </c>
      <c r="H15" s="224"/>
    </row>
    <row r="16" spans="1:9">
      <c r="A16" s="232" t="s">
        <v>50</v>
      </c>
      <c r="B16" s="225">
        <f t="shared" si="1"/>
        <v>5552.8</v>
      </c>
      <c r="C16" s="224" t="s">
        <v>48</v>
      </c>
      <c r="D16" s="224">
        <f>+B15</f>
        <v>5286.7</v>
      </c>
      <c r="E16" s="224">
        <v>0.73599999999999999</v>
      </c>
      <c r="F16" s="225">
        <f t="shared" ref="F16:F17" si="2">D16*E16</f>
        <v>3891.0111999999999</v>
      </c>
      <c r="G16" s="226">
        <v>1661.74</v>
      </c>
      <c r="H16" s="224" t="s">
        <v>249</v>
      </c>
    </row>
    <row r="17" spans="1:9">
      <c r="A17" s="232" t="s">
        <v>90</v>
      </c>
      <c r="B17" s="225">
        <f t="shared" si="1"/>
        <v>5552.8</v>
      </c>
      <c r="C17" s="224" t="s">
        <v>48</v>
      </c>
      <c r="D17" s="224">
        <f>+B15</f>
        <v>5286.7</v>
      </c>
      <c r="E17" s="224">
        <v>0.73599999999999999</v>
      </c>
      <c r="F17" s="225">
        <f t="shared" si="2"/>
        <v>3891.0111999999999</v>
      </c>
      <c r="G17" s="226">
        <v>1661.74</v>
      </c>
      <c r="H17" s="224" t="s">
        <v>249</v>
      </c>
    </row>
    <row r="18" spans="1:9">
      <c r="A18" s="224" t="s">
        <v>56</v>
      </c>
      <c r="B18" s="225">
        <f>+B17</f>
        <v>5552.8</v>
      </c>
      <c r="C18" s="224"/>
      <c r="D18" s="224"/>
      <c r="E18" s="224"/>
      <c r="F18" s="225"/>
      <c r="G18" s="226"/>
      <c r="H18" s="224" t="s">
        <v>249</v>
      </c>
    </row>
    <row r="19" spans="1:9">
      <c r="A19" s="232"/>
      <c r="B19" s="232"/>
      <c r="C19" s="232"/>
      <c r="D19" s="233"/>
      <c r="E19" s="232"/>
      <c r="F19" s="233"/>
      <c r="G19" s="234"/>
      <c r="H19" s="232"/>
    </row>
    <row r="20" spans="1:9">
      <c r="A20" s="224" t="s">
        <v>250</v>
      </c>
      <c r="B20" s="224">
        <f>INT((F20+G20)*10+0.5)/10</f>
        <v>9820.2000000000007</v>
      </c>
      <c r="C20" s="224" t="s">
        <v>120</v>
      </c>
      <c r="D20" s="230">
        <f>D13</f>
        <v>6402.6185985015727</v>
      </c>
      <c r="E20" s="235"/>
      <c r="F20" s="225">
        <f>D20*0.46+D21*0.69</f>
        <v>6568.21921919541</v>
      </c>
      <c r="G20" s="226">
        <v>3252</v>
      </c>
      <c r="H20" s="224" t="s">
        <v>251</v>
      </c>
    </row>
    <row r="21" spans="1:9">
      <c r="A21" s="224" t="s">
        <v>252</v>
      </c>
      <c r="B21" s="224">
        <f t="shared" ref="B21:B22" si="3">INT((F21+G21)*10+0.5)/10</f>
        <v>14432.1</v>
      </c>
      <c r="C21" s="224" t="s">
        <v>121</v>
      </c>
      <c r="D21" s="230">
        <f>原料次月!G11</f>
        <v>5250.7458896879516</v>
      </c>
      <c r="E21" s="235"/>
      <c r="F21" s="225">
        <f>D20*0.66+D22*0.39</f>
        <v>8143.131796434388</v>
      </c>
      <c r="G21" s="226">
        <v>6289</v>
      </c>
      <c r="H21" s="224" t="s">
        <v>253</v>
      </c>
      <c r="I21" s="237"/>
    </row>
    <row r="22" spans="1:9">
      <c r="A22" s="224" t="s">
        <v>254</v>
      </c>
      <c r="B22" s="224">
        <f t="shared" si="3"/>
        <v>14026.6</v>
      </c>
      <c r="C22" s="224" t="s">
        <v>122</v>
      </c>
      <c r="D22" s="230">
        <f>原料次月!G12</f>
        <v>10044.624413906025</v>
      </c>
      <c r="E22" s="235"/>
      <c r="F22" s="225">
        <f>D20*0.72+D21*0.31</f>
        <v>6237.6166167243973</v>
      </c>
      <c r="G22" s="226">
        <v>7789</v>
      </c>
      <c r="H22" s="224" t="s">
        <v>255</v>
      </c>
    </row>
    <row r="23" spans="1:9">
      <c r="A23" s="232"/>
      <c r="B23" s="232"/>
      <c r="C23" s="232"/>
      <c r="D23" s="233"/>
      <c r="E23" s="232"/>
      <c r="F23" s="233"/>
      <c r="G23" s="234"/>
      <c r="H23" s="232"/>
    </row>
    <row r="24" spans="1:9">
      <c r="A24" s="224"/>
      <c r="B24" s="224"/>
      <c r="C24" s="224"/>
      <c r="D24" s="224"/>
      <c r="E24" s="224"/>
      <c r="F24" s="225"/>
      <c r="G24" s="224"/>
      <c r="H24" s="224"/>
      <c r="I24" s="232"/>
    </row>
    <row r="25" spans="1:9">
      <c r="A25" s="224" t="s">
        <v>256</v>
      </c>
      <c r="B25" s="224">
        <f t="shared" ref="B25:B26" si="4">INT((F25+G25)*10+0.5)/10</f>
        <v>9435.2000000000007</v>
      </c>
      <c r="C25" s="224" t="s">
        <v>120</v>
      </c>
      <c r="D25" s="225">
        <f>D13</f>
        <v>6402.6185985015727</v>
      </c>
      <c r="E25" s="224">
        <v>0.995</v>
      </c>
      <c r="F25" s="225">
        <f>D25*E25</f>
        <v>6370.6055055090646</v>
      </c>
      <c r="G25" s="226">
        <v>3064.55</v>
      </c>
      <c r="H25" s="224"/>
      <c r="I25" s="237"/>
    </row>
    <row r="26" spans="1:9">
      <c r="A26" s="224" t="s">
        <v>241</v>
      </c>
      <c r="B26" s="225">
        <f t="shared" si="4"/>
        <v>1137.0999999999999</v>
      </c>
      <c r="C26" s="224" t="s">
        <v>28</v>
      </c>
      <c r="D26" s="225">
        <f>+B6+70.8</f>
        <v>3480.4</v>
      </c>
      <c r="E26" s="224">
        <v>0.28799999999999998</v>
      </c>
      <c r="F26" s="225">
        <f>+D26*E26</f>
        <v>1002.3552</v>
      </c>
      <c r="G26" s="225">
        <v>134.78</v>
      </c>
      <c r="H26" s="224" t="s">
        <v>257</v>
      </c>
      <c r="I26" s="232"/>
    </row>
  </sheetData>
  <sheetProtection selectLockedCells="1"/>
  <mergeCells count="3">
    <mergeCell ref="C2:F2"/>
    <mergeCell ref="G2:G3"/>
    <mergeCell ref="H2:H3"/>
  </mergeCells>
  <phoneticPr fontId="117" type="noConversion"/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8"/>
  <sheetViews>
    <sheetView workbookViewId="0">
      <pane ySplit="3" topLeftCell="A10" activePane="bottomLeft" state="frozen"/>
      <selection pane="bottomLeft" activeCell="Q11" sqref="Q11"/>
    </sheetView>
  </sheetViews>
  <sheetFormatPr defaultColWidth="9" defaultRowHeight="14.4"/>
  <cols>
    <col min="1" max="1" width="6" style="132" customWidth="1"/>
    <col min="2" max="2" width="13.44140625" style="132" customWidth="1"/>
    <col min="3" max="3" width="9.88671875" style="133" customWidth="1"/>
    <col min="4" max="4" width="12.77734375" style="134" customWidth="1"/>
    <col min="5" max="6" width="13" style="134" customWidth="1"/>
    <col min="7" max="7" width="2.109375" style="134" customWidth="1"/>
    <col min="8" max="8" width="13" style="135" customWidth="1"/>
    <col min="9" max="9" width="10.44140625" style="135" customWidth="1"/>
    <col min="10" max="10" width="11.6640625" style="134" customWidth="1"/>
    <col min="11" max="12" width="13" style="134" customWidth="1"/>
    <col min="13" max="13" width="2.33203125" style="132" customWidth="1"/>
    <col min="14" max="14" width="13" style="135" customWidth="1"/>
    <col min="15" max="15" width="10.44140625" style="135" customWidth="1"/>
    <col min="16" max="16" width="11.6640625" style="134" customWidth="1"/>
    <col min="17" max="18" width="13" style="134" customWidth="1"/>
    <col min="19" max="16384" width="9" style="132"/>
  </cols>
  <sheetData>
    <row r="1" spans="1:18" ht="28.2" customHeight="1">
      <c r="A1" s="533" t="s">
        <v>258</v>
      </c>
      <c r="B1" s="533"/>
      <c r="C1" s="533"/>
      <c r="D1" s="533"/>
      <c r="E1" s="533"/>
      <c r="F1" s="533"/>
      <c r="G1" s="210"/>
      <c r="H1" s="534" t="s">
        <v>259</v>
      </c>
      <c r="I1" s="534"/>
      <c r="J1" s="534"/>
      <c r="K1" s="534"/>
      <c r="L1" s="534"/>
      <c r="N1" s="535" t="s">
        <v>260</v>
      </c>
      <c r="O1" s="535"/>
      <c r="P1" s="535"/>
      <c r="Q1" s="535"/>
      <c r="R1" s="535"/>
    </row>
    <row r="2" spans="1:18" ht="28.95" customHeight="1">
      <c r="A2" s="138"/>
      <c r="B2" s="536">
        <v>44835</v>
      </c>
      <c r="C2" s="536"/>
      <c r="D2" s="536"/>
      <c r="E2" s="536"/>
      <c r="F2" s="536"/>
      <c r="G2" s="139"/>
      <c r="H2" s="536">
        <f>B2</f>
        <v>44835</v>
      </c>
      <c r="I2" s="536"/>
      <c r="J2" s="536"/>
      <c r="K2" s="536"/>
      <c r="L2" s="536"/>
      <c r="N2" s="536">
        <v>44866</v>
      </c>
      <c r="O2" s="536"/>
      <c r="P2" s="536"/>
      <c r="Q2" s="536"/>
      <c r="R2" s="536"/>
    </row>
    <row r="3" spans="1:18" ht="32.25" customHeight="1">
      <c r="A3" s="140" t="s">
        <v>74</v>
      </c>
      <c r="B3" s="140" t="s">
        <v>261</v>
      </c>
      <c r="C3" s="141" t="s">
        <v>262</v>
      </c>
      <c r="D3" s="142" t="s">
        <v>263</v>
      </c>
      <c r="E3" s="196" t="s">
        <v>264</v>
      </c>
      <c r="F3" s="142" t="s">
        <v>265</v>
      </c>
      <c r="G3" s="142"/>
      <c r="H3" s="140" t="s">
        <v>261</v>
      </c>
      <c r="I3" s="168" t="s">
        <v>262</v>
      </c>
      <c r="J3" s="168" t="s">
        <v>266</v>
      </c>
      <c r="K3" s="196" t="s">
        <v>264</v>
      </c>
      <c r="L3" s="142" t="s">
        <v>265</v>
      </c>
      <c r="N3" s="140" t="s">
        <v>261</v>
      </c>
      <c r="O3" s="168" t="s">
        <v>262</v>
      </c>
      <c r="P3" s="168" t="s">
        <v>266</v>
      </c>
      <c r="Q3" s="196" t="s">
        <v>264</v>
      </c>
      <c r="R3" s="142" t="s">
        <v>265</v>
      </c>
    </row>
    <row r="4" spans="1:18" ht="24.9" customHeight="1">
      <c r="A4" s="140">
        <v>1</v>
      </c>
      <c r="B4" s="143" t="s">
        <v>42</v>
      </c>
      <c r="C4" s="152">
        <f>产品本月!G13</f>
        <v>16200</v>
      </c>
      <c r="D4" s="152">
        <f>产品本月!H13</f>
        <v>9115.0442477876113</v>
      </c>
      <c r="E4" s="145">
        <f>D4-本月产品成本测算!B12</f>
        <v>1063.3442477876115</v>
      </c>
      <c r="F4" s="145">
        <f>C4*E4/10000</f>
        <v>1722.6176814159307</v>
      </c>
      <c r="G4" s="145"/>
      <c r="H4" s="144" t="s">
        <v>42</v>
      </c>
      <c r="I4" s="152">
        <v>16200</v>
      </c>
      <c r="J4" s="142">
        <v>8938.0530973451296</v>
      </c>
      <c r="K4" s="145">
        <v>963.15309734513403</v>
      </c>
      <c r="L4" s="145">
        <f>I4*K4/10000</f>
        <v>1560.3080176991173</v>
      </c>
      <c r="M4" s="135"/>
      <c r="N4" s="144" t="s">
        <v>42</v>
      </c>
      <c r="O4" s="152">
        <f>产品次月!E13</f>
        <v>16500</v>
      </c>
      <c r="P4" s="142">
        <f>产品次月!F13</f>
        <v>9292.0353982300894</v>
      </c>
      <c r="Q4" s="145">
        <f>P4-次月产品成本测算!B12</f>
        <v>1273.1353982300898</v>
      </c>
      <c r="R4" s="145">
        <f>O4*Q4/10000</f>
        <v>2100.6734070796483</v>
      </c>
    </row>
    <row r="5" spans="1:18" ht="24.9" customHeight="1">
      <c r="A5" s="140">
        <v>2</v>
      </c>
      <c r="B5" s="143" t="s">
        <v>45</v>
      </c>
      <c r="C5" s="152">
        <f>产品本月!G15</f>
        <v>0</v>
      </c>
      <c r="D5" s="152">
        <f>产品本月!H15</f>
        <v>0</v>
      </c>
      <c r="E5" s="211"/>
      <c r="F5" s="145">
        <f>C5*E5/10000</f>
        <v>0</v>
      </c>
      <c r="G5" s="145"/>
      <c r="H5" s="144" t="s">
        <v>45</v>
      </c>
      <c r="I5" s="152">
        <v>0</v>
      </c>
      <c r="J5" s="142">
        <v>0</v>
      </c>
      <c r="K5" s="211"/>
      <c r="L5" s="145">
        <f>I5*K5/10000</f>
        <v>0</v>
      </c>
      <c r="M5" s="135"/>
      <c r="N5" s="144" t="s">
        <v>45</v>
      </c>
      <c r="O5" s="152">
        <f>产品次月!E15</f>
        <v>0</v>
      </c>
      <c r="P5" s="142">
        <f>产品次月!F15</f>
        <v>0</v>
      </c>
      <c r="Q5" s="211"/>
      <c r="R5" s="145">
        <f>O5*Q5/10000</f>
        <v>0</v>
      </c>
    </row>
    <row r="6" spans="1:18" ht="24.9" customHeight="1">
      <c r="A6" s="140" t="s">
        <v>267</v>
      </c>
      <c r="B6" s="143"/>
      <c r="C6" s="141"/>
      <c r="D6" s="152"/>
      <c r="E6" s="144"/>
      <c r="F6" s="146">
        <f>SUM(F4:F5)</f>
        <v>1722.6176814159307</v>
      </c>
      <c r="G6" s="145"/>
      <c r="H6" s="144"/>
      <c r="I6" s="152"/>
      <c r="J6" s="142"/>
      <c r="K6" s="144"/>
      <c r="L6" s="146">
        <f>SUM(L4:L5)</f>
        <v>1560.3080176991173</v>
      </c>
      <c r="M6" s="135"/>
      <c r="N6" s="144"/>
      <c r="O6" s="152"/>
      <c r="P6" s="142"/>
      <c r="Q6" s="144"/>
      <c r="R6" s="146">
        <f>SUM(R4:R5)</f>
        <v>2100.6734070796483</v>
      </c>
    </row>
    <row r="7" spans="1:18" ht="24.9" customHeight="1">
      <c r="A7" s="140">
        <v>3</v>
      </c>
      <c r="B7" s="143" t="s">
        <v>48</v>
      </c>
      <c r="C7" s="152">
        <f>产品本月!G17</f>
        <v>4500</v>
      </c>
      <c r="D7" s="152">
        <f>产品本月!H17</f>
        <v>6637.1681415929206</v>
      </c>
      <c r="E7" s="145">
        <f>D7-本月产品成本测算!B15</f>
        <v>1322.4681415929208</v>
      </c>
      <c r="F7" s="145">
        <f>C7*E7/10000</f>
        <v>595.11066371681443</v>
      </c>
      <c r="G7" s="145"/>
      <c r="H7" s="144" t="s">
        <v>48</v>
      </c>
      <c r="I7" s="152">
        <v>4500</v>
      </c>
      <c r="J7" s="142">
        <v>5840.7079646017701</v>
      </c>
      <c r="K7" s="145">
        <v>591.50796460177003</v>
      </c>
      <c r="L7" s="145">
        <f>I7*K7/10000</f>
        <v>266.17858407079655</v>
      </c>
      <c r="M7" s="135"/>
      <c r="N7" s="144" t="s">
        <v>48</v>
      </c>
      <c r="O7" s="152">
        <f>产品次月!E17</f>
        <v>4380</v>
      </c>
      <c r="P7" s="142">
        <f>产品次月!F17</f>
        <v>6637.1681415929206</v>
      </c>
      <c r="Q7" s="145">
        <f>P7-次月产品成本测算!B15</f>
        <v>1350.4681415929208</v>
      </c>
      <c r="R7" s="145">
        <f>O7*Q7/10000</f>
        <v>591.50504601769933</v>
      </c>
    </row>
    <row r="8" spans="1:18" ht="24.9" customHeight="1">
      <c r="A8" s="140">
        <v>4</v>
      </c>
      <c r="B8" s="143" t="s">
        <v>50</v>
      </c>
      <c r="C8" s="152">
        <f>产品本月!G18</f>
        <v>4550</v>
      </c>
      <c r="D8" s="152">
        <f>产品本月!H18</f>
        <v>8495.575221238938</v>
      </c>
      <c r="E8" s="145">
        <f>D8-本月产品成本测算!B16</f>
        <v>2922.1752212389383</v>
      </c>
      <c r="F8" s="145">
        <f>C8*E8/10000</f>
        <v>1329.589725663717</v>
      </c>
      <c r="G8" s="145"/>
      <c r="H8" s="144" t="s">
        <v>50</v>
      </c>
      <c r="I8" s="152">
        <v>4250</v>
      </c>
      <c r="J8" s="142">
        <v>7964.60176991151</v>
      </c>
      <c r="K8" s="145">
        <v>2439.4017699115102</v>
      </c>
      <c r="L8" s="145">
        <f>I8*K8/10000</f>
        <v>1036.7457522123918</v>
      </c>
      <c r="M8" s="135"/>
      <c r="N8" s="144" t="s">
        <v>50</v>
      </c>
      <c r="O8" s="152">
        <f>产品次月!E18</f>
        <v>5400</v>
      </c>
      <c r="P8" s="142">
        <f>产品次月!F18</f>
        <v>8628.3185840707974</v>
      </c>
      <c r="Q8" s="145">
        <f>P8-次月产品成本测算!B16</f>
        <v>3075.5185840707973</v>
      </c>
      <c r="R8" s="145">
        <f>O8*Q8/10000</f>
        <v>1660.7800353982304</v>
      </c>
    </row>
    <row r="9" spans="1:18" ht="24.9" customHeight="1">
      <c r="A9" s="140">
        <v>5</v>
      </c>
      <c r="B9" s="143" t="s">
        <v>90</v>
      </c>
      <c r="C9" s="152">
        <f>产品本月!G19</f>
        <v>2450</v>
      </c>
      <c r="D9" s="152">
        <f>产品本月!H19</f>
        <v>4690.2654867256642</v>
      </c>
      <c r="E9" s="145">
        <f>D9-本月产品成本测算!B17</f>
        <v>-883.1345132743354</v>
      </c>
      <c r="F9" s="145">
        <f>C9*E9/10000</f>
        <v>-216.36795575221217</v>
      </c>
      <c r="G9" s="145"/>
      <c r="H9" s="144" t="s">
        <v>90</v>
      </c>
      <c r="I9" s="152">
        <v>2250</v>
      </c>
      <c r="J9" s="142">
        <v>4424.7787610619498</v>
      </c>
      <c r="K9" s="145">
        <v>-1100.42123893805</v>
      </c>
      <c r="L9" s="145">
        <f>I9*K9/10000</f>
        <v>-247.59477876106124</v>
      </c>
      <c r="M9" s="135"/>
      <c r="N9" s="144" t="s">
        <v>90</v>
      </c>
      <c r="O9" s="152">
        <f>产品次月!E19</f>
        <v>3000</v>
      </c>
      <c r="P9" s="142">
        <f>产品次月!F19</f>
        <v>3982.3008849557527</v>
      </c>
      <c r="Q9" s="145">
        <f>P9-次月产品成本测算!B17</f>
        <v>-1570.4991150442474</v>
      </c>
      <c r="R9" s="145">
        <f>O9*Q9/10000</f>
        <v>-471.14973451327421</v>
      </c>
    </row>
    <row r="10" spans="1:18" ht="24.9" customHeight="1">
      <c r="A10" s="140" t="s">
        <v>267</v>
      </c>
      <c r="B10" s="140"/>
      <c r="C10" s="141"/>
      <c r="D10" s="152"/>
      <c r="E10" s="145"/>
      <c r="F10" s="147">
        <f>SUM(F7:F9)</f>
        <v>1708.3324336283192</v>
      </c>
      <c r="G10" s="145"/>
      <c r="H10" s="144"/>
      <c r="I10" s="152"/>
      <c r="J10" s="142"/>
      <c r="K10" s="145"/>
      <c r="L10" s="147">
        <f>SUM(L7:L9)</f>
        <v>1055.3295575221273</v>
      </c>
      <c r="N10" s="144"/>
      <c r="O10" s="152"/>
      <c r="P10" s="142"/>
      <c r="Q10" s="145"/>
      <c r="R10" s="147">
        <f>SUM(R7:R9)</f>
        <v>1781.1353469026553</v>
      </c>
    </row>
    <row r="11" spans="1:18" ht="24.9" customHeight="1">
      <c r="A11" s="148">
        <v>7</v>
      </c>
      <c r="B11" s="143" t="s">
        <v>57</v>
      </c>
      <c r="C11" s="152">
        <f>产品本月!G23</f>
        <v>3050</v>
      </c>
      <c r="D11" s="152">
        <f>产品本月!H23</f>
        <v>11415.929203539825</v>
      </c>
      <c r="E11" s="145">
        <f>D11-本月产品成本测算!B20</f>
        <v>1721.8292035398244</v>
      </c>
      <c r="F11" s="145">
        <f>C11*E11/10000</f>
        <v>525.15790707964641</v>
      </c>
      <c r="G11" s="145"/>
      <c r="H11" s="144" t="s">
        <v>57</v>
      </c>
      <c r="I11" s="152">
        <v>3000</v>
      </c>
      <c r="J11" s="142">
        <v>11061.9469026549</v>
      </c>
      <c r="K11" s="145">
        <v>1368.44690265487</v>
      </c>
      <c r="L11" s="145">
        <f t="shared" ref="L11:L13" si="0">I11*K11/10000</f>
        <v>410.53407079646098</v>
      </c>
      <c r="N11" s="144" t="s">
        <v>57</v>
      </c>
      <c r="O11" s="152">
        <f>产品次月!E23</f>
        <v>2900</v>
      </c>
      <c r="P11" s="142">
        <f>产品次月!F23</f>
        <v>12389.380530973453</v>
      </c>
      <c r="Q11" s="145">
        <f>P11-次月产品成本测算!B20</f>
        <v>2569.1805309734518</v>
      </c>
      <c r="R11" s="145">
        <f>O11*Q11/10000</f>
        <v>745.06235398230103</v>
      </c>
    </row>
    <row r="12" spans="1:18" ht="24.9" customHeight="1">
      <c r="A12" s="148">
        <v>8</v>
      </c>
      <c r="B12" s="143" t="s">
        <v>62</v>
      </c>
      <c r="C12" s="152">
        <f>产品本月!G25</f>
        <v>1950</v>
      </c>
      <c r="D12" s="152">
        <f>产品本月!H25</f>
        <v>27433.628318584073</v>
      </c>
      <c r="E12" s="145">
        <f>D12-本月产品成本测算!B21</f>
        <v>13314.428318584072</v>
      </c>
      <c r="F12" s="145">
        <f>C12*E12/10000</f>
        <v>2596.313522123894</v>
      </c>
      <c r="G12" s="145"/>
      <c r="H12" s="144" t="s">
        <v>62</v>
      </c>
      <c r="I12" s="152">
        <v>1850</v>
      </c>
      <c r="J12" s="142">
        <v>27433.628318584098</v>
      </c>
      <c r="K12" s="145">
        <v>13379.228318584101</v>
      </c>
      <c r="L12" s="145">
        <f t="shared" si="0"/>
        <v>2475.1572389380585</v>
      </c>
      <c r="N12" s="144" t="s">
        <v>62</v>
      </c>
      <c r="O12" s="152">
        <f>产品次月!E25</f>
        <v>1550</v>
      </c>
      <c r="P12" s="142">
        <f>产品次月!F25</f>
        <v>26991.15044247788</v>
      </c>
      <c r="Q12" s="145">
        <f>P12-次月产品成本测算!B21</f>
        <v>12559.050442477879</v>
      </c>
      <c r="R12" s="145">
        <f t="shared" ref="R12:R13" si="1">O12*Q12/10000</f>
        <v>1946.6528185840712</v>
      </c>
    </row>
    <row r="13" spans="1:18" ht="24.9" customHeight="1">
      <c r="A13" s="148">
        <v>9</v>
      </c>
      <c r="B13" s="149" t="s">
        <v>268</v>
      </c>
      <c r="C13" s="152"/>
      <c r="D13" s="152"/>
      <c r="E13" s="145"/>
      <c r="F13" s="145"/>
      <c r="G13" s="145"/>
      <c r="H13" s="144" t="s">
        <v>67</v>
      </c>
      <c r="I13" s="152">
        <v>0</v>
      </c>
      <c r="J13" s="142">
        <v>0</v>
      </c>
      <c r="K13" s="145"/>
      <c r="L13" s="145">
        <f t="shared" si="0"/>
        <v>0</v>
      </c>
      <c r="N13" s="144" t="s">
        <v>67</v>
      </c>
      <c r="O13" s="152">
        <f>产品次月!E26</f>
        <v>260</v>
      </c>
      <c r="P13" s="142">
        <f>产品次月!F26</f>
        <v>27433.628318584073</v>
      </c>
      <c r="Q13" s="145">
        <f>P13-次月产品成本测算!B22</f>
        <v>13407.028318584073</v>
      </c>
      <c r="R13" s="145">
        <f t="shared" si="1"/>
        <v>348.58273628318591</v>
      </c>
    </row>
    <row r="14" spans="1:18" ht="24.9" customHeight="1">
      <c r="A14" s="140" t="s">
        <v>267</v>
      </c>
      <c r="B14" s="150"/>
      <c r="C14" s="141"/>
      <c r="D14" s="152"/>
      <c r="E14" s="145"/>
      <c r="F14" s="151">
        <f>SUM(F11:F13)</f>
        <v>3121.4714292035405</v>
      </c>
      <c r="G14" s="212"/>
      <c r="H14" s="144"/>
      <c r="I14" s="152"/>
      <c r="J14" s="142"/>
      <c r="K14" s="145"/>
      <c r="L14" s="151">
        <f>SUM(L11:L13)</f>
        <v>2885.6913097345196</v>
      </c>
      <c r="N14" s="144"/>
      <c r="O14" s="152"/>
      <c r="P14" s="142"/>
      <c r="Q14" s="145"/>
      <c r="R14" s="151">
        <f>SUM(R11:R13)</f>
        <v>3040.2979088495581</v>
      </c>
    </row>
    <row r="15" spans="1:18" ht="24.9" customHeight="1">
      <c r="A15" s="140">
        <v>10</v>
      </c>
      <c r="B15" s="143" t="s">
        <v>23</v>
      </c>
      <c r="C15" s="152">
        <f>产品本月!G4</f>
        <v>16000</v>
      </c>
      <c r="D15" s="152">
        <f>产品本月!H4</f>
        <v>672.56637168141594</v>
      </c>
      <c r="E15" s="145">
        <f>D15-本月产品成本测算!B4</f>
        <v>9.0663716814159443</v>
      </c>
      <c r="F15" s="145">
        <f t="shared" ref="F15:F23" si="2">C15*E15/10000</f>
        <v>14.506194690265513</v>
      </c>
      <c r="G15" s="145"/>
      <c r="H15" s="144" t="s">
        <v>23</v>
      </c>
      <c r="I15" s="152">
        <v>14000</v>
      </c>
      <c r="J15" s="142">
        <v>730.08849557522103</v>
      </c>
      <c r="K15" s="145">
        <v>69.188495575221296</v>
      </c>
      <c r="L15" s="145">
        <f t="shared" ref="L15:L16" si="3">I15*K15/10000</f>
        <v>96.863893805309814</v>
      </c>
      <c r="N15" s="144" t="s">
        <v>23</v>
      </c>
      <c r="O15" s="152">
        <f>产品次月!E4</f>
        <v>15100</v>
      </c>
      <c r="P15" s="142">
        <f>产品次月!F4</f>
        <v>681.41592920353992</v>
      </c>
      <c r="Q15" s="145">
        <f>P15-次月产品成本测算!B4</f>
        <v>-0.88407079646003695</v>
      </c>
      <c r="R15" s="145">
        <f t="shared" ref="R15:R16" si="4">O15*Q15/10000</f>
        <v>-1.3349469026546559</v>
      </c>
    </row>
    <row r="16" spans="1:18" ht="24.9" customHeight="1">
      <c r="A16" s="140">
        <v>12</v>
      </c>
      <c r="B16" s="143" t="s">
        <v>26</v>
      </c>
      <c r="C16" s="152">
        <f>产品本月!G6</f>
        <v>400</v>
      </c>
      <c r="D16" s="152">
        <f>产品本月!H6</f>
        <v>1858.4070796460178</v>
      </c>
      <c r="E16" s="145">
        <f>D16-本月产品成本测算!B5</f>
        <v>286.30707964601788</v>
      </c>
      <c r="F16" s="145">
        <f t="shared" si="2"/>
        <v>11.452283185840715</v>
      </c>
      <c r="G16" s="145"/>
      <c r="H16" s="144" t="s">
        <v>26</v>
      </c>
      <c r="I16" s="152">
        <v>1000</v>
      </c>
      <c r="J16" s="142">
        <v>1769.9115044247801</v>
      </c>
      <c r="K16" s="145">
        <v>202.411504424779</v>
      </c>
      <c r="L16" s="145">
        <f t="shared" si="3"/>
        <v>20.241150442477899</v>
      </c>
      <c r="N16" s="144" t="s">
        <v>26</v>
      </c>
      <c r="O16" s="152">
        <f>产品次月!E6</f>
        <v>200</v>
      </c>
      <c r="P16" s="142">
        <f>产品次月!F6</f>
        <v>1902.6548672566373</v>
      </c>
      <c r="Q16" s="145">
        <f>P16-次月产品成本测算!B5</f>
        <v>298.45486725663727</v>
      </c>
      <c r="R16" s="145">
        <f t="shared" si="4"/>
        <v>5.9690973451327451</v>
      </c>
    </row>
    <row r="17" spans="1:18" ht="24.9" customHeight="1">
      <c r="A17" s="140">
        <v>13</v>
      </c>
      <c r="B17" s="143" t="s">
        <v>28</v>
      </c>
      <c r="C17" s="152">
        <f>产品本月!G7</f>
        <v>8500</v>
      </c>
      <c r="D17" s="152">
        <f>产品本月!H7</f>
        <v>3318.5840707964603</v>
      </c>
      <c r="E17" s="145">
        <f>D17-本月产品成本测算!B6</f>
        <v>17.484070796460401</v>
      </c>
      <c r="F17" s="145">
        <f t="shared" si="2"/>
        <v>14.86146017699134</v>
      </c>
      <c r="G17" s="145"/>
      <c r="H17" s="144" t="s">
        <v>28</v>
      </c>
      <c r="I17" s="152">
        <v>7000</v>
      </c>
      <c r="J17" s="142">
        <v>3230.0884955752199</v>
      </c>
      <c r="K17" s="145">
        <v>-55.811504424778398</v>
      </c>
      <c r="L17" s="145">
        <f t="shared" ref="L17:L23" si="5">I17*K17/10000</f>
        <v>-39.06805309734488</v>
      </c>
      <c r="N17" s="144" t="s">
        <v>28</v>
      </c>
      <c r="O17" s="152">
        <f>产品次月!E7</f>
        <v>6500</v>
      </c>
      <c r="P17" s="142">
        <f>产品次月!F7</f>
        <v>3097.3451327433631</v>
      </c>
      <c r="Q17" s="145">
        <f>P17-次月产品成本测算!B6</f>
        <v>-312.25486725663677</v>
      </c>
      <c r="R17" s="145">
        <f t="shared" ref="R17:R23" si="6">O17*Q17/10000</f>
        <v>-202.96566371681391</v>
      </c>
    </row>
    <row r="18" spans="1:18" ht="24.9" customHeight="1">
      <c r="A18" s="140">
        <v>14</v>
      </c>
      <c r="B18" s="143" t="s">
        <v>269</v>
      </c>
      <c r="C18" s="152">
        <f>产品本月!G8</f>
        <v>0</v>
      </c>
      <c r="D18" s="152">
        <f>产品本月!H8</f>
        <v>0</v>
      </c>
      <c r="E18" s="145">
        <f>D18-本月产品成本测算!B7</f>
        <v>-318.7</v>
      </c>
      <c r="F18" s="145">
        <f t="shared" si="2"/>
        <v>0</v>
      </c>
      <c r="G18" s="145"/>
      <c r="H18" s="144" t="s">
        <v>31</v>
      </c>
      <c r="I18" s="152">
        <v>0</v>
      </c>
      <c r="J18" s="142">
        <v>353.98230088495598</v>
      </c>
      <c r="K18" s="145">
        <v>39.882300884955797</v>
      </c>
      <c r="L18" s="145">
        <f t="shared" si="5"/>
        <v>0</v>
      </c>
      <c r="N18" s="144" t="s">
        <v>31</v>
      </c>
      <c r="O18" s="152">
        <f>产品次月!E8</f>
        <v>0</v>
      </c>
      <c r="P18" s="142">
        <f>产品次月!F8</f>
        <v>0</v>
      </c>
      <c r="Q18" s="145">
        <f>P18-次月产品成本测算!B7</f>
        <v>-338.1</v>
      </c>
      <c r="R18" s="145">
        <f t="shared" si="6"/>
        <v>0</v>
      </c>
    </row>
    <row r="19" spans="1:18" ht="24.9" customHeight="1">
      <c r="A19" s="140">
        <v>15</v>
      </c>
      <c r="B19" s="143" t="s">
        <v>86</v>
      </c>
      <c r="C19" s="152">
        <f>产品本月!G9</f>
        <v>300</v>
      </c>
      <c r="D19" s="152">
        <f>产品本月!H9</f>
        <v>393.80530973451329</v>
      </c>
      <c r="E19" s="145">
        <f>D19-本月产品成本测算!B8</f>
        <v>104.6053097345133</v>
      </c>
      <c r="F19" s="145">
        <f t="shared" si="2"/>
        <v>3.1381592920353989</v>
      </c>
      <c r="G19" s="145"/>
      <c r="H19" s="144" t="s">
        <v>32</v>
      </c>
      <c r="I19" s="152">
        <v>300</v>
      </c>
      <c r="J19" s="142">
        <v>575.22123893805303</v>
      </c>
      <c r="K19" s="145">
        <v>290.62123893805301</v>
      </c>
      <c r="L19" s="145">
        <f t="shared" si="5"/>
        <v>8.7186371681415906</v>
      </c>
      <c r="N19" s="144" t="s">
        <v>32</v>
      </c>
      <c r="O19" s="152">
        <f>产品次月!E9</f>
        <v>300</v>
      </c>
      <c r="P19" s="142">
        <f>产品次月!F9</f>
        <v>398.23008849557527</v>
      </c>
      <c r="Q19" s="145">
        <f>P19-次月产品成本测算!B8</f>
        <v>89.630088495575251</v>
      </c>
      <c r="R19" s="145">
        <f t="shared" si="6"/>
        <v>2.6889026548672579</v>
      </c>
    </row>
    <row r="20" spans="1:18" ht="24.9" customHeight="1">
      <c r="A20" s="140">
        <v>16</v>
      </c>
      <c r="B20" s="143" t="s">
        <v>270</v>
      </c>
      <c r="C20" s="152">
        <f>产品本月!G10</f>
        <v>8000</v>
      </c>
      <c r="D20" s="152">
        <f>产品本月!H10</f>
        <v>1.7699115044247788</v>
      </c>
      <c r="E20" s="145">
        <f>D20-本月产品成本测算!B9</f>
        <v>-98.230088495575217</v>
      </c>
      <c r="F20" s="145">
        <f t="shared" si="2"/>
        <v>-78.584070796460168</v>
      </c>
      <c r="G20" s="145"/>
      <c r="H20" s="144" t="s">
        <v>34</v>
      </c>
      <c r="I20" s="152">
        <v>8000</v>
      </c>
      <c r="J20" s="142">
        <v>1.76991150442478</v>
      </c>
      <c r="K20" s="145">
        <v>-98.230088495575203</v>
      </c>
      <c r="L20" s="145">
        <f t="shared" si="5"/>
        <v>-78.584070796460153</v>
      </c>
      <c r="N20" s="144" t="s">
        <v>34</v>
      </c>
      <c r="O20" s="152">
        <f>产品次月!E10</f>
        <v>8600</v>
      </c>
      <c r="P20" s="142">
        <f>产品次月!F10</f>
        <v>1.7699115044247788</v>
      </c>
      <c r="Q20" s="145">
        <f>P20-次月产品成本测算!B9</f>
        <v>-98.230088495575217</v>
      </c>
      <c r="R20" s="145">
        <f t="shared" si="6"/>
        <v>-84.477876106194685</v>
      </c>
    </row>
    <row r="21" spans="1:18" ht="24.9" customHeight="1">
      <c r="A21" s="140">
        <v>17</v>
      </c>
      <c r="B21" s="152" t="s">
        <v>37</v>
      </c>
      <c r="C21" s="152">
        <f>产品本月!G11</f>
        <v>120</v>
      </c>
      <c r="D21" s="152">
        <f>产品本月!H11</f>
        <v>44.247787610619476</v>
      </c>
      <c r="E21" s="145"/>
      <c r="F21" s="145">
        <f t="shared" si="2"/>
        <v>0</v>
      </c>
      <c r="G21" s="145"/>
      <c r="H21" s="144" t="s">
        <v>37</v>
      </c>
      <c r="I21" s="152">
        <v>120</v>
      </c>
      <c r="J21" s="142">
        <v>44.247787610619497</v>
      </c>
      <c r="K21" s="145"/>
      <c r="L21" s="145">
        <f t="shared" si="5"/>
        <v>0</v>
      </c>
      <c r="N21" s="144" t="s">
        <v>37</v>
      </c>
      <c r="O21" s="152">
        <f>产品次月!E11</f>
        <v>300</v>
      </c>
      <c r="P21" s="142">
        <f>产品次月!F11</f>
        <v>44.247787610619476</v>
      </c>
      <c r="Q21" s="145"/>
      <c r="R21" s="145">
        <f t="shared" si="6"/>
        <v>0</v>
      </c>
    </row>
    <row r="22" spans="1:18" ht="24.9" customHeight="1">
      <c r="A22" s="140">
        <v>18</v>
      </c>
      <c r="B22" s="143" t="s">
        <v>87</v>
      </c>
      <c r="C22" s="152">
        <f>产品本月!G12</f>
        <v>13000</v>
      </c>
      <c r="D22" s="152">
        <f>产品本月!H12</f>
        <v>1141.5929203539824</v>
      </c>
      <c r="E22" s="145">
        <f>D22-本月产品成本测算!B11</f>
        <v>491.39292035398239</v>
      </c>
      <c r="F22" s="145">
        <f t="shared" si="2"/>
        <v>638.81079646017713</v>
      </c>
      <c r="G22" s="145"/>
      <c r="H22" s="144" t="s">
        <v>39</v>
      </c>
      <c r="I22" s="152">
        <v>13000</v>
      </c>
      <c r="J22" s="142">
        <v>991.15044247787603</v>
      </c>
      <c r="K22" s="145">
        <v>334.75044247787599</v>
      </c>
      <c r="L22" s="145">
        <f t="shared" si="5"/>
        <v>435.17557522123877</v>
      </c>
      <c r="N22" s="144" t="s">
        <v>39</v>
      </c>
      <c r="O22" s="152">
        <f>产品次月!E12</f>
        <v>14000</v>
      </c>
      <c r="P22" s="142">
        <f>产品次月!F12</f>
        <v>1061.9469026548672</v>
      </c>
      <c r="Q22" s="145">
        <f>P22-次月产品成本测算!B11</f>
        <v>410.54690265486727</v>
      </c>
      <c r="R22" s="145">
        <f t="shared" si="6"/>
        <v>574.76566371681417</v>
      </c>
    </row>
    <row r="23" spans="1:18" ht="24.9" customHeight="1">
      <c r="A23" s="140">
        <v>19</v>
      </c>
      <c r="B23" s="143" t="s">
        <v>89</v>
      </c>
      <c r="C23" s="152">
        <f>产品本月!G16</f>
        <v>0</v>
      </c>
      <c r="D23" s="152">
        <f>产品本月!H16</f>
        <v>0</v>
      </c>
      <c r="E23" s="145">
        <f>D23-本月产品成本测算!B14</f>
        <v>-10447.1</v>
      </c>
      <c r="F23" s="145">
        <f t="shared" si="2"/>
        <v>0</v>
      </c>
      <c r="G23" s="145"/>
      <c r="H23" s="144" t="s">
        <v>46</v>
      </c>
      <c r="I23" s="152">
        <v>0</v>
      </c>
      <c r="J23" s="142">
        <v>12831.858407079601</v>
      </c>
      <c r="K23" s="145">
        <v>2461.6584070796498</v>
      </c>
      <c r="L23" s="145">
        <f t="shared" si="5"/>
        <v>0</v>
      </c>
      <c r="N23" s="144" t="s">
        <v>46</v>
      </c>
      <c r="O23" s="152">
        <f>产品次月!E16</f>
        <v>0</v>
      </c>
      <c r="P23" s="142">
        <f>产品次月!F16</f>
        <v>13628.318584070797</v>
      </c>
      <c r="Q23" s="145">
        <f>P23-次月产品成本测算!B14</f>
        <v>3214.0185840707982</v>
      </c>
      <c r="R23" s="145">
        <f t="shared" si="6"/>
        <v>0</v>
      </c>
    </row>
    <row r="24" spans="1:18" ht="24.9" customHeight="1">
      <c r="A24" s="153" t="s">
        <v>267</v>
      </c>
      <c r="B24" s="154"/>
      <c r="C24" s="155"/>
      <c r="D24" s="156"/>
      <c r="E24" s="157"/>
      <c r="F24" s="158">
        <f>SUM(F15:F23)</f>
        <v>604.18482300884989</v>
      </c>
      <c r="G24" s="213"/>
      <c r="H24" s="159"/>
      <c r="I24" s="159"/>
      <c r="J24" s="159"/>
      <c r="K24" s="157"/>
      <c r="L24" s="158">
        <f>SUM(L15:L23)</f>
        <v>443.34713274336303</v>
      </c>
      <c r="N24" s="159"/>
      <c r="O24" s="159"/>
      <c r="P24" s="159"/>
      <c r="Q24" s="157"/>
      <c r="R24" s="158">
        <f>SUM(R15:R23)</f>
        <v>294.64517699115095</v>
      </c>
    </row>
    <row r="25" spans="1:18" ht="15.6">
      <c r="A25" s="160"/>
      <c r="B25" s="160"/>
      <c r="C25" s="161"/>
      <c r="D25" s="162"/>
      <c r="E25" s="162"/>
      <c r="F25" s="163"/>
      <c r="G25" s="163"/>
      <c r="H25" s="164"/>
      <c r="I25" s="164"/>
      <c r="J25" s="164"/>
      <c r="K25" s="162"/>
      <c r="L25" s="163"/>
      <c r="N25" s="164"/>
      <c r="O25" s="164"/>
      <c r="P25" s="164"/>
      <c r="Q25" s="162"/>
      <c r="R25" s="163"/>
    </row>
    <row r="26" spans="1:18" ht="17.399999999999999">
      <c r="A26" s="135" t="s">
        <v>69</v>
      </c>
      <c r="C26" s="165">
        <f>SUM(C4:C24)</f>
        <v>79020</v>
      </c>
      <c r="D26" s="162"/>
      <c r="E26" s="162"/>
      <c r="F26" s="166">
        <f>F6+F10+F14+F24</f>
        <v>7156.6063672566406</v>
      </c>
      <c r="G26" s="214"/>
      <c r="H26" s="164"/>
      <c r="I26" s="165">
        <f>SUM(I4:I23)</f>
        <v>75470</v>
      </c>
      <c r="J26" s="164"/>
      <c r="K26" s="165"/>
      <c r="L26" s="166">
        <f>L6+L10+L14+L24</f>
        <v>5944.6760176991265</v>
      </c>
      <c r="N26" s="164"/>
      <c r="O26" s="165">
        <f>SUM(O4:O23)</f>
        <v>78990</v>
      </c>
      <c r="P26" s="164"/>
      <c r="Q26" s="219"/>
      <c r="R26" s="166">
        <f>R6+R10+R14+R24</f>
        <v>7216.7518398230131</v>
      </c>
    </row>
    <row r="27" spans="1:18" ht="15.6">
      <c r="E27" s="162"/>
      <c r="H27" s="164"/>
      <c r="I27" s="164"/>
      <c r="J27" s="164"/>
      <c r="N27" s="164"/>
      <c r="O27" s="164"/>
      <c r="P27" s="164"/>
    </row>
    <row r="29" spans="1:18">
      <c r="C29" s="167"/>
      <c r="D29" s="136"/>
      <c r="E29" s="215" t="s">
        <v>271</v>
      </c>
      <c r="F29" s="215">
        <f>F6+F10+F24</f>
        <v>4035.1349380531001</v>
      </c>
      <c r="G29" s="216"/>
      <c r="H29" s="132"/>
      <c r="K29" s="215" t="s">
        <v>271</v>
      </c>
      <c r="L29" s="217">
        <f>L6+L10+L24</f>
        <v>3058.9847079646074</v>
      </c>
      <c r="N29" s="132"/>
      <c r="Q29" s="215" t="s">
        <v>271</v>
      </c>
      <c r="R29" s="215">
        <f>R6+R10+R24</f>
        <v>4176.4539309734546</v>
      </c>
    </row>
    <row r="30" spans="1:18">
      <c r="C30" s="167"/>
      <c r="D30" s="136"/>
      <c r="E30" s="215" t="s">
        <v>272</v>
      </c>
      <c r="F30" s="215">
        <f>F14</f>
        <v>3121.4714292035405</v>
      </c>
      <c r="G30" s="216"/>
      <c r="H30" s="132"/>
      <c r="K30" s="215" t="s">
        <v>272</v>
      </c>
      <c r="L30" s="215">
        <f>L14</f>
        <v>2885.6913097345196</v>
      </c>
      <c r="N30" s="132"/>
      <c r="Q30" s="215" t="s">
        <v>272</v>
      </c>
      <c r="R30" s="215">
        <f>R14</f>
        <v>3040.2979088495581</v>
      </c>
    </row>
    <row r="31" spans="1:18">
      <c r="C31" s="167"/>
      <c r="D31" s="136"/>
      <c r="E31" s="136"/>
      <c r="F31" s="215">
        <f>F29+F30</f>
        <v>7156.6063672566406</v>
      </c>
      <c r="G31" s="216"/>
      <c r="H31" s="132"/>
      <c r="K31" s="136"/>
      <c r="L31" s="215">
        <f>L29+L30</f>
        <v>5944.6760176991265</v>
      </c>
      <c r="N31" s="132"/>
      <c r="Q31" s="136"/>
      <c r="R31" s="215">
        <f>R29+R30</f>
        <v>7216.7518398230131</v>
      </c>
    </row>
    <row r="32" spans="1:18">
      <c r="C32" s="167"/>
      <c r="D32" s="136"/>
      <c r="E32" s="136"/>
      <c r="F32" s="136"/>
      <c r="G32" s="136"/>
      <c r="H32" s="132"/>
      <c r="K32" s="136"/>
      <c r="L32" s="136"/>
      <c r="N32" s="132"/>
      <c r="Q32" s="136"/>
      <c r="R32" s="136"/>
    </row>
    <row r="33" spans="1:18">
      <c r="A33" s="135"/>
      <c r="B33" s="135"/>
    </row>
    <row r="34" spans="1:18">
      <c r="E34" s="215" t="s">
        <v>273</v>
      </c>
      <c r="F34" s="217">
        <f>F4+F5+F23</f>
        <v>1722.6176814159307</v>
      </c>
      <c r="G34" s="218"/>
      <c r="K34" s="215" t="s">
        <v>273</v>
      </c>
      <c r="L34" s="217">
        <f>L4+L5+L23</f>
        <v>1560.3080176991173</v>
      </c>
      <c r="Q34" s="215" t="s">
        <v>273</v>
      </c>
      <c r="R34" s="217">
        <f>R4+R5+R23</f>
        <v>2100.6734070796483</v>
      </c>
    </row>
    <row r="35" spans="1:18">
      <c r="E35" s="215" t="s">
        <v>274</v>
      </c>
      <c r="F35" s="217">
        <f>F7+F8+F9+F22</f>
        <v>2347.1432300884962</v>
      </c>
      <c r="G35" s="218"/>
      <c r="K35" s="215" t="s">
        <v>274</v>
      </c>
      <c r="L35" s="217">
        <f>L7+L8+L9+L22</f>
        <v>1490.5051327433662</v>
      </c>
      <c r="Q35" s="215" t="s">
        <v>274</v>
      </c>
      <c r="R35" s="217">
        <f>R7+R8+R9+R22</f>
        <v>2355.9010106194696</v>
      </c>
    </row>
    <row r="36" spans="1:18">
      <c r="E36" s="215" t="s">
        <v>275</v>
      </c>
      <c r="F36" s="217">
        <f>F15+F16+F17</f>
        <v>40.819938053097573</v>
      </c>
      <c r="G36" s="218"/>
      <c r="K36" s="215" t="s">
        <v>275</v>
      </c>
      <c r="L36" s="217">
        <f>L15+L16+L17</f>
        <v>78.036991150442844</v>
      </c>
      <c r="Q36" s="215" t="s">
        <v>275</v>
      </c>
      <c r="R36" s="217">
        <f>R15+R16+R17</f>
        <v>-198.3315132743358</v>
      </c>
    </row>
    <row r="37" spans="1:18">
      <c r="E37" s="215" t="s">
        <v>276</v>
      </c>
      <c r="F37" s="217">
        <f>F18+F19</f>
        <v>3.1381592920353989</v>
      </c>
      <c r="G37" s="218"/>
      <c r="K37" s="215" t="s">
        <v>276</v>
      </c>
      <c r="L37" s="217">
        <f>L18+L19</f>
        <v>8.7186371681415906</v>
      </c>
      <c r="Q37" s="215" t="s">
        <v>276</v>
      </c>
      <c r="R37" s="217">
        <f>R18+R19</f>
        <v>2.6889026548672579</v>
      </c>
    </row>
    <row r="38" spans="1:18">
      <c r="L38" s="218"/>
    </row>
  </sheetData>
  <mergeCells count="6">
    <mergeCell ref="A1:F1"/>
    <mergeCell ref="H1:L1"/>
    <mergeCell ref="N1:R1"/>
    <mergeCell ref="B2:F2"/>
    <mergeCell ref="H2:L2"/>
    <mergeCell ref="N2:R2"/>
  </mergeCells>
  <phoneticPr fontId="117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S159"/>
  <sheetViews>
    <sheetView workbookViewId="0">
      <pane ySplit="3" topLeftCell="A4" activePane="bottomLeft" state="frozen"/>
      <selection pane="bottomLeft" activeCell="R4" sqref="R4"/>
    </sheetView>
  </sheetViews>
  <sheetFormatPr defaultColWidth="9" defaultRowHeight="14.4"/>
  <cols>
    <col min="1" max="1" width="7" style="132" customWidth="1"/>
    <col min="2" max="2" width="14" style="132" customWidth="1"/>
    <col min="3" max="3" width="9.21875" style="133" customWidth="1"/>
    <col min="4" max="4" width="9.44140625" style="134" customWidth="1"/>
    <col min="5" max="5" width="8.44140625" style="134" customWidth="1"/>
    <col min="6" max="6" width="9.88671875" style="134" customWidth="1"/>
    <col min="7" max="7" width="1.33203125" style="132" customWidth="1"/>
    <col min="8" max="8" width="14" style="135" customWidth="1"/>
    <col min="9" max="10" width="10.44140625" style="135" customWidth="1"/>
    <col min="11" max="11" width="13" style="134" customWidth="1"/>
    <col min="12" max="12" width="10.88671875" style="134" customWidth="1"/>
    <col min="13" max="13" width="12.109375" style="134" customWidth="1"/>
    <col min="14" max="14" width="14.33203125" style="134" customWidth="1"/>
    <col min="15" max="15" width="20.77734375" style="136" customWidth="1"/>
    <col min="16" max="16" width="11.6640625" style="137" customWidth="1"/>
    <col min="17" max="19" width="15.44140625" style="134" customWidth="1"/>
    <col min="20" max="16384" width="9" style="132"/>
  </cols>
  <sheetData>
    <row r="1" spans="1:19" ht="28.2" customHeight="1">
      <c r="A1" s="533" t="s">
        <v>277</v>
      </c>
      <c r="B1" s="533"/>
      <c r="C1" s="533"/>
      <c r="D1" s="533"/>
      <c r="E1" s="533"/>
      <c r="F1" s="533"/>
      <c r="H1" s="535" t="s">
        <v>278</v>
      </c>
      <c r="I1" s="540"/>
      <c r="J1" s="540"/>
      <c r="K1" s="540"/>
      <c r="L1" s="540"/>
      <c r="M1" s="540"/>
      <c r="N1" s="540"/>
      <c r="O1" s="540"/>
      <c r="P1" s="541"/>
      <c r="Q1" s="188"/>
      <c r="R1" s="188"/>
      <c r="S1" s="188"/>
    </row>
    <row r="2" spans="1:19" ht="24.9" customHeight="1">
      <c r="A2" s="194"/>
      <c r="B2" s="542">
        <v>44713</v>
      </c>
      <c r="C2" s="542"/>
      <c r="D2" s="542"/>
      <c r="E2" s="542"/>
      <c r="F2" s="542"/>
      <c r="H2" s="543" t="s">
        <v>279</v>
      </c>
      <c r="I2" s="544"/>
      <c r="J2" s="544"/>
      <c r="K2" s="544"/>
      <c r="L2" s="545" t="s">
        <v>280</v>
      </c>
      <c r="M2" s="546" t="s">
        <v>281</v>
      </c>
      <c r="N2" s="546" t="s">
        <v>282</v>
      </c>
      <c r="O2" s="546" t="s">
        <v>283</v>
      </c>
      <c r="P2" s="546" t="s">
        <v>284</v>
      </c>
      <c r="Q2" s="537" t="s">
        <v>285</v>
      </c>
      <c r="R2" s="538" t="s">
        <v>286</v>
      </c>
      <c r="S2" s="539" t="s">
        <v>287</v>
      </c>
    </row>
    <row r="3" spans="1:19" ht="28.5" customHeight="1">
      <c r="A3" s="140" t="s">
        <v>74</v>
      </c>
      <c r="B3" s="140" t="s">
        <v>261</v>
      </c>
      <c r="C3" s="195" t="s">
        <v>262</v>
      </c>
      <c r="D3" s="196" t="s">
        <v>288</v>
      </c>
      <c r="E3" s="196" t="s">
        <v>289</v>
      </c>
      <c r="F3" s="142" t="s">
        <v>290</v>
      </c>
      <c r="H3" s="197"/>
      <c r="I3" s="168" t="s">
        <v>262</v>
      </c>
      <c r="J3" s="168" t="s">
        <v>291</v>
      </c>
      <c r="K3" s="168" t="s">
        <v>266</v>
      </c>
      <c r="L3" s="545"/>
      <c r="M3" s="547"/>
      <c r="N3" s="546"/>
      <c r="O3" s="547"/>
      <c r="P3" s="546"/>
      <c r="Q3" s="537"/>
      <c r="R3" s="538"/>
      <c r="S3" s="539"/>
    </row>
    <row r="4" spans="1:19" ht="24.9" customHeight="1">
      <c r="A4" s="140">
        <v>1</v>
      </c>
      <c r="B4" s="143" t="s">
        <v>42</v>
      </c>
      <c r="C4" s="198">
        <f>'经营月报-利润、价格'!H13</f>
        <v>18715.73</v>
      </c>
      <c r="D4" s="198">
        <f>'经营月报-利润、价格'!I13</f>
        <v>9133.9670214183407</v>
      </c>
      <c r="E4" s="198">
        <f>'经营月报-利润、价格'!J13</f>
        <v>237.24384725631</v>
      </c>
      <c r="F4" s="152">
        <f>C4*E4/10000</f>
        <v>444.01917894103389</v>
      </c>
      <c r="G4" s="135"/>
      <c r="H4" s="144" t="s">
        <v>42</v>
      </c>
      <c r="I4" s="152">
        <f>产品本月!G13</f>
        <v>16200</v>
      </c>
      <c r="J4" s="141">
        <f>I4*E4/10000</f>
        <v>384.3350325552222</v>
      </c>
      <c r="K4" s="144">
        <f>产品本月!H13</f>
        <v>9115.0442477876113</v>
      </c>
      <c r="L4" s="144">
        <f>K4-D4</f>
        <v>-18.922773630729353</v>
      </c>
      <c r="M4" s="144">
        <f>I4*L4/10000</f>
        <v>-30.65489328178155</v>
      </c>
      <c r="N4" s="144">
        <f>产品效益!X16</f>
        <v>-52.720871393378957</v>
      </c>
      <c r="O4" s="144">
        <f>N4*I4/10000</f>
        <v>-85.407811657273911</v>
      </c>
      <c r="P4" s="171">
        <f>M4-O4</f>
        <v>54.752918375492357</v>
      </c>
      <c r="Q4" s="171">
        <f>J4+P4</f>
        <v>439.08795093071456</v>
      </c>
      <c r="R4" s="171">
        <v>222.775774105409</v>
      </c>
      <c r="S4" s="164">
        <f>Q4/I4*10000</f>
        <v>271.04194501895961</v>
      </c>
    </row>
    <row r="5" spans="1:19" ht="24.9" customHeight="1">
      <c r="A5" s="140">
        <v>2</v>
      </c>
      <c r="B5" s="143" t="s">
        <v>45</v>
      </c>
      <c r="C5" s="198">
        <f>'经营月报-利润、价格'!H15</f>
        <v>0</v>
      </c>
      <c r="D5" s="198">
        <f>'经营月报-利润、价格'!I15</f>
        <v>0</v>
      </c>
      <c r="E5" s="198">
        <f>'经营月报-利润、价格'!J15</f>
        <v>0</v>
      </c>
      <c r="F5" s="152">
        <f>C5*E5/10000</f>
        <v>0</v>
      </c>
      <c r="G5" s="135"/>
      <c r="H5" s="144" t="s">
        <v>45</v>
      </c>
      <c r="I5" s="152">
        <f>产品本月!G15</f>
        <v>0</v>
      </c>
      <c r="J5" s="141">
        <f t="shared" ref="J5:J23" si="0">I5*E5/10000</f>
        <v>0</v>
      </c>
      <c r="K5" s="144">
        <f>产品本月!H15</f>
        <v>0</v>
      </c>
      <c r="L5" s="144">
        <f>K5-D5</f>
        <v>0</v>
      </c>
      <c r="M5" s="144">
        <f>I5*L5/10000</f>
        <v>0</v>
      </c>
      <c r="N5" s="144">
        <f>产品效益!W17</f>
        <v>-5.7950217697343667E-2</v>
      </c>
      <c r="O5" s="144">
        <f t="shared" ref="O5:O23" si="1">N5*I5/10000</f>
        <v>0</v>
      </c>
      <c r="P5" s="171">
        <f t="shared" ref="P5:P24" si="2">M5-O5</f>
        <v>0</v>
      </c>
      <c r="Q5" s="171">
        <f>J5+P5</f>
        <v>0</v>
      </c>
      <c r="R5" s="171">
        <v>0</v>
      </c>
      <c r="S5" s="164"/>
    </row>
    <row r="6" spans="1:19" ht="24.9" customHeight="1">
      <c r="A6" s="140" t="s">
        <v>267</v>
      </c>
      <c r="B6" s="143"/>
      <c r="C6" s="199"/>
      <c r="D6" s="199"/>
      <c r="E6" s="199"/>
      <c r="F6" s="175">
        <f>SUM(F4:F5)</f>
        <v>444.01917894103389</v>
      </c>
      <c r="G6" s="135"/>
      <c r="H6" s="144"/>
      <c r="I6" s="152"/>
      <c r="J6" s="205">
        <f>SUM(J4:J5)</f>
        <v>384.3350325552222</v>
      </c>
      <c r="K6" s="144"/>
      <c r="L6" s="144"/>
      <c r="M6" s="173">
        <f>M4+M5</f>
        <v>-30.65489328178155</v>
      </c>
      <c r="N6" s="144"/>
      <c r="O6" s="173">
        <f>SUM(O4:O5)</f>
        <v>-85.407811657273911</v>
      </c>
      <c r="P6" s="175">
        <f t="shared" si="2"/>
        <v>54.752918375492357</v>
      </c>
      <c r="Q6" s="175">
        <f>SUM(Q4:Q5)</f>
        <v>439.08795093071456</v>
      </c>
      <c r="R6" s="175">
        <f>SUM(R4:R5)</f>
        <v>222.775774105409</v>
      </c>
      <c r="S6" s="164"/>
    </row>
    <row r="7" spans="1:19" ht="24.9" customHeight="1">
      <c r="A7" s="140">
        <v>3</v>
      </c>
      <c r="B7" s="143" t="s">
        <v>48</v>
      </c>
      <c r="C7" s="198">
        <f>'经营月报-利润、价格'!H17</f>
        <v>4444.82</v>
      </c>
      <c r="D7" s="198">
        <f>'经营月报-利润、价格'!I17</f>
        <v>5727.7035975415902</v>
      </c>
      <c r="E7" s="198">
        <f>'经营月报-利润、价格'!J17</f>
        <v>71.356481639418206</v>
      </c>
      <c r="F7" s="152">
        <f>C7*E7/10000</f>
        <v>31.716671672051884</v>
      </c>
      <c r="G7" s="135"/>
      <c r="H7" s="144" t="s">
        <v>48</v>
      </c>
      <c r="I7" s="152">
        <f>产品本月!G17</f>
        <v>4500</v>
      </c>
      <c r="J7" s="141">
        <f t="shared" si="0"/>
        <v>32.110416737738191</v>
      </c>
      <c r="K7" s="144">
        <f>产品本月!H17</f>
        <v>6637.1681415929206</v>
      </c>
      <c r="L7" s="144">
        <f>K7-D7</f>
        <v>909.46454405133045</v>
      </c>
      <c r="M7" s="144">
        <f t="shared" ref="M7:M9" si="3">I7*L7/10000</f>
        <v>409.25904482309869</v>
      </c>
      <c r="N7" s="144">
        <f>产品效益!W19</f>
        <v>-6.6400343618051916E-2</v>
      </c>
      <c r="O7" s="144">
        <f>N7*I7/10000</f>
        <v>-2.9880154628123365E-2</v>
      </c>
      <c r="P7" s="171">
        <f t="shared" si="2"/>
        <v>409.28892497772682</v>
      </c>
      <c r="Q7" s="171">
        <f>J7+P7</f>
        <v>441.39934171546503</v>
      </c>
      <c r="R7" s="171">
        <v>24.794900134035601</v>
      </c>
      <c r="S7" s="164">
        <f>Q7/I7*10000</f>
        <v>980.88742603436663</v>
      </c>
    </row>
    <row r="8" spans="1:19" ht="24.9" customHeight="1">
      <c r="A8" s="200">
        <v>4</v>
      </c>
      <c r="B8" s="143" t="s">
        <v>50</v>
      </c>
      <c r="C8" s="198">
        <f>'经营月报-利润、价格'!H18</f>
        <v>4280.0600000000004</v>
      </c>
      <c r="D8" s="198">
        <f>'经营月报-利润、价格'!I18</f>
        <v>7566.0431358604301</v>
      </c>
      <c r="E8" s="198">
        <f>'经营月报-利润、价格'!J18</f>
        <v>1065.14986366025</v>
      </c>
      <c r="F8" s="152">
        <f>C8*E8/10000</f>
        <v>455.89053254576902</v>
      </c>
      <c r="G8" s="135"/>
      <c r="H8" s="144" t="s">
        <v>50</v>
      </c>
      <c r="I8" s="152">
        <f>产品本月!G18</f>
        <v>4550</v>
      </c>
      <c r="J8" s="141">
        <f t="shared" si="0"/>
        <v>484.64318796541374</v>
      </c>
      <c r="K8" s="144">
        <f>产品本月!H18</f>
        <v>8495.575221238938</v>
      </c>
      <c r="L8" s="144">
        <f t="shared" ref="L8:L23" si="4">K8-D8</f>
        <v>929.53208537850787</v>
      </c>
      <c r="M8" s="144">
        <f t="shared" si="3"/>
        <v>422.93709884722114</v>
      </c>
      <c r="N8" s="144">
        <f>产品效益!X22</f>
        <v>17.214348696154342</v>
      </c>
      <c r="O8" s="144">
        <f t="shared" si="1"/>
        <v>7.8325286567502266</v>
      </c>
      <c r="P8" s="171">
        <f t="shared" si="2"/>
        <v>415.10457019047089</v>
      </c>
      <c r="Q8" s="171">
        <f>J8+P8</f>
        <v>899.74775815588464</v>
      </c>
      <c r="R8" s="171">
        <v>869.84365409369605</v>
      </c>
      <c r="S8" s="164">
        <f>Q8/I8*10000</f>
        <v>1977.4676003426036</v>
      </c>
    </row>
    <row r="9" spans="1:19" ht="24.9" customHeight="1">
      <c r="A9" s="200">
        <v>5</v>
      </c>
      <c r="B9" s="143" t="s">
        <v>90</v>
      </c>
      <c r="C9" s="198">
        <f>'经营月报-利润、价格'!H19</f>
        <v>2464.16</v>
      </c>
      <c r="D9" s="198">
        <f>'经营月报-利润、价格'!I19</f>
        <v>3539.2074586582999</v>
      </c>
      <c r="E9" s="198">
        <f>'经营月报-利润、价格'!J19</f>
        <v>-2942.0056489838298</v>
      </c>
      <c r="F9" s="152">
        <f t="shared" ref="F9:F23" si="5">C9*E9/10000</f>
        <v>-724.95726399999944</v>
      </c>
      <c r="G9" s="135"/>
      <c r="H9" s="144" t="s">
        <v>90</v>
      </c>
      <c r="I9" s="152">
        <f>产品本月!G19</f>
        <v>2450</v>
      </c>
      <c r="J9" s="141">
        <f t="shared" si="0"/>
        <v>-720.7913840010383</v>
      </c>
      <c r="K9" s="144">
        <f>产品本月!H19</f>
        <v>4690.2654867256642</v>
      </c>
      <c r="L9" s="144">
        <f t="shared" si="4"/>
        <v>1151.0580280673644</v>
      </c>
      <c r="M9" s="144">
        <f t="shared" si="3"/>
        <v>282.0092168765043</v>
      </c>
      <c r="N9" s="144">
        <f>产品效益!X25</f>
        <v>17.214348696154342</v>
      </c>
      <c r="O9" s="144">
        <f t="shared" si="1"/>
        <v>4.217515430557814</v>
      </c>
      <c r="P9" s="171">
        <f t="shared" si="2"/>
        <v>277.7917014459465</v>
      </c>
      <c r="Q9" s="171">
        <f>J9+P9</f>
        <v>-442.99968255509179</v>
      </c>
      <c r="R9" s="171">
        <v>-335.02803379748201</v>
      </c>
      <c r="S9" s="164">
        <f>Q9/I9*10000</f>
        <v>-1808.1619696126195</v>
      </c>
    </row>
    <row r="10" spans="1:19" ht="24.9" customHeight="1">
      <c r="A10" s="140" t="s">
        <v>267</v>
      </c>
      <c r="B10" s="140"/>
      <c r="C10" s="199"/>
      <c r="D10" s="199"/>
      <c r="E10" s="199"/>
      <c r="F10" s="178">
        <f>SUM(F7:F9)</f>
        <v>-237.35005978217856</v>
      </c>
      <c r="H10" s="144"/>
      <c r="I10" s="152"/>
      <c r="J10" s="206">
        <f>SUM(J7:J9)</f>
        <v>-204.03777929788635</v>
      </c>
      <c r="K10" s="144"/>
      <c r="L10" s="144"/>
      <c r="M10" s="176">
        <f>SUM(M7:M9)</f>
        <v>1114.2053605468241</v>
      </c>
      <c r="N10" s="144"/>
      <c r="O10" s="176">
        <f>SUM(O7:O9)</f>
        <v>12.020163932679917</v>
      </c>
      <c r="P10" s="178">
        <f>SUM(P7:P9)</f>
        <v>1102.1851966141442</v>
      </c>
      <c r="Q10" s="178">
        <f>SUM(Q7:Q9)</f>
        <v>898.14741731625782</v>
      </c>
      <c r="R10" s="178">
        <f>SUM(R7:R9)</f>
        <v>559.61052043024961</v>
      </c>
      <c r="S10" s="164"/>
    </row>
    <row r="11" spans="1:19" ht="24.9" customHeight="1">
      <c r="A11" s="143">
        <v>7</v>
      </c>
      <c r="B11" s="143" t="s">
        <v>57</v>
      </c>
      <c r="C11" s="198">
        <f>'经营月报-利润、价格'!H22</f>
        <v>3007.75</v>
      </c>
      <c r="D11" s="198">
        <f>'经营月报-利润、价格'!I22</f>
        <v>10162.3375601231</v>
      </c>
      <c r="E11" s="198">
        <f>'经营月报-利润、价格'!J22</f>
        <v>159.58713131573501</v>
      </c>
      <c r="F11" s="152">
        <f t="shared" si="5"/>
        <v>47.999819421490194</v>
      </c>
      <c r="H11" s="144" t="s">
        <v>57</v>
      </c>
      <c r="I11" s="152">
        <f>产品本月!G23</f>
        <v>3050</v>
      </c>
      <c r="J11" s="141">
        <f>I11*E11/10000</f>
        <v>48.674075051299177</v>
      </c>
      <c r="K11" s="144">
        <f>产品本月!H23</f>
        <v>11415.929203539825</v>
      </c>
      <c r="L11" s="144">
        <f t="shared" si="4"/>
        <v>1253.5916434167248</v>
      </c>
      <c r="M11" s="144">
        <f t="shared" ref="M11:M13" si="6">I11*L11/10000</f>
        <v>382.34545124210103</v>
      </c>
      <c r="N11" s="144">
        <f>产品效益!X27</f>
        <v>370.21130298974663</v>
      </c>
      <c r="O11" s="144">
        <f t="shared" si="1"/>
        <v>112.91444741187273</v>
      </c>
      <c r="P11" s="171">
        <f t="shared" si="2"/>
        <v>269.43100383022829</v>
      </c>
      <c r="Q11" s="171">
        <f>J11+P11</f>
        <v>318.10507888152745</v>
      </c>
      <c r="R11" s="171">
        <v>135.98819619663101</v>
      </c>
      <c r="S11" s="164">
        <f>Q11/I11*10000</f>
        <v>1042.9674717427131</v>
      </c>
    </row>
    <row r="12" spans="1:19" ht="24.9" customHeight="1">
      <c r="A12" s="143">
        <v>8</v>
      </c>
      <c r="B12" s="143" t="s">
        <v>62</v>
      </c>
      <c r="C12" s="198">
        <f>'经营月报-利润、价格'!H24</f>
        <v>1519.425</v>
      </c>
      <c r="D12" s="198">
        <f>'经营月报-利润、价格'!I24</f>
        <v>30037.331949484302</v>
      </c>
      <c r="E12" s="198">
        <f>'经营月报-利润、价格'!J24</f>
        <v>13869.6977540846</v>
      </c>
      <c r="F12" s="152">
        <f t="shared" si="5"/>
        <v>2107.3965509999994</v>
      </c>
      <c r="H12" s="144" t="s">
        <v>62</v>
      </c>
      <c r="I12" s="152">
        <f>产品本月!G25</f>
        <v>1950</v>
      </c>
      <c r="J12" s="141">
        <f t="shared" si="0"/>
        <v>2704.591062046497</v>
      </c>
      <c r="K12" s="144">
        <f>产品本月!H25</f>
        <v>27433.628318584073</v>
      </c>
      <c r="L12" s="144">
        <f t="shared" si="4"/>
        <v>-2603.7036309002287</v>
      </c>
      <c r="M12" s="144">
        <f t="shared" si="6"/>
        <v>-507.7222080255446</v>
      </c>
      <c r="N12" s="144">
        <f>产品效益!X29</f>
        <v>-27.101423890647919</v>
      </c>
      <c r="O12" s="144">
        <f t="shared" si="1"/>
        <v>-5.2847776586763446</v>
      </c>
      <c r="P12" s="171">
        <f t="shared" si="2"/>
        <v>-502.43743036686828</v>
      </c>
      <c r="Q12" s="171">
        <f>J12+P12</f>
        <v>2202.1536316796287</v>
      </c>
      <c r="R12" s="171">
        <v>2699.74343773589</v>
      </c>
      <c r="S12" s="164">
        <f>Q12/I12*10000</f>
        <v>11293.095547075018</v>
      </c>
    </row>
    <row r="13" spans="1:19" ht="24.9" customHeight="1">
      <c r="A13" s="143">
        <v>9</v>
      </c>
      <c r="B13" s="149" t="s">
        <v>268</v>
      </c>
      <c r="C13" s="198">
        <f>'经营月报-利润、价格'!H25</f>
        <v>296.35000000000002</v>
      </c>
      <c r="D13" s="198">
        <f>'经营月报-利润、价格'!I25</f>
        <v>27742.175823552301</v>
      </c>
      <c r="E13" s="198">
        <f>'经营月报-利润、价格'!J25</f>
        <v>12269.2761937618</v>
      </c>
      <c r="F13" s="152">
        <f t="shared" si="5"/>
        <v>363.60000000213097</v>
      </c>
      <c r="H13" s="144" t="s">
        <v>67</v>
      </c>
      <c r="I13" s="152">
        <f>产品本月!G26</f>
        <v>0</v>
      </c>
      <c r="J13" s="141">
        <f t="shared" si="0"/>
        <v>0</v>
      </c>
      <c r="K13" s="144">
        <f>产品本月!H26</f>
        <v>0</v>
      </c>
      <c r="L13" s="144">
        <f t="shared" si="4"/>
        <v>-27742.175823552301</v>
      </c>
      <c r="M13" s="144">
        <f t="shared" si="6"/>
        <v>0</v>
      </c>
      <c r="N13" s="144">
        <f>产品效益!X31</f>
        <v>160.90959161170483</v>
      </c>
      <c r="O13" s="144">
        <f t="shared" si="1"/>
        <v>0</v>
      </c>
      <c r="P13" s="171">
        <f t="shared" si="2"/>
        <v>0</v>
      </c>
      <c r="Q13" s="171">
        <f>J13+P13</f>
        <v>0</v>
      </c>
      <c r="R13" s="171">
        <v>0</v>
      </c>
      <c r="S13" s="164" t="e">
        <f>Q13/I13*10000</f>
        <v>#DIV/0!</v>
      </c>
    </row>
    <row r="14" spans="1:19" ht="24.9" customHeight="1">
      <c r="A14" s="150" t="s">
        <v>267</v>
      </c>
      <c r="B14" s="135"/>
      <c r="C14" s="198"/>
      <c r="D14" s="198"/>
      <c r="E14" s="198"/>
      <c r="F14" s="201">
        <f>SUM(F11:F13)</f>
        <v>2518.9963704236202</v>
      </c>
      <c r="H14" s="144"/>
      <c r="I14" s="152"/>
      <c r="J14" s="207">
        <f>SUM(J11:J13)</f>
        <v>2753.265137097796</v>
      </c>
      <c r="K14" s="144"/>
      <c r="L14" s="144"/>
      <c r="M14" s="179">
        <f>SUM(M11:M13)</f>
        <v>-125.37675678344357</v>
      </c>
      <c r="N14" s="144"/>
      <c r="O14" s="179">
        <f>SUM(O11:O13)</f>
        <v>107.62966975319638</v>
      </c>
      <c r="P14" s="181">
        <f t="shared" si="2"/>
        <v>-233.00642653663994</v>
      </c>
      <c r="Q14" s="181">
        <f>SUM(Q11:Q13)</f>
        <v>2520.258710561156</v>
      </c>
      <c r="R14" s="181">
        <f>SUM(R11:R13)</f>
        <v>2835.7316339325212</v>
      </c>
      <c r="S14" s="164"/>
    </row>
    <row r="15" spans="1:19" ht="24.9" customHeight="1">
      <c r="A15" s="200">
        <v>10</v>
      </c>
      <c r="B15" s="143" t="s">
        <v>23</v>
      </c>
      <c r="C15" s="198">
        <f>'经营月报-利润、价格'!H5</f>
        <v>11052.291999999999</v>
      </c>
      <c r="D15" s="198">
        <f>'经营月报-利润、价格'!I5</f>
        <v>705.01412738642705</v>
      </c>
      <c r="E15" s="198">
        <f>'经营月报-利润、价格'!J5</f>
        <v>-78.380292522130404</v>
      </c>
      <c r="F15" s="152">
        <f t="shared" si="5"/>
        <v>-86.628188000000165</v>
      </c>
      <c r="H15" s="144" t="s">
        <v>23</v>
      </c>
      <c r="I15" s="152">
        <f>产品本月!G4</f>
        <v>16000</v>
      </c>
      <c r="J15" s="152">
        <f t="shared" si="0"/>
        <v>-125.40846803540865</v>
      </c>
      <c r="K15" s="144">
        <f>产品本月!H4</f>
        <v>672.56637168141594</v>
      </c>
      <c r="L15" s="144">
        <f t="shared" si="4"/>
        <v>-32.447755705011105</v>
      </c>
      <c r="M15" s="144">
        <f t="shared" ref="M15:M23" si="7">I15*L15/10000</f>
        <v>-51.916409128017769</v>
      </c>
      <c r="N15" s="144">
        <f>产品效益!W5</f>
        <v>-12.88997623051147</v>
      </c>
      <c r="O15" s="144">
        <f t="shared" si="1"/>
        <v>-20.623961968818353</v>
      </c>
      <c r="P15" s="171">
        <f t="shared" si="2"/>
        <v>-31.292447159199416</v>
      </c>
      <c r="Q15" s="171">
        <f>J15+P15</f>
        <v>-156.70091519460806</v>
      </c>
      <c r="R15" s="171">
        <v>138.75877202376699</v>
      </c>
      <c r="S15" s="164">
        <f>Q15/I15*10000</f>
        <v>-97.938071996630029</v>
      </c>
    </row>
    <row r="16" spans="1:19" ht="24.9" customHeight="1">
      <c r="A16" s="200">
        <v>12</v>
      </c>
      <c r="B16" s="143" t="s">
        <v>26</v>
      </c>
      <c r="C16" s="198">
        <f>'经营月报-利润、价格'!H7</f>
        <v>1799.16</v>
      </c>
      <c r="D16" s="198">
        <f>'经营月报-利润、价格'!I7</f>
        <v>1773.4539638655399</v>
      </c>
      <c r="E16" s="198">
        <f>'经营月报-利润、价格'!J7</f>
        <v>-102.12411979365</v>
      </c>
      <c r="F16" s="152">
        <f t="shared" si="5"/>
        <v>-18.373763136794334</v>
      </c>
      <c r="H16" s="144" t="s">
        <v>26</v>
      </c>
      <c r="I16" s="152">
        <f>产品本月!G6</f>
        <v>400</v>
      </c>
      <c r="J16" s="152">
        <f t="shared" si="0"/>
        <v>-4.0849647917459997</v>
      </c>
      <c r="K16" s="144">
        <f>产品本月!H6</f>
        <v>1858.4070796460178</v>
      </c>
      <c r="L16" s="144">
        <f t="shared" si="4"/>
        <v>84.953115780477901</v>
      </c>
      <c r="M16" s="144">
        <f t="shared" si="7"/>
        <v>3.3981246312191158</v>
      </c>
      <c r="N16" s="144">
        <f>产品效益!W6</f>
        <v>-26.295551510243396</v>
      </c>
      <c r="O16" s="144">
        <f t="shared" si="1"/>
        <v>-1.0518220604097357</v>
      </c>
      <c r="P16" s="171">
        <f t="shared" si="2"/>
        <v>4.4499466916288517</v>
      </c>
      <c r="Q16" s="171">
        <f>J16+P16</f>
        <v>0.36498189988285201</v>
      </c>
      <c r="R16" s="171"/>
      <c r="S16" s="164">
        <f>Q16/I16*10000</f>
        <v>9.1245474970713012</v>
      </c>
    </row>
    <row r="17" spans="1:19" ht="24.9" customHeight="1">
      <c r="A17" s="200">
        <v>13</v>
      </c>
      <c r="B17" s="143" t="s">
        <v>28</v>
      </c>
      <c r="C17" s="198">
        <f>'经营月报-利润、价格'!H8</f>
        <v>3232.98</v>
      </c>
      <c r="D17" s="198">
        <f>'经营月报-利润、价格'!I8</f>
        <v>3173.1670312444098</v>
      </c>
      <c r="E17" s="198">
        <f>'经营月报-利润、价格'!J8</f>
        <v>-791.55486131770601</v>
      </c>
      <c r="F17" s="152">
        <f t="shared" si="5"/>
        <v>-255.9081035542917</v>
      </c>
      <c r="H17" s="144" t="s">
        <v>28</v>
      </c>
      <c r="I17" s="152">
        <f>产品本月!G7</f>
        <v>8500</v>
      </c>
      <c r="J17" s="152">
        <f t="shared" si="0"/>
        <v>-672.82163212005014</v>
      </c>
      <c r="K17" s="144">
        <f>产品本月!H7</f>
        <v>3318.5840707964603</v>
      </c>
      <c r="L17" s="144">
        <f t="shared" si="4"/>
        <v>145.41703955205048</v>
      </c>
      <c r="M17" s="144">
        <f t="shared" si="7"/>
        <v>123.60448361924291</v>
      </c>
      <c r="N17" s="144">
        <f>产品效益!W7</f>
        <v>-77.410189526799854</v>
      </c>
      <c r="O17" s="144">
        <f t="shared" si="1"/>
        <v>-65.798661097779885</v>
      </c>
      <c r="P17" s="171">
        <f t="shared" si="2"/>
        <v>189.4031447170228</v>
      </c>
      <c r="Q17" s="171">
        <f t="shared" ref="Q17:Q23" si="8">J17+P17</f>
        <v>-483.41848740302737</v>
      </c>
      <c r="R17" s="171">
        <v>18.840104993861999</v>
      </c>
      <c r="S17" s="164">
        <f>Q17/I17*10000</f>
        <v>-568.72763223885568</v>
      </c>
    </row>
    <row r="18" spans="1:19" ht="24.9" customHeight="1">
      <c r="A18" s="200">
        <v>14</v>
      </c>
      <c r="B18" s="143" t="s">
        <v>269</v>
      </c>
      <c r="C18" s="198">
        <f>'经营月报-利润、价格'!H9</f>
        <v>917.44600000000003</v>
      </c>
      <c r="D18" s="198">
        <f>'经营月报-利润、价格'!I9</f>
        <v>176.99115044247799</v>
      </c>
      <c r="E18" s="198">
        <f>'经营月报-利润、价格'!J9</f>
        <v>0</v>
      </c>
      <c r="F18" s="152">
        <f t="shared" si="5"/>
        <v>0</v>
      </c>
      <c r="H18" s="144" t="s">
        <v>31</v>
      </c>
      <c r="I18" s="152">
        <f>产品本月!G8</f>
        <v>0</v>
      </c>
      <c r="J18" s="141">
        <f t="shared" si="0"/>
        <v>0</v>
      </c>
      <c r="K18" s="144">
        <f>产品本月!H8</f>
        <v>0</v>
      </c>
      <c r="L18" s="144">
        <f t="shared" si="4"/>
        <v>-176.99115044247799</v>
      </c>
      <c r="M18" s="144">
        <f t="shared" si="7"/>
        <v>0</v>
      </c>
      <c r="N18" s="144">
        <f>产品效益!W8</f>
        <v>-16.134588445147514</v>
      </c>
      <c r="O18" s="144">
        <f t="shared" si="1"/>
        <v>0</v>
      </c>
      <c r="P18" s="171">
        <f t="shared" si="2"/>
        <v>0</v>
      </c>
      <c r="Q18" s="171">
        <f t="shared" si="8"/>
        <v>0</v>
      </c>
      <c r="R18" s="171">
        <v>32.664546926835399</v>
      </c>
      <c r="S18" s="164" t="e">
        <f>Q18/I18*10000</f>
        <v>#DIV/0!</v>
      </c>
    </row>
    <row r="19" spans="1:19" ht="24.9" customHeight="1">
      <c r="A19" s="200">
        <v>15</v>
      </c>
      <c r="B19" s="143" t="s">
        <v>86</v>
      </c>
      <c r="C19" s="198">
        <f>'经营月报-利润、价格'!H10</f>
        <v>532.36</v>
      </c>
      <c r="D19" s="198">
        <f>'经营月报-利润、价格'!I10</f>
        <v>542.632838115401</v>
      </c>
      <c r="E19" s="198">
        <f>'经营月报-利润、价格'!J10</f>
        <v>-352.24433881188202</v>
      </c>
      <c r="F19" s="152">
        <f t="shared" si="5"/>
        <v>-18.752079620989353</v>
      </c>
      <c r="H19" s="144" t="s">
        <v>32</v>
      </c>
      <c r="I19" s="152">
        <f>产品本月!G9</f>
        <v>300</v>
      </c>
      <c r="J19" s="141">
        <f t="shared" si="0"/>
        <v>-10.567330164356459</v>
      </c>
      <c r="K19" s="144">
        <f>产品本月!H9</f>
        <v>393.80530973451329</v>
      </c>
      <c r="L19" s="144">
        <f t="shared" si="4"/>
        <v>-148.82752838088771</v>
      </c>
      <c r="M19" s="144">
        <f t="shared" si="7"/>
        <v>-4.4648258514266317</v>
      </c>
      <c r="N19" s="144">
        <f>产品效益!W9</f>
        <v>-15.211742720126505</v>
      </c>
      <c r="O19" s="144">
        <f t="shared" si="1"/>
        <v>-0.45635228160379521</v>
      </c>
      <c r="P19" s="171">
        <f t="shared" si="2"/>
        <v>-4.0084735698228364</v>
      </c>
      <c r="Q19" s="171">
        <f t="shared" si="8"/>
        <v>-14.575803734179296</v>
      </c>
      <c r="R19" s="171">
        <v>4.8217695320132696</v>
      </c>
      <c r="S19" s="164">
        <f>Q19/I19*10000</f>
        <v>-485.86012447264318</v>
      </c>
    </row>
    <row r="20" spans="1:19" ht="24.9" customHeight="1">
      <c r="A20" s="200">
        <v>16</v>
      </c>
      <c r="B20" s="143" t="s">
        <v>270</v>
      </c>
      <c r="C20" s="198">
        <f>'经营月报-利润、价格'!H11</f>
        <v>9568.99</v>
      </c>
      <c r="D20" s="198">
        <f>'经营月报-利润、价格'!I11</f>
        <v>1.8977571790781</v>
      </c>
      <c r="E20" s="198">
        <f>'经营月报-利润、价格'!J11</f>
        <v>0</v>
      </c>
      <c r="F20" s="152">
        <f t="shared" si="5"/>
        <v>0</v>
      </c>
      <c r="H20" s="144" t="s">
        <v>34</v>
      </c>
      <c r="I20" s="152">
        <f>产品本月!G10</f>
        <v>8000</v>
      </c>
      <c r="J20" s="141">
        <f t="shared" si="0"/>
        <v>0</v>
      </c>
      <c r="K20" s="144">
        <f>产品本月!H10</f>
        <v>1.7699115044247788</v>
      </c>
      <c r="L20" s="144">
        <f t="shared" si="4"/>
        <v>-0.1278456746533212</v>
      </c>
      <c r="M20" s="144"/>
      <c r="N20" s="144"/>
      <c r="O20" s="144">
        <f t="shared" si="1"/>
        <v>0</v>
      </c>
      <c r="P20" s="171"/>
      <c r="Q20" s="171"/>
      <c r="R20" s="171">
        <v>0</v>
      </c>
      <c r="S20" s="164"/>
    </row>
    <row r="21" spans="1:19" ht="24.9" customHeight="1">
      <c r="A21" s="200">
        <v>17</v>
      </c>
      <c r="B21" s="152" t="s">
        <v>37</v>
      </c>
      <c r="C21" s="202">
        <v>332</v>
      </c>
      <c r="D21" s="202">
        <v>230.09</v>
      </c>
      <c r="E21" s="198"/>
      <c r="F21" s="152">
        <f t="shared" si="5"/>
        <v>0</v>
      </c>
      <c r="H21" s="144" t="s">
        <v>37</v>
      </c>
      <c r="I21" s="152">
        <f>产品本月!G11</f>
        <v>120</v>
      </c>
      <c r="J21" s="141">
        <f t="shared" si="0"/>
        <v>0</v>
      </c>
      <c r="K21" s="144">
        <f>产品次月!F11</f>
        <v>44.247787610619476</v>
      </c>
      <c r="L21" s="144">
        <f t="shared" si="4"/>
        <v>-185.84221238938053</v>
      </c>
      <c r="M21" s="144"/>
      <c r="N21" s="144"/>
      <c r="O21" s="144">
        <f t="shared" si="1"/>
        <v>0</v>
      </c>
      <c r="P21" s="171"/>
      <c r="Q21" s="171"/>
      <c r="R21" s="171">
        <v>0</v>
      </c>
      <c r="S21" s="164"/>
    </row>
    <row r="22" spans="1:19" ht="24.9" customHeight="1">
      <c r="A22" s="200">
        <v>18</v>
      </c>
      <c r="B22" s="143" t="s">
        <v>87</v>
      </c>
      <c r="C22" s="198">
        <f>'经营月报-利润、价格'!H12</f>
        <v>15157.3</v>
      </c>
      <c r="D22" s="198">
        <f>'经营月报-利润、价格'!I12</f>
        <v>1038.70770584039</v>
      </c>
      <c r="E22" s="198">
        <f>'经营月报-利润、价格'!J12</f>
        <v>291.91770435356</v>
      </c>
      <c r="F22" s="152">
        <f t="shared" si="5"/>
        <v>442.4684220198215</v>
      </c>
      <c r="H22" s="144" t="s">
        <v>39</v>
      </c>
      <c r="I22" s="152">
        <f>产品本月!G12</f>
        <v>13000</v>
      </c>
      <c r="J22" s="141">
        <f t="shared" si="0"/>
        <v>379.49301565962804</v>
      </c>
      <c r="K22" s="144">
        <f>产品本月!H12</f>
        <v>1141.5929203539824</v>
      </c>
      <c r="L22" s="144">
        <f t="shared" si="4"/>
        <v>102.88521451359247</v>
      </c>
      <c r="M22" s="144">
        <f t="shared" si="7"/>
        <v>133.75077886767022</v>
      </c>
      <c r="N22" s="144">
        <f>产品效益!X11</f>
        <v>-9.0188506200680472</v>
      </c>
      <c r="O22" s="144">
        <f t="shared" si="1"/>
        <v>-11.724505806088461</v>
      </c>
      <c r="P22" s="171">
        <f t="shared" si="2"/>
        <v>145.47528467375869</v>
      </c>
      <c r="Q22" s="171">
        <f t="shared" si="8"/>
        <v>524.96830033338676</v>
      </c>
      <c r="R22" s="171">
        <v>123.023204311515</v>
      </c>
      <c r="S22" s="164">
        <f t="shared" ref="S22:S23" si="9">E22+L22-N22</f>
        <v>403.82176948722054</v>
      </c>
    </row>
    <row r="23" spans="1:19" ht="24.9" customHeight="1">
      <c r="A23" s="200">
        <v>19</v>
      </c>
      <c r="B23" s="143" t="s">
        <v>89</v>
      </c>
      <c r="C23" s="198">
        <f>'经营月报-利润、价格'!H16</f>
        <v>58.98</v>
      </c>
      <c r="D23" s="198">
        <f>'经营月报-利润、价格'!I16</f>
        <v>10353.982300885</v>
      </c>
      <c r="E23" s="198">
        <f>'经营月报-利润、价格'!J16</f>
        <v>447.65807550467798</v>
      </c>
      <c r="F23" s="152">
        <f t="shared" si="5"/>
        <v>2.6402873293265907</v>
      </c>
      <c r="H23" s="144" t="s">
        <v>46</v>
      </c>
      <c r="I23" s="152">
        <f>产品本月!G16</f>
        <v>0</v>
      </c>
      <c r="J23" s="141">
        <f t="shared" si="0"/>
        <v>0</v>
      </c>
      <c r="K23" s="144">
        <f>产品本月!H16</f>
        <v>0</v>
      </c>
      <c r="L23" s="144">
        <f t="shared" si="4"/>
        <v>-10353.982300885</v>
      </c>
      <c r="M23" s="144">
        <f t="shared" si="7"/>
        <v>0</v>
      </c>
      <c r="N23" s="144">
        <f>产品效益!W18</f>
        <v>-7.7542867033409957E-2</v>
      </c>
      <c r="O23" s="144">
        <f t="shared" si="1"/>
        <v>0</v>
      </c>
      <c r="P23" s="171">
        <f t="shared" si="2"/>
        <v>0</v>
      </c>
      <c r="Q23" s="171">
        <f t="shared" si="8"/>
        <v>0</v>
      </c>
      <c r="R23" s="171">
        <v>6.1471310159710599</v>
      </c>
      <c r="S23" s="164">
        <f t="shared" si="9"/>
        <v>-9906.2466825132888</v>
      </c>
    </row>
    <row r="24" spans="1:19" ht="24.9" customHeight="1">
      <c r="A24" s="150" t="s">
        <v>267</v>
      </c>
      <c r="B24" s="154"/>
      <c r="C24" s="198"/>
      <c r="D24" s="198"/>
      <c r="E24" s="156"/>
      <c r="F24" s="203">
        <f>SUM(F15:F23)</f>
        <v>65.44657503707252</v>
      </c>
      <c r="H24" s="159"/>
      <c r="I24" s="159"/>
      <c r="J24" s="182">
        <f>SUM(J15:J23)</f>
        <v>-433.38937945193317</v>
      </c>
      <c r="K24" s="159"/>
      <c r="L24" s="159"/>
      <c r="M24" s="182">
        <f>SUM(M15:M23)</f>
        <v>204.37215213868785</v>
      </c>
      <c r="N24" s="159"/>
      <c r="O24" s="183">
        <f>SUM(O15:O23)</f>
        <v>-99.65530321470024</v>
      </c>
      <c r="P24" s="184">
        <f t="shared" si="2"/>
        <v>304.02745535338806</v>
      </c>
      <c r="Q24" s="184">
        <f>SUM(Q15:Q23)</f>
        <v>-129.36192409854516</v>
      </c>
      <c r="R24" s="184">
        <f>SUM(R15:R23)</f>
        <v>324.25552880396373</v>
      </c>
    </row>
    <row r="25" spans="1:19" ht="24.9" customHeight="1">
      <c r="A25" s="160"/>
      <c r="B25" s="160"/>
      <c r="C25" s="161"/>
      <c r="D25" s="162"/>
      <c r="E25" s="162"/>
      <c r="F25" s="162"/>
      <c r="H25" s="164"/>
      <c r="I25" s="164"/>
      <c r="J25" s="133"/>
      <c r="K25" s="164"/>
      <c r="L25" s="164"/>
      <c r="M25" s="164"/>
      <c r="N25" s="164"/>
      <c r="O25" s="185"/>
      <c r="P25" s="208"/>
      <c r="Q25" s="208"/>
      <c r="R25" s="164"/>
      <c r="S25" s="164"/>
    </row>
    <row r="26" spans="1:19" ht="24.9" customHeight="1">
      <c r="A26" s="135" t="s">
        <v>69</v>
      </c>
      <c r="C26" s="165">
        <f>SUM(C4:C23)</f>
        <v>77379.803000000014</v>
      </c>
      <c r="D26" s="162"/>
      <c r="F26" s="204">
        <f>F6+F10+F14+F24</f>
        <v>2791.1120646195477</v>
      </c>
      <c r="H26" s="164"/>
      <c r="I26" s="165">
        <f>SUM(I4:I23)</f>
        <v>79020</v>
      </c>
      <c r="J26" s="204">
        <f>J6+J10+J14+J24</f>
        <v>2500.1730109031987</v>
      </c>
      <c r="K26" s="164"/>
      <c r="L26" s="164"/>
      <c r="M26" s="204">
        <f>M6+M10+M14+M24</f>
        <v>1162.5458626202867</v>
      </c>
      <c r="N26" s="164"/>
      <c r="O26" s="204">
        <f>O6+O10+O14+O24</f>
        <v>-65.413281186097848</v>
      </c>
      <c r="P26" s="204">
        <f>P6+P10+P14+P24</f>
        <v>1227.9591438063844</v>
      </c>
      <c r="Q26" s="204">
        <f>Q6+Q10+Q14+Q24</f>
        <v>3728.1321547095831</v>
      </c>
      <c r="R26" s="204">
        <f>R6+R10+R14+R24</f>
        <v>3942.3734572721437</v>
      </c>
      <c r="S26" s="164"/>
    </row>
    <row r="27" spans="1:19" ht="24.9" customHeight="1"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209"/>
      <c r="S27" s="164"/>
    </row>
    <row r="28" spans="1:19">
      <c r="O28" s="134"/>
      <c r="P28" s="164"/>
      <c r="Q28" s="164"/>
      <c r="R28" s="209"/>
      <c r="S28" s="164"/>
    </row>
    <row r="29" spans="1:19">
      <c r="O29" s="134"/>
      <c r="P29" s="164"/>
      <c r="Q29" s="164"/>
      <c r="R29" s="209"/>
      <c r="S29" s="164"/>
    </row>
    <row r="30" spans="1:19">
      <c r="C30" s="167"/>
      <c r="D30" s="136"/>
      <c r="E30" s="136"/>
      <c r="F30" s="136"/>
      <c r="H30" s="132"/>
      <c r="O30" s="134"/>
      <c r="P30" s="164"/>
      <c r="Q30" s="164"/>
      <c r="R30" s="209"/>
      <c r="S30" s="164"/>
    </row>
    <row r="31" spans="1:19">
      <c r="C31" s="167"/>
      <c r="D31" s="136"/>
      <c r="E31" s="136"/>
      <c r="F31" s="136"/>
      <c r="H31" s="132"/>
      <c r="O31" s="134"/>
      <c r="P31" s="164"/>
      <c r="Q31" s="164"/>
      <c r="R31" s="164"/>
      <c r="S31" s="164"/>
    </row>
    <row r="32" spans="1:19">
      <c r="C32" s="167"/>
      <c r="D32" s="136"/>
      <c r="E32" s="136"/>
      <c r="F32" s="136"/>
      <c r="H32" s="132"/>
      <c r="O32" s="134"/>
      <c r="P32" s="164"/>
      <c r="Q32" s="164"/>
      <c r="R32" s="164"/>
      <c r="S32" s="164"/>
    </row>
    <row r="33" spans="3:19">
      <c r="C33" s="167"/>
      <c r="D33" s="136"/>
      <c r="E33" s="136"/>
      <c r="F33" s="136"/>
      <c r="H33" s="132"/>
      <c r="O33" s="134"/>
      <c r="P33" s="164"/>
      <c r="Q33" s="164"/>
      <c r="R33" s="164"/>
      <c r="S33" s="164"/>
    </row>
    <row r="34" spans="3:19">
      <c r="C34" s="167"/>
      <c r="D34" s="136"/>
      <c r="E34" s="136"/>
      <c r="F34" s="136"/>
      <c r="H34" s="132"/>
      <c r="O34" s="134"/>
      <c r="P34" s="164"/>
      <c r="Q34" s="164"/>
      <c r="R34" s="164"/>
      <c r="S34" s="164"/>
    </row>
    <row r="35" spans="3:19">
      <c r="C35" s="167"/>
      <c r="D35" s="136"/>
      <c r="E35" s="136"/>
      <c r="F35" s="136"/>
      <c r="H35" s="132"/>
      <c r="O35" s="134"/>
      <c r="P35" s="164"/>
      <c r="Q35" s="164"/>
      <c r="R35" s="164"/>
      <c r="S35" s="164"/>
    </row>
    <row r="36" spans="3:19">
      <c r="C36" s="167"/>
      <c r="D36" s="136"/>
      <c r="E36" s="136"/>
      <c r="F36" s="136"/>
      <c r="H36" s="132"/>
      <c r="O36" s="134"/>
      <c r="P36" s="164"/>
      <c r="Q36" s="164"/>
      <c r="R36" s="164"/>
      <c r="S36" s="164"/>
    </row>
    <row r="37" spans="3:19">
      <c r="C37" s="167"/>
      <c r="D37" s="136"/>
      <c r="E37" s="136"/>
      <c r="F37" s="136"/>
      <c r="H37" s="132"/>
      <c r="O37" s="134"/>
      <c r="P37" s="164"/>
      <c r="Q37" s="164"/>
      <c r="R37" s="164"/>
      <c r="S37" s="164"/>
    </row>
    <row r="38" spans="3:19">
      <c r="C38" s="167"/>
      <c r="D38" s="136"/>
      <c r="E38" s="136"/>
      <c r="F38" s="136"/>
      <c r="H38" s="132"/>
      <c r="O38" s="134"/>
      <c r="P38" s="164"/>
      <c r="Q38" s="164"/>
      <c r="R38" s="164"/>
      <c r="S38" s="164"/>
    </row>
    <row r="39" spans="3:19">
      <c r="O39" s="134"/>
      <c r="P39" s="164"/>
      <c r="Q39" s="164"/>
      <c r="R39" s="164"/>
      <c r="S39" s="164"/>
    </row>
    <row r="40" spans="3:19">
      <c r="O40" s="134"/>
      <c r="P40" s="164"/>
      <c r="Q40" s="164"/>
      <c r="R40" s="164"/>
      <c r="S40" s="164"/>
    </row>
    <row r="41" spans="3:19">
      <c r="O41" s="134"/>
      <c r="P41" s="164"/>
      <c r="Q41" s="164"/>
      <c r="R41" s="164"/>
      <c r="S41" s="164"/>
    </row>
    <row r="42" spans="3:19">
      <c r="O42" s="134"/>
      <c r="P42" s="164"/>
      <c r="Q42" s="164"/>
      <c r="R42" s="164"/>
      <c r="S42" s="164"/>
    </row>
    <row r="43" spans="3:19">
      <c r="O43" s="134"/>
      <c r="P43" s="164"/>
      <c r="Q43" s="164"/>
      <c r="R43" s="164"/>
      <c r="S43" s="164"/>
    </row>
    <row r="44" spans="3:19">
      <c r="O44" s="134"/>
      <c r="P44" s="164"/>
      <c r="Q44" s="164"/>
      <c r="R44" s="164"/>
      <c r="S44" s="164"/>
    </row>
    <row r="45" spans="3:19">
      <c r="O45" s="134"/>
      <c r="P45" s="164"/>
      <c r="Q45" s="164"/>
      <c r="R45" s="164"/>
      <c r="S45" s="164"/>
    </row>
    <row r="46" spans="3:19">
      <c r="O46" s="134"/>
      <c r="P46" s="164"/>
      <c r="Q46" s="164"/>
      <c r="R46" s="164"/>
      <c r="S46" s="164"/>
    </row>
    <row r="47" spans="3:19">
      <c r="O47" s="134"/>
      <c r="P47" s="164"/>
      <c r="Q47" s="164"/>
      <c r="R47" s="164"/>
      <c r="S47" s="164"/>
    </row>
    <row r="48" spans="3:19">
      <c r="O48" s="134"/>
      <c r="P48" s="164"/>
      <c r="Q48" s="164"/>
      <c r="R48" s="164"/>
      <c r="S48" s="164"/>
    </row>
    <row r="49" spans="15:19">
      <c r="O49" s="134"/>
      <c r="P49" s="164"/>
      <c r="Q49" s="164"/>
      <c r="R49" s="164"/>
      <c r="S49" s="164"/>
    </row>
    <row r="50" spans="15:19">
      <c r="O50" s="134"/>
      <c r="P50" s="164"/>
      <c r="Q50" s="164"/>
      <c r="R50" s="164"/>
      <c r="S50" s="164"/>
    </row>
    <row r="51" spans="15:19">
      <c r="O51" s="134"/>
      <c r="P51" s="164"/>
      <c r="Q51" s="164"/>
      <c r="R51" s="164"/>
      <c r="S51" s="164"/>
    </row>
    <row r="52" spans="15:19">
      <c r="O52" s="134"/>
      <c r="P52" s="164"/>
      <c r="Q52" s="164"/>
      <c r="R52" s="164"/>
      <c r="S52" s="164"/>
    </row>
    <row r="53" spans="15:19">
      <c r="O53" s="134"/>
      <c r="P53" s="164"/>
      <c r="Q53" s="164"/>
      <c r="R53" s="164"/>
      <c r="S53" s="164"/>
    </row>
    <row r="54" spans="15:19">
      <c r="O54" s="134"/>
      <c r="P54" s="164"/>
      <c r="Q54" s="164"/>
      <c r="R54" s="164"/>
      <c r="S54" s="164"/>
    </row>
    <row r="55" spans="15:19">
      <c r="O55" s="134"/>
      <c r="P55" s="164"/>
      <c r="Q55" s="164"/>
      <c r="R55" s="164"/>
      <c r="S55" s="164"/>
    </row>
    <row r="56" spans="15:19">
      <c r="O56" s="134"/>
      <c r="P56" s="164"/>
      <c r="Q56" s="164"/>
      <c r="R56" s="164"/>
      <c r="S56" s="164"/>
    </row>
    <row r="57" spans="15:19">
      <c r="O57" s="134"/>
      <c r="P57" s="164"/>
      <c r="Q57" s="164"/>
      <c r="R57" s="164"/>
      <c r="S57" s="164"/>
    </row>
    <row r="58" spans="15:19">
      <c r="O58" s="134"/>
      <c r="P58" s="164"/>
      <c r="Q58" s="164"/>
      <c r="R58" s="164"/>
      <c r="S58" s="164"/>
    </row>
    <row r="59" spans="15:19">
      <c r="O59" s="134"/>
      <c r="P59" s="164"/>
      <c r="Q59" s="164"/>
      <c r="R59" s="164"/>
      <c r="S59" s="164"/>
    </row>
    <row r="60" spans="15:19">
      <c r="O60" s="134"/>
      <c r="P60" s="164"/>
      <c r="Q60" s="164"/>
      <c r="R60" s="164"/>
      <c r="S60" s="164"/>
    </row>
    <row r="61" spans="15:19">
      <c r="O61" s="134"/>
      <c r="P61" s="164"/>
      <c r="Q61" s="164"/>
      <c r="R61" s="164"/>
      <c r="S61" s="164"/>
    </row>
    <row r="62" spans="15:19">
      <c r="O62" s="134"/>
      <c r="P62" s="164"/>
      <c r="Q62" s="164"/>
      <c r="R62" s="164"/>
      <c r="S62" s="164"/>
    </row>
    <row r="63" spans="15:19">
      <c r="O63" s="134"/>
      <c r="P63" s="164"/>
      <c r="Q63" s="164"/>
      <c r="R63" s="164"/>
      <c r="S63" s="164"/>
    </row>
    <row r="64" spans="15:19">
      <c r="O64" s="134"/>
      <c r="P64" s="164"/>
      <c r="Q64" s="164"/>
      <c r="R64" s="164"/>
      <c r="S64" s="164"/>
    </row>
    <row r="65" spans="15:19">
      <c r="O65" s="134"/>
      <c r="P65" s="164"/>
      <c r="Q65" s="164"/>
      <c r="R65" s="164"/>
      <c r="S65" s="164"/>
    </row>
    <row r="66" spans="15:19">
      <c r="O66" s="134"/>
      <c r="P66" s="164"/>
      <c r="Q66" s="164"/>
      <c r="R66" s="164"/>
      <c r="S66" s="164"/>
    </row>
    <row r="67" spans="15:19">
      <c r="O67" s="134"/>
      <c r="P67" s="164"/>
      <c r="Q67" s="164"/>
      <c r="R67" s="164"/>
      <c r="S67" s="164"/>
    </row>
    <row r="68" spans="15:19">
      <c r="O68" s="134"/>
      <c r="P68" s="164"/>
      <c r="Q68" s="164"/>
      <c r="R68" s="164"/>
      <c r="S68" s="164"/>
    </row>
    <row r="69" spans="15:19">
      <c r="O69" s="134"/>
      <c r="P69" s="164"/>
      <c r="Q69" s="164"/>
      <c r="R69" s="164"/>
      <c r="S69" s="164"/>
    </row>
    <row r="70" spans="15:19">
      <c r="O70" s="134"/>
      <c r="P70" s="164"/>
      <c r="Q70" s="164"/>
      <c r="R70" s="164"/>
      <c r="S70" s="164"/>
    </row>
    <row r="71" spans="15:19">
      <c r="O71" s="134"/>
      <c r="P71" s="164"/>
      <c r="Q71" s="164"/>
      <c r="R71" s="164"/>
      <c r="S71" s="164"/>
    </row>
    <row r="72" spans="15:19">
      <c r="O72" s="134"/>
      <c r="P72" s="164"/>
      <c r="Q72" s="164"/>
      <c r="R72" s="164"/>
      <c r="S72" s="164"/>
    </row>
    <row r="73" spans="15:19">
      <c r="O73" s="134"/>
      <c r="P73" s="164"/>
      <c r="Q73" s="164"/>
      <c r="R73" s="164"/>
      <c r="S73" s="164"/>
    </row>
    <row r="74" spans="15:19">
      <c r="O74" s="134"/>
      <c r="P74" s="164"/>
      <c r="Q74" s="164"/>
      <c r="R74" s="164"/>
      <c r="S74" s="164"/>
    </row>
    <row r="75" spans="15:19">
      <c r="O75" s="134"/>
      <c r="P75" s="164"/>
      <c r="Q75" s="164"/>
      <c r="R75" s="164"/>
      <c r="S75" s="164"/>
    </row>
    <row r="76" spans="15:19">
      <c r="O76" s="134"/>
      <c r="P76" s="164"/>
      <c r="Q76" s="164"/>
      <c r="R76" s="164"/>
      <c r="S76" s="164"/>
    </row>
    <row r="77" spans="15:19">
      <c r="O77" s="134"/>
      <c r="P77" s="164"/>
      <c r="Q77" s="164"/>
      <c r="R77" s="164"/>
      <c r="S77" s="164"/>
    </row>
    <row r="78" spans="15:19">
      <c r="O78" s="134"/>
      <c r="P78" s="164"/>
      <c r="Q78" s="164"/>
      <c r="R78" s="164"/>
      <c r="S78" s="164"/>
    </row>
    <row r="79" spans="15:19">
      <c r="O79" s="134"/>
      <c r="P79" s="164"/>
      <c r="Q79" s="164"/>
      <c r="R79" s="164"/>
      <c r="S79" s="164"/>
    </row>
    <row r="80" spans="15:19">
      <c r="O80" s="134"/>
      <c r="P80" s="164"/>
      <c r="Q80" s="164"/>
      <c r="R80" s="164"/>
      <c r="S80" s="164"/>
    </row>
    <row r="81" spans="15:19">
      <c r="O81" s="134"/>
      <c r="P81" s="164"/>
      <c r="Q81" s="164"/>
      <c r="R81" s="164"/>
      <c r="S81" s="164"/>
    </row>
    <row r="82" spans="15:19">
      <c r="O82" s="134"/>
      <c r="P82" s="164"/>
      <c r="Q82" s="164"/>
      <c r="R82" s="164"/>
      <c r="S82" s="164"/>
    </row>
    <row r="83" spans="15:19">
      <c r="O83" s="134"/>
      <c r="P83" s="164"/>
      <c r="Q83" s="164"/>
      <c r="R83" s="164"/>
      <c r="S83" s="164"/>
    </row>
    <row r="84" spans="15:19">
      <c r="O84" s="134"/>
      <c r="P84" s="164"/>
      <c r="Q84" s="164"/>
      <c r="R84" s="164"/>
      <c r="S84" s="164"/>
    </row>
    <row r="85" spans="15:19">
      <c r="O85" s="134"/>
      <c r="P85" s="164"/>
      <c r="Q85" s="164"/>
      <c r="R85" s="164"/>
      <c r="S85" s="164"/>
    </row>
    <row r="86" spans="15:19">
      <c r="O86" s="134"/>
      <c r="P86" s="164"/>
      <c r="Q86" s="164"/>
      <c r="R86" s="164"/>
      <c r="S86" s="164"/>
    </row>
    <row r="87" spans="15:19">
      <c r="O87" s="134"/>
      <c r="P87" s="164"/>
      <c r="Q87" s="164"/>
      <c r="R87" s="164"/>
      <c r="S87" s="164"/>
    </row>
    <row r="88" spans="15:19">
      <c r="O88" s="134"/>
      <c r="P88" s="164"/>
      <c r="Q88" s="164"/>
      <c r="R88" s="164"/>
      <c r="S88" s="164"/>
    </row>
    <row r="89" spans="15:19">
      <c r="O89" s="134"/>
      <c r="P89" s="164"/>
      <c r="Q89" s="164"/>
      <c r="R89" s="164"/>
      <c r="S89" s="164"/>
    </row>
    <row r="90" spans="15:19">
      <c r="O90" s="134"/>
      <c r="P90" s="164"/>
      <c r="Q90" s="164"/>
      <c r="R90" s="164"/>
      <c r="S90" s="164"/>
    </row>
    <row r="91" spans="15:19">
      <c r="O91" s="134"/>
      <c r="P91" s="164"/>
      <c r="Q91" s="164"/>
      <c r="R91" s="164"/>
      <c r="S91" s="164"/>
    </row>
    <row r="92" spans="15:19">
      <c r="O92" s="134"/>
      <c r="P92" s="164"/>
      <c r="Q92" s="164"/>
      <c r="R92" s="164"/>
      <c r="S92" s="164"/>
    </row>
    <row r="93" spans="15:19">
      <c r="O93" s="134"/>
      <c r="P93" s="164"/>
      <c r="Q93" s="164"/>
      <c r="R93" s="164"/>
      <c r="S93" s="164"/>
    </row>
    <row r="94" spans="15:19">
      <c r="O94" s="134"/>
      <c r="P94" s="164"/>
      <c r="Q94" s="164"/>
      <c r="R94" s="164"/>
      <c r="S94" s="164"/>
    </row>
    <row r="95" spans="15:19">
      <c r="O95" s="134"/>
      <c r="P95" s="164"/>
      <c r="Q95" s="164"/>
      <c r="R95" s="164"/>
      <c r="S95" s="164"/>
    </row>
    <row r="96" spans="15:19">
      <c r="O96" s="134"/>
      <c r="P96" s="164"/>
      <c r="Q96" s="164"/>
      <c r="R96" s="164"/>
      <c r="S96" s="164"/>
    </row>
    <row r="97" spans="15:19">
      <c r="O97" s="134"/>
      <c r="P97" s="164"/>
      <c r="Q97" s="164"/>
      <c r="R97" s="164"/>
      <c r="S97" s="164"/>
    </row>
    <row r="98" spans="15:19">
      <c r="O98" s="134"/>
      <c r="P98" s="164"/>
      <c r="Q98" s="164"/>
      <c r="R98" s="164"/>
      <c r="S98" s="164"/>
    </row>
    <row r="99" spans="15:19">
      <c r="O99" s="134"/>
      <c r="P99" s="164"/>
      <c r="Q99" s="164"/>
      <c r="R99" s="164"/>
      <c r="S99" s="164"/>
    </row>
    <row r="100" spans="15:19">
      <c r="O100" s="134"/>
      <c r="P100" s="164"/>
      <c r="Q100" s="164"/>
      <c r="R100" s="164"/>
      <c r="S100" s="164"/>
    </row>
    <row r="101" spans="15:19">
      <c r="O101" s="134"/>
      <c r="P101" s="164"/>
      <c r="Q101" s="164"/>
      <c r="R101" s="164"/>
      <c r="S101" s="164"/>
    </row>
    <row r="102" spans="15:19">
      <c r="O102" s="134"/>
      <c r="P102" s="164"/>
      <c r="Q102" s="164"/>
      <c r="R102" s="164"/>
      <c r="S102" s="164"/>
    </row>
    <row r="103" spans="15:19">
      <c r="O103" s="134"/>
      <c r="P103" s="164"/>
      <c r="Q103" s="164"/>
      <c r="R103" s="164"/>
      <c r="S103" s="164"/>
    </row>
    <row r="104" spans="15:19">
      <c r="O104" s="134"/>
      <c r="P104" s="164"/>
      <c r="Q104" s="164"/>
      <c r="R104" s="164"/>
      <c r="S104" s="164"/>
    </row>
    <row r="105" spans="15:19">
      <c r="O105" s="134"/>
      <c r="P105" s="164"/>
      <c r="Q105" s="164"/>
      <c r="R105" s="164"/>
      <c r="S105" s="164"/>
    </row>
    <row r="106" spans="15:19">
      <c r="O106" s="134"/>
      <c r="P106" s="164"/>
      <c r="Q106" s="164"/>
      <c r="R106" s="164"/>
      <c r="S106" s="164"/>
    </row>
    <row r="107" spans="15:19">
      <c r="O107" s="134"/>
      <c r="P107" s="164"/>
      <c r="Q107" s="164"/>
      <c r="R107" s="164"/>
      <c r="S107" s="164"/>
    </row>
    <row r="108" spans="15:19">
      <c r="O108" s="134"/>
      <c r="P108" s="164"/>
      <c r="Q108" s="164"/>
      <c r="R108" s="164"/>
      <c r="S108" s="164"/>
    </row>
    <row r="109" spans="15:19">
      <c r="O109" s="134"/>
      <c r="P109" s="164"/>
      <c r="Q109" s="164"/>
      <c r="R109" s="164"/>
      <c r="S109" s="164"/>
    </row>
    <row r="110" spans="15:19">
      <c r="O110" s="134"/>
      <c r="P110" s="164"/>
      <c r="Q110" s="164"/>
      <c r="R110" s="164"/>
      <c r="S110" s="164"/>
    </row>
    <row r="111" spans="15:19">
      <c r="O111" s="134"/>
      <c r="P111" s="164"/>
      <c r="Q111" s="164"/>
      <c r="R111" s="164"/>
      <c r="S111" s="164"/>
    </row>
    <row r="112" spans="15:19">
      <c r="O112" s="134"/>
      <c r="P112" s="164"/>
      <c r="Q112" s="164"/>
      <c r="R112" s="164"/>
      <c r="S112" s="164"/>
    </row>
    <row r="113" spans="15:19">
      <c r="O113" s="134"/>
      <c r="P113" s="164"/>
      <c r="Q113" s="164"/>
      <c r="R113" s="164"/>
      <c r="S113" s="164"/>
    </row>
    <row r="114" spans="15:19">
      <c r="O114" s="134"/>
      <c r="P114" s="164"/>
      <c r="Q114" s="164"/>
      <c r="R114" s="164"/>
      <c r="S114" s="164"/>
    </row>
    <row r="115" spans="15:19">
      <c r="O115" s="134"/>
      <c r="P115" s="164"/>
      <c r="Q115" s="164"/>
      <c r="R115" s="164"/>
      <c r="S115" s="164"/>
    </row>
    <row r="116" spans="15:19">
      <c r="O116" s="134"/>
      <c r="P116" s="164"/>
      <c r="Q116" s="164"/>
      <c r="R116" s="164"/>
      <c r="S116" s="164"/>
    </row>
    <row r="117" spans="15:19">
      <c r="O117" s="134"/>
      <c r="P117" s="164"/>
      <c r="Q117" s="164"/>
      <c r="R117" s="164"/>
      <c r="S117" s="164"/>
    </row>
    <row r="118" spans="15:19">
      <c r="O118" s="134"/>
      <c r="P118" s="164"/>
      <c r="Q118" s="164"/>
      <c r="R118" s="164"/>
      <c r="S118" s="164"/>
    </row>
    <row r="119" spans="15:19">
      <c r="O119" s="134"/>
      <c r="P119" s="164"/>
      <c r="Q119" s="164"/>
      <c r="R119" s="164"/>
      <c r="S119" s="164"/>
    </row>
    <row r="120" spans="15:19">
      <c r="O120" s="134"/>
      <c r="P120" s="164"/>
      <c r="Q120" s="164"/>
      <c r="R120" s="164"/>
      <c r="S120" s="164"/>
    </row>
    <row r="121" spans="15:19">
      <c r="O121" s="134"/>
      <c r="P121" s="164"/>
      <c r="Q121" s="164"/>
      <c r="R121" s="164"/>
      <c r="S121" s="164"/>
    </row>
    <row r="122" spans="15:19">
      <c r="O122" s="134"/>
      <c r="P122" s="164"/>
      <c r="Q122" s="164"/>
      <c r="R122" s="164"/>
      <c r="S122" s="164"/>
    </row>
    <row r="123" spans="15:19">
      <c r="O123" s="134"/>
      <c r="P123" s="164"/>
      <c r="Q123" s="164"/>
      <c r="R123" s="164"/>
      <c r="S123" s="164"/>
    </row>
    <row r="124" spans="15:19">
      <c r="O124" s="134"/>
      <c r="P124" s="164"/>
      <c r="Q124" s="164"/>
      <c r="R124" s="164"/>
      <c r="S124" s="164"/>
    </row>
    <row r="125" spans="15:19">
      <c r="O125" s="134"/>
      <c r="P125" s="164"/>
      <c r="Q125" s="164"/>
      <c r="R125" s="164"/>
      <c r="S125" s="164"/>
    </row>
    <row r="126" spans="15:19">
      <c r="O126" s="134"/>
      <c r="P126" s="164"/>
      <c r="Q126" s="164"/>
      <c r="R126" s="164"/>
      <c r="S126" s="164"/>
    </row>
    <row r="127" spans="15:19">
      <c r="O127" s="134"/>
      <c r="P127" s="164"/>
      <c r="Q127" s="164"/>
      <c r="R127" s="164"/>
      <c r="S127" s="164"/>
    </row>
    <row r="128" spans="15:19">
      <c r="O128" s="134"/>
      <c r="P128" s="164"/>
      <c r="Q128" s="164"/>
      <c r="R128" s="164"/>
      <c r="S128" s="164"/>
    </row>
    <row r="129" spans="15:19">
      <c r="O129" s="134"/>
      <c r="P129" s="164"/>
      <c r="Q129" s="164"/>
      <c r="R129" s="164"/>
      <c r="S129" s="164"/>
    </row>
    <row r="130" spans="15:19">
      <c r="O130" s="134"/>
      <c r="P130" s="164"/>
      <c r="Q130" s="164"/>
      <c r="R130" s="164"/>
      <c r="S130" s="164"/>
    </row>
    <row r="131" spans="15:19">
      <c r="O131" s="134"/>
      <c r="P131" s="164"/>
      <c r="Q131" s="164"/>
      <c r="R131" s="164"/>
      <c r="S131" s="164"/>
    </row>
    <row r="132" spans="15:19">
      <c r="O132" s="134"/>
      <c r="P132" s="164"/>
      <c r="Q132" s="164"/>
      <c r="R132" s="164"/>
      <c r="S132" s="164"/>
    </row>
    <row r="133" spans="15:19">
      <c r="O133" s="134"/>
      <c r="P133" s="164"/>
      <c r="Q133" s="164"/>
      <c r="R133" s="164"/>
      <c r="S133" s="164"/>
    </row>
    <row r="134" spans="15:19">
      <c r="O134" s="134"/>
      <c r="P134" s="164"/>
      <c r="Q134" s="164"/>
      <c r="R134" s="164"/>
      <c r="S134" s="164"/>
    </row>
    <row r="135" spans="15:19">
      <c r="O135" s="134"/>
      <c r="P135" s="164"/>
      <c r="Q135" s="164"/>
      <c r="R135" s="164"/>
      <c r="S135" s="164"/>
    </row>
    <row r="136" spans="15:19">
      <c r="O136" s="134"/>
      <c r="P136" s="164"/>
      <c r="Q136" s="164"/>
      <c r="R136" s="164"/>
      <c r="S136" s="164"/>
    </row>
    <row r="137" spans="15:19">
      <c r="O137" s="134"/>
      <c r="P137" s="164"/>
      <c r="Q137" s="164"/>
      <c r="R137" s="164"/>
      <c r="S137" s="164"/>
    </row>
    <row r="138" spans="15:19">
      <c r="O138" s="134"/>
      <c r="P138" s="164"/>
      <c r="Q138" s="164"/>
      <c r="R138" s="164"/>
      <c r="S138" s="164"/>
    </row>
    <row r="139" spans="15:19">
      <c r="O139" s="134"/>
      <c r="P139" s="164"/>
      <c r="Q139" s="164"/>
      <c r="R139" s="164"/>
      <c r="S139" s="164"/>
    </row>
    <row r="140" spans="15:19">
      <c r="O140" s="134"/>
      <c r="P140" s="164"/>
      <c r="Q140" s="164"/>
      <c r="R140" s="164"/>
      <c r="S140" s="164"/>
    </row>
    <row r="141" spans="15:19">
      <c r="O141" s="134"/>
      <c r="P141" s="164"/>
      <c r="Q141" s="164"/>
      <c r="R141" s="164"/>
      <c r="S141" s="164"/>
    </row>
    <row r="142" spans="15:19">
      <c r="O142" s="134"/>
      <c r="P142" s="164"/>
      <c r="Q142" s="164"/>
      <c r="R142" s="164"/>
      <c r="S142" s="164"/>
    </row>
    <row r="143" spans="15:19">
      <c r="O143" s="134"/>
      <c r="P143" s="164"/>
      <c r="Q143" s="164"/>
      <c r="R143" s="164"/>
      <c r="S143" s="164"/>
    </row>
    <row r="144" spans="15:19">
      <c r="O144" s="134"/>
      <c r="P144" s="164"/>
      <c r="Q144" s="164"/>
      <c r="R144" s="164"/>
      <c r="S144" s="164"/>
    </row>
    <row r="145" spans="15:19">
      <c r="O145" s="134"/>
      <c r="P145" s="164"/>
      <c r="Q145" s="164"/>
      <c r="R145" s="164"/>
      <c r="S145" s="164"/>
    </row>
    <row r="146" spans="15:19">
      <c r="O146" s="134"/>
      <c r="P146" s="164"/>
      <c r="Q146" s="164"/>
      <c r="R146" s="164"/>
      <c r="S146" s="164"/>
    </row>
    <row r="147" spans="15:19">
      <c r="O147" s="134"/>
      <c r="P147" s="164"/>
      <c r="Q147" s="164"/>
      <c r="R147" s="164"/>
      <c r="S147" s="164"/>
    </row>
    <row r="148" spans="15:19">
      <c r="O148" s="134"/>
      <c r="P148" s="164"/>
      <c r="Q148" s="164"/>
      <c r="R148" s="164"/>
      <c r="S148" s="164"/>
    </row>
    <row r="149" spans="15:19">
      <c r="O149" s="134"/>
      <c r="P149" s="164"/>
      <c r="Q149" s="164"/>
      <c r="R149" s="164"/>
      <c r="S149" s="164"/>
    </row>
    <row r="150" spans="15:19">
      <c r="O150" s="134"/>
      <c r="P150" s="164"/>
      <c r="Q150" s="164"/>
      <c r="R150" s="164"/>
      <c r="S150" s="164"/>
    </row>
    <row r="151" spans="15:19">
      <c r="O151" s="134"/>
      <c r="P151" s="164"/>
      <c r="Q151" s="164"/>
      <c r="R151" s="164"/>
      <c r="S151" s="164"/>
    </row>
    <row r="152" spans="15:19">
      <c r="O152" s="134"/>
      <c r="P152" s="164"/>
      <c r="Q152" s="164"/>
      <c r="R152" s="164"/>
      <c r="S152" s="164"/>
    </row>
    <row r="153" spans="15:19">
      <c r="O153" s="134"/>
      <c r="P153" s="164"/>
      <c r="Q153" s="164"/>
      <c r="R153" s="164"/>
      <c r="S153" s="164"/>
    </row>
    <row r="154" spans="15:19">
      <c r="O154" s="134"/>
      <c r="P154" s="164"/>
      <c r="Q154" s="164"/>
      <c r="R154" s="164"/>
      <c r="S154" s="164"/>
    </row>
    <row r="155" spans="15:19">
      <c r="O155" s="134"/>
      <c r="P155" s="164"/>
      <c r="Q155" s="164"/>
      <c r="R155" s="164"/>
      <c r="S155" s="164"/>
    </row>
    <row r="156" spans="15:19">
      <c r="O156" s="134"/>
      <c r="P156" s="164"/>
      <c r="Q156" s="164"/>
      <c r="R156" s="164"/>
      <c r="S156" s="164"/>
    </row>
    <row r="157" spans="15:19">
      <c r="O157" s="134"/>
      <c r="P157" s="164"/>
      <c r="Q157" s="164"/>
      <c r="R157" s="164"/>
      <c r="S157" s="164"/>
    </row>
    <row r="158" spans="15:19">
      <c r="O158" s="134"/>
      <c r="P158" s="164"/>
      <c r="Q158" s="164"/>
      <c r="R158" s="164"/>
      <c r="S158" s="164"/>
    </row>
    <row r="159" spans="15:19">
      <c r="O159" s="134"/>
      <c r="P159" s="164"/>
      <c r="Q159" s="164"/>
      <c r="R159" s="164"/>
      <c r="S159" s="164"/>
    </row>
  </sheetData>
  <mergeCells count="12">
    <mergeCell ref="Q2:Q3"/>
    <mergeCell ref="R2:R3"/>
    <mergeCell ref="S2:S3"/>
    <mergeCell ref="A1:F1"/>
    <mergeCell ref="H1:P1"/>
    <mergeCell ref="B2:F2"/>
    <mergeCell ref="H2:K2"/>
    <mergeCell ref="L2:L3"/>
    <mergeCell ref="M2:M3"/>
    <mergeCell ref="N2:N3"/>
    <mergeCell ref="O2:O3"/>
    <mergeCell ref="P2:P3"/>
  </mergeCells>
  <phoneticPr fontId="117" type="noConversion"/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U165"/>
  <sheetViews>
    <sheetView workbookViewId="0">
      <pane ySplit="3" topLeftCell="A13" activePane="bottomLeft" state="frozen"/>
      <selection pane="bottomLeft" activeCell="K4" sqref="K4:K24"/>
    </sheetView>
  </sheetViews>
  <sheetFormatPr defaultColWidth="9" defaultRowHeight="14.4"/>
  <cols>
    <col min="1" max="1" width="6" style="132" customWidth="1"/>
    <col min="2" max="2" width="13.44140625" style="132" customWidth="1"/>
    <col min="3" max="3" width="9.88671875" style="133" customWidth="1"/>
    <col min="4" max="4" width="12.77734375" style="134" customWidth="1"/>
    <col min="5" max="6" width="13" style="134" customWidth="1"/>
    <col min="7" max="7" width="2.33203125" style="132" customWidth="1"/>
    <col min="8" max="8" width="13" style="135" customWidth="1"/>
    <col min="9" max="9" width="10.44140625" style="135" customWidth="1"/>
    <col min="10" max="10" width="13.33203125" style="135" customWidth="1"/>
    <col min="11" max="11" width="11.6640625" style="134" customWidth="1"/>
    <col min="12" max="12" width="12.88671875" style="134" customWidth="1"/>
    <col min="13" max="13" width="13.6640625" style="134" customWidth="1"/>
    <col min="14" max="14" width="10.6640625" style="134" customWidth="1"/>
    <col min="15" max="15" width="15.77734375" style="136" customWidth="1"/>
    <col min="16" max="16" width="16.88671875" style="137" customWidth="1"/>
    <col min="17" max="20" width="16.88671875" style="134" customWidth="1"/>
    <col min="21" max="16384" width="9" style="132"/>
  </cols>
  <sheetData>
    <row r="1" spans="1:21" ht="28.2" customHeight="1">
      <c r="A1" s="533" t="s">
        <v>292</v>
      </c>
      <c r="B1" s="533"/>
      <c r="C1" s="533"/>
      <c r="D1" s="533"/>
      <c r="E1" s="533"/>
      <c r="F1" s="533"/>
      <c r="H1" s="535" t="s">
        <v>293</v>
      </c>
      <c r="I1" s="540"/>
      <c r="J1" s="540"/>
      <c r="K1" s="540"/>
      <c r="L1" s="540"/>
      <c r="M1" s="540"/>
      <c r="N1" s="540"/>
      <c r="O1" s="540"/>
      <c r="P1" s="541"/>
      <c r="Q1" s="188"/>
      <c r="R1" s="188"/>
      <c r="S1" s="188"/>
      <c r="T1" s="188"/>
    </row>
    <row r="2" spans="1:21" ht="28.95" customHeight="1">
      <c r="A2" s="138"/>
      <c r="B2" s="536" t="str">
        <f>'7月份利润与6月份利润对比 '!H2</f>
        <v>2022年7月</v>
      </c>
      <c r="C2" s="536"/>
      <c r="D2" s="536"/>
      <c r="E2" s="536"/>
      <c r="F2" s="536"/>
      <c r="H2" s="536">
        <v>44774</v>
      </c>
      <c r="I2" s="536"/>
      <c r="J2" s="536"/>
      <c r="K2" s="536"/>
      <c r="L2" s="545" t="s">
        <v>280</v>
      </c>
      <c r="M2" s="546" t="s">
        <v>281</v>
      </c>
      <c r="N2" s="546" t="s">
        <v>294</v>
      </c>
      <c r="O2" s="546" t="s">
        <v>283</v>
      </c>
      <c r="P2" s="546" t="s">
        <v>284</v>
      </c>
      <c r="Q2" s="548" t="s">
        <v>295</v>
      </c>
      <c r="R2" s="549" t="s">
        <v>287</v>
      </c>
      <c r="S2" s="189"/>
      <c r="T2" s="189"/>
    </row>
    <row r="3" spans="1:21" ht="32.25" customHeight="1">
      <c r="A3" s="140" t="s">
        <v>74</v>
      </c>
      <c r="B3" s="140" t="s">
        <v>261</v>
      </c>
      <c r="C3" s="141" t="s">
        <v>262</v>
      </c>
      <c r="D3" s="142" t="s">
        <v>288</v>
      </c>
      <c r="E3" s="142" t="s">
        <v>289</v>
      </c>
      <c r="F3" s="142" t="s">
        <v>265</v>
      </c>
      <c r="H3" s="140" t="s">
        <v>261</v>
      </c>
      <c r="I3" s="168" t="s">
        <v>262</v>
      </c>
      <c r="J3" s="168" t="s">
        <v>291</v>
      </c>
      <c r="K3" s="168" t="s">
        <v>266</v>
      </c>
      <c r="L3" s="545"/>
      <c r="M3" s="547"/>
      <c r="N3" s="546"/>
      <c r="O3" s="547"/>
      <c r="P3" s="546"/>
      <c r="Q3" s="548"/>
      <c r="R3" s="549"/>
      <c r="S3" s="189"/>
      <c r="T3" s="189"/>
    </row>
    <row r="4" spans="1:21" ht="24.9" customHeight="1">
      <c r="A4" s="140">
        <v>1</v>
      </c>
      <c r="B4" s="143" t="s">
        <v>42</v>
      </c>
      <c r="C4" s="141">
        <f>'7月份利润与6月份利润对比 '!I4</f>
        <v>16200</v>
      </c>
      <c r="D4" s="144">
        <f>'7月份利润与6月份利润对比 '!K4</f>
        <v>9115.0442477876113</v>
      </c>
      <c r="E4" s="145">
        <f>'7月份利润与6月份利润对比 '!S4</f>
        <v>271.04194501895961</v>
      </c>
      <c r="F4" s="145">
        <f>C4*E4/10000</f>
        <v>439.08795093071461</v>
      </c>
      <c r="G4" s="135"/>
      <c r="H4" s="144" t="s">
        <v>42</v>
      </c>
      <c r="I4" s="152">
        <f>产品次月!E13</f>
        <v>16500</v>
      </c>
      <c r="J4" s="152">
        <f>I4*E4/10000</f>
        <v>447.21920928128333</v>
      </c>
      <c r="K4" s="142">
        <f>产品次月!F13</f>
        <v>9292.0353982300894</v>
      </c>
      <c r="L4" s="169">
        <f>K4-D4</f>
        <v>176.9911504424781</v>
      </c>
      <c r="M4" s="169">
        <f>I4*(K4-D4)/10000</f>
        <v>292.0353982300889</v>
      </c>
      <c r="N4" s="169">
        <f>产品效益!S54</f>
        <v>62.258546946275388</v>
      </c>
      <c r="O4" s="170">
        <f>N4*I4/10000</f>
        <v>102.72660246135439</v>
      </c>
      <c r="P4" s="171">
        <f>M4-O4</f>
        <v>189.30879576873451</v>
      </c>
      <c r="Q4" s="171">
        <f>J4+P4</f>
        <v>636.52800505001778</v>
      </c>
      <c r="R4" s="164">
        <f>Q4/I4*10000</f>
        <v>385.77454851516228</v>
      </c>
      <c r="S4" s="164"/>
      <c r="T4" s="164"/>
    </row>
    <row r="5" spans="1:21" ht="24.9" customHeight="1">
      <c r="A5" s="140">
        <v>2</v>
      </c>
      <c r="B5" s="143" t="s">
        <v>45</v>
      </c>
      <c r="C5" s="141">
        <f>'7月份利润与6月份利润对比 '!I5</f>
        <v>0</v>
      </c>
      <c r="D5" s="141">
        <f>'7月份利润与6月份利润对比 '!J5</f>
        <v>0</v>
      </c>
      <c r="E5" s="141">
        <f>'7月份利润与6月份利润对比 '!K5</f>
        <v>0</v>
      </c>
      <c r="F5" s="145">
        <f>C5*E5/10000</f>
        <v>0</v>
      </c>
      <c r="G5" s="135"/>
      <c r="H5" s="144" t="s">
        <v>45</v>
      </c>
      <c r="I5" s="152">
        <f>产品次月!E15</f>
        <v>0</v>
      </c>
      <c r="J5" s="152">
        <f t="shared" ref="J5:J23" si="0">I5*E5/10000</f>
        <v>0</v>
      </c>
      <c r="K5" s="142">
        <f>产品次月!F15</f>
        <v>0</v>
      </c>
      <c r="L5" s="144">
        <f t="shared" ref="L5:L23" si="1">K5-D5</f>
        <v>0</v>
      </c>
      <c r="M5" s="169">
        <f>I5*(K5-D5)/10000</f>
        <v>0</v>
      </c>
      <c r="N5" s="144">
        <f>产品效益!R55</f>
        <v>-24.592341676950941</v>
      </c>
      <c r="O5" s="172">
        <f t="shared" ref="O5:O23" si="2">N5*I5/10000</f>
        <v>0</v>
      </c>
      <c r="P5" s="171">
        <f t="shared" ref="P5:P24" si="3">M5-O5</f>
        <v>0</v>
      </c>
      <c r="Q5" s="171">
        <f>J5+P5</f>
        <v>0</v>
      </c>
      <c r="R5" s="164"/>
      <c r="S5" s="164"/>
      <c r="T5" s="164"/>
    </row>
    <row r="6" spans="1:21" ht="24.9" customHeight="1">
      <c r="A6" s="140" t="s">
        <v>267</v>
      </c>
      <c r="B6" s="143"/>
      <c r="C6" s="141"/>
      <c r="D6" s="144"/>
      <c r="E6" s="144"/>
      <c r="F6" s="146">
        <f>SUM(F4:F5)</f>
        <v>439.08795093071461</v>
      </c>
      <c r="G6" s="135"/>
      <c r="H6" s="144"/>
      <c r="I6" s="152"/>
      <c r="J6" s="146">
        <f>SUM(J4:J5)</f>
        <v>447.21920928128333</v>
      </c>
      <c r="K6" s="142"/>
      <c r="L6" s="144"/>
      <c r="M6" s="173">
        <f>M4+M5</f>
        <v>292.0353982300889</v>
      </c>
      <c r="N6" s="144"/>
      <c r="O6" s="174">
        <f>SUM(O4:O5)</f>
        <v>102.72660246135439</v>
      </c>
      <c r="P6" s="175">
        <f t="shared" si="3"/>
        <v>189.30879576873451</v>
      </c>
      <c r="Q6" s="190">
        <f>SUM(Q4:Q5)</f>
        <v>636.52800505001778</v>
      </c>
      <c r="R6" s="191"/>
      <c r="S6" s="191"/>
      <c r="T6" s="191"/>
      <c r="U6" s="192"/>
    </row>
    <row r="7" spans="1:21" ht="24.9" customHeight="1">
      <c r="A7" s="140">
        <v>3</v>
      </c>
      <c r="B7" s="143" t="s">
        <v>48</v>
      </c>
      <c r="C7" s="141">
        <f>'7月份利润与6月份利润对比 '!I7</f>
        <v>4500</v>
      </c>
      <c r="D7" s="144">
        <f>'7月份利润与6月份利润对比 '!K7</f>
        <v>6637.1681415929206</v>
      </c>
      <c r="E7" s="145">
        <f>'7月份利润与6月份利润对比 '!S7</f>
        <v>980.88742603436663</v>
      </c>
      <c r="F7" s="145">
        <f>C7*E7/10000</f>
        <v>441.39934171546503</v>
      </c>
      <c r="G7" s="135"/>
      <c r="H7" s="144" t="s">
        <v>48</v>
      </c>
      <c r="I7" s="152">
        <f>产品次月!E17</f>
        <v>4380</v>
      </c>
      <c r="J7" s="152">
        <f t="shared" si="0"/>
        <v>429.62869260305257</v>
      </c>
      <c r="K7" s="142">
        <f>产品次月!F17</f>
        <v>6637.1681415929206</v>
      </c>
      <c r="L7" s="144">
        <f>K7-D7</f>
        <v>0</v>
      </c>
      <c r="M7" s="144">
        <f>I7*(K7-D7)/10000</f>
        <v>0</v>
      </c>
      <c r="N7" s="144">
        <f>产品效益!R57</f>
        <v>-28.142093893912364</v>
      </c>
      <c r="O7" s="172">
        <f>N7*I7/10000</f>
        <v>-12.326237125533616</v>
      </c>
      <c r="P7" s="171">
        <f t="shared" si="3"/>
        <v>12.326237125533616</v>
      </c>
      <c r="Q7" s="171">
        <f>J7+P7</f>
        <v>441.95492972858619</v>
      </c>
      <c r="R7" s="164">
        <f>Q7/I7*10000</f>
        <v>1009.0295199282789</v>
      </c>
      <c r="S7" s="164"/>
      <c r="T7" s="164"/>
    </row>
    <row r="8" spans="1:21" ht="24.9" customHeight="1">
      <c r="A8" s="140">
        <v>4</v>
      </c>
      <c r="B8" s="143" t="s">
        <v>50</v>
      </c>
      <c r="C8" s="141">
        <f>'7月份利润与6月份利润对比 '!I8</f>
        <v>4550</v>
      </c>
      <c r="D8" s="144">
        <f>'7月份利润与6月份利润对比 '!K8</f>
        <v>8495.575221238938</v>
      </c>
      <c r="E8" s="145">
        <f>'7月份利润与6月份利润对比 '!S8</f>
        <v>1977.4676003426036</v>
      </c>
      <c r="F8" s="145">
        <f>C8*E8/10000</f>
        <v>899.74775815588464</v>
      </c>
      <c r="G8" s="135"/>
      <c r="H8" s="144" t="s">
        <v>50</v>
      </c>
      <c r="I8" s="152">
        <f>产品次月!E18</f>
        <v>5400</v>
      </c>
      <c r="J8" s="152">
        <f t="shared" si="0"/>
        <v>1067.832504185006</v>
      </c>
      <c r="K8" s="142">
        <f>产品次月!F18</f>
        <v>8628.3185840707974</v>
      </c>
      <c r="L8" s="144">
        <f t="shared" si="1"/>
        <v>132.74336283185949</v>
      </c>
      <c r="M8" s="144">
        <f>I8*(K8-D8)/10000</f>
        <v>71.681415929204121</v>
      </c>
      <c r="N8" s="144">
        <f>产品效益!S60</f>
        <v>41.345842283851894</v>
      </c>
      <c r="O8" s="172">
        <f t="shared" si="2"/>
        <v>22.32675483328002</v>
      </c>
      <c r="P8" s="171">
        <f t="shared" si="3"/>
        <v>49.354661095924101</v>
      </c>
      <c r="Q8" s="171">
        <f>J8+P8</f>
        <v>1117.18716528093</v>
      </c>
      <c r="R8" s="164">
        <f t="shared" ref="R8:R9" si="4">Q8/I8*10000</f>
        <v>2068.8651208906113</v>
      </c>
      <c r="S8" s="164"/>
      <c r="T8" s="164"/>
    </row>
    <row r="9" spans="1:21" ht="24.9" customHeight="1">
      <c r="A9" s="140">
        <v>5</v>
      </c>
      <c r="B9" s="143" t="s">
        <v>90</v>
      </c>
      <c r="C9" s="141">
        <f>'7月份利润与6月份利润对比 '!I9</f>
        <v>2450</v>
      </c>
      <c r="D9" s="144">
        <f>'7月份利润与6月份利润对比 '!K9</f>
        <v>4690.2654867256642</v>
      </c>
      <c r="E9" s="145">
        <f>'7月份利润与6月份利润对比 '!S9</f>
        <v>-1808.1619696126195</v>
      </c>
      <c r="F9" s="145">
        <f t="shared" ref="F9:F23" si="5">C9*E9/10000</f>
        <v>-442.99968255509174</v>
      </c>
      <c r="G9" s="135"/>
      <c r="H9" s="144" t="s">
        <v>90</v>
      </c>
      <c r="I9" s="152">
        <f>产品次月!E19</f>
        <v>3000</v>
      </c>
      <c r="J9" s="152">
        <f t="shared" si="0"/>
        <v>-542.44859088378587</v>
      </c>
      <c r="K9" s="142">
        <f>产品次月!F19</f>
        <v>3982.3008849557527</v>
      </c>
      <c r="L9" s="144">
        <f t="shared" si="1"/>
        <v>-707.9646017699115</v>
      </c>
      <c r="M9" s="144">
        <f>I9*(K9-D9)/10000</f>
        <v>-212.38938053097343</v>
      </c>
      <c r="N9" s="144">
        <f>产品效益!S63</f>
        <v>41.345842283851894</v>
      </c>
      <c r="O9" s="172">
        <f t="shared" si="2"/>
        <v>12.403752685155569</v>
      </c>
      <c r="P9" s="171">
        <f t="shared" si="3"/>
        <v>-224.79313321612901</v>
      </c>
      <c r="Q9" s="171">
        <f>J9+P9</f>
        <v>-767.2417240999149</v>
      </c>
      <c r="R9" s="164">
        <f t="shared" si="4"/>
        <v>-2557.4724136663831</v>
      </c>
      <c r="S9" s="164"/>
      <c r="T9" s="164"/>
    </row>
    <row r="10" spans="1:21" ht="24.9" customHeight="1">
      <c r="A10" s="140" t="s">
        <v>267</v>
      </c>
      <c r="B10" s="140"/>
      <c r="C10" s="141"/>
      <c r="D10" s="144"/>
      <c r="E10" s="145"/>
      <c r="F10" s="147">
        <f>SUM(F7:F9)</f>
        <v>898.14741731625782</v>
      </c>
      <c r="H10" s="144"/>
      <c r="I10" s="152"/>
      <c r="J10" s="147">
        <f>SUM(J7:J9)</f>
        <v>955.01260590427262</v>
      </c>
      <c r="K10" s="142"/>
      <c r="L10" s="144">
        <f t="shared" si="1"/>
        <v>0</v>
      </c>
      <c r="M10" s="176">
        <f>SUM(M7:M9)</f>
        <v>-140.70796460176931</v>
      </c>
      <c r="N10" s="144"/>
      <c r="O10" s="177">
        <f>SUM(O7:O9)</f>
        <v>22.404270392901971</v>
      </c>
      <c r="P10" s="178">
        <f>SUM(P7:P9)</f>
        <v>-163.1122349946713</v>
      </c>
      <c r="Q10" s="178">
        <f>SUM(Q7:Q9)</f>
        <v>791.90037090960129</v>
      </c>
      <c r="R10" s="191"/>
      <c r="S10" s="191"/>
      <c r="T10" s="191"/>
    </row>
    <row r="11" spans="1:21" ht="24.9" customHeight="1">
      <c r="A11" s="148">
        <v>7</v>
      </c>
      <c r="B11" s="143" t="s">
        <v>57</v>
      </c>
      <c r="C11" s="141">
        <f>'7月份利润与6月份利润对比 '!I11</f>
        <v>3050</v>
      </c>
      <c r="D11" s="144">
        <f>'7月份利润与6月份利润对比 '!K11</f>
        <v>11415.929203539825</v>
      </c>
      <c r="E11" s="145">
        <f>'7月份利润与6月份利润对比 '!S11</f>
        <v>1042.9674717427131</v>
      </c>
      <c r="F11" s="145">
        <f t="shared" si="5"/>
        <v>318.1050788815275</v>
      </c>
      <c r="H11" s="144" t="s">
        <v>57</v>
      </c>
      <c r="I11" s="152">
        <f>产品次月!E23</f>
        <v>2900</v>
      </c>
      <c r="J11" s="152">
        <f t="shared" si="0"/>
        <v>302.4605668053868</v>
      </c>
      <c r="K11" s="142">
        <f>产品次月!F23</f>
        <v>12389.380530973453</v>
      </c>
      <c r="L11" s="144">
        <f t="shared" si="1"/>
        <v>973.45132743362774</v>
      </c>
      <c r="M11" s="144">
        <f>I11*(K11-D11)/10000</f>
        <v>282.30088495575205</v>
      </c>
      <c r="N11" s="144">
        <f>产品效益!S65</f>
        <v>126.26577321315548</v>
      </c>
      <c r="O11" s="172">
        <f t="shared" si="2"/>
        <v>36.617074231815089</v>
      </c>
      <c r="P11" s="171">
        <f t="shared" si="3"/>
        <v>245.68381072393697</v>
      </c>
      <c r="Q11" s="171">
        <f>J11+P11</f>
        <v>548.14437752932372</v>
      </c>
      <c r="R11" s="164">
        <f>Q11/I11*10000</f>
        <v>1890.1530259631852</v>
      </c>
      <c r="S11" s="164"/>
      <c r="T11" s="164"/>
    </row>
    <row r="12" spans="1:21" ht="24.9" customHeight="1">
      <c r="A12" s="148">
        <v>8</v>
      </c>
      <c r="B12" s="143" t="s">
        <v>62</v>
      </c>
      <c r="C12" s="141">
        <f>'7月份利润与6月份利润对比 '!I12</f>
        <v>1950</v>
      </c>
      <c r="D12" s="144">
        <f>'7月份利润与6月份利润对比 '!K12</f>
        <v>27433.628318584073</v>
      </c>
      <c r="E12" s="145">
        <f>'7月份利润与6月份利润对比 '!S12</f>
        <v>11293.095547075018</v>
      </c>
      <c r="F12" s="145">
        <f t="shared" si="5"/>
        <v>2202.1536316796282</v>
      </c>
      <c r="H12" s="144" t="s">
        <v>62</v>
      </c>
      <c r="I12" s="152">
        <f>产品次月!E25</f>
        <v>1550</v>
      </c>
      <c r="J12" s="152">
        <f t="shared" si="0"/>
        <v>1750.4298097966275</v>
      </c>
      <c r="K12" s="142">
        <f>产品次月!F25</f>
        <v>26991.15044247788</v>
      </c>
      <c r="L12" s="144">
        <f t="shared" si="1"/>
        <v>-442.47787610619343</v>
      </c>
      <c r="M12" s="144">
        <f>I12*(K12-D12)/10000</f>
        <v>-68.584070796459983</v>
      </c>
      <c r="N12" s="144">
        <f>产品效益!S67</f>
        <v>312.31181102225946</v>
      </c>
      <c r="O12" s="172">
        <f t="shared" si="2"/>
        <v>48.408330708450215</v>
      </c>
      <c r="P12" s="171">
        <f t="shared" si="3"/>
        <v>-116.99240150491019</v>
      </c>
      <c r="Q12" s="171">
        <f>J12+P12</f>
        <v>1633.4374082917172</v>
      </c>
      <c r="R12" s="164">
        <f t="shared" ref="R12:R13" si="6">Q12/I12*10000</f>
        <v>10538.305859946564</v>
      </c>
      <c r="S12" s="164"/>
      <c r="T12" s="164"/>
    </row>
    <row r="13" spans="1:21" ht="24.9" customHeight="1">
      <c r="A13" s="148">
        <v>9</v>
      </c>
      <c r="B13" s="149" t="s">
        <v>268</v>
      </c>
      <c r="C13" s="141">
        <f>'7月份利润与6月份利润对比 '!I13</f>
        <v>0</v>
      </c>
      <c r="D13" s="144">
        <f>'7月份利润与6月份利润对比 '!K13</f>
        <v>0</v>
      </c>
      <c r="E13" s="145"/>
      <c r="F13" s="145"/>
      <c r="H13" s="144" t="s">
        <v>67</v>
      </c>
      <c r="I13" s="152">
        <f>产品次月!E26</f>
        <v>260</v>
      </c>
      <c r="J13" s="152">
        <f t="shared" si="0"/>
        <v>0</v>
      </c>
      <c r="K13" s="142">
        <f>产品次月!F26</f>
        <v>27433.628318584073</v>
      </c>
      <c r="L13" s="144">
        <f t="shared" si="1"/>
        <v>27433.628318584073</v>
      </c>
      <c r="M13" s="144">
        <f>I13*(K13-D13)/10000</f>
        <v>713.2743362831859</v>
      </c>
      <c r="N13" s="144">
        <f>产品效益!S69</f>
        <v>32.896917224187931</v>
      </c>
      <c r="O13" s="172">
        <f t="shared" si="2"/>
        <v>0.85531984782888615</v>
      </c>
      <c r="P13" s="171">
        <f t="shared" si="3"/>
        <v>712.41901643535698</v>
      </c>
      <c r="Q13" s="171">
        <f>J13+P13</f>
        <v>712.41901643535698</v>
      </c>
      <c r="R13" s="164">
        <f t="shared" si="6"/>
        <v>27400.731401359884</v>
      </c>
      <c r="S13" s="164"/>
      <c r="T13" s="164"/>
    </row>
    <row r="14" spans="1:21" ht="24.9" customHeight="1">
      <c r="A14" s="140" t="s">
        <v>267</v>
      </c>
      <c r="B14" s="150"/>
      <c r="C14" s="141"/>
      <c r="D14" s="144"/>
      <c r="E14" s="145"/>
      <c r="F14" s="151">
        <f>SUM(F11:F13)</f>
        <v>2520.2587105611556</v>
      </c>
      <c r="H14" s="144"/>
      <c r="I14" s="152"/>
      <c r="J14" s="151">
        <f>SUM(J11:J13)</f>
        <v>2052.8903766020144</v>
      </c>
      <c r="K14" s="142"/>
      <c r="L14" s="144">
        <f t="shared" si="1"/>
        <v>0</v>
      </c>
      <c r="M14" s="179">
        <f>SUM(M11:M13)</f>
        <v>926.99115044247799</v>
      </c>
      <c r="N14" s="144"/>
      <c r="O14" s="180">
        <f>SUM(O11:O13)</f>
        <v>85.880724788094184</v>
      </c>
      <c r="P14" s="181">
        <f t="shared" si="3"/>
        <v>841.11042565438379</v>
      </c>
      <c r="Q14" s="181">
        <f>SUM(Q11:Q13)</f>
        <v>2894.0008022563979</v>
      </c>
      <c r="R14" s="191"/>
      <c r="S14" s="191"/>
      <c r="T14" s="191"/>
    </row>
    <row r="15" spans="1:21" ht="24.9" customHeight="1">
      <c r="A15" s="140">
        <v>10</v>
      </c>
      <c r="B15" s="143" t="s">
        <v>23</v>
      </c>
      <c r="C15" s="141">
        <f>'7月份利润与6月份利润对比 '!I15</f>
        <v>16000</v>
      </c>
      <c r="D15" s="144">
        <f>'7月份利润与6月份利润对比 '!K15</f>
        <v>672.56637168141594</v>
      </c>
      <c r="E15" s="145">
        <f>'7月份利润与6月份利润对比 '!S15</f>
        <v>-97.938071996630029</v>
      </c>
      <c r="F15" s="145">
        <f t="shared" si="5"/>
        <v>-156.70091519460803</v>
      </c>
      <c r="H15" s="144" t="s">
        <v>23</v>
      </c>
      <c r="I15" s="152">
        <f>产品次月!E4</f>
        <v>15100</v>
      </c>
      <c r="J15" s="152">
        <f t="shared" si="0"/>
        <v>-147.88648871491134</v>
      </c>
      <c r="K15" s="142">
        <f>产品次月!F4</f>
        <v>681.41592920353992</v>
      </c>
      <c r="L15" s="144">
        <f t="shared" si="1"/>
        <v>8.8495575221239733</v>
      </c>
      <c r="M15" s="144">
        <f t="shared" ref="M15:M23" si="7">I15*(K15-D15)/10000</f>
        <v>13.362831858407199</v>
      </c>
      <c r="N15" s="144">
        <f>产品效益!R43</f>
        <v>19.832968574828637</v>
      </c>
      <c r="O15" s="172">
        <f t="shared" si="2"/>
        <v>29.947782547991238</v>
      </c>
      <c r="P15" s="171">
        <f t="shared" si="3"/>
        <v>-16.584950689584041</v>
      </c>
      <c r="Q15" s="171">
        <f>J15+P15</f>
        <v>-164.47143940449538</v>
      </c>
      <c r="R15" s="164">
        <f>Q15/I15*10000</f>
        <v>-108.9214830493347</v>
      </c>
      <c r="S15" s="164"/>
      <c r="T15" s="164"/>
    </row>
    <row r="16" spans="1:21" ht="24.9" customHeight="1">
      <c r="A16" s="140">
        <v>12</v>
      </c>
      <c r="B16" s="143" t="s">
        <v>26</v>
      </c>
      <c r="C16" s="141">
        <f>'7月份利润与6月份利润对比 '!I16</f>
        <v>400</v>
      </c>
      <c r="D16" s="141">
        <f>'7月份利润与6月份利润对比 '!J16</f>
        <v>-4.0849647917459997</v>
      </c>
      <c r="E16" s="145">
        <f>'7月份利润与6月份利润对比 '!S16</f>
        <v>9.1245474970713012</v>
      </c>
      <c r="F16" s="145">
        <f t="shared" si="5"/>
        <v>0.36498189988285201</v>
      </c>
      <c r="H16" s="144" t="s">
        <v>26</v>
      </c>
      <c r="I16" s="152">
        <f>产品次月!E6</f>
        <v>200</v>
      </c>
      <c r="J16" s="152">
        <f t="shared" si="0"/>
        <v>0.18249094994142601</v>
      </c>
      <c r="K16" s="142">
        <f>产品次月!F6</f>
        <v>1902.6548672566373</v>
      </c>
      <c r="L16" s="144">
        <f t="shared" si="1"/>
        <v>1906.7398320483833</v>
      </c>
      <c r="M16" s="144">
        <f t="shared" si="7"/>
        <v>38.134796640967664</v>
      </c>
      <c r="N16" s="144">
        <f>产品效益!R44</f>
        <v>40.459255892650411</v>
      </c>
      <c r="O16" s="172">
        <f t="shared" si="2"/>
        <v>0.80918511785300828</v>
      </c>
      <c r="P16" s="171"/>
      <c r="Q16" s="171"/>
      <c r="R16" s="164">
        <f t="shared" ref="R16:R23" si="8">Q16/I16*10000</f>
        <v>0</v>
      </c>
      <c r="S16" s="164"/>
      <c r="T16" s="164"/>
    </row>
    <row r="17" spans="1:20" ht="24.9" customHeight="1">
      <c r="A17" s="140">
        <v>13</v>
      </c>
      <c r="B17" s="143" t="s">
        <v>28</v>
      </c>
      <c r="C17" s="141">
        <f>'7月份利润与6月份利润对比 '!I17</f>
        <v>8500</v>
      </c>
      <c r="D17" s="141">
        <f>'7月份利润与6月份利润对比 '!K17</f>
        <v>3318.5840707964603</v>
      </c>
      <c r="E17" s="145">
        <f>'7月份利润与6月份利润对比 '!S17</f>
        <v>-568.72763223885568</v>
      </c>
      <c r="F17" s="145">
        <f t="shared" si="5"/>
        <v>-483.41848740302731</v>
      </c>
      <c r="H17" s="144" t="s">
        <v>28</v>
      </c>
      <c r="I17" s="152">
        <f>产品次月!E7</f>
        <v>6500</v>
      </c>
      <c r="J17" s="152">
        <f t="shared" si="0"/>
        <v>-369.6729609552562</v>
      </c>
      <c r="K17" s="142">
        <f>产品次月!F7</f>
        <v>3097.3451327433631</v>
      </c>
      <c r="L17" s="144">
        <f t="shared" si="1"/>
        <v>-221.23893805309717</v>
      </c>
      <c r="M17" s="144">
        <f t="shared" si="7"/>
        <v>-143.80530973451317</v>
      </c>
      <c r="N17" s="144">
        <f>产品效益!R45</f>
        <v>119.10602694692722</v>
      </c>
      <c r="O17" s="172">
        <f t="shared" si="2"/>
        <v>77.418917515502699</v>
      </c>
      <c r="P17" s="171">
        <f t="shared" si="3"/>
        <v>-221.22422725001587</v>
      </c>
      <c r="Q17" s="171">
        <f t="shared" ref="Q17:Q23" si="9">J17+P17</f>
        <v>-590.89718820527207</v>
      </c>
      <c r="R17" s="164">
        <f t="shared" si="8"/>
        <v>-909.07259723888012</v>
      </c>
      <c r="S17" s="164"/>
      <c r="T17" s="164"/>
    </row>
    <row r="18" spans="1:20" ht="24.9" customHeight="1">
      <c r="A18" s="140">
        <v>14</v>
      </c>
      <c r="B18" s="143" t="s">
        <v>269</v>
      </c>
      <c r="C18" s="141">
        <f>'7月份利润与6月份利润对比 '!I18</f>
        <v>0</v>
      </c>
      <c r="D18" s="141">
        <f>'7月份利润与6月份利润对比 '!K18</f>
        <v>0</v>
      </c>
      <c r="E18" s="145" t="e">
        <f>'7月份利润与6月份利润对比 '!S18</f>
        <v>#DIV/0!</v>
      </c>
      <c r="F18" s="145" t="e">
        <f t="shared" si="5"/>
        <v>#DIV/0!</v>
      </c>
      <c r="H18" s="144" t="s">
        <v>31</v>
      </c>
      <c r="I18" s="152">
        <f>产品次月!E8</f>
        <v>0</v>
      </c>
      <c r="J18" s="152" t="e">
        <f t="shared" si="0"/>
        <v>#DIV/0!</v>
      </c>
      <c r="K18" s="142">
        <f>产品次月!F8</f>
        <v>0</v>
      </c>
      <c r="L18" s="144">
        <f t="shared" si="1"/>
        <v>0</v>
      </c>
      <c r="M18" s="144">
        <f t="shared" si="7"/>
        <v>0</v>
      </c>
      <c r="N18" s="144">
        <f>产品效益!R46</f>
        <v>19.476443844113287</v>
      </c>
      <c r="O18" s="172">
        <f t="shared" si="2"/>
        <v>0</v>
      </c>
      <c r="P18" s="171">
        <f t="shared" si="3"/>
        <v>0</v>
      </c>
      <c r="Q18" s="171" t="e">
        <f t="shared" si="9"/>
        <v>#DIV/0!</v>
      </c>
      <c r="R18" s="164" t="e">
        <f t="shared" si="8"/>
        <v>#DIV/0!</v>
      </c>
      <c r="S18" s="164"/>
      <c r="T18" s="164"/>
    </row>
    <row r="19" spans="1:20" ht="24.9" customHeight="1">
      <c r="A19" s="140">
        <v>15</v>
      </c>
      <c r="B19" s="143" t="s">
        <v>86</v>
      </c>
      <c r="C19" s="141">
        <f>'7月份利润与6月份利润对比 '!I19</f>
        <v>300</v>
      </c>
      <c r="D19" s="141">
        <f>'7月份利润与6月份利润对比 '!K19</f>
        <v>393.80530973451329</v>
      </c>
      <c r="E19" s="145">
        <f>'7月份利润与6月份利润对比 '!S19</f>
        <v>-485.86012447264318</v>
      </c>
      <c r="F19" s="145">
        <f t="shared" si="5"/>
        <v>-14.575803734179296</v>
      </c>
      <c r="H19" s="144" t="s">
        <v>32</v>
      </c>
      <c r="I19" s="152">
        <f>产品次月!E9</f>
        <v>300</v>
      </c>
      <c r="J19" s="152">
        <f t="shared" si="0"/>
        <v>-14.575803734179296</v>
      </c>
      <c r="K19" s="142">
        <f>产品次月!F9</f>
        <v>398.23008849557527</v>
      </c>
      <c r="L19" s="144">
        <f t="shared" si="1"/>
        <v>4.4247787610619866</v>
      </c>
      <c r="M19" s="144">
        <f t="shared" si="7"/>
        <v>0.13274336283185961</v>
      </c>
      <c r="N19" s="144">
        <f>产品效益!R47</f>
        <v>18.362454912740372</v>
      </c>
      <c r="O19" s="172">
        <f t="shared" si="2"/>
        <v>0.55087364738221112</v>
      </c>
      <c r="P19" s="171">
        <f t="shared" si="3"/>
        <v>-0.41813028455035151</v>
      </c>
      <c r="Q19" s="171">
        <f t="shared" si="9"/>
        <v>-14.993934018729647</v>
      </c>
      <c r="R19" s="164">
        <f t="shared" si="8"/>
        <v>-499.79780062432155</v>
      </c>
      <c r="S19" s="164"/>
      <c r="T19" s="164"/>
    </row>
    <row r="20" spans="1:20" ht="24.9" customHeight="1">
      <c r="A20" s="140">
        <v>16</v>
      </c>
      <c r="B20" s="143" t="s">
        <v>270</v>
      </c>
      <c r="C20" s="141">
        <f>'7月份利润与6月份利润对比 '!I20</f>
        <v>8000</v>
      </c>
      <c r="D20" s="141">
        <f>'7月份利润与6月份利润对比 '!K20</f>
        <v>1.7699115044247788</v>
      </c>
      <c r="E20" s="145">
        <f>'7月份利润与6月份利润对比 '!S20</f>
        <v>0</v>
      </c>
      <c r="F20" s="145">
        <f t="shared" si="5"/>
        <v>0</v>
      </c>
      <c r="H20" s="144" t="s">
        <v>34</v>
      </c>
      <c r="I20" s="152">
        <f>产品次月!E10</f>
        <v>8600</v>
      </c>
      <c r="J20" s="152">
        <f t="shared" si="0"/>
        <v>0</v>
      </c>
      <c r="K20" s="142">
        <f>产品次月!F10</f>
        <v>1.7699115044247788</v>
      </c>
      <c r="L20" s="144">
        <f t="shared" si="1"/>
        <v>0</v>
      </c>
      <c r="M20" s="144"/>
      <c r="N20" s="144"/>
      <c r="O20" s="172">
        <f t="shared" si="2"/>
        <v>0</v>
      </c>
      <c r="P20" s="171">
        <f t="shared" si="3"/>
        <v>0</v>
      </c>
      <c r="Q20" s="171">
        <f t="shared" si="9"/>
        <v>0</v>
      </c>
      <c r="R20" s="164">
        <f t="shared" si="8"/>
        <v>0</v>
      </c>
      <c r="S20" s="164"/>
      <c r="T20" s="164"/>
    </row>
    <row r="21" spans="1:20" ht="24.9" customHeight="1">
      <c r="A21" s="140">
        <v>17</v>
      </c>
      <c r="B21" s="152" t="s">
        <v>37</v>
      </c>
      <c r="C21" s="141">
        <f>'7月份利润与6月份利润对比 '!I21</f>
        <v>120</v>
      </c>
      <c r="D21" s="141">
        <f>'7月份利润与6月份利润对比 '!K21</f>
        <v>44.247787610619476</v>
      </c>
      <c r="E21" s="145">
        <f>'7月份利润与6月份利润对比 '!S21</f>
        <v>0</v>
      </c>
      <c r="F21" s="145">
        <f t="shared" si="5"/>
        <v>0</v>
      </c>
      <c r="H21" s="144" t="s">
        <v>37</v>
      </c>
      <c r="I21" s="152">
        <f>产品次月!E11</f>
        <v>300</v>
      </c>
      <c r="J21" s="152">
        <f t="shared" si="0"/>
        <v>0</v>
      </c>
      <c r="K21" s="142">
        <f>产品次月!F11</f>
        <v>44.247787610619476</v>
      </c>
      <c r="L21" s="144">
        <f t="shared" si="1"/>
        <v>0</v>
      </c>
      <c r="M21" s="144"/>
      <c r="N21" s="144"/>
      <c r="O21" s="172">
        <f t="shared" si="2"/>
        <v>0</v>
      </c>
      <c r="P21" s="171">
        <f t="shared" si="3"/>
        <v>0</v>
      </c>
      <c r="Q21" s="171">
        <f t="shared" si="9"/>
        <v>0</v>
      </c>
      <c r="R21" s="164">
        <f t="shared" si="8"/>
        <v>0</v>
      </c>
      <c r="S21" s="164"/>
      <c r="T21" s="164"/>
    </row>
    <row r="22" spans="1:20" ht="24.9" customHeight="1">
      <c r="A22" s="140">
        <v>18</v>
      </c>
      <c r="B22" s="143" t="s">
        <v>87</v>
      </c>
      <c r="C22" s="141">
        <f>'7月份利润与6月份利润对比 '!I22</f>
        <v>13000</v>
      </c>
      <c r="D22" s="141">
        <f>'7月份利润与6月份利润对比 '!K22</f>
        <v>1141.5929203539824</v>
      </c>
      <c r="E22" s="145">
        <f>'7月份利润与6月份利润对比 '!S22</f>
        <v>403.82176948722054</v>
      </c>
      <c r="F22" s="145">
        <f t="shared" si="5"/>
        <v>524.96830033338665</v>
      </c>
      <c r="H22" s="144" t="s">
        <v>39</v>
      </c>
      <c r="I22" s="152">
        <f>产品次月!E12</f>
        <v>14000</v>
      </c>
      <c r="J22" s="152">
        <f t="shared" si="0"/>
        <v>565.35047728210873</v>
      </c>
      <c r="K22" s="142">
        <f>产品次月!F12</f>
        <v>1061.9469026548672</v>
      </c>
      <c r="L22" s="144">
        <f t="shared" si="1"/>
        <v>-79.646017699115191</v>
      </c>
      <c r="M22" s="144">
        <f t="shared" si="7"/>
        <v>-111.50442477876128</v>
      </c>
      <c r="N22" s="144">
        <f>产品效益!S49</f>
        <v>1.2749061623792257</v>
      </c>
      <c r="O22" s="172">
        <f t="shared" si="2"/>
        <v>1.7848686273309158</v>
      </c>
      <c r="P22" s="171">
        <f t="shared" si="3"/>
        <v>-113.2892934060922</v>
      </c>
      <c r="Q22" s="171">
        <f t="shared" si="9"/>
        <v>452.06118387601651</v>
      </c>
      <c r="R22" s="164">
        <f t="shared" si="8"/>
        <v>322.90084562572611</v>
      </c>
      <c r="S22" s="164"/>
      <c r="T22" s="164"/>
    </row>
    <row r="23" spans="1:20" ht="24.9" customHeight="1">
      <c r="A23" s="140">
        <v>19</v>
      </c>
      <c r="B23" s="143" t="s">
        <v>89</v>
      </c>
      <c r="C23" s="141">
        <f>'7月份利润与6月份利润对比 '!I23</f>
        <v>0</v>
      </c>
      <c r="D23" s="141">
        <f>'7月份利润与6月份利润对比 '!K23</f>
        <v>0</v>
      </c>
      <c r="E23" s="145">
        <f>'7月份利润与6月份利润对比 '!S23</f>
        <v>-9906.2466825132888</v>
      </c>
      <c r="F23" s="145">
        <f t="shared" si="5"/>
        <v>0</v>
      </c>
      <c r="H23" s="144" t="s">
        <v>46</v>
      </c>
      <c r="I23" s="152">
        <f>产品次月!E16</f>
        <v>0</v>
      </c>
      <c r="J23" s="152">
        <f t="shared" si="0"/>
        <v>0</v>
      </c>
      <c r="K23" s="142">
        <f>产品次月!F16</f>
        <v>13628.318584070797</v>
      </c>
      <c r="L23" s="144">
        <f t="shared" si="1"/>
        <v>13628.318584070797</v>
      </c>
      <c r="M23" s="144">
        <f t="shared" si="7"/>
        <v>0</v>
      </c>
      <c r="N23" s="144">
        <f>产品效益!R56</f>
        <v>-33.377802304284224</v>
      </c>
      <c r="O23" s="172">
        <f t="shared" si="2"/>
        <v>0</v>
      </c>
      <c r="P23" s="171">
        <f t="shared" si="3"/>
        <v>0</v>
      </c>
      <c r="Q23" s="171">
        <f t="shared" si="9"/>
        <v>0</v>
      </c>
      <c r="R23" s="164" t="e">
        <f t="shared" si="8"/>
        <v>#DIV/0!</v>
      </c>
      <c r="S23" s="164"/>
      <c r="T23" s="164"/>
    </row>
    <row r="24" spans="1:20" ht="24.9" customHeight="1">
      <c r="A24" s="153" t="s">
        <v>267</v>
      </c>
      <c r="B24" s="154"/>
      <c r="C24" s="155"/>
      <c r="D24" s="156"/>
      <c r="E24" s="157"/>
      <c r="F24" s="158" t="e">
        <f>SUM(F15:F23)</f>
        <v>#DIV/0!</v>
      </c>
      <c r="H24" s="159"/>
      <c r="I24" s="159"/>
      <c r="J24" s="158" t="e">
        <f>SUM(J15:J23)</f>
        <v>#DIV/0!</v>
      </c>
      <c r="K24" s="159"/>
      <c r="L24" s="159"/>
      <c r="M24" s="182">
        <f>SUM(M15:M23)</f>
        <v>-203.67936265106772</v>
      </c>
      <c r="N24" s="159"/>
      <c r="O24" s="183">
        <f>SUM(O15:O23)</f>
        <v>110.51162745606007</v>
      </c>
      <c r="P24" s="184">
        <f t="shared" si="3"/>
        <v>-314.19099010712779</v>
      </c>
      <c r="Q24" s="184" t="e">
        <f>SUM(Q15:Q23)</f>
        <v>#DIV/0!</v>
      </c>
      <c r="R24" s="164"/>
      <c r="S24" s="164"/>
      <c r="T24" s="164"/>
    </row>
    <row r="25" spans="1:20" ht="15.6">
      <c r="A25" s="160"/>
      <c r="B25" s="160"/>
      <c r="C25" s="161"/>
      <c r="D25" s="162"/>
      <c r="E25" s="162"/>
      <c r="F25" s="163"/>
      <c r="H25" s="164"/>
      <c r="I25" s="164"/>
      <c r="J25" s="164"/>
      <c r="K25" s="164"/>
      <c r="L25" s="164"/>
      <c r="M25" s="164"/>
      <c r="N25" s="164"/>
      <c r="O25" s="185"/>
      <c r="P25" s="186"/>
      <c r="Q25" s="164"/>
      <c r="R25" s="164"/>
      <c r="S25" s="164"/>
      <c r="T25" s="164"/>
    </row>
    <row r="26" spans="1:20" ht="20.399999999999999">
      <c r="A26" s="135" t="s">
        <v>69</v>
      </c>
      <c r="C26" s="165">
        <f>SUM(C4:C24)</f>
        <v>79020</v>
      </c>
      <c r="D26" s="162"/>
      <c r="E26" s="165"/>
      <c r="F26" s="166" t="e">
        <f>F6+F10+F14+F24</f>
        <v>#DIV/0!</v>
      </c>
      <c r="H26" s="164"/>
      <c r="I26" s="165">
        <f>SUM(I4:I23)</f>
        <v>78990</v>
      </c>
      <c r="J26" s="166" t="e">
        <f>J6+J10+J14+J24</f>
        <v>#DIV/0!</v>
      </c>
      <c r="K26" s="164"/>
      <c r="L26" s="164"/>
      <c r="M26" s="187">
        <f>M6+M10+M14+M24</f>
        <v>874.63922141972989</v>
      </c>
      <c r="N26" s="164"/>
      <c r="O26" s="187">
        <f>O6+O10+O14+O24</f>
        <v>321.52322509841059</v>
      </c>
      <c r="P26" s="187">
        <f>P6+P10+P14+P24</f>
        <v>553.11599632131924</v>
      </c>
      <c r="Q26" s="187" t="e">
        <f>Q6+Q10+Q14+Q24</f>
        <v>#DIV/0!</v>
      </c>
      <c r="R26" s="193"/>
      <c r="S26" s="193"/>
      <c r="T26" s="193"/>
    </row>
    <row r="27" spans="1:20"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</row>
    <row r="28" spans="1:20">
      <c r="O28" s="134"/>
      <c r="P28" s="164"/>
      <c r="Q28" s="164"/>
      <c r="R28" s="164"/>
      <c r="S28" s="164"/>
      <c r="T28" s="164"/>
    </row>
    <row r="29" spans="1:20">
      <c r="C29" s="167"/>
      <c r="D29" s="136"/>
      <c r="E29" s="136"/>
      <c r="F29" s="136"/>
      <c r="H29" s="132"/>
      <c r="O29" s="134"/>
      <c r="P29" s="164"/>
      <c r="Q29" s="164"/>
      <c r="R29" s="164"/>
      <c r="S29" s="164"/>
      <c r="T29" s="164"/>
    </row>
    <row r="30" spans="1:20">
      <c r="C30" s="167"/>
      <c r="D30" s="136"/>
      <c r="E30" s="136"/>
      <c r="F30" s="136"/>
      <c r="H30" s="132"/>
      <c r="O30" s="134"/>
      <c r="P30" s="164"/>
      <c r="Q30" s="164"/>
      <c r="R30" s="164"/>
      <c r="S30" s="164"/>
      <c r="T30" s="164"/>
    </row>
    <row r="31" spans="1:20">
      <c r="C31" s="167"/>
      <c r="D31" s="136"/>
      <c r="E31" s="136"/>
      <c r="F31" s="136"/>
      <c r="H31" s="132"/>
      <c r="O31" s="134"/>
      <c r="P31" s="164"/>
      <c r="Q31" s="164"/>
      <c r="R31" s="164"/>
      <c r="S31" s="164"/>
      <c r="T31" s="164"/>
    </row>
    <row r="32" spans="1:20">
      <c r="C32" s="167"/>
      <c r="D32" s="136"/>
      <c r="E32" s="136"/>
      <c r="F32" s="136"/>
      <c r="H32" s="132"/>
      <c r="O32" s="134"/>
      <c r="P32" s="164"/>
      <c r="Q32" s="164"/>
      <c r="R32" s="164"/>
      <c r="S32" s="164"/>
      <c r="T32" s="164"/>
    </row>
    <row r="33" spans="1:20">
      <c r="A33" s="135"/>
      <c r="B33" s="135"/>
      <c r="O33" s="134"/>
      <c r="P33" s="164"/>
      <c r="Q33" s="164"/>
      <c r="R33" s="164"/>
      <c r="S33" s="164"/>
      <c r="T33" s="164"/>
    </row>
    <row r="34" spans="1:20">
      <c r="O34" s="134"/>
      <c r="P34" s="164"/>
      <c r="Q34" s="164"/>
      <c r="R34" s="164"/>
      <c r="S34" s="164"/>
      <c r="T34" s="164"/>
    </row>
    <row r="35" spans="1:20">
      <c r="O35" s="134"/>
      <c r="P35" s="164"/>
      <c r="Q35" s="164"/>
      <c r="R35" s="164"/>
      <c r="S35" s="164"/>
      <c r="T35" s="164"/>
    </row>
    <row r="36" spans="1:20">
      <c r="O36" s="134"/>
      <c r="P36" s="164"/>
      <c r="Q36" s="164"/>
      <c r="R36" s="164"/>
      <c r="S36" s="164"/>
      <c r="T36" s="164"/>
    </row>
    <row r="37" spans="1:20">
      <c r="O37" s="134"/>
      <c r="P37" s="164"/>
      <c r="Q37" s="164"/>
      <c r="R37" s="164"/>
      <c r="S37" s="164"/>
      <c r="T37" s="164"/>
    </row>
    <row r="38" spans="1:20">
      <c r="O38" s="134"/>
      <c r="P38" s="164"/>
      <c r="Q38" s="164"/>
      <c r="R38" s="164"/>
      <c r="S38" s="164"/>
      <c r="T38" s="164"/>
    </row>
    <row r="39" spans="1:20">
      <c r="O39" s="134"/>
      <c r="P39" s="164"/>
      <c r="Q39" s="164"/>
      <c r="R39" s="164"/>
      <c r="S39" s="164"/>
      <c r="T39" s="164"/>
    </row>
    <row r="40" spans="1:20">
      <c r="O40" s="134"/>
      <c r="P40" s="164"/>
      <c r="Q40" s="164"/>
      <c r="R40" s="164"/>
      <c r="S40" s="164"/>
      <c r="T40" s="164"/>
    </row>
    <row r="41" spans="1:20">
      <c r="O41" s="134"/>
      <c r="P41" s="164"/>
      <c r="Q41" s="164"/>
      <c r="R41" s="164"/>
      <c r="S41" s="164"/>
      <c r="T41" s="164"/>
    </row>
    <row r="42" spans="1:20">
      <c r="O42" s="134"/>
      <c r="P42" s="164"/>
      <c r="Q42" s="164"/>
      <c r="R42" s="164"/>
      <c r="S42" s="164"/>
      <c r="T42" s="164"/>
    </row>
    <row r="43" spans="1:20">
      <c r="O43" s="134"/>
      <c r="P43" s="164"/>
      <c r="Q43" s="164"/>
      <c r="R43" s="164"/>
      <c r="S43" s="164"/>
      <c r="T43" s="164"/>
    </row>
    <row r="44" spans="1:20">
      <c r="O44" s="134"/>
      <c r="P44" s="164"/>
      <c r="Q44" s="164"/>
      <c r="R44" s="164"/>
      <c r="S44" s="164"/>
      <c r="T44" s="164"/>
    </row>
    <row r="45" spans="1:20">
      <c r="O45" s="134"/>
      <c r="P45" s="164"/>
      <c r="Q45" s="164"/>
      <c r="R45" s="164"/>
      <c r="S45" s="164"/>
      <c r="T45" s="164"/>
    </row>
    <row r="46" spans="1:20">
      <c r="O46" s="134"/>
      <c r="P46" s="164"/>
      <c r="Q46" s="164"/>
      <c r="R46" s="164"/>
      <c r="S46" s="164"/>
      <c r="T46" s="164"/>
    </row>
    <row r="47" spans="1:20">
      <c r="O47" s="134"/>
      <c r="P47" s="164"/>
      <c r="Q47" s="164"/>
      <c r="R47" s="164"/>
      <c r="S47" s="164"/>
      <c r="T47" s="164"/>
    </row>
    <row r="48" spans="1:20">
      <c r="O48" s="134"/>
      <c r="P48" s="164"/>
      <c r="Q48" s="164"/>
      <c r="R48" s="164"/>
      <c r="S48" s="164"/>
      <c r="T48" s="164"/>
    </row>
    <row r="49" spans="15:20">
      <c r="O49" s="134"/>
      <c r="P49" s="164"/>
      <c r="Q49" s="164"/>
      <c r="R49" s="164"/>
      <c r="S49" s="164"/>
      <c r="T49" s="164"/>
    </row>
    <row r="50" spans="15:20">
      <c r="O50" s="134"/>
      <c r="P50" s="164"/>
      <c r="Q50" s="164"/>
      <c r="R50" s="164"/>
      <c r="S50" s="164"/>
      <c r="T50" s="164"/>
    </row>
    <row r="51" spans="15:20">
      <c r="O51" s="134"/>
      <c r="P51" s="164"/>
      <c r="Q51" s="164"/>
      <c r="R51" s="164"/>
      <c r="S51" s="164"/>
      <c r="T51" s="164"/>
    </row>
    <row r="52" spans="15:20">
      <c r="O52" s="134"/>
      <c r="P52" s="164"/>
      <c r="Q52" s="164"/>
      <c r="R52" s="164"/>
      <c r="S52" s="164"/>
      <c r="T52" s="164"/>
    </row>
    <row r="53" spans="15:20">
      <c r="O53" s="134"/>
      <c r="P53" s="164"/>
      <c r="Q53" s="164"/>
      <c r="R53" s="164"/>
      <c r="S53" s="164"/>
      <c r="T53" s="164"/>
    </row>
    <row r="54" spans="15:20">
      <c r="O54" s="134"/>
      <c r="P54" s="164"/>
      <c r="Q54" s="164"/>
      <c r="R54" s="164"/>
      <c r="S54" s="164"/>
      <c r="T54" s="164"/>
    </row>
    <row r="55" spans="15:20">
      <c r="O55" s="134"/>
      <c r="P55" s="164"/>
      <c r="Q55" s="164"/>
      <c r="R55" s="164"/>
      <c r="S55" s="164"/>
      <c r="T55" s="164"/>
    </row>
    <row r="56" spans="15:20">
      <c r="O56" s="134"/>
      <c r="P56" s="164"/>
      <c r="Q56" s="164"/>
      <c r="R56" s="164"/>
      <c r="S56" s="164"/>
      <c r="T56" s="164"/>
    </row>
    <row r="57" spans="15:20">
      <c r="O57" s="134"/>
      <c r="P57" s="164"/>
      <c r="Q57" s="164"/>
      <c r="R57" s="164"/>
      <c r="S57" s="164"/>
      <c r="T57" s="164"/>
    </row>
    <row r="58" spans="15:20">
      <c r="O58" s="134"/>
      <c r="P58" s="164"/>
      <c r="Q58" s="164"/>
      <c r="R58" s="164"/>
      <c r="S58" s="164"/>
      <c r="T58" s="164"/>
    </row>
    <row r="59" spans="15:20">
      <c r="O59" s="134"/>
      <c r="P59" s="164"/>
      <c r="Q59" s="164"/>
      <c r="R59" s="164"/>
      <c r="S59" s="164"/>
      <c r="T59" s="164"/>
    </row>
    <row r="60" spans="15:20">
      <c r="O60" s="134"/>
      <c r="P60" s="164"/>
      <c r="Q60" s="164"/>
      <c r="R60" s="164"/>
      <c r="S60" s="164"/>
      <c r="T60" s="164"/>
    </row>
    <row r="61" spans="15:20">
      <c r="O61" s="134"/>
      <c r="P61" s="164"/>
      <c r="Q61" s="164"/>
      <c r="R61" s="164"/>
      <c r="S61" s="164"/>
      <c r="T61" s="164"/>
    </row>
    <row r="62" spans="15:20">
      <c r="O62" s="134"/>
      <c r="P62" s="164"/>
      <c r="Q62" s="164"/>
      <c r="R62" s="164"/>
      <c r="S62" s="164"/>
      <c r="T62" s="164"/>
    </row>
    <row r="63" spans="15:20">
      <c r="O63" s="134"/>
      <c r="P63" s="164"/>
      <c r="Q63" s="164"/>
      <c r="R63" s="164"/>
      <c r="S63" s="164"/>
      <c r="T63" s="164"/>
    </row>
    <row r="64" spans="15:20">
      <c r="O64" s="134"/>
      <c r="P64" s="164"/>
      <c r="Q64" s="164"/>
      <c r="R64" s="164"/>
      <c r="S64" s="164"/>
      <c r="T64" s="164"/>
    </row>
    <row r="65" spans="15:20">
      <c r="O65" s="134"/>
      <c r="P65" s="164"/>
      <c r="Q65" s="164"/>
      <c r="R65" s="164"/>
      <c r="S65" s="164"/>
      <c r="T65" s="164"/>
    </row>
    <row r="66" spans="15:20">
      <c r="O66" s="134"/>
      <c r="P66" s="164"/>
      <c r="Q66" s="164"/>
      <c r="R66" s="164"/>
      <c r="S66" s="164"/>
      <c r="T66" s="164"/>
    </row>
    <row r="67" spans="15:20">
      <c r="O67" s="134"/>
      <c r="P67" s="164"/>
      <c r="Q67" s="164"/>
      <c r="R67" s="164"/>
      <c r="S67" s="164"/>
      <c r="T67" s="164"/>
    </row>
    <row r="68" spans="15:20">
      <c r="O68" s="134"/>
      <c r="P68" s="164"/>
      <c r="Q68" s="164"/>
      <c r="R68" s="164"/>
      <c r="S68" s="164"/>
      <c r="T68" s="164"/>
    </row>
    <row r="69" spans="15:20">
      <c r="O69" s="134"/>
      <c r="P69" s="164"/>
      <c r="Q69" s="164"/>
      <c r="R69" s="164"/>
      <c r="S69" s="164"/>
      <c r="T69" s="164"/>
    </row>
    <row r="70" spans="15:20">
      <c r="O70" s="134"/>
      <c r="P70" s="164"/>
      <c r="Q70" s="164"/>
      <c r="R70" s="164"/>
      <c r="S70" s="164"/>
      <c r="T70" s="164"/>
    </row>
    <row r="71" spans="15:20">
      <c r="O71" s="134"/>
      <c r="P71" s="164"/>
      <c r="Q71" s="164"/>
      <c r="R71" s="164"/>
      <c r="S71" s="164"/>
      <c r="T71" s="164"/>
    </row>
    <row r="72" spans="15:20">
      <c r="O72" s="134"/>
      <c r="P72" s="164"/>
      <c r="Q72" s="164"/>
      <c r="R72" s="164"/>
      <c r="S72" s="164"/>
      <c r="T72" s="164"/>
    </row>
    <row r="73" spans="15:20">
      <c r="O73" s="134"/>
      <c r="P73" s="164"/>
      <c r="Q73" s="164"/>
      <c r="R73" s="164"/>
      <c r="S73" s="164"/>
      <c r="T73" s="164"/>
    </row>
    <row r="74" spans="15:20">
      <c r="O74" s="134"/>
      <c r="P74" s="164"/>
      <c r="Q74" s="164"/>
      <c r="R74" s="164"/>
      <c r="S74" s="164"/>
      <c r="T74" s="164"/>
    </row>
    <row r="75" spans="15:20">
      <c r="O75" s="134"/>
      <c r="P75" s="164"/>
      <c r="Q75" s="164"/>
      <c r="R75" s="164"/>
      <c r="S75" s="164"/>
      <c r="T75" s="164"/>
    </row>
    <row r="76" spans="15:20">
      <c r="O76" s="134"/>
      <c r="P76" s="164"/>
      <c r="Q76" s="164"/>
      <c r="R76" s="164"/>
      <c r="S76" s="164"/>
      <c r="T76" s="164"/>
    </row>
    <row r="77" spans="15:20">
      <c r="O77" s="134"/>
      <c r="P77" s="164"/>
      <c r="Q77" s="164"/>
      <c r="R77" s="164"/>
      <c r="S77" s="164"/>
      <c r="T77" s="164"/>
    </row>
    <row r="78" spans="15:20">
      <c r="O78" s="134"/>
      <c r="P78" s="164"/>
      <c r="Q78" s="164"/>
      <c r="R78" s="164"/>
      <c r="S78" s="164"/>
      <c r="T78" s="164"/>
    </row>
    <row r="79" spans="15:20">
      <c r="O79" s="134"/>
      <c r="P79" s="164"/>
      <c r="Q79" s="164"/>
      <c r="R79" s="164"/>
      <c r="S79" s="164"/>
      <c r="T79" s="164"/>
    </row>
    <row r="80" spans="15:20">
      <c r="O80" s="134"/>
      <c r="P80" s="164"/>
      <c r="Q80" s="164"/>
      <c r="R80" s="164"/>
      <c r="S80" s="164"/>
      <c r="T80" s="164"/>
    </row>
    <row r="81" spans="15:20">
      <c r="O81" s="134"/>
      <c r="P81" s="164"/>
      <c r="Q81" s="164"/>
      <c r="R81" s="164"/>
      <c r="S81" s="164"/>
      <c r="T81" s="164"/>
    </row>
    <row r="82" spans="15:20">
      <c r="O82" s="134"/>
      <c r="P82" s="164"/>
      <c r="Q82" s="164"/>
      <c r="R82" s="164"/>
      <c r="S82" s="164"/>
      <c r="T82" s="164"/>
    </row>
    <row r="83" spans="15:20">
      <c r="O83" s="134"/>
      <c r="P83" s="164"/>
      <c r="Q83" s="164"/>
      <c r="R83" s="164"/>
      <c r="S83" s="164"/>
      <c r="T83" s="164"/>
    </row>
    <row r="84" spans="15:20">
      <c r="O84" s="134"/>
      <c r="P84" s="164"/>
      <c r="Q84" s="164"/>
      <c r="R84" s="164"/>
      <c r="S84" s="164"/>
      <c r="T84" s="164"/>
    </row>
    <row r="85" spans="15:20">
      <c r="O85" s="134"/>
      <c r="P85" s="164"/>
      <c r="Q85" s="164"/>
      <c r="R85" s="164"/>
      <c r="S85" s="164"/>
      <c r="T85" s="164"/>
    </row>
    <row r="86" spans="15:20">
      <c r="O86" s="134"/>
      <c r="P86" s="164"/>
      <c r="Q86" s="164"/>
      <c r="R86" s="164"/>
      <c r="S86" s="164"/>
      <c r="T86" s="164"/>
    </row>
    <row r="87" spans="15:20">
      <c r="O87" s="134"/>
      <c r="P87" s="164"/>
      <c r="Q87" s="164"/>
      <c r="R87" s="164"/>
      <c r="S87" s="164"/>
      <c r="T87" s="164"/>
    </row>
    <row r="88" spans="15:20">
      <c r="O88" s="134"/>
      <c r="P88" s="164"/>
      <c r="Q88" s="164"/>
      <c r="R88" s="164"/>
      <c r="S88" s="164"/>
      <c r="T88" s="164"/>
    </row>
    <row r="89" spans="15:20">
      <c r="O89" s="134"/>
      <c r="P89" s="164"/>
      <c r="Q89" s="164"/>
      <c r="R89" s="164"/>
      <c r="S89" s="164"/>
      <c r="T89" s="164"/>
    </row>
    <row r="90" spans="15:20">
      <c r="O90" s="134"/>
      <c r="P90" s="164"/>
      <c r="Q90" s="164"/>
      <c r="R90" s="164"/>
      <c r="S90" s="164"/>
      <c r="T90" s="164"/>
    </row>
    <row r="91" spans="15:20">
      <c r="O91" s="134"/>
      <c r="P91" s="164"/>
      <c r="Q91" s="164"/>
      <c r="R91" s="164"/>
      <c r="S91" s="164"/>
      <c r="T91" s="164"/>
    </row>
    <row r="92" spans="15:20">
      <c r="O92" s="134"/>
      <c r="P92" s="164"/>
      <c r="Q92" s="164"/>
      <c r="R92" s="164"/>
      <c r="S92" s="164"/>
      <c r="T92" s="164"/>
    </row>
    <row r="93" spans="15:20">
      <c r="O93" s="134"/>
      <c r="P93" s="164"/>
      <c r="Q93" s="164"/>
      <c r="R93" s="164"/>
      <c r="S93" s="164"/>
      <c r="T93" s="164"/>
    </row>
    <row r="94" spans="15:20">
      <c r="O94" s="134"/>
      <c r="P94" s="164"/>
      <c r="Q94" s="164"/>
      <c r="R94" s="164"/>
      <c r="S94" s="164"/>
      <c r="T94" s="164"/>
    </row>
    <row r="95" spans="15:20">
      <c r="O95" s="134"/>
      <c r="P95" s="164"/>
      <c r="Q95" s="164"/>
      <c r="R95" s="164"/>
      <c r="S95" s="164"/>
      <c r="T95" s="164"/>
    </row>
    <row r="96" spans="15:20">
      <c r="O96" s="134"/>
      <c r="P96" s="164"/>
      <c r="Q96" s="164"/>
      <c r="R96" s="164"/>
      <c r="S96" s="164"/>
      <c r="T96" s="164"/>
    </row>
    <row r="97" spans="15:20">
      <c r="O97" s="134"/>
      <c r="P97" s="164"/>
      <c r="Q97" s="164"/>
      <c r="R97" s="164"/>
      <c r="S97" s="164"/>
      <c r="T97" s="164"/>
    </row>
    <row r="98" spans="15:20">
      <c r="O98" s="134"/>
      <c r="P98" s="164"/>
      <c r="Q98" s="164"/>
      <c r="R98" s="164"/>
      <c r="S98" s="164"/>
      <c r="T98" s="164"/>
    </row>
    <row r="99" spans="15:20">
      <c r="O99" s="134"/>
      <c r="P99" s="164"/>
      <c r="Q99" s="164"/>
      <c r="R99" s="164"/>
      <c r="S99" s="164"/>
      <c r="T99" s="164"/>
    </row>
    <row r="100" spans="15:20">
      <c r="O100" s="134"/>
      <c r="P100" s="164"/>
      <c r="Q100" s="164"/>
      <c r="R100" s="164"/>
      <c r="S100" s="164"/>
      <c r="T100" s="164"/>
    </row>
    <row r="101" spans="15:20">
      <c r="O101" s="134"/>
      <c r="P101" s="164"/>
      <c r="Q101" s="164"/>
      <c r="R101" s="164"/>
      <c r="S101" s="164"/>
      <c r="T101" s="164"/>
    </row>
    <row r="102" spans="15:20">
      <c r="O102" s="134"/>
      <c r="P102" s="164"/>
      <c r="Q102" s="164"/>
      <c r="R102" s="164"/>
      <c r="S102" s="164"/>
      <c r="T102" s="164"/>
    </row>
    <row r="103" spans="15:20">
      <c r="O103" s="134"/>
      <c r="P103" s="164"/>
      <c r="Q103" s="164"/>
      <c r="R103" s="164"/>
      <c r="S103" s="164"/>
      <c r="T103" s="164"/>
    </row>
    <row r="104" spans="15:20">
      <c r="O104" s="134"/>
      <c r="P104" s="164"/>
      <c r="Q104" s="164"/>
      <c r="R104" s="164"/>
      <c r="S104" s="164"/>
      <c r="T104" s="164"/>
    </row>
    <row r="105" spans="15:20">
      <c r="O105" s="134"/>
      <c r="P105" s="164"/>
      <c r="Q105" s="164"/>
      <c r="R105" s="164"/>
      <c r="S105" s="164"/>
      <c r="T105" s="164"/>
    </row>
    <row r="106" spans="15:20">
      <c r="O106" s="134"/>
      <c r="P106" s="164"/>
      <c r="Q106" s="164"/>
      <c r="R106" s="164"/>
      <c r="S106" s="164"/>
      <c r="T106" s="164"/>
    </row>
    <row r="107" spans="15:20">
      <c r="O107" s="134"/>
      <c r="P107" s="164"/>
      <c r="Q107" s="164"/>
      <c r="R107" s="164"/>
      <c r="S107" s="164"/>
      <c r="T107" s="164"/>
    </row>
    <row r="108" spans="15:20">
      <c r="O108" s="134"/>
      <c r="P108" s="164"/>
      <c r="Q108" s="164"/>
      <c r="R108" s="164"/>
      <c r="S108" s="164"/>
      <c r="T108" s="164"/>
    </row>
    <row r="109" spans="15:20">
      <c r="O109" s="134"/>
      <c r="P109" s="164"/>
      <c r="Q109" s="164"/>
      <c r="R109" s="164"/>
      <c r="S109" s="164"/>
      <c r="T109" s="164"/>
    </row>
    <row r="110" spans="15:20">
      <c r="O110" s="134"/>
      <c r="P110" s="164"/>
      <c r="Q110" s="164"/>
      <c r="R110" s="164"/>
      <c r="S110" s="164"/>
      <c r="T110" s="164"/>
    </row>
    <row r="111" spans="15:20">
      <c r="O111" s="134"/>
      <c r="P111" s="164"/>
      <c r="Q111" s="164"/>
      <c r="R111" s="164"/>
      <c r="S111" s="164"/>
      <c r="T111" s="164"/>
    </row>
    <row r="112" spans="15:20">
      <c r="O112" s="134"/>
      <c r="P112" s="164"/>
      <c r="Q112" s="164"/>
      <c r="R112" s="164"/>
      <c r="S112" s="164"/>
      <c r="T112" s="164"/>
    </row>
    <row r="113" spans="15:20">
      <c r="O113" s="134"/>
      <c r="P113" s="164"/>
      <c r="Q113" s="164"/>
      <c r="R113" s="164"/>
      <c r="S113" s="164"/>
      <c r="T113" s="164"/>
    </row>
    <row r="114" spans="15:20">
      <c r="O114" s="134"/>
      <c r="P114" s="164"/>
      <c r="Q114" s="164"/>
      <c r="R114" s="164"/>
      <c r="S114" s="164"/>
      <c r="T114" s="164"/>
    </row>
    <row r="115" spans="15:20">
      <c r="O115" s="134"/>
      <c r="P115" s="164"/>
      <c r="Q115" s="164"/>
      <c r="R115" s="164"/>
      <c r="S115" s="164"/>
      <c r="T115" s="164"/>
    </row>
    <row r="116" spans="15:20">
      <c r="O116" s="134"/>
      <c r="P116" s="164"/>
      <c r="Q116" s="164"/>
      <c r="R116" s="164"/>
      <c r="S116" s="164"/>
      <c r="T116" s="164"/>
    </row>
    <row r="117" spans="15:20">
      <c r="O117" s="134"/>
      <c r="P117" s="164"/>
      <c r="Q117" s="164"/>
      <c r="R117" s="164"/>
      <c r="S117" s="164"/>
      <c r="T117" s="164"/>
    </row>
    <row r="118" spans="15:20">
      <c r="O118" s="134"/>
      <c r="P118" s="164"/>
      <c r="Q118" s="164"/>
      <c r="R118" s="164"/>
      <c r="S118" s="164"/>
      <c r="T118" s="164"/>
    </row>
    <row r="119" spans="15:20">
      <c r="O119" s="134"/>
      <c r="P119" s="164"/>
      <c r="Q119" s="164"/>
      <c r="R119" s="164"/>
      <c r="S119" s="164"/>
      <c r="T119" s="164"/>
    </row>
    <row r="120" spans="15:20">
      <c r="O120" s="134"/>
      <c r="P120" s="164"/>
      <c r="Q120" s="164"/>
      <c r="R120" s="164"/>
      <c r="S120" s="164"/>
      <c r="T120" s="164"/>
    </row>
    <row r="121" spans="15:20">
      <c r="O121" s="134"/>
      <c r="P121" s="164"/>
      <c r="Q121" s="164"/>
      <c r="R121" s="164"/>
      <c r="S121" s="164"/>
      <c r="T121" s="164"/>
    </row>
    <row r="122" spans="15:20">
      <c r="O122" s="134"/>
      <c r="P122" s="164"/>
      <c r="Q122" s="164"/>
      <c r="R122" s="164"/>
      <c r="S122" s="164"/>
      <c r="T122" s="164"/>
    </row>
    <row r="123" spans="15:20">
      <c r="O123" s="134"/>
      <c r="P123" s="164"/>
      <c r="Q123" s="164"/>
      <c r="R123" s="164"/>
      <c r="S123" s="164"/>
      <c r="T123" s="164"/>
    </row>
    <row r="124" spans="15:20">
      <c r="O124" s="134"/>
      <c r="P124" s="164"/>
      <c r="Q124" s="164"/>
      <c r="R124" s="164"/>
      <c r="S124" s="164"/>
      <c r="T124" s="164"/>
    </row>
    <row r="125" spans="15:20">
      <c r="O125" s="134"/>
      <c r="P125" s="164"/>
      <c r="Q125" s="164"/>
      <c r="R125" s="164"/>
      <c r="S125" s="164"/>
      <c r="T125" s="164"/>
    </row>
    <row r="126" spans="15:20">
      <c r="O126" s="134"/>
      <c r="P126" s="164"/>
      <c r="Q126" s="164"/>
      <c r="R126" s="164"/>
      <c r="S126" s="164"/>
      <c r="T126" s="164"/>
    </row>
    <row r="127" spans="15:20">
      <c r="O127" s="134"/>
      <c r="P127" s="164"/>
      <c r="Q127" s="164"/>
      <c r="R127" s="164"/>
      <c r="S127" s="164"/>
      <c r="T127" s="164"/>
    </row>
    <row r="128" spans="15:20">
      <c r="O128" s="134"/>
      <c r="P128" s="164"/>
      <c r="Q128" s="164"/>
      <c r="R128" s="164"/>
      <c r="S128" s="164"/>
      <c r="T128" s="164"/>
    </row>
    <row r="129" spans="15:20">
      <c r="O129" s="134"/>
      <c r="P129" s="164"/>
      <c r="Q129" s="164"/>
      <c r="R129" s="164"/>
      <c r="S129" s="164"/>
      <c r="T129" s="164"/>
    </row>
    <row r="130" spans="15:20">
      <c r="O130" s="134"/>
      <c r="P130" s="164"/>
      <c r="Q130" s="164"/>
      <c r="R130" s="164"/>
      <c r="S130" s="164"/>
      <c r="T130" s="164"/>
    </row>
    <row r="131" spans="15:20">
      <c r="O131" s="134"/>
      <c r="P131" s="164"/>
      <c r="Q131" s="164"/>
      <c r="R131" s="164"/>
      <c r="S131" s="164"/>
      <c r="T131" s="164"/>
    </row>
    <row r="132" spans="15:20">
      <c r="O132" s="134"/>
      <c r="P132" s="164"/>
      <c r="Q132" s="164"/>
      <c r="R132" s="164"/>
      <c r="S132" s="164"/>
      <c r="T132" s="164"/>
    </row>
    <row r="133" spans="15:20">
      <c r="O133" s="134"/>
      <c r="P133" s="164"/>
      <c r="Q133" s="164"/>
      <c r="R133" s="164"/>
      <c r="S133" s="164"/>
      <c r="T133" s="164"/>
    </row>
    <row r="134" spans="15:20">
      <c r="O134" s="134"/>
      <c r="P134" s="164"/>
      <c r="Q134" s="164"/>
      <c r="R134" s="164"/>
      <c r="S134" s="164"/>
      <c r="T134" s="164"/>
    </row>
    <row r="135" spans="15:20">
      <c r="O135" s="134"/>
      <c r="P135" s="164"/>
      <c r="Q135" s="164"/>
      <c r="R135" s="164"/>
      <c r="S135" s="164"/>
      <c r="T135" s="164"/>
    </row>
    <row r="136" spans="15:20">
      <c r="O136" s="134"/>
      <c r="P136" s="164"/>
      <c r="Q136" s="164"/>
      <c r="R136" s="164"/>
      <c r="S136" s="164"/>
      <c r="T136" s="164"/>
    </row>
    <row r="137" spans="15:20">
      <c r="O137" s="134"/>
      <c r="P137" s="164"/>
      <c r="Q137" s="164"/>
      <c r="R137" s="164"/>
      <c r="S137" s="164"/>
      <c r="T137" s="164"/>
    </row>
    <row r="138" spans="15:20">
      <c r="O138" s="134"/>
      <c r="P138" s="164"/>
      <c r="Q138" s="164"/>
      <c r="R138" s="164"/>
      <c r="S138" s="164"/>
      <c r="T138" s="164"/>
    </row>
    <row r="139" spans="15:20">
      <c r="O139" s="134"/>
      <c r="P139" s="164"/>
      <c r="Q139" s="164"/>
      <c r="R139" s="164"/>
      <c r="S139" s="164"/>
      <c r="T139" s="164"/>
    </row>
    <row r="140" spans="15:20">
      <c r="O140" s="134"/>
      <c r="P140" s="164"/>
      <c r="Q140" s="164"/>
      <c r="R140" s="164"/>
      <c r="S140" s="164"/>
      <c r="T140" s="164"/>
    </row>
    <row r="141" spans="15:20">
      <c r="O141" s="134"/>
      <c r="P141" s="164"/>
      <c r="Q141" s="164"/>
      <c r="R141" s="164"/>
      <c r="S141" s="164"/>
      <c r="T141" s="164"/>
    </row>
    <row r="142" spans="15:20">
      <c r="O142" s="134"/>
      <c r="P142" s="164"/>
      <c r="Q142" s="164"/>
      <c r="R142" s="164"/>
      <c r="S142" s="164"/>
      <c r="T142" s="164"/>
    </row>
    <row r="143" spans="15:20">
      <c r="O143" s="134"/>
      <c r="P143" s="164"/>
      <c r="Q143" s="164"/>
      <c r="R143" s="164"/>
      <c r="S143" s="164"/>
      <c r="T143" s="164"/>
    </row>
    <row r="144" spans="15:20">
      <c r="O144" s="134"/>
      <c r="P144" s="164"/>
      <c r="Q144" s="164"/>
      <c r="R144" s="164"/>
      <c r="S144" s="164"/>
      <c r="T144" s="164"/>
    </row>
    <row r="145" spans="15:20">
      <c r="O145" s="134"/>
      <c r="P145" s="164"/>
      <c r="Q145" s="164"/>
      <c r="R145" s="164"/>
      <c r="S145" s="164"/>
      <c r="T145" s="164"/>
    </row>
    <row r="146" spans="15:20">
      <c r="O146" s="134"/>
      <c r="P146" s="164"/>
      <c r="Q146" s="164"/>
      <c r="R146" s="164"/>
      <c r="S146" s="164"/>
      <c r="T146" s="164"/>
    </row>
    <row r="147" spans="15:20">
      <c r="O147" s="134"/>
      <c r="P147" s="164"/>
      <c r="Q147" s="164"/>
      <c r="R147" s="164"/>
      <c r="S147" s="164"/>
      <c r="T147" s="164"/>
    </row>
    <row r="148" spans="15:20">
      <c r="O148" s="134"/>
      <c r="P148" s="164"/>
      <c r="Q148" s="164"/>
      <c r="R148" s="164"/>
      <c r="S148" s="164"/>
      <c r="T148" s="164"/>
    </row>
    <row r="149" spans="15:20">
      <c r="O149" s="134"/>
      <c r="P149" s="164"/>
      <c r="Q149" s="164"/>
      <c r="R149" s="164"/>
      <c r="S149" s="164"/>
      <c r="T149" s="164"/>
    </row>
    <row r="150" spans="15:20">
      <c r="O150" s="134"/>
      <c r="P150" s="164"/>
      <c r="Q150" s="164"/>
      <c r="R150" s="164"/>
      <c r="S150" s="164"/>
      <c r="T150" s="164"/>
    </row>
    <row r="151" spans="15:20">
      <c r="O151" s="134"/>
      <c r="P151" s="164"/>
      <c r="Q151" s="164"/>
      <c r="R151" s="164"/>
      <c r="S151" s="164"/>
      <c r="T151" s="164"/>
    </row>
    <row r="152" spans="15:20">
      <c r="O152" s="134"/>
      <c r="P152" s="164"/>
      <c r="Q152" s="164"/>
      <c r="R152" s="164"/>
      <c r="S152" s="164"/>
      <c r="T152" s="164"/>
    </row>
    <row r="153" spans="15:20">
      <c r="O153" s="134"/>
      <c r="P153" s="164"/>
      <c r="Q153" s="164"/>
      <c r="R153" s="164"/>
      <c r="S153" s="164"/>
      <c r="T153" s="164"/>
    </row>
    <row r="154" spans="15:20">
      <c r="O154" s="134"/>
      <c r="P154" s="164"/>
      <c r="Q154" s="164"/>
      <c r="R154" s="164"/>
      <c r="S154" s="164"/>
      <c r="T154" s="164"/>
    </row>
    <row r="155" spans="15:20">
      <c r="O155" s="134"/>
      <c r="P155" s="164"/>
      <c r="Q155" s="164"/>
      <c r="R155" s="164"/>
      <c r="S155" s="164"/>
      <c r="T155" s="164"/>
    </row>
    <row r="156" spans="15:20">
      <c r="O156" s="134"/>
      <c r="P156" s="164"/>
      <c r="Q156" s="164"/>
      <c r="R156" s="164"/>
      <c r="S156" s="164"/>
      <c r="T156" s="164"/>
    </row>
    <row r="157" spans="15:20">
      <c r="O157" s="134"/>
      <c r="P157" s="164"/>
      <c r="Q157" s="164"/>
      <c r="R157" s="164"/>
      <c r="S157" s="164"/>
      <c r="T157" s="164"/>
    </row>
    <row r="158" spans="15:20">
      <c r="O158" s="134"/>
      <c r="P158" s="164"/>
      <c r="Q158" s="164"/>
      <c r="R158" s="164"/>
      <c r="S158" s="164"/>
      <c r="T158" s="164"/>
    </row>
    <row r="159" spans="15:20">
      <c r="O159" s="134"/>
      <c r="P159" s="164"/>
      <c r="Q159" s="164"/>
      <c r="R159" s="164"/>
      <c r="S159" s="164"/>
      <c r="T159" s="164"/>
    </row>
    <row r="160" spans="15:20">
      <c r="O160" s="134"/>
      <c r="P160" s="164"/>
      <c r="Q160" s="164"/>
      <c r="R160" s="164"/>
      <c r="S160" s="164"/>
      <c r="T160" s="164"/>
    </row>
    <row r="161" spans="15:20">
      <c r="O161" s="134"/>
      <c r="P161" s="164"/>
      <c r="Q161" s="164"/>
      <c r="R161" s="164"/>
      <c r="S161" s="164"/>
      <c r="T161" s="164"/>
    </row>
    <row r="162" spans="15:20">
      <c r="O162" s="134"/>
      <c r="P162" s="164"/>
      <c r="Q162" s="164"/>
      <c r="R162" s="164"/>
      <c r="S162" s="164"/>
      <c r="T162" s="164"/>
    </row>
    <row r="163" spans="15:20">
      <c r="O163" s="134"/>
      <c r="P163" s="164"/>
      <c r="Q163" s="164"/>
      <c r="R163" s="164"/>
      <c r="S163" s="164"/>
      <c r="T163" s="164"/>
    </row>
    <row r="164" spans="15:20">
      <c r="O164" s="134"/>
      <c r="P164" s="164"/>
      <c r="Q164" s="164"/>
      <c r="R164" s="164"/>
      <c r="S164" s="164"/>
      <c r="T164" s="164"/>
    </row>
    <row r="165" spans="15:20">
      <c r="O165" s="134"/>
      <c r="P165" s="164"/>
      <c r="Q165" s="164"/>
      <c r="R165" s="164"/>
      <c r="S165" s="164"/>
      <c r="T165" s="164"/>
    </row>
  </sheetData>
  <mergeCells count="11">
    <mergeCell ref="Q2:Q3"/>
    <mergeCell ref="R2:R3"/>
    <mergeCell ref="A1:F1"/>
    <mergeCell ref="H1:P1"/>
    <mergeCell ref="B2:F2"/>
    <mergeCell ref="H2:K2"/>
    <mergeCell ref="L2:L3"/>
    <mergeCell ref="M2:M3"/>
    <mergeCell ref="N2:N3"/>
    <mergeCell ref="O2:O3"/>
    <mergeCell ref="P2:P3"/>
  </mergeCells>
  <phoneticPr fontId="117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7"/>
  <sheetViews>
    <sheetView zoomScale="90" zoomScaleNormal="90" workbookViewId="0">
      <selection activeCell="D7" sqref="D7"/>
    </sheetView>
  </sheetViews>
  <sheetFormatPr defaultColWidth="9" defaultRowHeight="14.4"/>
  <cols>
    <col min="1" max="2" width="14.21875" style="93" customWidth="1"/>
    <col min="3" max="3" width="17.77734375" style="93" customWidth="1"/>
    <col min="4" max="4" width="19.44140625" style="93" customWidth="1"/>
    <col min="5" max="5" width="24.33203125" style="93" customWidth="1"/>
    <col min="6" max="7" width="17.21875" style="93" customWidth="1"/>
    <col min="8" max="9" width="21.21875" style="93" customWidth="1"/>
    <col min="10" max="256" width="9" style="93"/>
    <col min="257" max="258" width="14.21875" style="93" customWidth="1"/>
    <col min="259" max="259" width="17.77734375" style="93" customWidth="1"/>
    <col min="260" max="260" width="19.44140625" style="93" customWidth="1"/>
    <col min="261" max="261" width="24.33203125" style="93" customWidth="1"/>
    <col min="262" max="263" width="17.21875" style="93" customWidth="1"/>
    <col min="264" max="512" width="9" style="93"/>
    <col min="513" max="514" width="14.21875" style="93" customWidth="1"/>
    <col min="515" max="515" width="17.77734375" style="93" customWidth="1"/>
    <col min="516" max="516" width="19.44140625" style="93" customWidth="1"/>
    <col min="517" max="517" width="24.33203125" style="93" customWidth="1"/>
    <col min="518" max="519" width="17.21875" style="93" customWidth="1"/>
    <col min="520" max="768" width="9" style="93"/>
    <col min="769" max="770" width="14.21875" style="93" customWidth="1"/>
    <col min="771" max="771" width="17.77734375" style="93" customWidth="1"/>
    <col min="772" max="772" width="19.44140625" style="93" customWidth="1"/>
    <col min="773" max="773" width="24.33203125" style="93" customWidth="1"/>
    <col min="774" max="775" width="17.21875" style="93" customWidth="1"/>
    <col min="776" max="1024" width="9" style="93"/>
    <col min="1025" max="1026" width="14.21875" style="93" customWidth="1"/>
    <col min="1027" max="1027" width="17.77734375" style="93" customWidth="1"/>
    <col min="1028" max="1028" width="19.44140625" style="93" customWidth="1"/>
    <col min="1029" max="1029" width="24.33203125" style="93" customWidth="1"/>
    <col min="1030" max="1031" width="17.21875" style="93" customWidth="1"/>
    <col min="1032" max="1280" width="9" style="93"/>
    <col min="1281" max="1282" width="14.21875" style="93" customWidth="1"/>
    <col min="1283" max="1283" width="17.77734375" style="93" customWidth="1"/>
    <col min="1284" max="1284" width="19.44140625" style="93" customWidth="1"/>
    <col min="1285" max="1285" width="24.33203125" style="93" customWidth="1"/>
    <col min="1286" max="1287" width="17.21875" style="93" customWidth="1"/>
    <col min="1288" max="1536" width="9" style="93"/>
    <col min="1537" max="1538" width="14.21875" style="93" customWidth="1"/>
    <col min="1539" max="1539" width="17.77734375" style="93" customWidth="1"/>
    <col min="1540" max="1540" width="19.44140625" style="93" customWidth="1"/>
    <col min="1541" max="1541" width="24.33203125" style="93" customWidth="1"/>
    <col min="1542" max="1543" width="17.21875" style="93" customWidth="1"/>
    <col min="1544" max="1792" width="9" style="93"/>
    <col min="1793" max="1794" width="14.21875" style="93" customWidth="1"/>
    <col min="1795" max="1795" width="17.77734375" style="93" customWidth="1"/>
    <col min="1796" max="1796" width="19.44140625" style="93" customWidth="1"/>
    <col min="1797" max="1797" width="24.33203125" style="93" customWidth="1"/>
    <col min="1798" max="1799" width="17.21875" style="93" customWidth="1"/>
    <col min="1800" max="2048" width="9" style="93"/>
    <col min="2049" max="2050" width="14.21875" style="93" customWidth="1"/>
    <col min="2051" max="2051" width="17.77734375" style="93" customWidth="1"/>
    <col min="2052" max="2052" width="19.44140625" style="93" customWidth="1"/>
    <col min="2053" max="2053" width="24.33203125" style="93" customWidth="1"/>
    <col min="2054" max="2055" width="17.21875" style="93" customWidth="1"/>
    <col min="2056" max="2304" width="9" style="93"/>
    <col min="2305" max="2306" width="14.21875" style="93" customWidth="1"/>
    <col min="2307" max="2307" width="17.77734375" style="93" customWidth="1"/>
    <col min="2308" max="2308" width="19.44140625" style="93" customWidth="1"/>
    <col min="2309" max="2309" width="24.33203125" style="93" customWidth="1"/>
    <col min="2310" max="2311" width="17.21875" style="93" customWidth="1"/>
    <col min="2312" max="2560" width="9" style="93"/>
    <col min="2561" max="2562" width="14.21875" style="93" customWidth="1"/>
    <col min="2563" max="2563" width="17.77734375" style="93" customWidth="1"/>
    <col min="2564" max="2564" width="19.44140625" style="93" customWidth="1"/>
    <col min="2565" max="2565" width="24.33203125" style="93" customWidth="1"/>
    <col min="2566" max="2567" width="17.21875" style="93" customWidth="1"/>
    <col min="2568" max="2816" width="9" style="93"/>
    <col min="2817" max="2818" width="14.21875" style="93" customWidth="1"/>
    <col min="2819" max="2819" width="17.77734375" style="93" customWidth="1"/>
    <col min="2820" max="2820" width="19.44140625" style="93" customWidth="1"/>
    <col min="2821" max="2821" width="24.33203125" style="93" customWidth="1"/>
    <col min="2822" max="2823" width="17.21875" style="93" customWidth="1"/>
    <col min="2824" max="3072" width="9" style="93"/>
    <col min="3073" max="3074" width="14.21875" style="93" customWidth="1"/>
    <col min="3075" max="3075" width="17.77734375" style="93" customWidth="1"/>
    <col min="3076" max="3076" width="19.44140625" style="93" customWidth="1"/>
    <col min="3077" max="3077" width="24.33203125" style="93" customWidth="1"/>
    <col min="3078" max="3079" width="17.21875" style="93" customWidth="1"/>
    <col min="3080" max="3328" width="9" style="93"/>
    <col min="3329" max="3330" width="14.21875" style="93" customWidth="1"/>
    <col min="3331" max="3331" width="17.77734375" style="93" customWidth="1"/>
    <col min="3332" max="3332" width="19.44140625" style="93" customWidth="1"/>
    <col min="3333" max="3333" width="24.33203125" style="93" customWidth="1"/>
    <col min="3334" max="3335" width="17.21875" style="93" customWidth="1"/>
    <col min="3336" max="3584" width="9" style="93"/>
    <col min="3585" max="3586" width="14.21875" style="93" customWidth="1"/>
    <col min="3587" max="3587" width="17.77734375" style="93" customWidth="1"/>
    <col min="3588" max="3588" width="19.44140625" style="93" customWidth="1"/>
    <col min="3589" max="3589" width="24.33203125" style="93" customWidth="1"/>
    <col min="3590" max="3591" width="17.21875" style="93" customWidth="1"/>
    <col min="3592" max="3840" width="9" style="93"/>
    <col min="3841" max="3842" width="14.21875" style="93" customWidth="1"/>
    <col min="3843" max="3843" width="17.77734375" style="93" customWidth="1"/>
    <col min="3844" max="3844" width="19.44140625" style="93" customWidth="1"/>
    <col min="3845" max="3845" width="24.33203125" style="93" customWidth="1"/>
    <col min="3846" max="3847" width="17.21875" style="93" customWidth="1"/>
    <col min="3848" max="4096" width="9" style="93"/>
    <col min="4097" max="4098" width="14.21875" style="93" customWidth="1"/>
    <col min="4099" max="4099" width="17.77734375" style="93" customWidth="1"/>
    <col min="4100" max="4100" width="19.44140625" style="93" customWidth="1"/>
    <col min="4101" max="4101" width="24.33203125" style="93" customWidth="1"/>
    <col min="4102" max="4103" width="17.21875" style="93" customWidth="1"/>
    <col min="4104" max="4352" width="9" style="93"/>
    <col min="4353" max="4354" width="14.21875" style="93" customWidth="1"/>
    <col min="4355" max="4355" width="17.77734375" style="93" customWidth="1"/>
    <col min="4356" max="4356" width="19.44140625" style="93" customWidth="1"/>
    <col min="4357" max="4357" width="24.33203125" style="93" customWidth="1"/>
    <col min="4358" max="4359" width="17.21875" style="93" customWidth="1"/>
    <col min="4360" max="4608" width="9" style="93"/>
    <col min="4609" max="4610" width="14.21875" style="93" customWidth="1"/>
    <col min="4611" max="4611" width="17.77734375" style="93" customWidth="1"/>
    <col min="4612" max="4612" width="19.44140625" style="93" customWidth="1"/>
    <col min="4613" max="4613" width="24.33203125" style="93" customWidth="1"/>
    <col min="4614" max="4615" width="17.21875" style="93" customWidth="1"/>
    <col min="4616" max="4864" width="9" style="93"/>
    <col min="4865" max="4866" width="14.21875" style="93" customWidth="1"/>
    <col min="4867" max="4867" width="17.77734375" style="93" customWidth="1"/>
    <col min="4868" max="4868" width="19.44140625" style="93" customWidth="1"/>
    <col min="4869" max="4869" width="24.33203125" style="93" customWidth="1"/>
    <col min="4870" max="4871" width="17.21875" style="93" customWidth="1"/>
    <col min="4872" max="5120" width="9" style="93"/>
    <col min="5121" max="5122" width="14.21875" style="93" customWidth="1"/>
    <col min="5123" max="5123" width="17.77734375" style="93" customWidth="1"/>
    <col min="5124" max="5124" width="19.44140625" style="93" customWidth="1"/>
    <col min="5125" max="5125" width="24.33203125" style="93" customWidth="1"/>
    <col min="5126" max="5127" width="17.21875" style="93" customWidth="1"/>
    <col min="5128" max="5376" width="9" style="93"/>
    <col min="5377" max="5378" width="14.21875" style="93" customWidth="1"/>
    <col min="5379" max="5379" width="17.77734375" style="93" customWidth="1"/>
    <col min="5380" max="5380" width="19.44140625" style="93" customWidth="1"/>
    <col min="5381" max="5381" width="24.33203125" style="93" customWidth="1"/>
    <col min="5382" max="5383" width="17.21875" style="93" customWidth="1"/>
    <col min="5384" max="5632" width="9" style="93"/>
    <col min="5633" max="5634" width="14.21875" style="93" customWidth="1"/>
    <col min="5635" max="5635" width="17.77734375" style="93" customWidth="1"/>
    <col min="5636" max="5636" width="19.44140625" style="93" customWidth="1"/>
    <col min="5637" max="5637" width="24.33203125" style="93" customWidth="1"/>
    <col min="5638" max="5639" width="17.21875" style="93" customWidth="1"/>
    <col min="5640" max="5888" width="9" style="93"/>
    <col min="5889" max="5890" width="14.21875" style="93" customWidth="1"/>
    <col min="5891" max="5891" width="17.77734375" style="93" customWidth="1"/>
    <col min="5892" max="5892" width="19.44140625" style="93" customWidth="1"/>
    <col min="5893" max="5893" width="24.33203125" style="93" customWidth="1"/>
    <col min="5894" max="5895" width="17.21875" style="93" customWidth="1"/>
    <col min="5896" max="6144" width="9" style="93"/>
    <col min="6145" max="6146" width="14.21875" style="93" customWidth="1"/>
    <col min="6147" max="6147" width="17.77734375" style="93" customWidth="1"/>
    <col min="6148" max="6148" width="19.44140625" style="93" customWidth="1"/>
    <col min="6149" max="6149" width="24.33203125" style="93" customWidth="1"/>
    <col min="6150" max="6151" width="17.21875" style="93" customWidth="1"/>
    <col min="6152" max="6400" width="9" style="93"/>
    <col min="6401" max="6402" width="14.21875" style="93" customWidth="1"/>
    <col min="6403" max="6403" width="17.77734375" style="93" customWidth="1"/>
    <col min="6404" max="6404" width="19.44140625" style="93" customWidth="1"/>
    <col min="6405" max="6405" width="24.33203125" style="93" customWidth="1"/>
    <col min="6406" max="6407" width="17.21875" style="93" customWidth="1"/>
    <col min="6408" max="6656" width="9" style="93"/>
    <col min="6657" max="6658" width="14.21875" style="93" customWidth="1"/>
    <col min="6659" max="6659" width="17.77734375" style="93" customWidth="1"/>
    <col min="6660" max="6660" width="19.44140625" style="93" customWidth="1"/>
    <col min="6661" max="6661" width="24.33203125" style="93" customWidth="1"/>
    <col min="6662" max="6663" width="17.21875" style="93" customWidth="1"/>
    <col min="6664" max="6912" width="9" style="93"/>
    <col min="6913" max="6914" width="14.21875" style="93" customWidth="1"/>
    <col min="6915" max="6915" width="17.77734375" style="93" customWidth="1"/>
    <col min="6916" max="6916" width="19.44140625" style="93" customWidth="1"/>
    <col min="6917" max="6917" width="24.33203125" style="93" customWidth="1"/>
    <col min="6918" max="6919" width="17.21875" style="93" customWidth="1"/>
    <col min="6920" max="7168" width="9" style="93"/>
    <col min="7169" max="7170" width="14.21875" style="93" customWidth="1"/>
    <col min="7171" max="7171" width="17.77734375" style="93" customWidth="1"/>
    <col min="7172" max="7172" width="19.44140625" style="93" customWidth="1"/>
    <col min="7173" max="7173" width="24.33203125" style="93" customWidth="1"/>
    <col min="7174" max="7175" width="17.21875" style="93" customWidth="1"/>
    <col min="7176" max="7424" width="9" style="93"/>
    <col min="7425" max="7426" width="14.21875" style="93" customWidth="1"/>
    <col min="7427" max="7427" width="17.77734375" style="93" customWidth="1"/>
    <col min="7428" max="7428" width="19.44140625" style="93" customWidth="1"/>
    <col min="7429" max="7429" width="24.33203125" style="93" customWidth="1"/>
    <col min="7430" max="7431" width="17.21875" style="93" customWidth="1"/>
    <col min="7432" max="7680" width="9" style="93"/>
    <col min="7681" max="7682" width="14.21875" style="93" customWidth="1"/>
    <col min="7683" max="7683" width="17.77734375" style="93" customWidth="1"/>
    <col min="7684" max="7684" width="19.44140625" style="93" customWidth="1"/>
    <col min="7685" max="7685" width="24.33203125" style="93" customWidth="1"/>
    <col min="7686" max="7687" width="17.21875" style="93" customWidth="1"/>
    <col min="7688" max="7936" width="9" style="93"/>
    <col min="7937" max="7938" width="14.21875" style="93" customWidth="1"/>
    <col min="7939" max="7939" width="17.77734375" style="93" customWidth="1"/>
    <col min="7940" max="7940" width="19.44140625" style="93" customWidth="1"/>
    <col min="7941" max="7941" width="24.33203125" style="93" customWidth="1"/>
    <col min="7942" max="7943" width="17.21875" style="93" customWidth="1"/>
    <col min="7944" max="8192" width="9" style="93"/>
    <col min="8193" max="8194" width="14.21875" style="93" customWidth="1"/>
    <col min="8195" max="8195" width="17.77734375" style="93" customWidth="1"/>
    <col min="8196" max="8196" width="19.44140625" style="93" customWidth="1"/>
    <col min="8197" max="8197" width="24.33203125" style="93" customWidth="1"/>
    <col min="8198" max="8199" width="17.21875" style="93" customWidth="1"/>
    <col min="8200" max="8448" width="9" style="93"/>
    <col min="8449" max="8450" width="14.21875" style="93" customWidth="1"/>
    <col min="8451" max="8451" width="17.77734375" style="93" customWidth="1"/>
    <col min="8452" max="8452" width="19.44140625" style="93" customWidth="1"/>
    <col min="8453" max="8453" width="24.33203125" style="93" customWidth="1"/>
    <col min="8454" max="8455" width="17.21875" style="93" customWidth="1"/>
    <col min="8456" max="8704" width="9" style="93"/>
    <col min="8705" max="8706" width="14.21875" style="93" customWidth="1"/>
    <col min="8707" max="8707" width="17.77734375" style="93" customWidth="1"/>
    <col min="8708" max="8708" width="19.44140625" style="93" customWidth="1"/>
    <col min="8709" max="8709" width="24.33203125" style="93" customWidth="1"/>
    <col min="8710" max="8711" width="17.21875" style="93" customWidth="1"/>
    <col min="8712" max="8960" width="9" style="93"/>
    <col min="8961" max="8962" width="14.21875" style="93" customWidth="1"/>
    <col min="8963" max="8963" width="17.77734375" style="93" customWidth="1"/>
    <col min="8964" max="8964" width="19.44140625" style="93" customWidth="1"/>
    <col min="8965" max="8965" width="24.33203125" style="93" customWidth="1"/>
    <col min="8966" max="8967" width="17.21875" style="93" customWidth="1"/>
    <col min="8968" max="9216" width="9" style="93"/>
    <col min="9217" max="9218" width="14.21875" style="93" customWidth="1"/>
    <col min="9219" max="9219" width="17.77734375" style="93" customWidth="1"/>
    <col min="9220" max="9220" width="19.44140625" style="93" customWidth="1"/>
    <col min="9221" max="9221" width="24.33203125" style="93" customWidth="1"/>
    <col min="9222" max="9223" width="17.21875" style="93" customWidth="1"/>
    <col min="9224" max="9472" width="9" style="93"/>
    <col min="9473" max="9474" width="14.21875" style="93" customWidth="1"/>
    <col min="9475" max="9475" width="17.77734375" style="93" customWidth="1"/>
    <col min="9476" max="9476" width="19.44140625" style="93" customWidth="1"/>
    <col min="9477" max="9477" width="24.33203125" style="93" customWidth="1"/>
    <col min="9478" max="9479" width="17.21875" style="93" customWidth="1"/>
    <col min="9480" max="9728" width="9" style="93"/>
    <col min="9729" max="9730" width="14.21875" style="93" customWidth="1"/>
    <col min="9731" max="9731" width="17.77734375" style="93" customWidth="1"/>
    <col min="9732" max="9732" width="19.44140625" style="93" customWidth="1"/>
    <col min="9733" max="9733" width="24.33203125" style="93" customWidth="1"/>
    <col min="9734" max="9735" width="17.21875" style="93" customWidth="1"/>
    <col min="9736" max="9984" width="9" style="93"/>
    <col min="9985" max="9986" width="14.21875" style="93" customWidth="1"/>
    <col min="9987" max="9987" width="17.77734375" style="93" customWidth="1"/>
    <col min="9988" max="9988" width="19.44140625" style="93" customWidth="1"/>
    <col min="9989" max="9989" width="24.33203125" style="93" customWidth="1"/>
    <col min="9990" max="9991" width="17.21875" style="93" customWidth="1"/>
    <col min="9992" max="10240" width="9" style="93"/>
    <col min="10241" max="10242" width="14.21875" style="93" customWidth="1"/>
    <col min="10243" max="10243" width="17.77734375" style="93" customWidth="1"/>
    <col min="10244" max="10244" width="19.44140625" style="93" customWidth="1"/>
    <col min="10245" max="10245" width="24.33203125" style="93" customWidth="1"/>
    <col min="10246" max="10247" width="17.21875" style="93" customWidth="1"/>
    <col min="10248" max="10496" width="9" style="93"/>
    <col min="10497" max="10498" width="14.21875" style="93" customWidth="1"/>
    <col min="10499" max="10499" width="17.77734375" style="93" customWidth="1"/>
    <col min="10500" max="10500" width="19.44140625" style="93" customWidth="1"/>
    <col min="10501" max="10501" width="24.33203125" style="93" customWidth="1"/>
    <col min="10502" max="10503" width="17.21875" style="93" customWidth="1"/>
    <col min="10504" max="10752" width="9" style="93"/>
    <col min="10753" max="10754" width="14.21875" style="93" customWidth="1"/>
    <col min="10755" max="10755" width="17.77734375" style="93" customWidth="1"/>
    <col min="10756" max="10756" width="19.44140625" style="93" customWidth="1"/>
    <col min="10757" max="10757" width="24.33203125" style="93" customWidth="1"/>
    <col min="10758" max="10759" width="17.21875" style="93" customWidth="1"/>
    <col min="10760" max="11008" width="9" style="93"/>
    <col min="11009" max="11010" width="14.21875" style="93" customWidth="1"/>
    <col min="11011" max="11011" width="17.77734375" style="93" customWidth="1"/>
    <col min="11012" max="11012" width="19.44140625" style="93" customWidth="1"/>
    <col min="11013" max="11013" width="24.33203125" style="93" customWidth="1"/>
    <col min="11014" max="11015" width="17.21875" style="93" customWidth="1"/>
    <col min="11016" max="11264" width="9" style="93"/>
    <col min="11265" max="11266" width="14.21875" style="93" customWidth="1"/>
    <col min="11267" max="11267" width="17.77734375" style="93" customWidth="1"/>
    <col min="11268" max="11268" width="19.44140625" style="93" customWidth="1"/>
    <col min="11269" max="11269" width="24.33203125" style="93" customWidth="1"/>
    <col min="11270" max="11271" width="17.21875" style="93" customWidth="1"/>
    <col min="11272" max="11520" width="9" style="93"/>
    <col min="11521" max="11522" width="14.21875" style="93" customWidth="1"/>
    <col min="11523" max="11523" width="17.77734375" style="93" customWidth="1"/>
    <col min="11524" max="11524" width="19.44140625" style="93" customWidth="1"/>
    <col min="11525" max="11525" width="24.33203125" style="93" customWidth="1"/>
    <col min="11526" max="11527" width="17.21875" style="93" customWidth="1"/>
    <col min="11528" max="11776" width="9" style="93"/>
    <col min="11777" max="11778" width="14.21875" style="93" customWidth="1"/>
    <col min="11779" max="11779" width="17.77734375" style="93" customWidth="1"/>
    <col min="11780" max="11780" width="19.44140625" style="93" customWidth="1"/>
    <col min="11781" max="11781" width="24.33203125" style="93" customWidth="1"/>
    <col min="11782" max="11783" width="17.21875" style="93" customWidth="1"/>
    <col min="11784" max="12032" width="9" style="93"/>
    <col min="12033" max="12034" width="14.21875" style="93" customWidth="1"/>
    <col min="12035" max="12035" width="17.77734375" style="93" customWidth="1"/>
    <col min="12036" max="12036" width="19.44140625" style="93" customWidth="1"/>
    <col min="12037" max="12037" width="24.33203125" style="93" customWidth="1"/>
    <col min="12038" max="12039" width="17.21875" style="93" customWidth="1"/>
    <col min="12040" max="12288" width="9" style="93"/>
    <col min="12289" max="12290" width="14.21875" style="93" customWidth="1"/>
    <col min="12291" max="12291" width="17.77734375" style="93" customWidth="1"/>
    <col min="12292" max="12292" width="19.44140625" style="93" customWidth="1"/>
    <col min="12293" max="12293" width="24.33203125" style="93" customWidth="1"/>
    <col min="12294" max="12295" width="17.21875" style="93" customWidth="1"/>
    <col min="12296" max="12544" width="9" style="93"/>
    <col min="12545" max="12546" width="14.21875" style="93" customWidth="1"/>
    <col min="12547" max="12547" width="17.77734375" style="93" customWidth="1"/>
    <col min="12548" max="12548" width="19.44140625" style="93" customWidth="1"/>
    <col min="12549" max="12549" width="24.33203125" style="93" customWidth="1"/>
    <col min="12550" max="12551" width="17.21875" style="93" customWidth="1"/>
    <col min="12552" max="12800" width="9" style="93"/>
    <col min="12801" max="12802" width="14.21875" style="93" customWidth="1"/>
    <col min="12803" max="12803" width="17.77734375" style="93" customWidth="1"/>
    <col min="12804" max="12804" width="19.44140625" style="93" customWidth="1"/>
    <col min="12805" max="12805" width="24.33203125" style="93" customWidth="1"/>
    <col min="12806" max="12807" width="17.21875" style="93" customWidth="1"/>
    <col min="12808" max="13056" width="9" style="93"/>
    <col min="13057" max="13058" width="14.21875" style="93" customWidth="1"/>
    <col min="13059" max="13059" width="17.77734375" style="93" customWidth="1"/>
    <col min="13060" max="13060" width="19.44140625" style="93" customWidth="1"/>
    <col min="13061" max="13061" width="24.33203125" style="93" customWidth="1"/>
    <col min="13062" max="13063" width="17.21875" style="93" customWidth="1"/>
    <col min="13064" max="13312" width="9" style="93"/>
    <col min="13313" max="13314" width="14.21875" style="93" customWidth="1"/>
    <col min="13315" max="13315" width="17.77734375" style="93" customWidth="1"/>
    <col min="13316" max="13316" width="19.44140625" style="93" customWidth="1"/>
    <col min="13317" max="13317" width="24.33203125" style="93" customWidth="1"/>
    <col min="13318" max="13319" width="17.21875" style="93" customWidth="1"/>
    <col min="13320" max="13568" width="9" style="93"/>
    <col min="13569" max="13570" width="14.21875" style="93" customWidth="1"/>
    <col min="13571" max="13571" width="17.77734375" style="93" customWidth="1"/>
    <col min="13572" max="13572" width="19.44140625" style="93" customWidth="1"/>
    <col min="13573" max="13573" width="24.33203125" style="93" customWidth="1"/>
    <col min="13574" max="13575" width="17.21875" style="93" customWidth="1"/>
    <col min="13576" max="13824" width="9" style="93"/>
    <col min="13825" max="13826" width="14.21875" style="93" customWidth="1"/>
    <col min="13827" max="13827" width="17.77734375" style="93" customWidth="1"/>
    <col min="13828" max="13828" width="19.44140625" style="93" customWidth="1"/>
    <col min="13829" max="13829" width="24.33203125" style="93" customWidth="1"/>
    <col min="13830" max="13831" width="17.21875" style="93" customWidth="1"/>
    <col min="13832" max="14080" width="9" style="93"/>
    <col min="14081" max="14082" width="14.21875" style="93" customWidth="1"/>
    <col min="14083" max="14083" width="17.77734375" style="93" customWidth="1"/>
    <col min="14084" max="14084" width="19.44140625" style="93" customWidth="1"/>
    <col min="14085" max="14085" width="24.33203125" style="93" customWidth="1"/>
    <col min="14086" max="14087" width="17.21875" style="93" customWidth="1"/>
    <col min="14088" max="14336" width="9" style="93"/>
    <col min="14337" max="14338" width="14.21875" style="93" customWidth="1"/>
    <col min="14339" max="14339" width="17.77734375" style="93" customWidth="1"/>
    <col min="14340" max="14340" width="19.44140625" style="93" customWidth="1"/>
    <col min="14341" max="14341" width="24.33203125" style="93" customWidth="1"/>
    <col min="14342" max="14343" width="17.21875" style="93" customWidth="1"/>
    <col min="14344" max="14592" width="9" style="93"/>
    <col min="14593" max="14594" width="14.21875" style="93" customWidth="1"/>
    <col min="14595" max="14595" width="17.77734375" style="93" customWidth="1"/>
    <col min="14596" max="14596" width="19.44140625" style="93" customWidth="1"/>
    <col min="14597" max="14597" width="24.33203125" style="93" customWidth="1"/>
    <col min="14598" max="14599" width="17.21875" style="93" customWidth="1"/>
    <col min="14600" max="14848" width="9" style="93"/>
    <col min="14849" max="14850" width="14.21875" style="93" customWidth="1"/>
    <col min="14851" max="14851" width="17.77734375" style="93" customWidth="1"/>
    <col min="14852" max="14852" width="19.44140625" style="93" customWidth="1"/>
    <col min="14853" max="14853" width="24.33203125" style="93" customWidth="1"/>
    <col min="14854" max="14855" width="17.21875" style="93" customWidth="1"/>
    <col min="14856" max="15104" width="9" style="93"/>
    <col min="15105" max="15106" width="14.21875" style="93" customWidth="1"/>
    <col min="15107" max="15107" width="17.77734375" style="93" customWidth="1"/>
    <col min="15108" max="15108" width="19.44140625" style="93" customWidth="1"/>
    <col min="15109" max="15109" width="24.33203125" style="93" customWidth="1"/>
    <col min="15110" max="15111" width="17.21875" style="93" customWidth="1"/>
    <col min="15112" max="15360" width="9" style="93"/>
    <col min="15361" max="15362" width="14.21875" style="93" customWidth="1"/>
    <col min="15363" max="15363" width="17.77734375" style="93" customWidth="1"/>
    <col min="15364" max="15364" width="19.44140625" style="93" customWidth="1"/>
    <col min="15365" max="15365" width="24.33203125" style="93" customWidth="1"/>
    <col min="15366" max="15367" width="17.21875" style="93" customWidth="1"/>
    <col min="15368" max="15616" width="9" style="93"/>
    <col min="15617" max="15618" width="14.21875" style="93" customWidth="1"/>
    <col min="15619" max="15619" width="17.77734375" style="93" customWidth="1"/>
    <col min="15620" max="15620" width="19.44140625" style="93" customWidth="1"/>
    <col min="15621" max="15621" width="24.33203125" style="93" customWidth="1"/>
    <col min="15622" max="15623" width="17.21875" style="93" customWidth="1"/>
    <col min="15624" max="15872" width="9" style="93"/>
    <col min="15873" max="15874" width="14.21875" style="93" customWidth="1"/>
    <col min="15875" max="15875" width="17.77734375" style="93" customWidth="1"/>
    <col min="15876" max="15876" width="19.44140625" style="93" customWidth="1"/>
    <col min="15877" max="15877" width="24.33203125" style="93" customWidth="1"/>
    <col min="15878" max="15879" width="17.21875" style="93" customWidth="1"/>
    <col min="15880" max="16128" width="9" style="93"/>
    <col min="16129" max="16130" width="14.21875" style="93" customWidth="1"/>
    <col min="16131" max="16131" width="17.77734375" style="93" customWidth="1"/>
    <col min="16132" max="16132" width="19.44140625" style="93" customWidth="1"/>
    <col min="16133" max="16133" width="24.33203125" style="93" customWidth="1"/>
    <col min="16134" max="16135" width="17.21875" style="93" customWidth="1"/>
    <col min="16136" max="16384" width="9" style="93"/>
  </cols>
  <sheetData>
    <row r="1" spans="1:9" ht="22.5" customHeight="1">
      <c r="A1" s="550" t="s">
        <v>296</v>
      </c>
      <c r="B1" s="550"/>
      <c r="C1" s="550"/>
      <c r="D1" s="550"/>
      <c r="E1" s="550"/>
      <c r="G1" s="550" t="s">
        <v>297</v>
      </c>
      <c r="H1" s="550"/>
      <c r="I1" s="550"/>
    </row>
    <row r="2" spans="1:9" ht="22.5" customHeight="1">
      <c r="A2"/>
      <c r="B2"/>
      <c r="C2"/>
      <c r="D2"/>
      <c r="E2" s="94" t="s">
        <v>298</v>
      </c>
      <c r="G2"/>
      <c r="H2"/>
      <c r="I2" s="94" t="s">
        <v>298</v>
      </c>
    </row>
    <row r="3" spans="1:9" ht="21" customHeight="1">
      <c r="A3" s="554" t="s">
        <v>1</v>
      </c>
      <c r="B3" s="551" t="s">
        <v>299</v>
      </c>
      <c r="C3" s="551"/>
      <c r="D3" s="551"/>
      <c r="E3" s="551"/>
      <c r="G3" s="554" t="s">
        <v>1</v>
      </c>
      <c r="H3" s="552" t="s">
        <v>299</v>
      </c>
      <c r="I3" s="553"/>
    </row>
    <row r="4" spans="1:9" ht="21" customHeight="1">
      <c r="A4" s="554"/>
      <c r="B4" s="95" t="s">
        <v>300</v>
      </c>
      <c r="C4" s="95" t="s">
        <v>301</v>
      </c>
      <c r="D4" s="95" t="s">
        <v>302</v>
      </c>
      <c r="E4" s="95" t="s">
        <v>303</v>
      </c>
      <c r="G4" s="554"/>
      <c r="H4" s="96" t="s">
        <v>14</v>
      </c>
      <c r="I4" s="96" t="s">
        <v>302</v>
      </c>
    </row>
    <row r="5" spans="1:9" ht="21" customHeight="1">
      <c r="A5" s="97" t="s">
        <v>304</v>
      </c>
      <c r="B5" s="98">
        <v>7000</v>
      </c>
      <c r="C5" s="67" t="s">
        <v>305</v>
      </c>
      <c r="D5" s="99">
        <v>3520</v>
      </c>
      <c r="E5" s="100">
        <v>3230.0884955752199</v>
      </c>
      <c r="F5" s="101"/>
      <c r="G5" s="102" t="s">
        <v>306</v>
      </c>
      <c r="H5" s="103"/>
      <c r="I5" s="129"/>
    </row>
    <row r="6" spans="1:9" ht="21" customHeight="1">
      <c r="A6" s="97" t="s">
        <v>152</v>
      </c>
      <c r="B6" s="98">
        <v>300</v>
      </c>
      <c r="C6" s="67">
        <v>19778</v>
      </c>
      <c r="D6" s="98">
        <f>E6*1.13</f>
        <v>19777.869352500002</v>
      </c>
      <c r="E6" s="100">
        <v>17502.539250000002</v>
      </c>
      <c r="F6" s="101"/>
      <c r="G6" s="102" t="s">
        <v>307</v>
      </c>
      <c r="H6" s="103"/>
      <c r="I6" s="129"/>
    </row>
    <row r="7" spans="1:9" ht="21" customHeight="1">
      <c r="A7" s="97" t="s">
        <v>308</v>
      </c>
      <c r="B7" s="98">
        <v>14000</v>
      </c>
      <c r="C7" s="67" t="s">
        <v>309</v>
      </c>
      <c r="D7" s="99">
        <v>825</v>
      </c>
      <c r="E7" s="100">
        <v>730.08849557522103</v>
      </c>
      <c r="F7" s="101"/>
      <c r="G7" s="102" t="s">
        <v>182</v>
      </c>
      <c r="H7" s="103">
        <v>200</v>
      </c>
      <c r="I7" s="129">
        <v>750</v>
      </c>
    </row>
    <row r="8" spans="1:9" ht="21" customHeight="1">
      <c r="A8" s="97" t="s">
        <v>310</v>
      </c>
      <c r="B8" s="98"/>
      <c r="C8" s="67"/>
      <c r="D8" s="104"/>
      <c r="E8" s="100"/>
      <c r="F8" s="101"/>
      <c r="G8" s="102" t="s">
        <v>311</v>
      </c>
      <c r="H8" s="103"/>
      <c r="I8" s="129"/>
    </row>
    <row r="9" spans="1:9" ht="21" customHeight="1">
      <c r="A9" s="97" t="s">
        <v>159</v>
      </c>
      <c r="B9" s="98">
        <v>1000</v>
      </c>
      <c r="C9" s="67" t="s">
        <v>312</v>
      </c>
      <c r="D9" s="104">
        <v>2000</v>
      </c>
      <c r="E9" s="105">
        <v>1769.9115044247801</v>
      </c>
      <c r="F9" s="101"/>
      <c r="G9" s="102" t="s">
        <v>183</v>
      </c>
      <c r="H9" s="106">
        <v>400</v>
      </c>
      <c r="I9" s="129">
        <v>550</v>
      </c>
    </row>
    <row r="10" spans="1:9" ht="21" customHeight="1">
      <c r="A10" s="97" t="s">
        <v>313</v>
      </c>
      <c r="B10" s="98">
        <v>300</v>
      </c>
      <c r="C10" s="67" t="s">
        <v>314</v>
      </c>
      <c r="D10" s="99">
        <v>650</v>
      </c>
      <c r="E10" s="100">
        <v>575.22123893805303</v>
      </c>
      <c r="F10" s="101"/>
      <c r="G10" s="102" t="s">
        <v>315</v>
      </c>
      <c r="H10" s="103"/>
      <c r="I10" s="129"/>
    </row>
    <row r="11" spans="1:9" ht="21" customHeight="1">
      <c r="A11" s="107" t="s">
        <v>31</v>
      </c>
      <c r="B11" s="98"/>
      <c r="C11" s="9"/>
      <c r="D11" s="104"/>
      <c r="E11" s="105"/>
      <c r="F11" s="101"/>
      <c r="G11" s="102" t="s">
        <v>186</v>
      </c>
      <c r="H11" s="108">
        <v>10</v>
      </c>
      <c r="I11" s="129">
        <v>11600</v>
      </c>
    </row>
    <row r="12" spans="1:9" ht="21" customHeight="1">
      <c r="A12" s="109" t="s">
        <v>45</v>
      </c>
      <c r="B12" s="110"/>
      <c r="C12" s="111"/>
      <c r="D12" s="112"/>
      <c r="E12" s="112"/>
      <c r="F12" s="101"/>
      <c r="G12" s="113" t="s">
        <v>37</v>
      </c>
      <c r="H12" s="114">
        <v>120</v>
      </c>
      <c r="I12" s="130">
        <v>50</v>
      </c>
    </row>
    <row r="13" spans="1:9" ht="21" customHeight="1">
      <c r="A13" s="109" t="s">
        <v>42</v>
      </c>
      <c r="B13" s="110">
        <v>16200</v>
      </c>
      <c r="C13" s="111" t="s">
        <v>316</v>
      </c>
      <c r="D13" s="112">
        <v>10010</v>
      </c>
      <c r="E13" s="112">
        <v>8938.0530973451296</v>
      </c>
      <c r="F13" s="101"/>
      <c r="G13" s="113" t="s">
        <v>34</v>
      </c>
      <c r="H13" s="114">
        <v>8000</v>
      </c>
      <c r="I13" s="130">
        <v>2</v>
      </c>
    </row>
    <row r="14" spans="1:9" ht="21" customHeight="1">
      <c r="A14" s="109" t="s">
        <v>46</v>
      </c>
      <c r="B14" s="110"/>
      <c r="C14" s="111"/>
      <c r="D14" s="112"/>
      <c r="E14" s="112"/>
      <c r="F14" s="101"/>
      <c r="G14" s="113" t="s">
        <v>185</v>
      </c>
      <c r="H14" s="114">
        <v>20</v>
      </c>
      <c r="I14" s="130">
        <v>130</v>
      </c>
    </row>
    <row r="15" spans="1:9" ht="21" customHeight="1">
      <c r="A15" s="115" t="s">
        <v>317</v>
      </c>
      <c r="B15" s="116">
        <v>13000</v>
      </c>
      <c r="C15" s="117" t="s">
        <v>318</v>
      </c>
      <c r="D15" s="118">
        <v>1080</v>
      </c>
      <c r="E15" s="118">
        <v>991.15044247787603</v>
      </c>
      <c r="F15" s="101"/>
      <c r="G15"/>
      <c r="H15"/>
      <c r="I15"/>
    </row>
    <row r="16" spans="1:9" ht="21" customHeight="1">
      <c r="A16" s="115" t="s">
        <v>48</v>
      </c>
      <c r="B16" s="116">
        <v>4500</v>
      </c>
      <c r="C16" s="117" t="s">
        <v>319</v>
      </c>
      <c r="D16" s="118">
        <v>6500</v>
      </c>
      <c r="E16" s="118">
        <v>5840.7079646017701</v>
      </c>
      <c r="F16" s="101"/>
    </row>
    <row r="17" spans="1:9" ht="21" customHeight="1">
      <c r="A17" s="115" t="s">
        <v>50</v>
      </c>
      <c r="B17" s="116">
        <v>4250</v>
      </c>
      <c r="C17" s="117" t="s">
        <v>320</v>
      </c>
      <c r="D17" s="118">
        <v>8500</v>
      </c>
      <c r="E17" s="118">
        <v>7964.60176991151</v>
      </c>
      <c r="F17" s="101"/>
    </row>
    <row r="18" spans="1:9" ht="21" customHeight="1">
      <c r="A18" s="115" t="s">
        <v>52</v>
      </c>
      <c r="B18" s="116">
        <v>2250</v>
      </c>
      <c r="C18" s="117" t="s">
        <v>321</v>
      </c>
      <c r="D18" s="118">
        <v>3600</v>
      </c>
      <c r="E18" s="118">
        <v>4424.7787610619498</v>
      </c>
      <c r="F18" s="101"/>
      <c r="G18" s="101"/>
    </row>
    <row r="19" spans="1:9" ht="21" customHeight="1">
      <c r="A19" s="115" t="s">
        <v>54</v>
      </c>
      <c r="B19" s="116"/>
      <c r="C19" s="117"/>
      <c r="D19" s="118"/>
      <c r="E19" s="118"/>
      <c r="F19" s="101"/>
      <c r="G19" s="101"/>
    </row>
    <row r="20" spans="1:9" ht="21" customHeight="1">
      <c r="A20" s="115" t="s">
        <v>56</v>
      </c>
      <c r="B20" s="116">
        <v>120</v>
      </c>
      <c r="C20" s="117">
        <v>900</v>
      </c>
      <c r="D20" s="118">
        <v>900</v>
      </c>
      <c r="E20" s="118">
        <v>796.460176991151</v>
      </c>
      <c r="F20" s="101"/>
    </row>
    <row r="21" spans="1:9" ht="21" customHeight="1">
      <c r="A21" s="119" t="s">
        <v>250</v>
      </c>
      <c r="B21" s="120">
        <v>3000</v>
      </c>
      <c r="C21" s="121" t="s">
        <v>322</v>
      </c>
      <c r="D21" s="122">
        <v>12300</v>
      </c>
      <c r="E21" s="123">
        <v>11061.9469026549</v>
      </c>
      <c r="F21" s="101"/>
    </row>
    <row r="22" spans="1:9" ht="21" customHeight="1">
      <c r="A22" s="119" t="s">
        <v>323</v>
      </c>
      <c r="B22" s="120">
        <v>1850</v>
      </c>
      <c r="C22" s="121" t="s">
        <v>324</v>
      </c>
      <c r="D22" s="122">
        <v>30800</v>
      </c>
      <c r="E22" s="122">
        <v>27433.628318584098</v>
      </c>
      <c r="F22" s="101"/>
    </row>
    <row r="23" spans="1:9" ht="21" customHeight="1">
      <c r="A23" s="119" t="s">
        <v>325</v>
      </c>
      <c r="B23" s="120"/>
      <c r="C23" s="121"/>
      <c r="D23" s="122"/>
      <c r="E23" s="122"/>
      <c r="F23" s="101"/>
      <c r="I23" s="131"/>
    </row>
    <row r="24" spans="1:9" ht="21" customHeight="1">
      <c r="A24" s="119"/>
      <c r="B24" s="120"/>
      <c r="C24" s="121"/>
      <c r="D24" s="122"/>
      <c r="E24" s="122"/>
      <c r="F24" s="101"/>
    </row>
    <row r="25" spans="1:9" ht="21" customHeight="1">
      <c r="A25" s="124" t="s">
        <v>326</v>
      </c>
      <c r="B25" s="125"/>
      <c r="C25" s="126"/>
      <c r="D25" s="127"/>
      <c r="E25" s="128"/>
      <c r="F25" s="101"/>
    </row>
    <row r="26" spans="1:9" ht="21" customHeight="1">
      <c r="A26" s="124" t="s">
        <v>327</v>
      </c>
      <c r="B26" s="125"/>
      <c r="C26" s="126"/>
      <c r="D26" s="127"/>
      <c r="E26" s="128"/>
      <c r="F26" s="101"/>
    </row>
    <row r="27" spans="1:9" ht="19.5" customHeight="1"/>
  </sheetData>
  <mergeCells count="6">
    <mergeCell ref="A1:E1"/>
    <mergeCell ref="G1:I1"/>
    <mergeCell ref="B3:E3"/>
    <mergeCell ref="H3:I3"/>
    <mergeCell ref="A3:A4"/>
    <mergeCell ref="G3:G4"/>
  </mergeCells>
  <phoneticPr fontId="117" type="noConversion"/>
  <pageMargins left="0.7" right="0.7" top="0.75" bottom="0.75" header="0.3" footer="0.3"/>
  <pageSetup paperSize="9" orientation="portrait" horizontalDpi="2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AI27"/>
  <sheetViews>
    <sheetView workbookViewId="0">
      <selection activeCell="D29" sqref="D29"/>
    </sheetView>
  </sheetViews>
  <sheetFormatPr defaultColWidth="9" defaultRowHeight="15.6"/>
  <cols>
    <col min="1" max="1" width="10.6640625" style="1" customWidth="1"/>
    <col min="2" max="2" width="20.77734375" style="1" customWidth="1"/>
    <col min="3" max="3" width="9.6640625" style="1" customWidth="1"/>
    <col min="4" max="4" width="9.109375" style="1" customWidth="1"/>
    <col min="5" max="5" width="9.44140625" style="1" customWidth="1"/>
    <col min="6" max="7" width="9.109375" style="1" customWidth="1"/>
    <col min="8" max="8" width="8" style="1" customWidth="1"/>
    <col min="9" max="9" width="7.44140625" style="1" customWidth="1"/>
    <col min="10" max="10" width="12.21875" style="1" customWidth="1"/>
    <col min="11" max="11" width="9.109375" style="1" customWidth="1"/>
    <col min="12" max="12" width="9.44140625" style="2" customWidth="1"/>
    <col min="13" max="13" width="10.109375" style="2" customWidth="1"/>
    <col min="14" max="14" width="9.6640625" style="2" customWidth="1"/>
    <col min="15" max="15" width="9.109375" style="2" customWidth="1"/>
    <col min="16" max="16" width="11.21875" style="2" customWidth="1"/>
    <col min="17" max="17" width="12" style="2" customWidth="1"/>
    <col min="18" max="18" width="10.33203125" style="2" customWidth="1"/>
    <col min="19" max="19" width="11.6640625" style="2" customWidth="1"/>
    <col min="20" max="20" width="3.21875" style="2" customWidth="1"/>
    <col min="21" max="21" width="5.88671875" style="2" customWidth="1"/>
    <col min="22" max="22" width="15.88671875" style="2" customWidth="1"/>
    <col min="23" max="23" width="10.44140625" style="2" customWidth="1"/>
    <col min="24" max="24" width="11.21875" style="2" customWidth="1"/>
    <col min="25" max="32" width="10.44140625" style="2" customWidth="1"/>
    <col min="33" max="33" width="9.109375" style="2" customWidth="1"/>
    <col min="34" max="34" width="10.44140625" style="2" customWidth="1"/>
    <col min="35" max="35" width="18.77734375" style="2" customWidth="1"/>
    <col min="36" max="16384" width="9" style="2"/>
  </cols>
  <sheetData>
    <row r="1" spans="1:35" ht="30.6">
      <c r="A1" s="456" t="s">
        <v>328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U1" s="585" t="s">
        <v>329</v>
      </c>
      <c r="V1" s="585"/>
      <c r="W1" s="585"/>
      <c r="X1" s="585"/>
      <c r="Y1" s="585"/>
      <c r="Z1" s="585"/>
      <c r="AA1" s="585"/>
      <c r="AB1" s="585"/>
      <c r="AC1" s="585"/>
      <c r="AD1" s="585"/>
      <c r="AE1" s="585"/>
      <c r="AF1" s="585"/>
      <c r="AG1" s="585"/>
      <c r="AH1" s="585"/>
      <c r="AI1" s="585"/>
    </row>
    <row r="2" spans="1:35" ht="25.8">
      <c r="A2" s="3"/>
      <c r="B2" s="4"/>
      <c r="C2" s="4"/>
      <c r="D2" s="4"/>
      <c r="E2" s="4"/>
      <c r="F2" s="4"/>
      <c r="G2" s="4"/>
      <c r="H2" s="4"/>
      <c r="I2" s="3"/>
      <c r="J2" s="586">
        <v>44805</v>
      </c>
      <c r="K2" s="586"/>
      <c r="L2" s="26"/>
      <c r="M2" s="4"/>
      <c r="N2" s="27" t="s">
        <v>330</v>
      </c>
      <c r="O2" s="3"/>
      <c r="P2" s="3"/>
      <c r="Q2" s="55"/>
      <c r="R2" s="56"/>
      <c r="S2" s="57" t="s">
        <v>331</v>
      </c>
      <c r="U2" s="56"/>
      <c r="V2" s="58"/>
      <c r="W2" s="58"/>
      <c r="X2" s="58"/>
      <c r="Y2" s="58"/>
      <c r="Z2" s="56"/>
      <c r="AA2" s="587">
        <v>44805</v>
      </c>
      <c r="AB2" s="587"/>
      <c r="AC2" s="587"/>
      <c r="AE2" s="58" t="s">
        <v>332</v>
      </c>
      <c r="AF2" s="56"/>
      <c r="AG2" s="588" t="s">
        <v>333</v>
      </c>
      <c r="AH2" s="588"/>
      <c r="AI2" s="588"/>
    </row>
    <row r="3" spans="1:35" ht="14.25" customHeight="1">
      <c r="A3" s="569" t="s">
        <v>74</v>
      </c>
      <c r="B3" s="571" t="s">
        <v>1</v>
      </c>
      <c r="C3" s="577" t="s">
        <v>193</v>
      </c>
      <c r="D3" s="578"/>
      <c r="E3" s="578"/>
      <c r="F3" s="578"/>
      <c r="G3" s="579"/>
      <c r="H3" s="580" t="s">
        <v>334</v>
      </c>
      <c r="I3" s="578"/>
      <c r="J3" s="578"/>
      <c r="K3" s="578"/>
      <c r="L3" s="578"/>
      <c r="M3" s="579"/>
      <c r="N3" s="581" t="s">
        <v>335</v>
      </c>
      <c r="O3" s="582"/>
      <c r="P3" s="582"/>
      <c r="Q3" s="582"/>
      <c r="R3" s="582"/>
      <c r="S3" s="583"/>
      <c r="U3" s="573" t="s">
        <v>74</v>
      </c>
      <c r="V3" s="563" t="s">
        <v>1</v>
      </c>
      <c r="W3" s="557" t="s">
        <v>336</v>
      </c>
      <c r="X3" s="559" t="s">
        <v>337</v>
      </c>
      <c r="Y3" s="563" t="s">
        <v>338</v>
      </c>
      <c r="Z3" s="563" t="s">
        <v>339</v>
      </c>
      <c r="AA3" s="565" t="s">
        <v>340</v>
      </c>
      <c r="AB3" s="59" t="s">
        <v>341</v>
      </c>
      <c r="AC3" s="59" t="s">
        <v>342</v>
      </c>
      <c r="AD3" s="555" t="s">
        <v>343</v>
      </c>
      <c r="AE3" s="557" t="s">
        <v>344</v>
      </c>
      <c r="AF3" s="559" t="s">
        <v>345</v>
      </c>
      <c r="AG3" s="59" t="s">
        <v>346</v>
      </c>
      <c r="AH3" s="559" t="s">
        <v>347</v>
      </c>
      <c r="AI3" s="561" t="s">
        <v>348</v>
      </c>
    </row>
    <row r="4" spans="1:35" ht="34.5" customHeight="1">
      <c r="A4" s="570"/>
      <c r="B4" s="572"/>
      <c r="C4" s="5" t="s">
        <v>14</v>
      </c>
      <c r="D4" s="5" t="s">
        <v>349</v>
      </c>
      <c r="E4" s="5" t="s">
        <v>350</v>
      </c>
      <c r="F4" s="5" t="s">
        <v>351</v>
      </c>
      <c r="G4" s="6" t="s">
        <v>352</v>
      </c>
      <c r="H4" s="7" t="s">
        <v>14</v>
      </c>
      <c r="I4" s="28" t="s">
        <v>349</v>
      </c>
      <c r="J4" s="28" t="s">
        <v>350</v>
      </c>
      <c r="K4" s="5" t="s">
        <v>351</v>
      </c>
      <c r="L4" s="5" t="s">
        <v>352</v>
      </c>
      <c r="M4" s="6" t="s">
        <v>353</v>
      </c>
      <c r="N4" s="29" t="s">
        <v>14</v>
      </c>
      <c r="O4" s="5" t="s">
        <v>349</v>
      </c>
      <c r="P4" s="5" t="s">
        <v>350</v>
      </c>
      <c r="Q4" s="5" t="s">
        <v>351</v>
      </c>
      <c r="R4" s="5" t="s">
        <v>352</v>
      </c>
      <c r="S4" s="6" t="s">
        <v>353</v>
      </c>
      <c r="U4" s="574"/>
      <c r="V4" s="576"/>
      <c r="W4" s="558"/>
      <c r="X4" s="560"/>
      <c r="Y4" s="564"/>
      <c r="Z4" s="564"/>
      <c r="AA4" s="566"/>
      <c r="AB4" s="62" t="s">
        <v>354</v>
      </c>
      <c r="AC4" s="62" t="s">
        <v>354</v>
      </c>
      <c r="AD4" s="556"/>
      <c r="AE4" s="558"/>
      <c r="AF4" s="560"/>
      <c r="AG4" s="62" t="s">
        <v>354</v>
      </c>
      <c r="AH4" s="560"/>
      <c r="AI4" s="562"/>
    </row>
    <row r="5" spans="1:35">
      <c r="A5" s="8">
        <v>1</v>
      </c>
      <c r="B5" s="9" t="s">
        <v>23</v>
      </c>
      <c r="C5" s="10">
        <v>67000</v>
      </c>
      <c r="D5" s="10">
        <v>761.061946902655</v>
      </c>
      <c r="E5" s="11">
        <v>219.762038328107</v>
      </c>
      <c r="F5" s="12">
        <v>1472.40565679832</v>
      </c>
      <c r="G5" s="13">
        <v>28.8757096872978</v>
      </c>
      <c r="H5" s="14">
        <v>11052.291999999999</v>
      </c>
      <c r="I5" s="30">
        <v>705.01412738642705</v>
      </c>
      <c r="J5" s="31">
        <v>-78.380292522130404</v>
      </c>
      <c r="K5" s="32">
        <v>-86.628188000000307</v>
      </c>
      <c r="L5" s="33">
        <v>-11.1175492060983</v>
      </c>
      <c r="M5" s="34">
        <v>-39.993258893396103</v>
      </c>
      <c r="N5" s="35">
        <v>77731.633000000002</v>
      </c>
      <c r="O5" s="36">
        <v>751.11131534049298</v>
      </c>
      <c r="P5" s="11">
        <v>24.487447879681099</v>
      </c>
      <c r="Q5" s="33">
        <v>190.34493116900001</v>
      </c>
      <c r="R5" s="11">
        <v>3.2601622927995</v>
      </c>
      <c r="S5" s="60">
        <v>-25.6155473944983</v>
      </c>
      <c r="U5" s="575"/>
      <c r="V5" s="564"/>
      <c r="W5" s="63">
        <v>1</v>
      </c>
      <c r="X5" s="63">
        <v>2</v>
      </c>
      <c r="Y5" s="63">
        <v>3</v>
      </c>
      <c r="Z5" s="63">
        <v>4</v>
      </c>
      <c r="AA5" s="76">
        <v>5</v>
      </c>
      <c r="AB5" s="63" t="s">
        <v>355</v>
      </c>
      <c r="AC5" s="63" t="s">
        <v>356</v>
      </c>
      <c r="AD5" s="77">
        <v>8</v>
      </c>
      <c r="AE5" s="63" t="s">
        <v>357</v>
      </c>
      <c r="AF5" s="63">
        <v>10</v>
      </c>
      <c r="AG5" s="63" t="s">
        <v>358</v>
      </c>
      <c r="AH5" s="63">
        <v>12</v>
      </c>
      <c r="AI5" s="87" t="s">
        <v>359</v>
      </c>
    </row>
    <row r="6" spans="1:35">
      <c r="A6" s="8">
        <v>2</v>
      </c>
      <c r="B6" s="9" t="s">
        <v>25</v>
      </c>
      <c r="C6" s="10">
        <v>0</v>
      </c>
      <c r="D6" s="10">
        <v>0</v>
      </c>
      <c r="E6" s="11"/>
      <c r="F6" s="12">
        <v>0</v>
      </c>
      <c r="G6" s="13"/>
      <c r="H6" s="14">
        <v>0</v>
      </c>
      <c r="I6" s="30">
        <v>0</v>
      </c>
      <c r="J6" s="37"/>
      <c r="K6" s="32">
        <v>0</v>
      </c>
      <c r="L6" s="33"/>
      <c r="M6" s="34"/>
      <c r="N6" s="35">
        <v>0</v>
      </c>
      <c r="O6" s="36">
        <v>0</v>
      </c>
      <c r="P6" s="11"/>
      <c r="Q6" s="33">
        <v>0</v>
      </c>
      <c r="R6" s="11"/>
      <c r="S6" s="60">
        <v>0</v>
      </c>
      <c r="U6" s="61">
        <v>1</v>
      </c>
      <c r="V6" s="64" t="s">
        <v>23</v>
      </c>
      <c r="W6" s="65">
        <v>761.061946902655</v>
      </c>
      <c r="X6" s="66">
        <v>663.71681415929197</v>
      </c>
      <c r="Y6" s="66">
        <v>663.71681415929197</v>
      </c>
      <c r="Z6" s="66">
        <v>752.21238938053102</v>
      </c>
      <c r="AA6" s="78">
        <v>705.01412738642705</v>
      </c>
      <c r="AB6" s="79">
        <v>-56.047819516228202</v>
      </c>
      <c r="AC6" s="79">
        <v>41.297313227134701</v>
      </c>
      <c r="AD6" s="80">
        <v>751.11131534049298</v>
      </c>
      <c r="AE6" s="79">
        <v>-9.9506315621623607</v>
      </c>
      <c r="AF6" s="81">
        <v>758.75205645101801</v>
      </c>
      <c r="AG6" s="88">
        <v>-53.737929064591</v>
      </c>
      <c r="AH6" s="81">
        <v>905.33957818426097</v>
      </c>
      <c r="AI6" s="89">
        <v>-200.32545079783401</v>
      </c>
    </row>
    <row r="7" spans="1:35">
      <c r="A7" s="8">
        <v>3</v>
      </c>
      <c r="B7" s="9" t="s">
        <v>26</v>
      </c>
      <c r="C7" s="10"/>
      <c r="D7" s="10"/>
      <c r="E7" s="11"/>
      <c r="F7" s="12"/>
      <c r="G7" s="13"/>
      <c r="H7" s="14">
        <v>1799.16</v>
      </c>
      <c r="I7" s="30">
        <v>1773.4539638655399</v>
      </c>
      <c r="J7" s="31">
        <v>-102.12411979365</v>
      </c>
      <c r="K7" s="32">
        <v>-18.373763136794299</v>
      </c>
      <c r="L7" s="33">
        <v>-5.7584872161583096</v>
      </c>
      <c r="M7" s="34">
        <v>-5.7584872161583096</v>
      </c>
      <c r="N7" s="35">
        <v>14099.06</v>
      </c>
      <c r="O7" s="36">
        <v>1939.87482175583</v>
      </c>
      <c r="P7" s="11">
        <v>230.549172764254</v>
      </c>
      <c r="Q7" s="33">
        <v>325.05266197535798</v>
      </c>
      <c r="R7" s="11">
        <v>11.884744839132299</v>
      </c>
      <c r="S7" s="60">
        <v>11.884744839132299</v>
      </c>
      <c r="U7" s="61">
        <v>2</v>
      </c>
      <c r="V7" s="64" t="s">
        <v>25</v>
      </c>
      <c r="W7" s="65"/>
      <c r="X7" s="66"/>
      <c r="Y7" s="66"/>
      <c r="Z7" s="66"/>
      <c r="AA7" s="78"/>
      <c r="AB7" s="79"/>
      <c r="AC7" s="79"/>
      <c r="AD7" s="81"/>
      <c r="AE7" s="79">
        <v>0</v>
      </c>
      <c r="AF7" s="81"/>
      <c r="AG7" s="88"/>
      <c r="AH7" s="81"/>
      <c r="AI7" s="89"/>
    </row>
    <row r="8" spans="1:35">
      <c r="A8" s="8">
        <v>4</v>
      </c>
      <c r="B8" s="9" t="s">
        <v>28</v>
      </c>
      <c r="C8" s="10">
        <v>33000</v>
      </c>
      <c r="D8" s="10">
        <v>3061.94690265487</v>
      </c>
      <c r="E8" s="11">
        <v>513.64320725814298</v>
      </c>
      <c r="F8" s="12">
        <v>1695.02258395187</v>
      </c>
      <c r="G8" s="13">
        <v>16.775052722592498</v>
      </c>
      <c r="H8" s="14">
        <v>3232.98</v>
      </c>
      <c r="I8" s="30">
        <v>3173.1670312444098</v>
      </c>
      <c r="J8" s="31">
        <v>-791.55486131770601</v>
      </c>
      <c r="K8" s="32">
        <v>-255.90810355429201</v>
      </c>
      <c r="L8" s="33">
        <v>-24.945262998250801</v>
      </c>
      <c r="M8" s="34">
        <v>-41.720315720843303</v>
      </c>
      <c r="N8" s="35">
        <v>55456.87</v>
      </c>
      <c r="O8" s="36">
        <v>3483.90570316296</v>
      </c>
      <c r="P8" s="11">
        <v>-164.38908133857399</v>
      </c>
      <c r="Q8" s="33">
        <v>-911.65039132127401</v>
      </c>
      <c r="R8" s="11">
        <v>-4.7185284374754799</v>
      </c>
      <c r="S8" s="60">
        <v>-21.493581160068</v>
      </c>
      <c r="U8" s="61">
        <v>3</v>
      </c>
      <c r="V8" s="64" t="s">
        <v>360</v>
      </c>
      <c r="W8" s="65"/>
      <c r="X8" s="66"/>
      <c r="Y8" s="66"/>
      <c r="Z8" s="66"/>
      <c r="AA8" s="78"/>
      <c r="AB8" s="79"/>
      <c r="AC8" s="79"/>
      <c r="AD8" s="81"/>
      <c r="AE8" s="79"/>
      <c r="AF8" s="81"/>
      <c r="AG8" s="88"/>
      <c r="AH8" s="81"/>
      <c r="AI8" s="89"/>
    </row>
    <row r="9" spans="1:35">
      <c r="A9" s="8">
        <v>5</v>
      </c>
      <c r="B9" s="9" t="s">
        <v>85</v>
      </c>
      <c r="C9" s="10">
        <v>25000</v>
      </c>
      <c r="D9" s="10">
        <v>513.27433628318602</v>
      </c>
      <c r="E9" s="11">
        <v>-4.8228049105942103</v>
      </c>
      <c r="F9" s="12">
        <v>-12.0570122764855</v>
      </c>
      <c r="G9" s="13">
        <v>-0.93961543947783699</v>
      </c>
      <c r="H9" s="14">
        <v>917.44600000000003</v>
      </c>
      <c r="I9" s="30">
        <v>176.99115044247799</v>
      </c>
      <c r="J9" s="31"/>
      <c r="K9" s="32"/>
      <c r="L9" s="33"/>
      <c r="M9" s="34"/>
      <c r="N9" s="35">
        <v>27289.016</v>
      </c>
      <c r="O9" s="36">
        <v>539.85899080528702</v>
      </c>
      <c r="P9" s="11">
        <v>-81.983650513265701</v>
      </c>
      <c r="Q9" s="33">
        <v>-223.72531505949101</v>
      </c>
      <c r="R9" s="11">
        <v>-15.1861230264914</v>
      </c>
      <c r="S9" s="60">
        <v>-14.2465075870135</v>
      </c>
      <c r="U9" s="61">
        <v>4</v>
      </c>
      <c r="V9" s="64" t="s">
        <v>26</v>
      </c>
      <c r="W9" s="65"/>
      <c r="X9" s="66">
        <v>1637.17</v>
      </c>
      <c r="Y9" s="66">
        <v>1504.42477876106</v>
      </c>
      <c r="Z9" s="66">
        <v>1902.65486725664</v>
      </c>
      <c r="AA9" s="78">
        <v>1773.4539638655399</v>
      </c>
      <c r="AB9" s="79"/>
      <c r="AC9" s="79">
        <v>136.28396386553601</v>
      </c>
      <c r="AD9" s="80">
        <v>1939.87482175583</v>
      </c>
      <c r="AE9" s="79"/>
      <c r="AF9" s="80">
        <v>1964.21792440647</v>
      </c>
      <c r="AG9" s="88">
        <v>-190.76396054092899</v>
      </c>
      <c r="AH9" s="81">
        <v>2743.3628385155498</v>
      </c>
      <c r="AI9" s="89">
        <v>-969.90887465001003</v>
      </c>
    </row>
    <row r="10" spans="1:35">
      <c r="A10" s="8">
        <v>6</v>
      </c>
      <c r="B10" s="9" t="s">
        <v>86</v>
      </c>
      <c r="C10" s="10">
        <v>3600</v>
      </c>
      <c r="D10" s="10">
        <v>619.46902654867301</v>
      </c>
      <c r="E10" s="11">
        <v>231.383993468254</v>
      </c>
      <c r="F10" s="12">
        <v>83.298237648571401</v>
      </c>
      <c r="G10" s="13">
        <v>37.351987517018102</v>
      </c>
      <c r="H10" s="14">
        <v>532.36</v>
      </c>
      <c r="I10" s="30">
        <v>542.632838115401</v>
      </c>
      <c r="J10" s="31">
        <v>-352.24433881188202</v>
      </c>
      <c r="K10" s="32">
        <v>-18.752079620989399</v>
      </c>
      <c r="L10" s="33">
        <v>-64.913937025125406</v>
      </c>
      <c r="M10" s="34">
        <v>-102.265924542143</v>
      </c>
      <c r="N10" s="35">
        <v>4163.55</v>
      </c>
      <c r="O10" s="36">
        <v>933.76688311529495</v>
      </c>
      <c r="P10" s="11">
        <v>259.57326603135499</v>
      </c>
      <c r="Q10" s="33">
        <v>108.074627178485</v>
      </c>
      <c r="R10" s="11">
        <v>27.798508463413199</v>
      </c>
      <c r="S10" s="60">
        <v>-9.5534790536048693</v>
      </c>
      <c r="U10" s="61">
        <v>5</v>
      </c>
      <c r="V10" s="64" t="s">
        <v>361</v>
      </c>
      <c r="W10" s="64">
        <v>3061.94690265487</v>
      </c>
      <c r="X10" s="66">
        <v>2699.1150442477901</v>
      </c>
      <c r="Y10" s="66">
        <v>2721.4159292035401</v>
      </c>
      <c r="Z10" s="66">
        <v>3335.9292035398198</v>
      </c>
      <c r="AA10" s="78">
        <v>3173.1670312444098</v>
      </c>
      <c r="AB10" s="79">
        <v>111.220128589547</v>
      </c>
      <c r="AC10" s="79">
        <v>474.05198699662702</v>
      </c>
      <c r="AD10" s="80">
        <v>3483.90570316296</v>
      </c>
      <c r="AE10" s="79">
        <v>421.958800508092</v>
      </c>
      <c r="AF10" s="80">
        <v>3503.1423386577899</v>
      </c>
      <c r="AG10" s="88">
        <v>-329.97530741337403</v>
      </c>
      <c r="AH10" s="81">
        <v>3085.3310644831099</v>
      </c>
      <c r="AI10" s="89">
        <v>87.835966761303595</v>
      </c>
    </row>
    <row r="11" spans="1:35">
      <c r="A11" s="8">
        <v>7</v>
      </c>
      <c r="B11" s="9" t="s">
        <v>270</v>
      </c>
      <c r="C11" s="10">
        <v>88500</v>
      </c>
      <c r="D11" s="10">
        <v>88.495575221238994</v>
      </c>
      <c r="E11" s="11"/>
      <c r="F11" s="12"/>
      <c r="G11" s="13"/>
      <c r="H11" s="14">
        <v>9568.99</v>
      </c>
      <c r="I11" s="30">
        <v>1.8977571790781</v>
      </c>
      <c r="J11" s="37"/>
      <c r="K11" s="32">
        <v>0</v>
      </c>
      <c r="L11" s="32"/>
      <c r="M11" s="34"/>
      <c r="N11" s="35">
        <v>68651.241999999998</v>
      </c>
      <c r="O11" s="36">
        <v>55.576112692552897</v>
      </c>
      <c r="P11" s="11">
        <v>0</v>
      </c>
      <c r="Q11" s="33">
        <v>0</v>
      </c>
      <c r="R11" s="11">
        <v>0</v>
      </c>
      <c r="S11" s="60"/>
      <c r="U11" s="61">
        <v>6</v>
      </c>
      <c r="V11" s="63" t="s">
        <v>85</v>
      </c>
      <c r="W11" s="64">
        <v>513.27433628318602</v>
      </c>
      <c r="X11" s="66">
        <v>106.194690265487</v>
      </c>
      <c r="Y11" s="66">
        <v>176.99115044247799</v>
      </c>
      <c r="Z11" s="66">
        <v>176.99115044247799</v>
      </c>
      <c r="AA11" s="78">
        <v>176.99115044247799</v>
      </c>
      <c r="AB11" s="79">
        <v>-336.28318584070797</v>
      </c>
      <c r="AC11" s="79">
        <v>70.796460176991204</v>
      </c>
      <c r="AD11" s="80">
        <v>539.85899080528702</v>
      </c>
      <c r="AE11" s="79">
        <v>26.584654522100902</v>
      </c>
      <c r="AF11" s="80">
        <v>406.36242855468998</v>
      </c>
      <c r="AG11" s="88">
        <v>-229.371278112212</v>
      </c>
      <c r="AH11" s="81">
        <v>719.00109805864304</v>
      </c>
      <c r="AI11" s="89">
        <v>-542.00994761616505</v>
      </c>
    </row>
    <row r="12" spans="1:35">
      <c r="A12" s="8">
        <v>8</v>
      </c>
      <c r="B12" s="9" t="s">
        <v>87</v>
      </c>
      <c r="C12" s="10">
        <v>112000</v>
      </c>
      <c r="D12" s="10">
        <v>610.61946902654904</v>
      </c>
      <c r="E12" s="11">
        <v>-13.441271349511</v>
      </c>
      <c r="F12" s="12">
        <v>-150.542239114523</v>
      </c>
      <c r="G12" s="13">
        <v>-2.2012516847749901</v>
      </c>
      <c r="H12" s="14">
        <v>15157.3</v>
      </c>
      <c r="I12" s="30">
        <v>1038.70770584039</v>
      </c>
      <c r="J12" s="31">
        <v>291.91770435356</v>
      </c>
      <c r="K12" s="32">
        <v>442.46842201982201</v>
      </c>
      <c r="L12" s="33">
        <v>28.103931713626601</v>
      </c>
      <c r="M12" s="34">
        <v>30.305183398401599</v>
      </c>
      <c r="N12" s="35">
        <v>93742.38</v>
      </c>
      <c r="O12" s="36">
        <v>1070.9834808293599</v>
      </c>
      <c r="P12" s="11">
        <v>271.36533964863702</v>
      </c>
      <c r="Q12" s="33">
        <v>2543.8432788171599</v>
      </c>
      <c r="R12" s="11">
        <v>25.337957541464</v>
      </c>
      <c r="S12" s="60">
        <v>27.539209226238999</v>
      </c>
      <c r="U12" s="61">
        <v>7</v>
      </c>
      <c r="V12" s="63" t="s">
        <v>86</v>
      </c>
      <c r="W12" s="64">
        <v>619.46902654867301</v>
      </c>
      <c r="X12" s="66">
        <v>495.57522123893801</v>
      </c>
      <c r="Y12" s="66">
        <v>495.57522123893801</v>
      </c>
      <c r="Z12" s="66">
        <v>564.97345132743396</v>
      </c>
      <c r="AA12" s="78">
        <v>542.632838115401</v>
      </c>
      <c r="AB12" s="79">
        <v>-76.836188433271204</v>
      </c>
      <c r="AC12" s="79">
        <v>47.0576168764633</v>
      </c>
      <c r="AD12" s="80">
        <v>933.76688311529495</v>
      </c>
      <c r="AE12" s="79">
        <v>314.29785656662301</v>
      </c>
      <c r="AF12" s="80">
        <v>994.13121731698698</v>
      </c>
      <c r="AG12" s="88">
        <v>-451.49837920158598</v>
      </c>
      <c r="AH12" s="81">
        <v>928.48627820674005</v>
      </c>
      <c r="AI12" s="89">
        <v>-385.85344009133797</v>
      </c>
    </row>
    <row r="13" spans="1:35">
      <c r="A13" s="8">
        <v>9</v>
      </c>
      <c r="B13" s="9" t="s">
        <v>42</v>
      </c>
      <c r="C13" s="10">
        <v>178000</v>
      </c>
      <c r="D13" s="10">
        <v>8407.0796460177007</v>
      </c>
      <c r="E13" s="11">
        <v>1270.8029422617999</v>
      </c>
      <c r="F13" s="12">
        <v>22620.292372259999</v>
      </c>
      <c r="G13" s="13">
        <v>15.115866576377201</v>
      </c>
      <c r="H13" s="14">
        <v>18715.73</v>
      </c>
      <c r="I13" s="30">
        <v>9133.9670214183407</v>
      </c>
      <c r="J13" s="31">
        <v>237.24384725631</v>
      </c>
      <c r="K13" s="32">
        <v>444.019178941034</v>
      </c>
      <c r="L13" s="33">
        <v>2.5973801602304198</v>
      </c>
      <c r="M13" s="34">
        <v>-12.5184864161467</v>
      </c>
      <c r="N13" s="35">
        <v>142058.04300000001</v>
      </c>
      <c r="O13" s="36">
        <v>9277.0952020217501</v>
      </c>
      <c r="P13" s="11">
        <v>389.88875627423602</v>
      </c>
      <c r="Q13" s="33">
        <v>5538.6833704021901</v>
      </c>
      <c r="R13" s="11">
        <v>4.2027029774284097</v>
      </c>
      <c r="S13" s="60">
        <v>-10.913163598948801</v>
      </c>
      <c r="U13" s="61">
        <v>8</v>
      </c>
      <c r="V13" s="63" t="s">
        <v>362</v>
      </c>
      <c r="W13" s="64">
        <v>88.495575221238994</v>
      </c>
      <c r="X13" s="66">
        <v>4.4247787610619502</v>
      </c>
      <c r="Y13" s="66">
        <v>0.88495575221238898</v>
      </c>
      <c r="Z13" s="66">
        <v>8.8495575221239005</v>
      </c>
      <c r="AA13" s="78">
        <v>1.8977571790781</v>
      </c>
      <c r="AB13" s="79">
        <v>-86.597818042160895</v>
      </c>
      <c r="AC13" s="79">
        <v>-2.52702158198385</v>
      </c>
      <c r="AD13" s="80">
        <v>55.576112692552897</v>
      </c>
      <c r="AE13" s="79">
        <v>-32.919462528686097</v>
      </c>
      <c r="AF13" s="80">
        <v>66.248423224692303</v>
      </c>
      <c r="AG13" s="88">
        <v>-64.350666045614204</v>
      </c>
      <c r="AH13" s="81">
        <v>142.19612111730001</v>
      </c>
      <c r="AI13" s="89">
        <v>-140.298363938222</v>
      </c>
    </row>
    <row r="14" spans="1:35">
      <c r="A14" s="8">
        <v>10</v>
      </c>
      <c r="B14" s="9" t="s">
        <v>88</v>
      </c>
      <c r="C14" s="10"/>
      <c r="D14" s="10"/>
      <c r="E14" s="11"/>
      <c r="F14" s="12"/>
      <c r="G14" s="13"/>
      <c r="H14" s="14">
        <v>0</v>
      </c>
      <c r="I14" s="30">
        <v>0</v>
      </c>
      <c r="J14" s="37"/>
      <c r="K14" s="32"/>
      <c r="L14" s="33"/>
      <c r="M14" s="34"/>
      <c r="N14" s="35"/>
      <c r="O14" s="36"/>
      <c r="P14" s="11"/>
      <c r="Q14" s="33">
        <v>0</v>
      </c>
      <c r="R14" s="11"/>
      <c r="S14" s="60">
        <v>0</v>
      </c>
      <c r="U14" s="61">
        <v>9</v>
      </c>
      <c r="V14" s="67" t="s">
        <v>363</v>
      </c>
      <c r="W14" s="64">
        <v>132.74336283185801</v>
      </c>
      <c r="X14" s="66">
        <v>35.398230088495602</v>
      </c>
      <c r="Y14" s="66">
        <v>44.247787610619497</v>
      </c>
      <c r="Z14" s="66">
        <v>44.247787610619497</v>
      </c>
      <c r="AA14" s="78">
        <v>44.247787610619497</v>
      </c>
      <c r="AB14" s="79">
        <v>-88.495575221238894</v>
      </c>
      <c r="AC14" s="79">
        <v>8.8495575221238898</v>
      </c>
      <c r="AD14" s="80">
        <v>209.678484851017</v>
      </c>
      <c r="AE14" s="79">
        <v>76.935122019158399</v>
      </c>
      <c r="AF14" s="80">
        <v>230.16558946301899</v>
      </c>
      <c r="AG14" s="88">
        <v>-185.91780185239901</v>
      </c>
      <c r="AH14" s="81">
        <v>241.051586765</v>
      </c>
      <c r="AI14" s="89">
        <v>-196.80379915438101</v>
      </c>
    </row>
    <row r="15" spans="1:35">
      <c r="A15" s="8">
        <v>11</v>
      </c>
      <c r="B15" s="9" t="s">
        <v>45</v>
      </c>
      <c r="C15" s="10">
        <v>7500</v>
      </c>
      <c r="D15" s="10">
        <v>6194.6902654867299</v>
      </c>
      <c r="E15" s="11">
        <v>2812.8719951187099</v>
      </c>
      <c r="F15" s="12">
        <v>2109.6539963390301</v>
      </c>
      <c r="G15" s="13">
        <v>45.407790778344797</v>
      </c>
      <c r="H15" s="14">
        <v>0</v>
      </c>
      <c r="I15" s="30">
        <v>0</v>
      </c>
      <c r="J15" s="37"/>
      <c r="K15" s="32"/>
      <c r="L15" s="33"/>
      <c r="M15" s="34"/>
      <c r="N15" s="35">
        <v>52.82</v>
      </c>
      <c r="O15" s="36">
        <v>7197.5954401825502</v>
      </c>
      <c r="P15" s="11">
        <v>1212.56714865812</v>
      </c>
      <c r="Q15" s="33">
        <v>6.4047796792122096</v>
      </c>
      <c r="R15" s="11"/>
      <c r="S15" s="60"/>
      <c r="U15" s="61">
        <v>10</v>
      </c>
      <c r="V15" s="63" t="s">
        <v>39</v>
      </c>
      <c r="W15" s="64">
        <v>610.61946902654904</v>
      </c>
      <c r="X15" s="66">
        <v>929.20353982300901</v>
      </c>
      <c r="Y15" s="66">
        <v>884.95575221238903</v>
      </c>
      <c r="Z15" s="66">
        <v>1171.84955752212</v>
      </c>
      <c r="AA15" s="78">
        <v>1038.70770584039</v>
      </c>
      <c r="AB15" s="79">
        <v>428.08823681383802</v>
      </c>
      <c r="AC15" s="79">
        <v>109.504166017378</v>
      </c>
      <c r="AD15" s="80">
        <v>1070.9834808293599</v>
      </c>
      <c r="AE15" s="79">
        <v>460.364011802812</v>
      </c>
      <c r="AF15" s="80">
        <v>1082.9702858416299</v>
      </c>
      <c r="AG15" s="88">
        <v>-44.262580001240799</v>
      </c>
      <c r="AH15" s="81">
        <v>716.18250205912</v>
      </c>
      <c r="AI15" s="89">
        <v>322.52520378126701</v>
      </c>
    </row>
    <row r="16" spans="1:35">
      <c r="A16" s="8">
        <v>12</v>
      </c>
      <c r="B16" s="9" t="s">
        <v>89</v>
      </c>
      <c r="C16" s="10">
        <v>6500</v>
      </c>
      <c r="D16" s="10">
        <v>10619.469026548701</v>
      </c>
      <c r="E16" s="11">
        <v>1137.2705749000099</v>
      </c>
      <c r="F16" s="12">
        <v>739.22587368500297</v>
      </c>
      <c r="G16" s="13">
        <v>10.7092979136417</v>
      </c>
      <c r="H16" s="14">
        <v>58.98</v>
      </c>
      <c r="I16" s="30">
        <v>10353.982300885</v>
      </c>
      <c r="J16" s="31">
        <v>447.65807550467798</v>
      </c>
      <c r="K16" s="32">
        <v>2.6402873293265898</v>
      </c>
      <c r="L16" s="33">
        <v>4.3235352591477403</v>
      </c>
      <c r="M16" s="34">
        <v>-6.3857626544939698</v>
      </c>
      <c r="N16" s="35">
        <v>4017.54</v>
      </c>
      <c r="O16" s="36">
        <v>12802.198862413101</v>
      </c>
      <c r="P16" s="11">
        <v>1206.82950535861</v>
      </c>
      <c r="Q16" s="33">
        <v>484.84858109584098</v>
      </c>
      <c r="R16" s="11">
        <v>9.4267361281335997</v>
      </c>
      <c r="S16" s="60">
        <v>-1.2825617855081199</v>
      </c>
      <c r="U16" s="61">
        <v>11</v>
      </c>
      <c r="V16" s="63" t="s">
        <v>42</v>
      </c>
      <c r="W16" s="64">
        <v>8407.0796460177007</v>
      </c>
      <c r="X16" s="66">
        <v>8424.7787610619507</v>
      </c>
      <c r="Y16" s="66">
        <v>8332.2123893805292</v>
      </c>
      <c r="Z16" s="66">
        <v>11327.4336283186</v>
      </c>
      <c r="AA16" s="78">
        <v>9133.9670214183407</v>
      </c>
      <c r="AB16" s="79">
        <v>726.88737540064199</v>
      </c>
      <c r="AC16" s="79">
        <v>709.18826035639495</v>
      </c>
      <c r="AD16" s="80">
        <v>9277.0952020217501</v>
      </c>
      <c r="AE16" s="79">
        <v>870.01555600404799</v>
      </c>
      <c r="AF16" s="80">
        <v>9289.3320412216599</v>
      </c>
      <c r="AG16" s="88">
        <v>-155.36501980332099</v>
      </c>
      <c r="AH16" s="81">
        <v>8727.9686028167307</v>
      </c>
      <c r="AI16" s="89">
        <v>405.998418601617</v>
      </c>
    </row>
    <row r="17" spans="1:35">
      <c r="A17" s="8">
        <v>13</v>
      </c>
      <c r="B17" s="9" t="s">
        <v>48</v>
      </c>
      <c r="C17" s="10">
        <v>29500</v>
      </c>
      <c r="D17" s="10">
        <v>4867.2566371681396</v>
      </c>
      <c r="E17" s="11">
        <v>269.00809808438203</v>
      </c>
      <c r="F17" s="12">
        <v>793.57388934892595</v>
      </c>
      <c r="G17" s="13">
        <v>5.5268936515518403</v>
      </c>
      <c r="H17" s="14">
        <v>4444.82</v>
      </c>
      <c r="I17" s="30">
        <v>5727.7035975415902</v>
      </c>
      <c r="J17" s="31">
        <v>71.356481639418206</v>
      </c>
      <c r="K17" s="32">
        <v>31.716671672051898</v>
      </c>
      <c r="L17" s="33">
        <v>1.2458130981157201</v>
      </c>
      <c r="M17" s="34">
        <v>-4.2810805534361203</v>
      </c>
      <c r="N17" s="35">
        <v>36030.339999999997</v>
      </c>
      <c r="O17" s="36">
        <v>6782.1802697933599</v>
      </c>
      <c r="P17" s="11">
        <v>1004.52474333516</v>
      </c>
      <c r="Q17" s="33">
        <v>3619.3368040778601</v>
      </c>
      <c r="R17" s="11">
        <v>14.8112362599552</v>
      </c>
      <c r="S17" s="60">
        <v>9.2843426084033602</v>
      </c>
      <c r="U17" s="61">
        <v>12</v>
      </c>
      <c r="V17" s="63" t="s">
        <v>88</v>
      </c>
      <c r="W17" s="64"/>
      <c r="X17" s="66"/>
      <c r="Y17" s="82"/>
      <c r="Z17" s="82"/>
      <c r="AA17" s="83"/>
      <c r="AB17" s="79"/>
      <c r="AC17" s="79"/>
      <c r="AD17" s="80"/>
      <c r="AE17" s="79"/>
      <c r="AF17" s="80"/>
      <c r="AG17" s="88"/>
      <c r="AH17" s="81"/>
      <c r="AI17" s="89"/>
    </row>
    <row r="18" spans="1:35">
      <c r="A18" s="8">
        <v>14</v>
      </c>
      <c r="B18" s="9" t="s">
        <v>50</v>
      </c>
      <c r="C18" s="10">
        <v>59500</v>
      </c>
      <c r="D18" s="10">
        <v>8849.5575221238905</v>
      </c>
      <c r="E18" s="11">
        <v>3814.7892893971398</v>
      </c>
      <c r="F18" s="12">
        <v>22697.996271913002</v>
      </c>
      <c r="G18" s="13">
        <v>43.107118970187699</v>
      </c>
      <c r="H18" s="14">
        <v>4280.0600000000004</v>
      </c>
      <c r="I18" s="30">
        <v>7566.0431358604301</v>
      </c>
      <c r="J18" s="31">
        <v>1065.14986366025</v>
      </c>
      <c r="K18" s="32">
        <v>455.89053254576697</v>
      </c>
      <c r="L18" s="33">
        <v>14.0780305442855</v>
      </c>
      <c r="M18" s="34">
        <v>-29.029088425902302</v>
      </c>
      <c r="N18" s="35">
        <v>34755.339999999997</v>
      </c>
      <c r="O18" s="36">
        <v>12358.699513220799</v>
      </c>
      <c r="P18" s="11">
        <v>5693.8490511048003</v>
      </c>
      <c r="Q18" s="33">
        <v>19789.165967982499</v>
      </c>
      <c r="R18" s="11">
        <v>46.071587427251401</v>
      </c>
      <c r="S18" s="60">
        <v>2.9644684570636701</v>
      </c>
      <c r="U18" s="61">
        <v>13</v>
      </c>
      <c r="V18" s="63" t="s">
        <v>45</v>
      </c>
      <c r="W18" s="64">
        <v>6194.6902654867299</v>
      </c>
      <c r="X18" s="66"/>
      <c r="Y18" s="82"/>
      <c r="Z18" s="82"/>
      <c r="AA18" s="83"/>
      <c r="AB18" s="79"/>
      <c r="AC18" s="79"/>
      <c r="AD18" s="80">
        <v>7197.5954401825502</v>
      </c>
      <c r="AE18" s="79">
        <v>1002.9051746958301</v>
      </c>
      <c r="AF18" s="80">
        <v>6637.1680865006501</v>
      </c>
      <c r="AG18" s="88">
        <v>-6637.1680865006501</v>
      </c>
      <c r="AH18" s="81">
        <v>7243.3195923278899</v>
      </c>
      <c r="AI18" s="89">
        <v>-7243.3195923278899</v>
      </c>
    </row>
    <row r="19" spans="1:35">
      <c r="A19" s="8">
        <v>15</v>
      </c>
      <c r="B19" s="9" t="s">
        <v>90</v>
      </c>
      <c r="C19" s="10">
        <v>32500</v>
      </c>
      <c r="D19" s="10">
        <v>7079.6460176991204</v>
      </c>
      <c r="E19" s="11">
        <v>2010.6669694739101</v>
      </c>
      <c r="F19" s="12">
        <v>6534.6676507902002</v>
      </c>
      <c r="G19" s="13">
        <v>28.400670943818898</v>
      </c>
      <c r="H19" s="14">
        <v>2464.16</v>
      </c>
      <c r="I19" s="30">
        <v>3539.2074586582999</v>
      </c>
      <c r="J19" s="31">
        <v>-2942.0056489838298</v>
      </c>
      <c r="K19" s="32">
        <v>-724.95726400000001</v>
      </c>
      <c r="L19" s="33">
        <v>-83.126114627344705</v>
      </c>
      <c r="M19" s="34">
        <v>-111.526785571164</v>
      </c>
      <c r="N19" s="35">
        <v>19045.599999999999</v>
      </c>
      <c r="O19" s="36">
        <v>7417.1068150923102</v>
      </c>
      <c r="P19" s="11">
        <v>744.30155733607705</v>
      </c>
      <c r="Q19" s="33">
        <v>1417.5669740400001</v>
      </c>
      <c r="R19" s="11">
        <v>10.034931084200799</v>
      </c>
      <c r="S19" s="60">
        <v>-18.365739859618099</v>
      </c>
      <c r="U19" s="61">
        <v>14</v>
      </c>
      <c r="V19" s="63" t="s">
        <v>89</v>
      </c>
      <c r="W19" s="64">
        <v>10619.469026548701</v>
      </c>
      <c r="X19" s="66">
        <v>10265.486725663701</v>
      </c>
      <c r="Y19" s="66">
        <v>10353.982300885</v>
      </c>
      <c r="Z19" s="66">
        <v>10353.982300885</v>
      </c>
      <c r="AA19" s="78">
        <v>10353.982300885</v>
      </c>
      <c r="AB19" s="79">
        <v>-265.48672566371698</v>
      </c>
      <c r="AC19" s="79">
        <v>88.495575221239093</v>
      </c>
      <c r="AD19" s="80">
        <v>12802.198862413101</v>
      </c>
      <c r="AE19" s="79">
        <v>2182.7298358644398</v>
      </c>
      <c r="AF19" s="80">
        <v>12930.9979272523</v>
      </c>
      <c r="AG19" s="88">
        <v>-2577.0156263673798</v>
      </c>
      <c r="AH19" s="81">
        <v>13089.846748681901</v>
      </c>
      <c r="AI19" s="89">
        <v>-2735.8644477969401</v>
      </c>
    </row>
    <row r="20" spans="1:35">
      <c r="A20" s="8">
        <v>16</v>
      </c>
      <c r="B20" s="9" t="s">
        <v>56</v>
      </c>
      <c r="C20" s="10">
        <v>1500</v>
      </c>
      <c r="D20" s="10">
        <v>796.460176991151</v>
      </c>
      <c r="E20" s="11"/>
      <c r="F20" s="12">
        <v>0</v>
      </c>
      <c r="G20" s="13">
        <v>0</v>
      </c>
      <c r="H20" s="14">
        <v>188.68</v>
      </c>
      <c r="I20" s="30">
        <v>796.460176991151</v>
      </c>
      <c r="J20" s="31">
        <v>-5724.2840258638998</v>
      </c>
      <c r="K20" s="32">
        <v>-108.005791</v>
      </c>
      <c r="L20" s="33">
        <v>-718.71566102513395</v>
      </c>
      <c r="M20" s="34">
        <v>-718.71566102513395</v>
      </c>
      <c r="N20" s="35">
        <v>1178.72</v>
      </c>
      <c r="O20" s="36">
        <v>796.460176991151</v>
      </c>
      <c r="P20" s="11">
        <v>-5982.7750059386499</v>
      </c>
      <c r="Q20" s="33">
        <v>-705.20165550000002</v>
      </c>
      <c r="R20" s="11">
        <v>-751.17063963451903</v>
      </c>
      <c r="S20" s="60">
        <v>-751.17063963451903</v>
      </c>
      <c r="U20" s="61">
        <v>15</v>
      </c>
      <c r="V20" s="68" t="s">
        <v>48</v>
      </c>
      <c r="W20" s="64">
        <v>4867.2566371681396</v>
      </c>
      <c r="X20" s="66">
        <v>5132.7433628318604</v>
      </c>
      <c r="Y20" s="66">
        <v>5309.7345132743403</v>
      </c>
      <c r="Z20" s="66">
        <v>6637.1681415929197</v>
      </c>
      <c r="AA20" s="78">
        <v>5727.7035975415902</v>
      </c>
      <c r="AB20" s="79">
        <v>860.44696037344397</v>
      </c>
      <c r="AC20" s="79">
        <v>594.96023470972796</v>
      </c>
      <c r="AD20" s="80">
        <v>6782.1802697933599</v>
      </c>
      <c r="AE20" s="79">
        <v>1914.9236326252201</v>
      </c>
      <c r="AF20" s="80">
        <v>7132.7196355671604</v>
      </c>
      <c r="AG20" s="88">
        <v>-1405.01603802558</v>
      </c>
      <c r="AH20" s="81">
        <v>8975.5174114462698</v>
      </c>
      <c r="AI20" s="89">
        <v>-3247.81381390468</v>
      </c>
    </row>
    <row r="21" spans="1:35">
      <c r="A21" s="584" t="s">
        <v>364</v>
      </c>
      <c r="B21" s="459"/>
      <c r="C21" s="15">
        <v>644100</v>
      </c>
      <c r="D21" s="15"/>
      <c r="E21" s="16"/>
      <c r="F21" s="17">
        <v>58583.537281343903</v>
      </c>
      <c r="G21" s="18">
        <v>21.251471767040201</v>
      </c>
      <c r="H21" s="19">
        <v>72412.957999999999</v>
      </c>
      <c r="I21" s="38"/>
      <c r="J21" s="39"/>
      <c r="K21" s="40">
        <v>164.10990319592599</v>
      </c>
      <c r="L21" s="41">
        <v>0.59516151873189604</v>
      </c>
      <c r="M21" s="34">
        <v>-20.656310248308301</v>
      </c>
      <c r="N21" s="42">
        <v>578272.15399999998</v>
      </c>
      <c r="O21" s="43"/>
      <c r="P21" s="11"/>
      <c r="Q21" s="41">
        <v>32182.744614536801</v>
      </c>
      <c r="R21" s="41">
        <v>12.4340698056671</v>
      </c>
      <c r="S21" s="60"/>
      <c r="U21" s="61">
        <v>16</v>
      </c>
      <c r="V21" s="68" t="s">
        <v>365</v>
      </c>
      <c r="W21" s="64">
        <v>8849.5575221238905</v>
      </c>
      <c r="X21" s="66">
        <v>7079.6460176991204</v>
      </c>
      <c r="Y21" s="66">
        <v>7168.1415929203504</v>
      </c>
      <c r="Z21" s="66">
        <v>8318.5840707964599</v>
      </c>
      <c r="AA21" s="78">
        <v>7566.0431358604301</v>
      </c>
      <c r="AB21" s="79">
        <v>-1283.51438626346</v>
      </c>
      <c r="AC21" s="79">
        <v>486.39711816131802</v>
      </c>
      <c r="AD21" s="80">
        <v>12358.699513220799</v>
      </c>
      <c r="AE21" s="79">
        <v>3509.1419910968898</v>
      </c>
      <c r="AF21" s="80">
        <v>13595.5375402215</v>
      </c>
      <c r="AG21" s="88">
        <v>-6029.4944043610203</v>
      </c>
      <c r="AH21" s="81">
        <v>14114.1944198329</v>
      </c>
      <c r="AI21" s="89">
        <v>-6548.1512839725001</v>
      </c>
    </row>
    <row r="22" spans="1:35">
      <c r="A22" s="8">
        <v>16</v>
      </c>
      <c r="B22" s="9" t="s">
        <v>57</v>
      </c>
      <c r="C22" s="10">
        <v>33000</v>
      </c>
      <c r="D22" s="10">
        <v>11946.902654867299</v>
      </c>
      <c r="E22" s="11">
        <v>2086.57175369471</v>
      </c>
      <c r="F22" s="12">
        <v>6885.6867871925497</v>
      </c>
      <c r="G22" s="13">
        <v>17.465378382777999</v>
      </c>
      <c r="H22" s="14">
        <v>3007.75</v>
      </c>
      <c r="I22" s="30">
        <v>10162.3375601231</v>
      </c>
      <c r="J22" s="31">
        <v>159.58713131573501</v>
      </c>
      <c r="K22" s="32">
        <v>47.999819421490201</v>
      </c>
      <c r="L22" s="33">
        <v>1.5703781769851199</v>
      </c>
      <c r="M22" s="34">
        <v>-15.895000205792799</v>
      </c>
      <c r="N22" s="35">
        <v>26082.875</v>
      </c>
      <c r="O22" s="36">
        <v>11489.4910780261</v>
      </c>
      <c r="P22" s="11">
        <v>1382.3185595947</v>
      </c>
      <c r="Q22" s="33">
        <v>3605.4842200088601</v>
      </c>
      <c r="R22" s="11">
        <v>12.0311556900759</v>
      </c>
      <c r="S22" s="60">
        <v>-5.4342226927020203</v>
      </c>
      <c r="U22" s="61">
        <v>17</v>
      </c>
      <c r="V22" s="68" t="s">
        <v>366</v>
      </c>
      <c r="W22" s="64">
        <v>7079.6460176991204</v>
      </c>
      <c r="X22" s="66">
        <v>3185.8407079645999</v>
      </c>
      <c r="Y22" s="66">
        <v>1327.4336283185801</v>
      </c>
      <c r="Z22" s="66">
        <v>5309.7345132743403</v>
      </c>
      <c r="AA22" s="78">
        <v>3539.2074586582999</v>
      </c>
      <c r="AB22" s="79">
        <v>-3540.4385590408201</v>
      </c>
      <c r="AC22" s="79">
        <v>353.36675069369801</v>
      </c>
      <c r="AD22" s="80">
        <v>7417.1068150923102</v>
      </c>
      <c r="AE22" s="79">
        <v>337.46079739319202</v>
      </c>
      <c r="AF22" s="80">
        <v>8246.2268616023903</v>
      </c>
      <c r="AG22" s="88">
        <v>-4707.01940294409</v>
      </c>
      <c r="AH22" s="81">
        <v>6338.4833205582199</v>
      </c>
      <c r="AI22" s="89">
        <v>-2799.2758618999201</v>
      </c>
    </row>
    <row r="23" spans="1:35">
      <c r="A23" s="8">
        <v>17</v>
      </c>
      <c r="B23" s="20" t="s">
        <v>367</v>
      </c>
      <c r="C23" s="10">
        <v>0</v>
      </c>
      <c r="D23" s="10">
        <v>0</v>
      </c>
      <c r="E23" s="11"/>
      <c r="F23" s="12"/>
      <c r="G23" s="13"/>
      <c r="H23" s="14">
        <v>0</v>
      </c>
      <c r="I23" s="30">
        <v>0</v>
      </c>
      <c r="J23" s="37"/>
      <c r="K23" s="32"/>
      <c r="L23" s="33"/>
      <c r="M23" s="34"/>
      <c r="N23" s="35"/>
      <c r="O23" s="36"/>
      <c r="P23" s="11"/>
      <c r="Q23" s="33">
        <v>0</v>
      </c>
      <c r="R23" s="11"/>
      <c r="S23" s="60"/>
      <c r="U23" s="61">
        <v>18</v>
      </c>
      <c r="V23" s="68" t="s">
        <v>56</v>
      </c>
      <c r="W23" s="64">
        <v>796.460176991151</v>
      </c>
      <c r="X23" s="66">
        <v>796.460176991151</v>
      </c>
      <c r="Y23" s="66">
        <v>796.460176991151</v>
      </c>
      <c r="Z23" s="66">
        <v>796.460176991151</v>
      </c>
      <c r="AA23" s="78">
        <v>796.460176991151</v>
      </c>
      <c r="AB23" s="79">
        <v>0</v>
      </c>
      <c r="AC23" s="79"/>
      <c r="AD23" s="80">
        <v>796.460176991151</v>
      </c>
      <c r="AE23" s="79">
        <v>0</v>
      </c>
      <c r="AF23" s="80">
        <v>796.46022489295297</v>
      </c>
      <c r="AG23" s="88">
        <v>-4.79018027590428E-5</v>
      </c>
      <c r="AH23" s="81">
        <v>796.46016741911205</v>
      </c>
      <c r="AI23" s="89">
        <v>9.5720383797015495E-6</v>
      </c>
    </row>
    <row r="24" spans="1:35">
      <c r="A24" s="8">
        <v>18</v>
      </c>
      <c r="B24" s="9" t="s">
        <v>62</v>
      </c>
      <c r="C24" s="10">
        <v>17500</v>
      </c>
      <c r="D24" s="10">
        <v>24778.761061946901</v>
      </c>
      <c r="E24" s="11">
        <v>9652.1617702195908</v>
      </c>
      <c r="F24" s="12">
        <v>16891.283097884301</v>
      </c>
      <c r="G24" s="13">
        <v>38.953367144100497</v>
      </c>
      <c r="H24" s="14">
        <v>1519.425</v>
      </c>
      <c r="I24" s="30">
        <v>30037.331949484302</v>
      </c>
      <c r="J24" s="31">
        <v>13869.6977540846</v>
      </c>
      <c r="K24" s="32">
        <v>2107.3965509999998</v>
      </c>
      <c r="L24" s="33">
        <v>46.174865921547799</v>
      </c>
      <c r="M24" s="34">
        <v>7.22149877744733</v>
      </c>
      <c r="N24" s="35">
        <v>14586.028</v>
      </c>
      <c r="O24" s="36">
        <v>34160.280727956997</v>
      </c>
      <c r="P24" s="11">
        <v>17874.873705233498</v>
      </c>
      <c r="Q24" s="33">
        <v>26072.3408361</v>
      </c>
      <c r="R24" s="11">
        <v>52.326483636314599</v>
      </c>
      <c r="S24" s="60">
        <v>13.3731164922142</v>
      </c>
      <c r="U24" s="61">
        <v>19</v>
      </c>
      <c r="V24" s="63" t="s">
        <v>57</v>
      </c>
      <c r="W24" s="64">
        <v>11946.902654867299</v>
      </c>
      <c r="X24" s="66">
        <v>10000</v>
      </c>
      <c r="Y24" s="66">
        <v>9292.0353982300894</v>
      </c>
      <c r="Z24" s="66">
        <v>14600</v>
      </c>
      <c r="AA24" s="78">
        <v>10162.3375601231</v>
      </c>
      <c r="AB24" s="79">
        <v>-1784.56509474418</v>
      </c>
      <c r="AC24" s="79">
        <v>162.33756012307299</v>
      </c>
      <c r="AD24" s="80">
        <v>11489.4910780261</v>
      </c>
      <c r="AE24" s="79">
        <v>-457.41157684118298</v>
      </c>
      <c r="AF24" s="80">
        <v>11689.527458693001</v>
      </c>
      <c r="AG24" s="88">
        <v>-1527.1898985699499</v>
      </c>
      <c r="AH24" s="81">
        <v>11357.4697793094</v>
      </c>
      <c r="AI24" s="89">
        <v>-1195.1322191863501</v>
      </c>
    </row>
    <row r="25" spans="1:35">
      <c r="A25" s="8">
        <v>19</v>
      </c>
      <c r="B25" s="21" t="s">
        <v>268</v>
      </c>
      <c r="C25" s="10">
        <v>2000</v>
      </c>
      <c r="D25" s="10">
        <v>15486.725663716799</v>
      </c>
      <c r="E25" s="11">
        <v>2683.5197227225599</v>
      </c>
      <c r="F25" s="12">
        <v>536.70394454451298</v>
      </c>
      <c r="G25" s="13">
        <v>17.327870209579999</v>
      </c>
      <c r="H25" s="14">
        <v>296.35000000000002</v>
      </c>
      <c r="I25" s="30">
        <v>27742.175823552301</v>
      </c>
      <c r="J25" s="31">
        <v>12269.2761937618</v>
      </c>
      <c r="K25" s="32">
        <v>363.60000000213199</v>
      </c>
      <c r="L25" s="33">
        <v>44.226077549928704</v>
      </c>
      <c r="M25" s="34">
        <v>26.898207340348801</v>
      </c>
      <c r="N25" s="35">
        <v>2318.2750000000001</v>
      </c>
      <c r="O25" s="36">
        <v>31570.332419311999</v>
      </c>
      <c r="P25" s="11">
        <v>16862.8782502875</v>
      </c>
      <c r="Q25" s="33">
        <v>3909.27890756853</v>
      </c>
      <c r="R25" s="11">
        <v>53.413686071839599</v>
      </c>
      <c r="S25" s="60">
        <v>36.085815862259601</v>
      </c>
      <c r="U25" s="61">
        <v>20</v>
      </c>
      <c r="V25" s="63" t="s">
        <v>367</v>
      </c>
      <c r="W25" s="64"/>
      <c r="X25" s="66"/>
      <c r="Y25" s="66"/>
      <c r="Z25" s="66"/>
      <c r="AA25" s="78"/>
      <c r="AB25" s="79"/>
      <c r="AC25" s="79"/>
      <c r="AD25" s="80"/>
      <c r="AE25" s="79"/>
      <c r="AF25" s="80"/>
      <c r="AG25" s="88"/>
      <c r="AH25" s="81"/>
      <c r="AI25" s="89"/>
    </row>
    <row r="26" spans="1:35">
      <c r="A26" s="584" t="s">
        <v>368</v>
      </c>
      <c r="B26" s="459"/>
      <c r="C26" s="15">
        <v>52500</v>
      </c>
      <c r="D26" s="15"/>
      <c r="E26" s="15"/>
      <c r="F26" s="17">
        <v>24313.673829621301</v>
      </c>
      <c r="G26" s="18">
        <v>28.309584160198</v>
      </c>
      <c r="H26" s="19">
        <v>4823.5249999999996</v>
      </c>
      <c r="I26" s="38"/>
      <c r="J26" s="39"/>
      <c r="K26" s="40">
        <v>2518.9963704236202</v>
      </c>
      <c r="L26" s="41">
        <v>29.836511781992101</v>
      </c>
      <c r="M26" s="44">
        <v>1.5269276217941199</v>
      </c>
      <c r="N26" s="45">
        <v>42987.178</v>
      </c>
      <c r="O26" s="46"/>
      <c r="P26" s="11"/>
      <c r="Q26" s="41">
        <v>33587.1039636774</v>
      </c>
      <c r="R26" s="16"/>
      <c r="S26" s="69"/>
      <c r="U26" s="61">
        <v>21</v>
      </c>
      <c r="V26" s="63" t="s">
        <v>369</v>
      </c>
      <c r="W26" s="64">
        <v>24778.761061946901</v>
      </c>
      <c r="X26" s="66">
        <v>27876.106194690299</v>
      </c>
      <c r="Y26" s="66">
        <v>24778.761061946901</v>
      </c>
      <c r="Z26" s="66">
        <v>37000</v>
      </c>
      <c r="AA26" s="78">
        <v>30037.331949484302</v>
      </c>
      <c r="AB26" s="79">
        <v>5258.5708875373602</v>
      </c>
      <c r="AC26" s="79">
        <v>2161.2257547939998</v>
      </c>
      <c r="AD26" s="80">
        <v>34160.280727956997</v>
      </c>
      <c r="AE26" s="79">
        <v>9381.5196660100501</v>
      </c>
      <c r="AF26" s="80">
        <v>35163.590917748697</v>
      </c>
      <c r="AG26" s="88">
        <v>-5126.2589682644502</v>
      </c>
      <c r="AH26" s="81">
        <v>24285.7417167276</v>
      </c>
      <c r="AI26" s="89">
        <v>5751.5902327567001</v>
      </c>
    </row>
    <row r="27" spans="1:35">
      <c r="A27" s="567" t="s">
        <v>69</v>
      </c>
      <c r="B27" s="568"/>
      <c r="C27" s="22">
        <v>696600</v>
      </c>
      <c r="D27" s="22"/>
      <c r="E27" s="22"/>
      <c r="F27" s="23">
        <v>82897.211110965203</v>
      </c>
      <c r="G27" s="24">
        <v>22.928087663935301</v>
      </c>
      <c r="H27" s="25">
        <v>77236.482999999993</v>
      </c>
      <c r="I27" s="47"/>
      <c r="J27" s="48"/>
      <c r="K27" s="49">
        <v>2683.1062736195499</v>
      </c>
      <c r="L27" s="50">
        <v>7.4496223869584197</v>
      </c>
      <c r="M27" s="51">
        <v>-15.478465276976801</v>
      </c>
      <c r="N27" s="52">
        <v>621259.33200000005</v>
      </c>
      <c r="O27" s="53"/>
      <c r="P27" s="54"/>
      <c r="Q27" s="50">
        <v>65769.848578214194</v>
      </c>
      <c r="R27" s="70"/>
      <c r="S27" s="71"/>
      <c r="U27" s="72">
        <v>22</v>
      </c>
      <c r="V27" s="73" t="s">
        <v>370</v>
      </c>
      <c r="W27" s="74">
        <v>15486.725663716799</v>
      </c>
      <c r="X27" s="75">
        <v>27433.628318584098</v>
      </c>
      <c r="Y27" s="75">
        <v>27433.628318584098</v>
      </c>
      <c r="Z27" s="75">
        <v>30088.495575221201</v>
      </c>
      <c r="AA27" s="84">
        <v>27742.175823552301</v>
      </c>
      <c r="AB27" s="85">
        <v>12255.4501598355</v>
      </c>
      <c r="AC27" s="85">
        <v>308.54750496826802</v>
      </c>
      <c r="AD27" s="86">
        <v>31570.332419311999</v>
      </c>
      <c r="AE27" s="85">
        <v>16083.6067555952</v>
      </c>
      <c r="AF27" s="86">
        <v>32131.418624304501</v>
      </c>
      <c r="AG27" s="90">
        <v>-4389.2428007521703</v>
      </c>
      <c r="AH27" s="91">
        <v>23074.411556662501</v>
      </c>
      <c r="AI27" s="92">
        <v>4667.7642668898297</v>
      </c>
    </row>
  </sheetData>
  <mergeCells count="25">
    <mergeCell ref="A1:S1"/>
    <mergeCell ref="U1:AI1"/>
    <mergeCell ref="J2:K2"/>
    <mergeCell ref="AA2:AC2"/>
    <mergeCell ref="AG2:AI2"/>
    <mergeCell ref="A27:B27"/>
    <mergeCell ref="A3:A4"/>
    <mergeCell ref="B3:B4"/>
    <mergeCell ref="U3:U5"/>
    <mergeCell ref="V3:V5"/>
    <mergeCell ref="C3:G3"/>
    <mergeCell ref="H3:M3"/>
    <mergeCell ref="N3:S3"/>
    <mergeCell ref="A21:B21"/>
    <mergeCell ref="A26:B26"/>
    <mergeCell ref="W3:W4"/>
    <mergeCell ref="X3:X4"/>
    <mergeCell ref="Y3:Y4"/>
    <mergeCell ref="Z3:Z4"/>
    <mergeCell ref="AA3:AA4"/>
    <mergeCell ref="AD3:AD4"/>
    <mergeCell ref="AE3:AE4"/>
    <mergeCell ref="AF3:AF4"/>
    <mergeCell ref="AH3:AH4"/>
    <mergeCell ref="AI3:AI4"/>
  </mergeCells>
  <phoneticPr fontId="1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9"/>
  <sheetViews>
    <sheetView workbookViewId="0">
      <selection activeCell="K16" sqref="K16"/>
    </sheetView>
  </sheetViews>
  <sheetFormatPr defaultColWidth="9" defaultRowHeight="14.4"/>
  <cols>
    <col min="1" max="1" width="4.44140625" style="239" customWidth="1"/>
    <col min="2" max="2" width="16.109375" style="239" customWidth="1"/>
    <col min="3" max="3" width="11" style="239" customWidth="1"/>
    <col min="4" max="4" width="9.21875" style="239" customWidth="1"/>
    <col min="5" max="5" width="9.77734375" style="239" customWidth="1"/>
    <col min="6" max="6" width="10.6640625" style="239" customWidth="1"/>
    <col min="7" max="7" width="9" style="239" customWidth="1"/>
    <col min="8" max="8" width="11.44140625" style="239" customWidth="1"/>
    <col min="9" max="9" width="8.44140625" style="239" customWidth="1"/>
    <col min="10" max="10" width="8.109375" style="239" customWidth="1"/>
    <col min="11" max="11" width="8.21875" style="239" customWidth="1"/>
    <col min="12" max="12" width="8.44140625" style="239" customWidth="1"/>
    <col min="13" max="16384" width="9" style="239"/>
  </cols>
  <sheetData>
    <row r="1" spans="1:12" ht="33" customHeight="1">
      <c r="A1" s="456" t="s">
        <v>71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</row>
    <row r="2" spans="1:12" ht="16.5" customHeight="1">
      <c r="A2" s="397" t="s">
        <v>72</v>
      </c>
      <c r="B2" s="457" t="s">
        <v>73</v>
      </c>
      <c r="C2" s="457"/>
      <c r="D2" s="457"/>
      <c r="E2" s="457"/>
      <c r="F2" s="457"/>
      <c r="G2" s="457"/>
      <c r="H2" s="457"/>
      <c r="I2" s="457"/>
      <c r="J2" s="457"/>
      <c r="K2" s="457"/>
      <c r="L2" s="457"/>
    </row>
    <row r="3" spans="1:12" ht="39.75" customHeight="1">
      <c r="A3" s="402" t="s">
        <v>74</v>
      </c>
      <c r="B3" s="398" t="s">
        <v>1</v>
      </c>
      <c r="C3" s="398" t="s">
        <v>75</v>
      </c>
      <c r="D3" s="398" t="s">
        <v>76</v>
      </c>
      <c r="E3" s="398" t="s">
        <v>77</v>
      </c>
      <c r="F3" s="398" t="s">
        <v>78</v>
      </c>
      <c r="G3" s="398" t="s">
        <v>79</v>
      </c>
      <c r="H3" s="398" t="s">
        <v>80</v>
      </c>
      <c r="I3" s="398" t="s">
        <v>81</v>
      </c>
      <c r="J3" s="398" t="s">
        <v>82</v>
      </c>
      <c r="K3" s="398" t="s">
        <v>83</v>
      </c>
      <c r="L3" s="406" t="s">
        <v>84</v>
      </c>
    </row>
    <row r="4" spans="1:12" ht="21.9" customHeight="1">
      <c r="A4" s="402">
        <v>1</v>
      </c>
      <c r="B4" s="107" t="s">
        <v>23</v>
      </c>
      <c r="C4" s="11">
        <v>761.06</v>
      </c>
      <c r="D4" s="10">
        <f>'财务指标-产品'!B7</f>
        <v>14000</v>
      </c>
      <c r="E4" s="11">
        <f>'财务指标-产品'!E7</f>
        <v>730.08849557522103</v>
      </c>
      <c r="F4" s="81">
        <f>'经营月报-利润、价格'!AA6</f>
        <v>705.01412738642705</v>
      </c>
      <c r="G4" s="10">
        <f>产品中间表!C4</f>
        <v>16000</v>
      </c>
      <c r="H4" s="11">
        <f>产品中间表!D4/1.13</f>
        <v>672.56637168141594</v>
      </c>
      <c r="I4" s="407">
        <f>(H4-C4)*G4/10000</f>
        <v>-141.5898053097344</v>
      </c>
      <c r="J4" s="407">
        <f>(H4-E4)*G4/10000</f>
        <v>-92.035398230088148</v>
      </c>
      <c r="K4" s="407">
        <f>(H4-F4)*G4/10000</f>
        <v>-51.916409128017769</v>
      </c>
      <c r="L4" s="408"/>
    </row>
    <row r="5" spans="1:12" ht="21.9" customHeight="1">
      <c r="A5" s="402">
        <v>2</v>
      </c>
      <c r="B5" s="107" t="s">
        <v>25</v>
      </c>
      <c r="C5" s="11"/>
      <c r="D5" s="10"/>
      <c r="E5" s="11"/>
      <c r="F5" s="81"/>
      <c r="G5" s="10">
        <f>产品中间表!C5</f>
        <v>0</v>
      </c>
      <c r="H5" s="11">
        <f>产品中间表!D5/1.13</f>
        <v>0</v>
      </c>
      <c r="I5" s="407">
        <f t="shared" ref="I5" si="0">(H5-C5)*G5/10000</f>
        <v>0</v>
      </c>
      <c r="J5" s="407">
        <f t="shared" ref="J5:J7" si="1">(H5-E5)*G5/10000</f>
        <v>0</v>
      </c>
      <c r="K5" s="407"/>
      <c r="L5" s="408"/>
    </row>
    <row r="6" spans="1:12" ht="21.9" customHeight="1">
      <c r="A6" s="402">
        <v>3</v>
      </c>
      <c r="B6" s="107" t="s">
        <v>26</v>
      </c>
      <c r="C6" s="11"/>
      <c r="D6" s="10">
        <f>'财务指标-产品'!B10</f>
        <v>300</v>
      </c>
      <c r="E6" s="11">
        <f>'财务指标-产品'!E10</f>
        <v>575.22123893805303</v>
      </c>
      <c r="F6" s="81">
        <f>'经营月报-利润、价格'!AA9</f>
        <v>1773.4539638655399</v>
      </c>
      <c r="G6" s="10">
        <f>产品中间表!C6</f>
        <v>400</v>
      </c>
      <c r="H6" s="11">
        <f>产品中间表!D6/1.13</f>
        <v>1858.4070796460178</v>
      </c>
      <c r="I6" s="407"/>
      <c r="J6" s="407">
        <f t="shared" si="1"/>
        <v>51.327433628318595</v>
      </c>
      <c r="K6" s="407">
        <f>(H6-F6)*G6/10000</f>
        <v>3.3981246312191158</v>
      </c>
      <c r="L6" s="408"/>
    </row>
    <row r="7" spans="1:12" ht="21.9" customHeight="1">
      <c r="A7" s="402">
        <v>4</v>
      </c>
      <c r="B7" s="403" t="s">
        <v>28</v>
      </c>
      <c r="C7" s="11">
        <v>3061.95</v>
      </c>
      <c r="D7" s="10">
        <f>'财务指标-产品'!B5</f>
        <v>7000</v>
      </c>
      <c r="E7" s="11">
        <f>'财务指标-产品'!E5</f>
        <v>3230.0884955752199</v>
      </c>
      <c r="F7" s="81">
        <f>'经营月报-利润、价格'!AA10</f>
        <v>3173.1670312444098</v>
      </c>
      <c r="G7" s="10">
        <f>产品中间表!C7</f>
        <v>8500</v>
      </c>
      <c r="H7" s="11">
        <f>产品中间表!D7/1.13</f>
        <v>3318.5840707964603</v>
      </c>
      <c r="I7" s="407">
        <f>(H7-C7)*G7/10000</f>
        <v>218.13896017699145</v>
      </c>
      <c r="J7" s="407">
        <f t="shared" si="1"/>
        <v>75.221238938054356</v>
      </c>
      <c r="K7" s="407">
        <f t="shared" ref="K7:K19" si="2">(H7-F7)*G7/10000</f>
        <v>123.60448361924291</v>
      </c>
      <c r="L7" s="408"/>
    </row>
    <row r="8" spans="1:12" ht="21.9" customHeight="1">
      <c r="A8" s="402">
        <v>5</v>
      </c>
      <c r="B8" s="403" t="s">
        <v>85</v>
      </c>
      <c r="C8" s="11">
        <v>513.27</v>
      </c>
      <c r="D8" s="10">
        <f>'财务指标-产品'!B11</f>
        <v>0</v>
      </c>
      <c r="E8" s="11">
        <f>'财务指标-产品'!E11</f>
        <v>0</v>
      </c>
      <c r="F8" s="81">
        <f>'经营月报-利润、价格'!AA11</f>
        <v>176.99115044247799</v>
      </c>
      <c r="G8" s="10">
        <f>产品中间表!C8</f>
        <v>0</v>
      </c>
      <c r="H8" s="11">
        <f>产品中间表!D8/1.13</f>
        <v>0</v>
      </c>
      <c r="I8" s="407">
        <f>(H8-C8)*G8/10000</f>
        <v>0</v>
      </c>
      <c r="J8" s="407">
        <f t="shared" ref="J8:J19" si="3">(H8-E8)*G8/10000</f>
        <v>0</v>
      </c>
      <c r="K8" s="407">
        <f t="shared" si="2"/>
        <v>0</v>
      </c>
      <c r="L8" s="408"/>
    </row>
    <row r="9" spans="1:12" ht="21.9" customHeight="1">
      <c r="A9" s="402">
        <v>6</v>
      </c>
      <c r="B9" s="403" t="s">
        <v>86</v>
      </c>
      <c r="C9" s="11">
        <v>619.47</v>
      </c>
      <c r="D9" s="10">
        <f>'财务指标-产品'!B10</f>
        <v>300</v>
      </c>
      <c r="E9" s="11">
        <f>'财务指标-产品'!E10</f>
        <v>575.22123893805303</v>
      </c>
      <c r="F9" s="81">
        <f>'经营月报-利润、价格'!AA12</f>
        <v>542.632838115401</v>
      </c>
      <c r="G9" s="10">
        <f>产品中间表!C9</f>
        <v>300</v>
      </c>
      <c r="H9" s="11">
        <f>产品中间表!D9/1.13</f>
        <v>393.80530973451329</v>
      </c>
      <c r="I9" s="407">
        <f>(H9-C9)*G9/10000</f>
        <v>-6.7699407079646026</v>
      </c>
      <c r="J9" s="407">
        <f t="shared" si="3"/>
        <v>-5.4424778761061923</v>
      </c>
      <c r="K9" s="407">
        <f t="shared" si="2"/>
        <v>-4.4648258514266317</v>
      </c>
      <c r="L9" s="408"/>
    </row>
    <row r="10" spans="1:12" ht="21.9" customHeight="1">
      <c r="A10" s="402">
        <v>7</v>
      </c>
      <c r="B10" s="403" t="s">
        <v>34</v>
      </c>
      <c r="C10" s="11">
        <v>88.5</v>
      </c>
      <c r="D10" s="10">
        <f>'财务指标-产品'!H13</f>
        <v>8000</v>
      </c>
      <c r="E10" s="11">
        <f>'财务指标-产品'!I13</f>
        <v>2</v>
      </c>
      <c r="F10" s="81">
        <f>'经营月报-利润、价格'!AA13</f>
        <v>1.8977571790781</v>
      </c>
      <c r="G10" s="10">
        <f>产品中间表!C10</f>
        <v>8000</v>
      </c>
      <c r="H10" s="11">
        <f>产品中间表!D10/1.13</f>
        <v>1.7699115044247788</v>
      </c>
      <c r="I10" s="407">
        <f t="shared" ref="I10:I13" si="4">(H10-C10)*G10/10000</f>
        <v>-69.384070796460165</v>
      </c>
      <c r="J10" s="407">
        <f t="shared" ref="J10:J11" si="5">(H10-E10)*G10/10000</f>
        <v>-0.18407079646017691</v>
      </c>
      <c r="K10" s="407">
        <f t="shared" ref="K10:K11" si="6">(H10-F10)*G10/10000</f>
        <v>-0.10227653972265696</v>
      </c>
      <c r="L10" s="408"/>
    </row>
    <row r="11" spans="1:12" ht="21.9" customHeight="1">
      <c r="A11" s="402">
        <v>8</v>
      </c>
      <c r="B11" s="107" t="s">
        <v>37</v>
      </c>
      <c r="C11" s="11">
        <v>132.74</v>
      </c>
      <c r="D11" s="10">
        <f>'财务指标-产品'!H14</f>
        <v>20</v>
      </c>
      <c r="E11" s="11">
        <f>'财务指标-产品'!I14/1.13</f>
        <v>115.04424778761063</v>
      </c>
      <c r="F11" s="81">
        <f>'经营月报-利润、价格'!AA14</f>
        <v>44.247787610619497</v>
      </c>
      <c r="G11" s="10">
        <f>产品中间表!C11</f>
        <v>120</v>
      </c>
      <c r="H11" s="11">
        <f>产品中间表!D11/1.13</f>
        <v>44.247787610619476</v>
      </c>
      <c r="I11" s="407">
        <f t="shared" si="4"/>
        <v>-1.0619065486725665</v>
      </c>
      <c r="J11" s="407">
        <f t="shared" si="5"/>
        <v>-0.84955752212389402</v>
      </c>
      <c r="K11" s="407">
        <f t="shared" si="6"/>
        <v>-2.5579538487363605E-16</v>
      </c>
      <c r="L11" s="409"/>
    </row>
    <row r="12" spans="1:12" ht="21.9" customHeight="1">
      <c r="A12" s="402">
        <v>9</v>
      </c>
      <c r="B12" s="403" t="s">
        <v>87</v>
      </c>
      <c r="C12" s="11">
        <v>610.62</v>
      </c>
      <c r="D12" s="10">
        <f>'财务指标-产品'!B15</f>
        <v>13000</v>
      </c>
      <c r="E12" s="11">
        <f>'财务指标-产品'!E15</f>
        <v>991.15044247787603</v>
      </c>
      <c r="F12" s="81">
        <f>'经营月报-利润、价格'!AA15</f>
        <v>1038.70770584039</v>
      </c>
      <c r="G12" s="10">
        <f>产品中间表!C12</f>
        <v>13000</v>
      </c>
      <c r="H12" s="11">
        <f>产品中间表!D12/1.13</f>
        <v>1141.5929203539824</v>
      </c>
      <c r="I12" s="407">
        <f t="shared" si="4"/>
        <v>690.26479646017719</v>
      </c>
      <c r="J12" s="407">
        <f t="shared" si="3"/>
        <v>195.57522123893833</v>
      </c>
      <c r="K12" s="407">
        <f t="shared" si="2"/>
        <v>133.75077886767022</v>
      </c>
      <c r="L12" s="409"/>
    </row>
    <row r="13" spans="1:12" ht="21.9" customHeight="1">
      <c r="A13" s="402">
        <v>10</v>
      </c>
      <c r="B13" s="403" t="s">
        <v>42</v>
      </c>
      <c r="C13" s="11">
        <v>8407.08</v>
      </c>
      <c r="D13" s="10">
        <f>'财务指标-产品'!B13</f>
        <v>16200</v>
      </c>
      <c r="E13" s="11">
        <f>'财务指标-产品'!E13</f>
        <v>8938.0530973451296</v>
      </c>
      <c r="F13" s="81">
        <f>'经营月报-利润、价格'!AA16</f>
        <v>9133.9670214183407</v>
      </c>
      <c r="G13" s="10">
        <f>产品中间表!C13</f>
        <v>16200</v>
      </c>
      <c r="H13" s="11">
        <f>产品中间表!D13/1.13</f>
        <v>9115.0442477876113</v>
      </c>
      <c r="I13" s="32">
        <f t="shared" si="4"/>
        <v>1146.9020814159303</v>
      </c>
      <c r="J13" s="32">
        <f t="shared" si="3"/>
        <v>286.72566371682046</v>
      </c>
      <c r="K13" s="32">
        <f t="shared" si="2"/>
        <v>-30.65489328178155</v>
      </c>
      <c r="L13" s="408"/>
    </row>
    <row r="14" spans="1:12" ht="21.9" customHeight="1">
      <c r="A14" s="402">
        <v>11</v>
      </c>
      <c r="B14" s="107" t="s">
        <v>88</v>
      </c>
      <c r="C14" s="11"/>
      <c r="D14" s="10"/>
      <c r="E14" s="11"/>
      <c r="F14" s="81"/>
      <c r="G14" s="10"/>
      <c r="H14" s="11">
        <f>产品中间表!D14/1.13</f>
        <v>0</v>
      </c>
      <c r="I14" s="407"/>
      <c r="J14" s="32"/>
      <c r="K14" s="407"/>
      <c r="L14" s="408"/>
    </row>
    <row r="15" spans="1:12" ht="21.9" customHeight="1">
      <c r="A15" s="402">
        <v>12</v>
      </c>
      <c r="B15" s="403" t="s">
        <v>45</v>
      </c>
      <c r="C15" s="11">
        <v>6194.69</v>
      </c>
      <c r="D15" s="10"/>
      <c r="E15" s="11"/>
      <c r="F15" s="81"/>
      <c r="G15" s="10">
        <f>产品中间表!C15</f>
        <v>0</v>
      </c>
      <c r="H15" s="11">
        <f>产品中间表!D15/1.13</f>
        <v>0</v>
      </c>
      <c r="I15" s="32">
        <f>(H15-C15)*G15/10000</f>
        <v>0</v>
      </c>
      <c r="J15" s="32">
        <f t="shared" si="3"/>
        <v>0</v>
      </c>
      <c r="K15" s="32">
        <f t="shared" si="2"/>
        <v>0</v>
      </c>
      <c r="L15" s="408"/>
    </row>
    <row r="16" spans="1:12" ht="21.9" customHeight="1">
      <c r="A16" s="402">
        <v>13</v>
      </c>
      <c r="B16" s="403" t="s">
        <v>89</v>
      </c>
      <c r="C16" s="11">
        <v>9734.51</v>
      </c>
      <c r="D16" s="10">
        <f>'财务指标-产品'!B14</f>
        <v>0</v>
      </c>
      <c r="E16" s="11">
        <f>'财务指标-产品'!E14</f>
        <v>0</v>
      </c>
      <c r="F16" s="81">
        <f>'经营月报-利润、价格'!AA19</f>
        <v>10353.982300885</v>
      </c>
      <c r="G16" s="10">
        <f>产品中间表!C16</f>
        <v>0</v>
      </c>
      <c r="H16" s="11">
        <f>产品中间表!D16/1.13</f>
        <v>0</v>
      </c>
      <c r="I16" s="32">
        <f>(H16-C16)*G16/10000</f>
        <v>0</v>
      </c>
      <c r="J16" s="407">
        <f t="shared" si="3"/>
        <v>0</v>
      </c>
      <c r="K16" s="407">
        <f t="shared" si="2"/>
        <v>0</v>
      </c>
      <c r="L16" s="408"/>
    </row>
    <row r="17" spans="1:12" ht="21.9" customHeight="1">
      <c r="A17" s="402">
        <v>14</v>
      </c>
      <c r="B17" s="107" t="s">
        <v>48</v>
      </c>
      <c r="C17" s="11">
        <v>4867.26</v>
      </c>
      <c r="D17" s="10">
        <f>'财务指标-产品'!B16</f>
        <v>4500</v>
      </c>
      <c r="E17" s="11">
        <f>'财务指标-产品'!E16</f>
        <v>5840.7079646017701</v>
      </c>
      <c r="F17" s="81">
        <f>'经营月报-利润、价格'!AA20</f>
        <v>5727.7035975415902</v>
      </c>
      <c r="G17" s="10">
        <f>产品中间表!C17</f>
        <v>4500</v>
      </c>
      <c r="H17" s="11">
        <f>产品中间表!D17/1.13</f>
        <v>6637.1681415929206</v>
      </c>
      <c r="I17" s="32">
        <f>(H17-C17)*G17/10000</f>
        <v>796.45866371681416</v>
      </c>
      <c r="J17" s="407">
        <f t="shared" si="3"/>
        <v>358.40707964601773</v>
      </c>
      <c r="K17" s="407">
        <f t="shared" si="2"/>
        <v>409.25904482309869</v>
      </c>
      <c r="L17" s="408"/>
    </row>
    <row r="18" spans="1:12" ht="21.9" customHeight="1">
      <c r="A18" s="402">
        <v>15</v>
      </c>
      <c r="B18" s="403" t="s">
        <v>50</v>
      </c>
      <c r="C18" s="11">
        <v>8141.59</v>
      </c>
      <c r="D18" s="10">
        <f>'财务指标-产品'!B17</f>
        <v>4250</v>
      </c>
      <c r="E18" s="11">
        <f>'财务指标-产品'!E17</f>
        <v>7964.60176991151</v>
      </c>
      <c r="F18" s="81">
        <f>'经营月报-利润、价格'!AA21</f>
        <v>7566.0431358604301</v>
      </c>
      <c r="G18" s="10">
        <f>产品中间表!C18</f>
        <v>4550</v>
      </c>
      <c r="H18" s="11">
        <f>产品中间表!D18/1.13</f>
        <v>8495.575221238938</v>
      </c>
      <c r="I18" s="32">
        <f>(H18-C18)*G18/10000</f>
        <v>161.06327566371669</v>
      </c>
      <c r="J18" s="407">
        <f t="shared" si="3"/>
        <v>241.59292035397971</v>
      </c>
      <c r="K18" s="407">
        <f t="shared" si="2"/>
        <v>422.93709884722114</v>
      </c>
      <c r="L18" s="408"/>
    </row>
    <row r="19" spans="1:12" ht="21.9" customHeight="1">
      <c r="A19" s="402">
        <v>16</v>
      </c>
      <c r="B19" s="403" t="s">
        <v>90</v>
      </c>
      <c r="C19" s="11">
        <v>5752.21</v>
      </c>
      <c r="D19" s="10">
        <f>D20+D21</f>
        <v>2250</v>
      </c>
      <c r="E19" s="11">
        <f>(D20*E20+D21*E21)/D19</f>
        <v>4424.7787610619498</v>
      </c>
      <c r="F19" s="81">
        <f>'经营月报-利润、价格'!AA22</f>
        <v>3539.2074586582999</v>
      </c>
      <c r="G19" s="10">
        <f>G20+G21</f>
        <v>2450</v>
      </c>
      <c r="H19" s="11">
        <f>(G20*H20+G21*H21)/(G20+G21)</f>
        <v>4690.2654867256642</v>
      </c>
      <c r="I19" s="32">
        <f>(H19-C19)*G19/10000</f>
        <v>-260.17640575221225</v>
      </c>
      <c r="J19" s="407">
        <f t="shared" si="3"/>
        <v>65.044247787610033</v>
      </c>
      <c r="K19" s="407">
        <f t="shared" si="2"/>
        <v>282.0092168765043</v>
      </c>
      <c r="L19" s="408"/>
    </row>
    <row r="20" spans="1:12" ht="21.9" customHeight="1">
      <c r="A20" s="402"/>
      <c r="B20" s="107" t="s">
        <v>52</v>
      </c>
      <c r="C20" s="11"/>
      <c r="D20" s="10">
        <f>'财务指标-产品'!B18</f>
        <v>2250</v>
      </c>
      <c r="E20" s="11">
        <f>'财务指标-产品'!E18</f>
        <v>4424.7787610619498</v>
      </c>
      <c r="F20" s="81">
        <f>F19</f>
        <v>3539.2074586582999</v>
      </c>
      <c r="G20" s="10">
        <f>产品中间表!C19</f>
        <v>2450</v>
      </c>
      <c r="H20" s="11">
        <f>产品中间表!D19/1.13</f>
        <v>4690.2654867256642</v>
      </c>
      <c r="I20" s="407"/>
      <c r="J20" s="407"/>
      <c r="K20" s="407"/>
      <c r="L20" s="408"/>
    </row>
    <row r="21" spans="1:12" ht="21.9" customHeight="1">
      <c r="A21" s="402"/>
      <c r="B21" s="107" t="s">
        <v>54</v>
      </c>
      <c r="C21" s="11"/>
      <c r="D21" s="10"/>
      <c r="E21" s="11"/>
      <c r="F21" s="81"/>
      <c r="G21" s="10"/>
      <c r="H21" s="11">
        <f>产品中间表!D20/1.13</f>
        <v>0</v>
      </c>
      <c r="I21" s="407"/>
      <c r="J21" s="407"/>
      <c r="K21" s="407"/>
      <c r="L21" s="408"/>
    </row>
    <row r="22" spans="1:12" ht="21.9" customHeight="1">
      <c r="A22" s="402">
        <v>17</v>
      </c>
      <c r="B22" s="403" t="s">
        <v>56</v>
      </c>
      <c r="C22" s="11">
        <v>796.46</v>
      </c>
      <c r="D22" s="10">
        <f>'财务指标-产品'!B20</f>
        <v>120</v>
      </c>
      <c r="E22" s="11">
        <f>'财务指标-产品'!E20</f>
        <v>796.460176991151</v>
      </c>
      <c r="F22" s="81">
        <f>'经营月报-利润、价格'!AA23</f>
        <v>796.460176991151</v>
      </c>
      <c r="G22" s="10">
        <f>产品中间表!C21</f>
        <v>120</v>
      </c>
      <c r="H22" s="11">
        <f>产品中间表!D21/1.13</f>
        <v>796.46017699115055</v>
      </c>
      <c r="I22" s="407">
        <f>(H22-C22)*G22/10000</f>
        <v>2.1238938061287629E-6</v>
      </c>
      <c r="J22" s="407">
        <f>(H22-E22)*G22/10000</f>
        <v>-5.4569682106375695E-15</v>
      </c>
      <c r="K22" s="407">
        <f>(H22-F22)*G22/10000</f>
        <v>-5.4569682106375695E-15</v>
      </c>
      <c r="L22" s="408"/>
    </row>
    <row r="23" spans="1:12" ht="21.9" customHeight="1">
      <c r="A23" s="402">
        <v>18</v>
      </c>
      <c r="B23" s="403" t="s">
        <v>57</v>
      </c>
      <c r="C23" s="11">
        <v>11946.9</v>
      </c>
      <c r="D23" s="10">
        <f>'财务指标-产品'!B21</f>
        <v>3000</v>
      </c>
      <c r="E23" s="11">
        <f>'财务指标-产品'!E21</f>
        <v>11061.9469026549</v>
      </c>
      <c r="F23" s="81">
        <f>'经营月报-利润、价格'!AA24</f>
        <v>10162.3375601231</v>
      </c>
      <c r="G23" s="10">
        <f>产品中间表!C22</f>
        <v>3050</v>
      </c>
      <c r="H23" s="11">
        <f>产品中间表!D22/1.13</f>
        <v>11415.929203539825</v>
      </c>
      <c r="I23" s="407">
        <f>(H23-C23)*G23/10000</f>
        <v>-161.94609292035332</v>
      </c>
      <c r="J23" s="407">
        <f>(H23-E23)*G23/10000</f>
        <v>107.9646017699022</v>
      </c>
      <c r="K23" s="407">
        <f>(H23-F23)*G23/10000</f>
        <v>382.34545124210103</v>
      </c>
      <c r="L23" s="408"/>
    </row>
    <row r="24" spans="1:12" ht="21.9" customHeight="1">
      <c r="A24" s="402">
        <v>19</v>
      </c>
      <c r="B24" s="404" t="s">
        <v>91</v>
      </c>
      <c r="C24" s="11"/>
      <c r="D24" s="10"/>
      <c r="E24" s="11"/>
      <c r="F24" s="81"/>
      <c r="G24" s="10">
        <f>产品中间表!C23</f>
        <v>0</v>
      </c>
      <c r="H24" s="11">
        <f>产品中间表!D23/1.13</f>
        <v>0</v>
      </c>
      <c r="I24" s="407"/>
      <c r="J24" s="407"/>
      <c r="K24" s="407"/>
      <c r="L24" s="408"/>
    </row>
    <row r="25" spans="1:12" ht="21.9" customHeight="1">
      <c r="A25" s="402">
        <v>20</v>
      </c>
      <c r="B25" s="403" t="s">
        <v>62</v>
      </c>
      <c r="C25" s="11">
        <v>20796.46</v>
      </c>
      <c r="D25" s="10">
        <f>'财务指标-产品'!B22</f>
        <v>1850</v>
      </c>
      <c r="E25" s="11">
        <f>'财务指标-产品'!E22</f>
        <v>27433.628318584098</v>
      </c>
      <c r="F25" s="81">
        <f>'经营月报-利润、价格'!AA26</f>
        <v>30037.331949484302</v>
      </c>
      <c r="G25" s="10">
        <f>产品中间表!C24</f>
        <v>1950</v>
      </c>
      <c r="H25" s="11">
        <f>产品中间表!D24/1.13</f>
        <v>27433.628318584073</v>
      </c>
      <c r="I25" s="32">
        <f>(H25-C25)*G25/10000</f>
        <v>1294.2478221238944</v>
      </c>
      <c r="J25" s="407">
        <f>(H25-E25)*G25/10000</f>
        <v>-4.9658410716801881E-12</v>
      </c>
      <c r="K25" s="407">
        <f>(H25-F25)*G25/10000</f>
        <v>-507.7222080255446</v>
      </c>
      <c r="L25" s="408"/>
    </row>
    <row r="26" spans="1:12" ht="21.9" customHeight="1">
      <c r="A26" s="402">
        <v>21</v>
      </c>
      <c r="B26" s="403" t="s">
        <v>92</v>
      </c>
      <c r="C26" s="11">
        <v>15486.73</v>
      </c>
      <c r="D26" s="10">
        <f>'财务指标-产品'!B23</f>
        <v>0</v>
      </c>
      <c r="E26" s="11">
        <f>'财务指标-产品'!E23</f>
        <v>0</v>
      </c>
      <c r="F26" s="81">
        <f>'经营月报-利润、价格'!AA27</f>
        <v>27742.175823552301</v>
      </c>
      <c r="G26" s="10">
        <f>产品中间表!C26</f>
        <v>0</v>
      </c>
      <c r="H26" s="11">
        <f>产品中间表!D26/1.13</f>
        <v>0</v>
      </c>
      <c r="I26" s="407">
        <f>(H26-C26)*G26/10000</f>
        <v>0</v>
      </c>
      <c r="J26" s="407">
        <f>(H26-E26)*G26/10000</f>
        <v>0</v>
      </c>
      <c r="K26" s="407">
        <f>(H26-F26)*G26/10000</f>
        <v>0</v>
      </c>
      <c r="L26" s="408"/>
    </row>
    <row r="27" spans="1:12" ht="21.9" customHeight="1">
      <c r="A27" s="458" t="s">
        <v>69</v>
      </c>
      <c r="B27" s="459"/>
      <c r="C27" s="400"/>
      <c r="D27" s="400"/>
      <c r="E27" s="400"/>
      <c r="F27" s="400"/>
      <c r="G27" s="15">
        <f>SUM(G4:G26)-G19</f>
        <v>79140</v>
      </c>
      <c r="H27" s="400"/>
      <c r="I27" s="15">
        <f>SUM(I4:I26)</f>
        <v>3666.1473796460205</v>
      </c>
      <c r="J27" s="15">
        <f>SUM(J4:J26)</f>
        <v>1283.346902654858</v>
      </c>
      <c r="K27" s="15">
        <f>SUM(K4:K26)</f>
        <v>1162.443586080564</v>
      </c>
      <c r="L27" s="410"/>
    </row>
    <row r="28" spans="1:12" ht="21.9" customHeight="1">
      <c r="A28" s="405"/>
      <c r="B28" s="401"/>
      <c r="C28" s="2"/>
      <c r="D28" s="2"/>
      <c r="E28" s="2"/>
      <c r="F28" s="2"/>
      <c r="G28" s="2"/>
      <c r="H28" s="2"/>
      <c r="I28" s="411"/>
      <c r="J28" s="411"/>
      <c r="K28" s="411"/>
      <c r="L28" s="412"/>
    </row>
    <row r="29" spans="1:12" hidden="1">
      <c r="I29" s="413" t="e">
        <f>I27-原料本月!M15+顺逆差!#REF!</f>
        <v>#REF!</v>
      </c>
    </row>
  </sheetData>
  <mergeCells count="3">
    <mergeCell ref="A1:L1"/>
    <mergeCell ref="B2:L2"/>
    <mergeCell ref="A27:B27"/>
  </mergeCells>
  <phoneticPr fontId="117" type="noConversion"/>
  <pageMargins left="0.511811023622047" right="0.511811023622047" top="0.35433070866141703" bottom="0.35433070866141703" header="0.31496062992126" footer="0.31496062992126"/>
  <pageSetup paperSize="9" scale="95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H5" sqref="H5"/>
    </sheetView>
  </sheetViews>
  <sheetFormatPr defaultColWidth="9" defaultRowHeight="14.4"/>
  <cols>
    <col min="1" max="1" width="5.88671875" style="239" customWidth="1"/>
    <col min="2" max="2" width="20.6640625" style="239" customWidth="1"/>
    <col min="3" max="3" width="12.44140625" style="239" customWidth="1"/>
    <col min="4" max="4" width="13.44140625" style="239" customWidth="1"/>
    <col min="5" max="5" width="11.33203125" style="239" customWidth="1"/>
    <col min="6" max="6" width="11.21875" style="239" customWidth="1"/>
    <col min="7" max="7" width="10" style="239" customWidth="1"/>
    <col min="8" max="8" width="11.44140625" style="239" customWidth="1"/>
    <col min="9" max="9" width="9" style="239" customWidth="1"/>
    <col min="10" max="16384" width="9" style="239"/>
  </cols>
  <sheetData>
    <row r="1" spans="1:10" ht="25.8">
      <c r="A1" s="460" t="s">
        <v>93</v>
      </c>
      <c r="B1" s="461"/>
      <c r="C1" s="461"/>
      <c r="D1" s="461"/>
      <c r="E1" s="461"/>
      <c r="F1" s="461"/>
      <c r="G1" s="461"/>
      <c r="H1" s="462"/>
    </row>
    <row r="2" spans="1:10">
      <c r="A2" s="397" t="s">
        <v>94</v>
      </c>
      <c r="B2" s="457" t="s">
        <v>73</v>
      </c>
      <c r="C2" s="457"/>
      <c r="D2" s="457"/>
      <c r="E2" s="457"/>
      <c r="F2" s="457"/>
      <c r="G2" s="457"/>
    </row>
    <row r="3" spans="1:10" ht="50.25" customHeight="1">
      <c r="A3" s="398" t="s">
        <v>74</v>
      </c>
      <c r="B3" s="398" t="s">
        <v>1</v>
      </c>
      <c r="C3" s="398" t="s">
        <v>95</v>
      </c>
      <c r="D3" s="398" t="s">
        <v>78</v>
      </c>
      <c r="E3" s="398" t="s">
        <v>96</v>
      </c>
      <c r="F3" s="398" t="s">
        <v>97</v>
      </c>
      <c r="G3" s="398" t="s">
        <v>81</v>
      </c>
      <c r="H3" s="398" t="s">
        <v>83</v>
      </c>
    </row>
    <row r="4" spans="1:10" ht="21.9" customHeight="1">
      <c r="A4" s="67">
        <v>1</v>
      </c>
      <c r="B4" s="5" t="s">
        <v>23</v>
      </c>
      <c r="C4" s="11">
        <v>761.06</v>
      </c>
      <c r="D4" s="11">
        <f>产品本月!H4</f>
        <v>672.56637168141594</v>
      </c>
      <c r="E4" s="10">
        <f>产品中间表!F4</f>
        <v>15100</v>
      </c>
      <c r="F4" s="11">
        <f>产品中间表!K4/1.13</f>
        <v>681.41592920353992</v>
      </c>
      <c r="G4" s="399">
        <f>(F4-C4)*E4/10000</f>
        <v>-120.26254690265465</v>
      </c>
      <c r="H4" s="88">
        <f>(F4-D4)*E4/10000</f>
        <v>13.362831858407199</v>
      </c>
      <c r="I4" s="298"/>
    </row>
    <row r="5" spans="1:10" ht="21.9" customHeight="1">
      <c r="A5" s="67">
        <v>2</v>
      </c>
      <c r="B5" s="5" t="s">
        <v>25</v>
      </c>
      <c r="C5" s="11"/>
      <c r="D5" s="11">
        <f>产品本月!H5</f>
        <v>0</v>
      </c>
      <c r="E5" s="10">
        <f>产品中间表!F5</f>
        <v>0</v>
      </c>
      <c r="F5" s="11">
        <f>产品中间表!K5/1.13</f>
        <v>0</v>
      </c>
      <c r="G5" s="399"/>
      <c r="H5" s="88"/>
      <c r="I5" s="298"/>
    </row>
    <row r="6" spans="1:10" ht="21.9" customHeight="1">
      <c r="A6" s="67">
        <v>3</v>
      </c>
      <c r="B6" s="5" t="s">
        <v>26</v>
      </c>
      <c r="C6" s="11"/>
      <c r="D6" s="11">
        <f>产品本月!H6</f>
        <v>1858.4070796460178</v>
      </c>
      <c r="E6" s="10">
        <f>产品中间表!F6</f>
        <v>200</v>
      </c>
      <c r="F6" s="11">
        <f>产品中间表!K6/1.13</f>
        <v>1902.6548672566373</v>
      </c>
      <c r="G6" s="399"/>
      <c r="H6" s="88">
        <f t="shared" ref="H6:H11" si="0">(F6-D6)*E6/10000</f>
        <v>0.88495575221239053</v>
      </c>
      <c r="I6" s="298"/>
    </row>
    <row r="7" spans="1:10" ht="21.9" customHeight="1">
      <c r="A7" s="67">
        <v>4</v>
      </c>
      <c r="B7" s="9" t="s">
        <v>28</v>
      </c>
      <c r="C7" s="11">
        <v>3061.95</v>
      </c>
      <c r="D7" s="11">
        <f>产品本月!H7</f>
        <v>3318.5840707964603</v>
      </c>
      <c r="E7" s="10">
        <f>产品中间表!F7</f>
        <v>6500</v>
      </c>
      <c r="F7" s="11">
        <f>产品中间表!K7/1.13</f>
        <v>3097.3451327433631</v>
      </c>
      <c r="G7" s="399">
        <f>(F7-C7)*E7/10000</f>
        <v>23.006836283186157</v>
      </c>
      <c r="H7" s="88">
        <f t="shared" si="0"/>
        <v>-143.80530973451317</v>
      </c>
      <c r="I7" s="298"/>
    </row>
    <row r="8" spans="1:10" ht="21.9" customHeight="1">
      <c r="A8" s="67">
        <v>5</v>
      </c>
      <c r="B8" s="9" t="s">
        <v>85</v>
      </c>
      <c r="C8" s="11">
        <v>513.27</v>
      </c>
      <c r="D8" s="11">
        <f>产品本月!H8</f>
        <v>0</v>
      </c>
      <c r="E8" s="10">
        <f>产品中间表!F8</f>
        <v>0</v>
      </c>
      <c r="F8" s="11">
        <f>产品中间表!K8/1.13</f>
        <v>0</v>
      </c>
      <c r="G8" s="399">
        <f>(F8-C8)*E8/10000</f>
        <v>0</v>
      </c>
      <c r="H8" s="88">
        <f t="shared" si="0"/>
        <v>0</v>
      </c>
      <c r="I8" s="298"/>
    </row>
    <row r="9" spans="1:10" ht="21.9" customHeight="1">
      <c r="A9" s="67">
        <v>6</v>
      </c>
      <c r="B9" s="9" t="s">
        <v>86</v>
      </c>
      <c r="C9" s="11">
        <v>619.47</v>
      </c>
      <c r="D9" s="11">
        <f>产品本月!H9</f>
        <v>393.80530973451329</v>
      </c>
      <c r="E9" s="10">
        <f>产品中间表!F9</f>
        <v>300</v>
      </c>
      <c r="F9" s="11">
        <f>产品中间表!K9/1.13</f>
        <v>398.23008849557527</v>
      </c>
      <c r="G9" s="399">
        <f>(F9-C9)*E9/10000</f>
        <v>-6.6371973451327433</v>
      </c>
      <c r="H9" s="88">
        <f t="shared" si="0"/>
        <v>0.13274336283185961</v>
      </c>
      <c r="I9" s="298"/>
      <c r="J9" s="239" t="s">
        <v>36</v>
      </c>
    </row>
    <row r="10" spans="1:10" ht="21.9" customHeight="1">
      <c r="A10" s="67">
        <v>7</v>
      </c>
      <c r="B10" s="9" t="s">
        <v>34</v>
      </c>
      <c r="C10" s="11">
        <v>88.5</v>
      </c>
      <c r="D10" s="11">
        <f>产品本月!H10</f>
        <v>1.7699115044247788</v>
      </c>
      <c r="E10" s="10">
        <f>产品中间表!F10</f>
        <v>8600</v>
      </c>
      <c r="F10" s="11">
        <f>产品中间表!K10/1.13</f>
        <v>1.7699115044247788</v>
      </c>
      <c r="G10" s="399"/>
      <c r="H10" s="88">
        <f t="shared" si="0"/>
        <v>0</v>
      </c>
      <c r="I10" s="298"/>
    </row>
    <row r="11" spans="1:10" ht="21.9" customHeight="1">
      <c r="A11" s="67">
        <v>8</v>
      </c>
      <c r="B11" s="5" t="s">
        <v>37</v>
      </c>
      <c r="C11" s="11">
        <v>132.74</v>
      </c>
      <c r="D11" s="11">
        <f>产品本月!H11</f>
        <v>44.247787610619476</v>
      </c>
      <c r="E11" s="10">
        <f>产品中间表!F11</f>
        <v>300</v>
      </c>
      <c r="F11" s="11">
        <f>产品中间表!K11/1.13</f>
        <v>44.247787610619476</v>
      </c>
      <c r="G11" s="399"/>
      <c r="H11" s="88">
        <f t="shared" si="0"/>
        <v>0</v>
      </c>
      <c r="I11" s="298"/>
    </row>
    <row r="12" spans="1:10" ht="21.9" customHeight="1">
      <c r="A12" s="67">
        <v>9</v>
      </c>
      <c r="B12" s="9" t="s">
        <v>87</v>
      </c>
      <c r="C12" s="11">
        <v>610.62</v>
      </c>
      <c r="D12" s="11">
        <f>产品本月!H12</f>
        <v>1141.5929203539824</v>
      </c>
      <c r="E12" s="10">
        <f>产品中间表!F12</f>
        <v>14000</v>
      </c>
      <c r="F12" s="11">
        <f>产品中间表!K12/1.13</f>
        <v>1061.9469026548672</v>
      </c>
      <c r="G12" s="399">
        <f>(F12-C12)*E12/10000</f>
        <v>631.85766371681416</v>
      </c>
      <c r="H12" s="88">
        <f t="shared" ref="H12:H23" si="1">(F12-D12)*E12/10000</f>
        <v>-111.50442477876128</v>
      </c>
      <c r="I12" s="298"/>
    </row>
    <row r="13" spans="1:10" ht="21.9" customHeight="1">
      <c r="A13" s="67">
        <v>10</v>
      </c>
      <c r="B13" s="9" t="s">
        <v>42</v>
      </c>
      <c r="C13" s="11">
        <v>8407.08</v>
      </c>
      <c r="D13" s="11">
        <f>产品本月!H13</f>
        <v>9115.0442477876113</v>
      </c>
      <c r="E13" s="10">
        <f>产品中间表!F13</f>
        <v>16500</v>
      </c>
      <c r="F13" s="11">
        <f>产品中间表!K13/1.13</f>
        <v>9292.0353982300894</v>
      </c>
      <c r="G13" s="399">
        <f>(F13-C13)*E13/10000</f>
        <v>1460.1764070796476</v>
      </c>
      <c r="H13" s="88">
        <f t="shared" si="1"/>
        <v>292.0353982300889</v>
      </c>
      <c r="I13" s="298"/>
    </row>
    <row r="14" spans="1:10" ht="21.9" customHeight="1">
      <c r="A14" s="67">
        <v>11</v>
      </c>
      <c r="B14" s="9" t="s">
        <v>98</v>
      </c>
      <c r="C14" s="11"/>
      <c r="D14" s="11">
        <f>产品本月!H14</f>
        <v>0</v>
      </c>
      <c r="E14" s="10">
        <f>产品中间表!F14</f>
        <v>0</v>
      </c>
      <c r="F14" s="11">
        <f>产品中间表!K14/1.13</f>
        <v>0</v>
      </c>
      <c r="G14" s="399"/>
      <c r="H14" s="88">
        <f t="shared" si="1"/>
        <v>0</v>
      </c>
      <c r="I14" s="298"/>
    </row>
    <row r="15" spans="1:10" ht="21.9" customHeight="1">
      <c r="A15" s="67">
        <v>12</v>
      </c>
      <c r="B15" s="9" t="s">
        <v>45</v>
      </c>
      <c r="C15" s="11">
        <v>6194.69</v>
      </c>
      <c r="D15" s="11">
        <f>产品本月!H15</f>
        <v>0</v>
      </c>
      <c r="E15" s="10">
        <f>产品中间表!F15</f>
        <v>0</v>
      </c>
      <c r="F15" s="11">
        <f>产品中间表!K15/1.13</f>
        <v>0</v>
      </c>
      <c r="G15" s="399">
        <f>(F15-C15)*E15/10000</f>
        <v>0</v>
      </c>
      <c r="H15" s="88">
        <f t="shared" si="1"/>
        <v>0</v>
      </c>
      <c r="I15" s="298"/>
    </row>
    <row r="16" spans="1:10" ht="21.9" customHeight="1">
      <c r="A16" s="67">
        <v>13</v>
      </c>
      <c r="B16" s="9" t="s">
        <v>89</v>
      </c>
      <c r="C16" s="11">
        <v>9734.51</v>
      </c>
      <c r="D16" s="11">
        <f>产品本月!H16</f>
        <v>0</v>
      </c>
      <c r="E16" s="10">
        <f>产品中间表!F16</f>
        <v>0</v>
      </c>
      <c r="F16" s="11">
        <f>产品中间表!K16/1.13</f>
        <v>13628.318584070797</v>
      </c>
      <c r="G16" s="399">
        <f>(F16-C16)*E16/10000</f>
        <v>0</v>
      </c>
      <c r="H16" s="88">
        <v>0</v>
      </c>
      <c r="I16" s="298"/>
    </row>
    <row r="17" spans="1:9" ht="21.9" customHeight="1">
      <c r="A17" s="67">
        <v>14</v>
      </c>
      <c r="B17" s="5" t="s">
        <v>48</v>
      </c>
      <c r="C17" s="11">
        <v>4867.26</v>
      </c>
      <c r="D17" s="11">
        <f>产品本月!H17</f>
        <v>6637.1681415929206</v>
      </c>
      <c r="E17" s="10">
        <f>产品中间表!F17</f>
        <v>4380</v>
      </c>
      <c r="F17" s="11">
        <f>产品中间表!K17/1.13</f>
        <v>6637.1681415929206</v>
      </c>
      <c r="G17" s="399">
        <f>(F17-C17)*E17/10000</f>
        <v>775.21976601769916</v>
      </c>
      <c r="H17" s="88">
        <f>(F17-D17)*E17/10000</f>
        <v>0</v>
      </c>
      <c r="I17" s="298"/>
    </row>
    <row r="18" spans="1:9" ht="21.9" customHeight="1">
      <c r="A18" s="67">
        <v>15</v>
      </c>
      <c r="B18" s="9" t="s">
        <v>50</v>
      </c>
      <c r="C18" s="11">
        <v>8141.59</v>
      </c>
      <c r="D18" s="11">
        <f>产品本月!H18</f>
        <v>8495.575221238938</v>
      </c>
      <c r="E18" s="10">
        <f>产品中间表!F18</f>
        <v>5400</v>
      </c>
      <c r="F18" s="11">
        <f>产品中间表!K18/1.13</f>
        <v>8628.3185840707974</v>
      </c>
      <c r="G18" s="399">
        <f>(F18-C18)*E18/10000</f>
        <v>262.83343539823056</v>
      </c>
      <c r="H18" s="88">
        <f t="shared" si="1"/>
        <v>71.681415929204121</v>
      </c>
      <c r="I18" s="298"/>
    </row>
    <row r="19" spans="1:9" ht="21.9" customHeight="1">
      <c r="A19" s="67">
        <v>16</v>
      </c>
      <c r="B19" s="9" t="s">
        <v>90</v>
      </c>
      <c r="C19" s="11">
        <v>5752.21</v>
      </c>
      <c r="D19" s="11">
        <f>产品本月!H19</f>
        <v>4690.2654867256642</v>
      </c>
      <c r="E19" s="10">
        <f>E20+E21</f>
        <v>3000</v>
      </c>
      <c r="F19" s="11">
        <f>(E20*F20+E21*F21)/E19</f>
        <v>3982.3008849557527</v>
      </c>
      <c r="G19" s="399">
        <f>(F19-C19)*E19/10000</f>
        <v>-530.97273451327419</v>
      </c>
      <c r="H19" s="88">
        <f t="shared" si="1"/>
        <v>-212.38938053097343</v>
      </c>
      <c r="I19" s="298"/>
    </row>
    <row r="20" spans="1:9" ht="21.9" customHeight="1">
      <c r="A20" s="67"/>
      <c r="B20" s="5" t="s">
        <v>52</v>
      </c>
      <c r="C20" s="11"/>
      <c r="D20" s="11"/>
      <c r="E20" s="10">
        <f>产品中间表!F19</f>
        <v>3000</v>
      </c>
      <c r="F20" s="11">
        <f>产品中间表!K19/1.13</f>
        <v>3982.3008849557527</v>
      </c>
      <c r="G20" s="399"/>
      <c r="H20" s="88"/>
      <c r="I20" s="298"/>
    </row>
    <row r="21" spans="1:9" ht="21.9" customHeight="1">
      <c r="A21" s="67"/>
      <c r="B21" s="5" t="s">
        <v>54</v>
      </c>
      <c r="C21" s="11"/>
      <c r="D21" s="11"/>
      <c r="E21" s="10">
        <f>产品中间表!F20</f>
        <v>0</v>
      </c>
      <c r="F21" s="11">
        <f>产品中间表!K20/1.13</f>
        <v>3893.8053097345137</v>
      </c>
      <c r="G21" s="399"/>
      <c r="H21" s="88"/>
      <c r="I21" s="298"/>
    </row>
    <row r="22" spans="1:9" ht="21.9" customHeight="1">
      <c r="A22" s="67">
        <v>17</v>
      </c>
      <c r="B22" s="9" t="s">
        <v>56</v>
      </c>
      <c r="C22" s="11">
        <v>796.46</v>
      </c>
      <c r="D22" s="11">
        <f>产品本月!H22</f>
        <v>796.46017699115055</v>
      </c>
      <c r="E22" s="10">
        <f>产品中间表!F21</f>
        <v>120</v>
      </c>
      <c r="F22" s="11">
        <f>产品中间表!K21/1.13</f>
        <v>796.46017699115055</v>
      </c>
      <c r="G22" s="399">
        <f>(F22-C22)*E22/10000</f>
        <v>2.1238938061287629E-6</v>
      </c>
      <c r="H22" s="88">
        <f t="shared" si="1"/>
        <v>0</v>
      </c>
      <c r="I22" s="298"/>
    </row>
    <row r="23" spans="1:9" ht="21.9" customHeight="1">
      <c r="A23" s="67">
        <v>18</v>
      </c>
      <c r="B23" s="9" t="s">
        <v>57</v>
      </c>
      <c r="C23" s="11">
        <v>11946.9</v>
      </c>
      <c r="D23" s="11">
        <f>产品本月!H23</f>
        <v>11415.929203539825</v>
      </c>
      <c r="E23" s="10">
        <f>产品中间表!F22</f>
        <v>2900</v>
      </c>
      <c r="F23" s="11">
        <f>产品中间表!K22/1.13</f>
        <v>12389.380530973453</v>
      </c>
      <c r="G23" s="399">
        <f>(F23-C23)*E23/10000</f>
        <v>128.31935398230132</v>
      </c>
      <c r="H23" s="88">
        <f t="shared" si="1"/>
        <v>282.30088495575205</v>
      </c>
      <c r="I23" s="298"/>
    </row>
    <row r="24" spans="1:9" ht="21.9" customHeight="1">
      <c r="A24" s="67">
        <v>19</v>
      </c>
      <c r="B24" s="9" t="s">
        <v>91</v>
      </c>
      <c r="C24" s="11"/>
      <c r="D24" s="11">
        <f>产品本月!H24</f>
        <v>0</v>
      </c>
      <c r="E24" s="10">
        <f>产品中间表!F23</f>
        <v>0</v>
      </c>
      <c r="F24" s="11">
        <f>产品中间表!K23/1.13</f>
        <v>0</v>
      </c>
      <c r="G24" s="399"/>
      <c r="H24" s="88"/>
      <c r="I24" s="298"/>
    </row>
    <row r="25" spans="1:9" ht="21.9" customHeight="1">
      <c r="A25" s="67">
        <v>20</v>
      </c>
      <c r="B25" s="9" t="s">
        <v>62</v>
      </c>
      <c r="C25" s="11">
        <v>20796.46</v>
      </c>
      <c r="D25" s="11">
        <f>产品本月!H25</f>
        <v>27433.628318584073</v>
      </c>
      <c r="E25" s="10">
        <f>产品中间表!F24</f>
        <v>1550</v>
      </c>
      <c r="F25" s="11">
        <f>产品中间表!K24/1.13</f>
        <v>26991.15044247788</v>
      </c>
      <c r="G25" s="399">
        <f>(F25-C25)*E25/10000</f>
        <v>960.17701858407145</v>
      </c>
      <c r="H25" s="88">
        <f>(F25-D25)*E25/10000</f>
        <v>-68.584070796459983</v>
      </c>
      <c r="I25" s="298"/>
    </row>
    <row r="26" spans="1:9" ht="21.9" customHeight="1">
      <c r="A26" s="67">
        <v>21</v>
      </c>
      <c r="B26" s="9" t="s">
        <v>92</v>
      </c>
      <c r="C26" s="11">
        <v>15486.73</v>
      </c>
      <c r="D26" s="11">
        <f>产品本月!H26</f>
        <v>0</v>
      </c>
      <c r="E26" s="10">
        <f>产品中间表!F26</f>
        <v>260</v>
      </c>
      <c r="F26" s="11">
        <f>产品中间表!K26/1.13</f>
        <v>27433.628318584073</v>
      </c>
      <c r="G26" s="399">
        <f>(F26-C26)*E26/10000</f>
        <v>310.61935628318594</v>
      </c>
      <c r="H26" s="88">
        <v>0</v>
      </c>
      <c r="I26" s="298"/>
    </row>
    <row r="27" spans="1:9" ht="21.9" customHeight="1">
      <c r="A27" s="458" t="s">
        <v>69</v>
      </c>
      <c r="B27" s="459"/>
      <c r="C27" s="400"/>
      <c r="D27" s="400"/>
      <c r="E27" s="15">
        <f>SUM(E4:E26)-E19</f>
        <v>79110</v>
      </c>
      <c r="F27" s="400"/>
      <c r="G27" s="15">
        <f>SUM(G4:G26)</f>
        <v>3894.3373607079689</v>
      </c>
      <c r="H27" s="15">
        <f>SUM(H4:H26)</f>
        <v>124.11504424778867</v>
      </c>
      <c r="I27" s="298"/>
    </row>
    <row r="28" spans="1:9" ht="21.9" customHeight="1">
      <c r="A28" s="401"/>
      <c r="B28" s="401"/>
      <c r="C28" s="2"/>
      <c r="D28" s="2"/>
      <c r="E28" s="2"/>
      <c r="F28" s="2"/>
      <c r="G28" s="2"/>
      <c r="H28" s="2"/>
      <c r="I28" s="2"/>
    </row>
    <row r="29" spans="1:9" ht="21.9" customHeight="1"/>
  </sheetData>
  <mergeCells count="3">
    <mergeCell ref="A1:H1"/>
    <mergeCell ref="B2:G2"/>
    <mergeCell ref="A27:B27"/>
  </mergeCells>
  <phoneticPr fontId="117" type="noConversion"/>
  <pageMargins left="0.70866141732283505" right="0.70866141732283505" top="0.74803149606299202" bottom="0.74803149606299202" header="0.31496062992126" footer="0.31496062992126"/>
  <pageSetup paperSize="9" orientation="landscape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22"/>
  <sheetViews>
    <sheetView zoomScale="130" zoomScaleNormal="130" workbookViewId="0">
      <pane xSplit="1" ySplit="6" topLeftCell="B7" activePane="bottomRight" state="frozen"/>
      <selection pane="topRight"/>
      <selection pane="bottomLeft"/>
      <selection pane="bottomRight" activeCell="J8" sqref="J8"/>
    </sheetView>
  </sheetViews>
  <sheetFormatPr defaultColWidth="9" defaultRowHeight="15.6"/>
  <cols>
    <col min="1" max="1" width="8.6640625" style="312" customWidth="1"/>
    <col min="2" max="2" width="6.44140625" style="312" customWidth="1"/>
    <col min="3" max="3" width="10.109375" style="312" customWidth="1"/>
    <col min="4" max="5" width="6.33203125" style="339" customWidth="1"/>
    <col min="6" max="6" width="6.77734375" style="339" customWidth="1"/>
    <col min="7" max="7" width="7.109375" style="339" customWidth="1"/>
    <col min="8" max="8" width="7.21875" style="339" customWidth="1"/>
    <col min="9" max="9" width="5.88671875" style="339" customWidth="1"/>
    <col min="10" max="10" width="6.88671875" style="339" customWidth="1"/>
    <col min="11" max="11" width="17.6640625" style="339" bestFit="1" customWidth="1"/>
    <col min="12" max="13" width="7.77734375" style="312" customWidth="1"/>
    <col min="14" max="14" width="13.109375" style="312" customWidth="1"/>
    <col min="15" max="15" width="7.77734375" style="312" customWidth="1"/>
    <col min="16" max="16" width="12.21875" style="312" customWidth="1"/>
    <col min="17" max="17" width="10.77734375" style="312" customWidth="1"/>
    <col min="18" max="18" width="11" style="312" customWidth="1"/>
    <col min="19" max="16384" width="9" style="312"/>
  </cols>
  <sheetData>
    <row r="1" spans="1:18" ht="22.8">
      <c r="A1" s="469" t="s">
        <v>99</v>
      </c>
      <c r="B1" s="470"/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363"/>
      <c r="N1" s="363"/>
      <c r="O1" s="363"/>
      <c r="P1" s="363"/>
      <c r="Q1" s="363"/>
      <c r="R1" s="363"/>
    </row>
    <row r="2" spans="1:18" ht="13.5" customHeight="1">
      <c r="A2" s="362"/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363"/>
      <c r="P2" s="363"/>
      <c r="Q2" s="363"/>
      <c r="R2" s="363"/>
    </row>
    <row r="3" spans="1:18" ht="18" customHeight="1">
      <c r="A3" s="468" t="s">
        <v>1</v>
      </c>
      <c r="B3" s="471" t="s">
        <v>2</v>
      </c>
      <c r="C3" s="472"/>
      <c r="D3" s="472"/>
      <c r="E3" s="473"/>
      <c r="F3" s="474" t="s">
        <v>3</v>
      </c>
      <c r="G3" s="474"/>
      <c r="H3" s="474"/>
      <c r="I3" s="474"/>
      <c r="J3" s="474"/>
      <c r="K3" s="474"/>
      <c r="L3" s="474"/>
      <c r="M3" s="389"/>
      <c r="N3" s="389"/>
      <c r="O3" s="475" t="s">
        <v>100</v>
      </c>
      <c r="P3" s="475"/>
      <c r="Q3" s="475" t="s">
        <v>101</v>
      </c>
      <c r="R3" s="475"/>
    </row>
    <row r="4" spans="1:18" ht="18" customHeight="1">
      <c r="A4" s="468"/>
      <c r="B4" s="467" t="s">
        <v>102</v>
      </c>
      <c r="C4" s="467" t="s">
        <v>103</v>
      </c>
      <c r="D4" s="467" t="s">
        <v>104</v>
      </c>
      <c r="E4" s="467" t="s">
        <v>105</v>
      </c>
      <c r="F4" s="467" t="s">
        <v>106</v>
      </c>
      <c r="G4" s="467" t="s">
        <v>107</v>
      </c>
      <c r="H4" s="467" t="s">
        <v>108</v>
      </c>
      <c r="I4" s="467" t="s">
        <v>109</v>
      </c>
      <c r="J4" s="467" t="s">
        <v>110</v>
      </c>
      <c r="K4" s="467" t="s">
        <v>111</v>
      </c>
      <c r="L4" s="467" t="s">
        <v>105</v>
      </c>
      <c r="M4" s="390"/>
      <c r="N4" s="467" t="s">
        <v>110</v>
      </c>
      <c r="O4" s="463" t="s">
        <v>106</v>
      </c>
      <c r="P4" s="463" t="s">
        <v>112</v>
      </c>
      <c r="Q4" s="464" t="s">
        <v>106</v>
      </c>
      <c r="R4" s="464" t="s">
        <v>112</v>
      </c>
    </row>
    <row r="5" spans="1:18" ht="13.5" customHeight="1">
      <c r="A5" s="468"/>
      <c r="B5" s="467"/>
      <c r="C5" s="467"/>
      <c r="D5" s="467"/>
      <c r="E5" s="467"/>
      <c r="F5" s="467"/>
      <c r="G5" s="467"/>
      <c r="H5" s="467"/>
      <c r="I5" s="467"/>
      <c r="J5" s="467"/>
      <c r="K5" s="467"/>
      <c r="L5" s="467"/>
      <c r="M5" s="390"/>
      <c r="N5" s="467"/>
      <c r="O5" s="463"/>
      <c r="P5" s="463"/>
      <c r="Q5" s="465"/>
      <c r="R5" s="465"/>
    </row>
    <row r="6" spans="1:18" ht="15" customHeight="1">
      <c r="A6" s="468"/>
      <c r="B6" s="467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339"/>
      <c r="N6" s="467"/>
      <c r="O6" s="463"/>
      <c r="P6" s="463"/>
      <c r="Q6" s="466"/>
      <c r="R6" s="466"/>
    </row>
    <row r="7" spans="1:18" ht="21.9" customHeight="1">
      <c r="A7" s="468"/>
      <c r="B7" s="364">
        <v>1</v>
      </c>
      <c r="C7" s="364">
        <v>2</v>
      </c>
      <c r="D7" s="364">
        <v>3</v>
      </c>
      <c r="E7" s="364">
        <v>4</v>
      </c>
      <c r="F7" s="364">
        <v>5</v>
      </c>
      <c r="G7" s="364">
        <v>7</v>
      </c>
      <c r="H7" s="364">
        <v>8</v>
      </c>
      <c r="I7" s="364">
        <v>9</v>
      </c>
      <c r="J7" s="364">
        <v>10</v>
      </c>
      <c r="K7" s="364" t="s">
        <v>113</v>
      </c>
      <c r="L7" s="391">
        <v>12</v>
      </c>
      <c r="M7" s="339"/>
      <c r="N7" s="339"/>
      <c r="O7" s="391"/>
      <c r="P7" s="391"/>
      <c r="Q7" s="391"/>
      <c r="R7" s="391"/>
    </row>
    <row r="8" spans="1:18" ht="21.9" customHeight="1">
      <c r="A8" s="365" t="s">
        <v>114</v>
      </c>
      <c r="B8" s="366">
        <v>1200</v>
      </c>
      <c r="C8" s="367">
        <v>37200</v>
      </c>
      <c r="D8" s="368">
        <v>1279</v>
      </c>
      <c r="E8" s="368">
        <v>16385</v>
      </c>
      <c r="F8" s="444">
        <v>41000</v>
      </c>
      <c r="G8" s="368">
        <v>1350</v>
      </c>
      <c r="H8" s="370">
        <f>G8/1.13</f>
        <v>1194.6902654867258</v>
      </c>
      <c r="I8" s="368">
        <v>20</v>
      </c>
      <c r="J8" s="445">
        <f>N8</f>
        <v>1174.3287221974338</v>
      </c>
      <c r="K8" s="368">
        <f>G8-D8</f>
        <v>71</v>
      </c>
      <c r="L8" s="368">
        <f>E8+F8-原料次月!J4</f>
        <v>20185</v>
      </c>
      <c r="M8" s="339">
        <f>J8-N8</f>
        <v>0</v>
      </c>
      <c r="N8" s="392">
        <f>(E8*原料本月!I4+F8*(G8/1.13+20))/(E8+F8)</f>
        <v>1174.3287221974338</v>
      </c>
      <c r="O8" s="393">
        <v>36000</v>
      </c>
      <c r="P8" s="393">
        <v>1250</v>
      </c>
      <c r="Q8" s="393">
        <v>36000</v>
      </c>
      <c r="R8" s="393">
        <v>1300</v>
      </c>
    </row>
    <row r="9" spans="1:18" ht="21.9" customHeight="1">
      <c r="A9" s="371" t="s">
        <v>115</v>
      </c>
      <c r="B9" s="372">
        <v>1420</v>
      </c>
      <c r="C9" s="367">
        <v>75000</v>
      </c>
      <c r="D9" s="368">
        <v>1412</v>
      </c>
      <c r="E9" s="368">
        <v>31224</v>
      </c>
      <c r="F9" s="369">
        <v>65000</v>
      </c>
      <c r="G9" s="368">
        <v>1550</v>
      </c>
      <c r="H9" s="370">
        <f>G9/1.13</f>
        <v>1371.6814159292037</v>
      </c>
      <c r="I9" s="368">
        <v>20</v>
      </c>
      <c r="J9" s="368">
        <f t="shared" ref="J9:J16" si="0">N9</f>
        <v>1356.5802683559064</v>
      </c>
      <c r="K9" s="368">
        <f t="shared" ref="K9:K16" si="1">G9-D9</f>
        <v>138</v>
      </c>
      <c r="L9" s="368">
        <f>E9+F9-原料次月!J5</f>
        <v>30530</v>
      </c>
      <c r="M9" s="339">
        <f t="shared" ref="M9:M16" si="2">J9-N9</f>
        <v>0</v>
      </c>
      <c r="N9" s="392">
        <f>(E9*原料本月!I5+F9*(G9/1.13+20))/(E9+F9)</f>
        <v>1356.5802683559064</v>
      </c>
      <c r="O9" s="393">
        <v>90000</v>
      </c>
      <c r="P9" s="393">
        <v>1400</v>
      </c>
      <c r="Q9" s="393">
        <v>90000</v>
      </c>
      <c r="R9" s="393">
        <v>1400</v>
      </c>
    </row>
    <row r="10" spans="1:18" ht="21.9" customHeight="1">
      <c r="A10" s="373" t="s">
        <v>116</v>
      </c>
      <c r="B10" s="374">
        <v>510</v>
      </c>
      <c r="C10" s="369">
        <v>0</v>
      </c>
      <c r="D10" s="369">
        <v>500</v>
      </c>
      <c r="E10" s="369">
        <v>0</v>
      </c>
      <c r="F10" s="369">
        <v>0</v>
      </c>
      <c r="G10" s="369">
        <v>490</v>
      </c>
      <c r="H10" s="370">
        <f>G10/1.13</f>
        <v>433.62831858407083</v>
      </c>
      <c r="I10" s="369">
        <v>15</v>
      </c>
      <c r="J10" s="368">
        <f t="shared" si="0"/>
        <v>448.62831858407083</v>
      </c>
      <c r="K10" s="368">
        <f t="shared" si="1"/>
        <v>-10</v>
      </c>
      <c r="L10" s="368">
        <f>E10+F10-原料次月!J6</f>
        <v>0</v>
      </c>
      <c r="M10" s="339">
        <f t="shared" si="2"/>
        <v>0</v>
      </c>
      <c r="N10" s="392">
        <f>H10+I10</f>
        <v>448.62831858407083</v>
      </c>
      <c r="O10" s="393">
        <v>2000</v>
      </c>
      <c r="P10" s="393">
        <v>510</v>
      </c>
      <c r="Q10" s="393">
        <v>2000</v>
      </c>
      <c r="R10" s="393">
        <v>510</v>
      </c>
    </row>
    <row r="11" spans="1:18" ht="21.9" customHeight="1">
      <c r="A11" s="365" t="s">
        <v>117</v>
      </c>
      <c r="B11" s="374">
        <v>480</v>
      </c>
      <c r="C11" s="369">
        <v>8000</v>
      </c>
      <c r="D11" s="369">
        <v>470</v>
      </c>
      <c r="E11" s="369">
        <v>4000</v>
      </c>
      <c r="F11" s="369">
        <v>7500</v>
      </c>
      <c r="G11" s="369">
        <v>480</v>
      </c>
      <c r="H11" s="370">
        <f>G11/1.13</f>
        <v>424.77876106194697</v>
      </c>
      <c r="I11" s="369">
        <v>15</v>
      </c>
      <c r="J11" s="368">
        <f t="shared" si="0"/>
        <v>437.56249654672888</v>
      </c>
      <c r="K11" s="368">
        <f t="shared" si="1"/>
        <v>10</v>
      </c>
      <c r="L11" s="368">
        <f>E11+F11-原料次月!J7</f>
        <v>4000</v>
      </c>
      <c r="M11" s="339">
        <f t="shared" si="2"/>
        <v>0</v>
      </c>
      <c r="N11" s="392">
        <f>(E11*原料本月!I7+F11*(H11+15))/(E11+F11)</f>
        <v>437.56249654672888</v>
      </c>
      <c r="O11" s="393">
        <v>6000</v>
      </c>
      <c r="P11" s="393">
        <v>480</v>
      </c>
      <c r="Q11" s="393">
        <v>6000</v>
      </c>
      <c r="R11" s="393">
        <v>480</v>
      </c>
    </row>
    <row r="12" spans="1:18" ht="21.9" customHeight="1">
      <c r="A12" s="365" t="s">
        <v>118</v>
      </c>
      <c r="B12" s="374">
        <v>472</v>
      </c>
      <c r="C12" s="369">
        <v>5000</v>
      </c>
      <c r="D12" s="369">
        <v>450</v>
      </c>
      <c r="E12" s="369">
        <v>1200</v>
      </c>
      <c r="F12" s="369">
        <v>5000</v>
      </c>
      <c r="G12" s="369">
        <v>450</v>
      </c>
      <c r="H12" s="370">
        <f>G12/1.13</f>
        <v>398.23008849557527</v>
      </c>
      <c r="I12" s="369">
        <v>0</v>
      </c>
      <c r="J12" s="368">
        <f t="shared" si="0"/>
        <v>398.23008849557527</v>
      </c>
      <c r="K12" s="368">
        <f t="shared" si="1"/>
        <v>0</v>
      </c>
      <c r="L12" s="368">
        <f>E12+F12-原料次月!J8</f>
        <v>1200</v>
      </c>
      <c r="M12" s="339">
        <f t="shared" si="2"/>
        <v>0</v>
      </c>
      <c r="N12" s="392">
        <f>(E12*原料本月!I8+F12*H12)/(E12+F12)</f>
        <v>398.23008849557527</v>
      </c>
      <c r="O12" s="393">
        <v>4000</v>
      </c>
      <c r="P12" s="393">
        <v>472</v>
      </c>
      <c r="Q12" s="393">
        <v>4000</v>
      </c>
      <c r="R12" s="393">
        <v>472</v>
      </c>
    </row>
    <row r="13" spans="1:18" ht="21.9" customHeight="1">
      <c r="A13" s="365" t="s">
        <v>119</v>
      </c>
      <c r="B13" s="372">
        <v>955</v>
      </c>
      <c r="C13" s="375">
        <v>6000</v>
      </c>
      <c r="D13" s="375">
        <v>1000</v>
      </c>
      <c r="E13" s="375">
        <v>6500</v>
      </c>
      <c r="F13" s="376">
        <v>6000</v>
      </c>
      <c r="G13" s="376">
        <v>1215</v>
      </c>
      <c r="H13" s="377">
        <f t="shared" ref="H13:H18" si="3">G13/1.13</f>
        <v>1075.2212389380531</v>
      </c>
      <c r="I13" s="376">
        <v>0</v>
      </c>
      <c r="J13" s="368">
        <f t="shared" si="0"/>
        <v>1010.9123739753795</v>
      </c>
      <c r="K13" s="368">
        <f t="shared" si="1"/>
        <v>215</v>
      </c>
      <c r="L13" s="368">
        <f>E13+F13-原料次月!J9</f>
        <v>6300</v>
      </c>
      <c r="M13" s="339">
        <f t="shared" si="2"/>
        <v>0</v>
      </c>
      <c r="N13" s="392">
        <f>(E13*原料本月!I9+F13*(H13+2))/(E13+F13)</f>
        <v>1010.9123739753795</v>
      </c>
      <c r="O13" s="393">
        <v>12000</v>
      </c>
      <c r="P13" s="393">
        <v>1150</v>
      </c>
      <c r="Q13" s="393">
        <v>12000</v>
      </c>
      <c r="R13" s="393">
        <v>1200</v>
      </c>
    </row>
    <row r="14" spans="1:18" ht="21.9" customHeight="1">
      <c r="A14" s="365" t="s">
        <v>120</v>
      </c>
      <c r="B14" s="370">
        <v>6950</v>
      </c>
      <c r="C14" s="375">
        <v>34000</v>
      </c>
      <c r="D14" s="378">
        <v>7239</v>
      </c>
      <c r="E14" s="375">
        <v>9300</v>
      </c>
      <c r="F14" s="376">
        <v>33500</v>
      </c>
      <c r="G14" s="376">
        <v>7172</v>
      </c>
      <c r="H14" s="377">
        <f t="shared" si="3"/>
        <v>6346.9026548672573</v>
      </c>
      <c r="I14" s="376">
        <v>30</v>
      </c>
      <c r="J14" s="368">
        <f t="shared" si="0"/>
        <v>6402.6185985015727</v>
      </c>
      <c r="K14" s="368">
        <f t="shared" si="1"/>
        <v>-67</v>
      </c>
      <c r="L14" s="368">
        <f>E14+F14-原料次月!J10</f>
        <v>10400</v>
      </c>
      <c r="M14" s="339">
        <f t="shared" si="2"/>
        <v>0</v>
      </c>
      <c r="N14" s="392">
        <f>(E14*原料本月!I10+F14*(原料中间表!G14/1.13+45))/(E14+F14)</f>
        <v>6402.6185985015727</v>
      </c>
      <c r="O14" s="393">
        <v>38000</v>
      </c>
      <c r="P14" s="376">
        <v>7800</v>
      </c>
      <c r="Q14" s="393">
        <v>38000</v>
      </c>
      <c r="R14" s="376">
        <v>7800</v>
      </c>
    </row>
    <row r="15" spans="1:18" ht="21.9" customHeight="1">
      <c r="A15" s="365" t="s">
        <v>121</v>
      </c>
      <c r="B15" s="370">
        <v>5400</v>
      </c>
      <c r="C15" s="375">
        <v>2150</v>
      </c>
      <c r="D15" s="375">
        <v>5900</v>
      </c>
      <c r="E15" s="375">
        <v>660</v>
      </c>
      <c r="F15" s="376">
        <v>2150</v>
      </c>
      <c r="G15" s="376">
        <v>6000</v>
      </c>
      <c r="H15" s="377">
        <f t="shared" si="3"/>
        <v>5309.7345132743367</v>
      </c>
      <c r="I15" s="376">
        <v>5</v>
      </c>
      <c r="J15" s="368">
        <f t="shared" si="0"/>
        <v>5250.7458896879516</v>
      </c>
      <c r="K15" s="368">
        <f t="shared" si="1"/>
        <v>100</v>
      </c>
      <c r="L15" s="368">
        <f>E15+F15-原料次月!J11</f>
        <v>684</v>
      </c>
      <c r="M15" s="339">
        <f t="shared" si="2"/>
        <v>0</v>
      </c>
      <c r="N15" s="392">
        <f>(E15*原料本月!I11+F15*(G15/1.13+5))/(E15+F15)</f>
        <v>5250.7458896879516</v>
      </c>
      <c r="O15" s="393">
        <v>2200</v>
      </c>
      <c r="P15" s="393">
        <v>6000</v>
      </c>
      <c r="Q15" s="393">
        <v>2200</v>
      </c>
      <c r="R15" s="393">
        <v>6000</v>
      </c>
    </row>
    <row r="16" spans="1:18" ht="21.9" customHeight="1">
      <c r="A16" s="365" t="s">
        <v>122</v>
      </c>
      <c r="B16" s="370">
        <v>9800</v>
      </c>
      <c r="C16" s="378">
        <v>560</v>
      </c>
      <c r="D16" s="375">
        <v>10300</v>
      </c>
      <c r="E16" s="375">
        <v>250</v>
      </c>
      <c r="F16" s="376">
        <v>690</v>
      </c>
      <c r="G16" s="376">
        <v>11700</v>
      </c>
      <c r="H16" s="377">
        <f t="shared" si="3"/>
        <v>10353.982300884956</v>
      </c>
      <c r="I16" s="376">
        <v>5</v>
      </c>
      <c r="J16" s="368">
        <f t="shared" si="0"/>
        <v>10044.624413906025</v>
      </c>
      <c r="K16" s="368">
        <f t="shared" si="1"/>
        <v>1400</v>
      </c>
      <c r="L16" s="368">
        <f>E16+F16-原料次月!J12</f>
        <v>320</v>
      </c>
      <c r="M16" s="339">
        <f t="shared" si="2"/>
        <v>0</v>
      </c>
      <c r="N16" s="392">
        <f>(E16*原料本月!I12+F16*(G16/1.13+5))/(E16+F16)</f>
        <v>10044.624413906025</v>
      </c>
      <c r="O16" s="393">
        <v>760</v>
      </c>
      <c r="P16" s="393">
        <v>10000</v>
      </c>
      <c r="Q16" s="393">
        <v>760</v>
      </c>
      <c r="R16" s="393">
        <v>10000</v>
      </c>
    </row>
    <row r="17" spans="1:18" ht="21.9" customHeight="1">
      <c r="A17" s="365" t="s">
        <v>28</v>
      </c>
      <c r="B17" s="372"/>
      <c r="C17" s="370"/>
      <c r="D17" s="370"/>
      <c r="E17" s="370"/>
      <c r="F17" s="369"/>
      <c r="G17" s="368"/>
      <c r="H17" s="368">
        <f t="shared" si="3"/>
        <v>0</v>
      </c>
      <c r="I17" s="368"/>
      <c r="J17" s="368"/>
      <c r="K17" s="368"/>
      <c r="L17" s="368">
        <f>E17+F17-[1]原料次月!M14</f>
        <v>0</v>
      </c>
      <c r="M17" s="339"/>
      <c r="N17" s="339"/>
      <c r="O17" s="394"/>
      <c r="P17" s="394"/>
      <c r="Q17" s="394"/>
      <c r="R17" s="394"/>
    </row>
    <row r="18" spans="1:18" ht="21.9" customHeight="1">
      <c r="A18" s="365" t="s">
        <v>123</v>
      </c>
      <c r="B18" s="372"/>
      <c r="C18" s="370"/>
      <c r="D18" s="379"/>
      <c r="E18" s="379"/>
      <c r="F18" s="380">
        <v>0</v>
      </c>
      <c r="G18" s="381"/>
      <c r="H18" s="368">
        <f t="shared" si="3"/>
        <v>0</v>
      </c>
      <c r="I18" s="368"/>
      <c r="J18" s="368">
        <f>H18+I18</f>
        <v>0</v>
      </c>
      <c r="K18" s="381"/>
      <c r="L18" s="369"/>
      <c r="M18" s="339"/>
      <c r="N18" s="339"/>
      <c r="O18" s="395"/>
      <c r="P18" s="395"/>
      <c r="Q18" s="395"/>
      <c r="R18" s="395"/>
    </row>
    <row r="19" spans="1:18" ht="21.9" customHeight="1">
      <c r="A19" s="382" t="s">
        <v>69</v>
      </c>
      <c r="B19" s="383"/>
      <c r="C19" s="384">
        <f>SUM(C8:C18)</f>
        <v>167910</v>
      </c>
      <c r="D19" s="385"/>
      <c r="E19" s="385"/>
      <c r="F19" s="386">
        <f>SUM(F8:F18)</f>
        <v>160840</v>
      </c>
      <c r="G19" s="387"/>
      <c r="H19" s="387"/>
      <c r="I19" s="387"/>
      <c r="J19" s="387"/>
      <c r="K19" s="383"/>
      <c r="L19" s="375"/>
      <c r="M19" s="396"/>
      <c r="N19" s="339"/>
      <c r="O19" s="395"/>
      <c r="P19" s="395"/>
      <c r="Q19" s="395"/>
      <c r="R19" s="395"/>
    </row>
    <row r="20" spans="1:18">
      <c r="B20" s="388" t="s">
        <v>124</v>
      </c>
    </row>
    <row r="21" spans="1:18" ht="16.8">
      <c r="A21" s="448"/>
      <c r="B21" s="448"/>
      <c r="C21" s="448"/>
      <c r="D21" s="448"/>
      <c r="E21" s="448"/>
      <c r="F21" s="448"/>
      <c r="G21" s="448"/>
      <c r="H21" s="448"/>
      <c r="I21" s="448"/>
    </row>
    <row r="22" spans="1:18" ht="16.8">
      <c r="A22" s="448"/>
      <c r="B22" s="448"/>
      <c r="C22" s="448"/>
      <c r="D22" s="448"/>
      <c r="E22" s="448"/>
      <c r="F22" s="448"/>
      <c r="G22" s="448"/>
      <c r="H22" s="448"/>
      <c r="I22" s="448"/>
    </row>
  </sheetData>
  <mergeCells count="24">
    <mergeCell ref="A1:L1"/>
    <mergeCell ref="B3:E3"/>
    <mergeCell ref="F3:L3"/>
    <mergeCell ref="O3:P3"/>
    <mergeCell ref="Q3:R3"/>
    <mergeCell ref="A21:I21"/>
    <mergeCell ref="A22:I22"/>
    <mergeCell ref="A3:A7"/>
    <mergeCell ref="B4:B6"/>
    <mergeCell ref="C4:C6"/>
    <mergeCell ref="D4:D6"/>
    <mergeCell ref="E4:E6"/>
    <mergeCell ref="F4:F6"/>
    <mergeCell ref="G4:G6"/>
    <mergeCell ref="H4:H6"/>
    <mergeCell ref="I4:I6"/>
    <mergeCell ref="P4:P6"/>
    <mergeCell ref="Q4:Q6"/>
    <mergeCell ref="R4:R6"/>
    <mergeCell ref="J4:J6"/>
    <mergeCell ref="K4:K6"/>
    <mergeCell ref="L4:L6"/>
    <mergeCell ref="N4:N6"/>
    <mergeCell ref="O4:O6"/>
  </mergeCells>
  <phoneticPr fontId="117" type="noConversion"/>
  <pageMargins left="0.74803149606299202" right="0.74803149606299202" top="1.14173228346457" bottom="0.98425196850393704" header="0.511811023622047" footer="0.511811023622047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2"/>
  <sheetViews>
    <sheetView workbookViewId="0">
      <selection activeCell="Q25" sqref="Q25"/>
    </sheetView>
  </sheetViews>
  <sheetFormatPr defaultColWidth="9" defaultRowHeight="15.6"/>
  <cols>
    <col min="1" max="1" width="5.21875" style="312" customWidth="1"/>
    <col min="2" max="2" width="8.44140625" style="312" customWidth="1"/>
    <col min="3" max="3" width="11.88671875" style="312" customWidth="1"/>
    <col min="4" max="5" width="11.88671875" style="312" hidden="1" customWidth="1"/>
    <col min="6" max="6" width="10.6640625" style="312" customWidth="1"/>
    <col min="7" max="7" width="10.77734375" style="312" customWidth="1"/>
    <col min="8" max="8" width="8.88671875" style="312" customWidth="1"/>
    <col min="9" max="9" width="11.109375" style="312" customWidth="1"/>
    <col min="10" max="10" width="9.109375" style="312" customWidth="1"/>
    <col min="11" max="13" width="9.77734375" style="339" customWidth="1"/>
    <col min="14" max="14" width="9.109375" style="339" customWidth="1"/>
    <col min="15" max="15" width="14.109375" style="339" customWidth="1"/>
    <col min="16" max="16" width="4.6640625" style="312" customWidth="1"/>
    <col min="17" max="17" width="10.44140625" style="312" customWidth="1"/>
    <col min="18" max="18" width="13.33203125" style="312" customWidth="1"/>
    <col min="19" max="19" width="13.88671875" style="312" customWidth="1"/>
    <col min="20" max="20" width="6.44140625" style="312" customWidth="1"/>
    <col min="21" max="21" width="16.88671875" style="312" customWidth="1"/>
    <col min="22" max="22" width="13.44140625" style="312" customWidth="1"/>
    <col min="23" max="23" width="9" style="312"/>
    <col min="24" max="24" width="14.21875" style="312" customWidth="1"/>
    <col min="25" max="16384" width="9" style="312"/>
  </cols>
  <sheetData>
    <row r="1" spans="1:24" s="338" customFormat="1" ht="30" customHeight="1">
      <c r="A1" s="476" t="s">
        <v>125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  <c r="N1" s="476"/>
      <c r="O1" s="476"/>
      <c r="P1" s="358"/>
    </row>
    <row r="2" spans="1:24" ht="20.399999999999999">
      <c r="A2" s="340" t="s">
        <v>126</v>
      </c>
      <c r="B2" s="341"/>
      <c r="C2" s="341"/>
      <c r="D2" s="341"/>
      <c r="E2" s="341"/>
      <c r="F2" s="341"/>
      <c r="G2" s="341"/>
      <c r="H2" s="341"/>
      <c r="I2" s="341"/>
      <c r="J2" s="341"/>
      <c r="K2" s="349"/>
      <c r="L2" s="349"/>
      <c r="M2" s="349"/>
      <c r="N2" s="349"/>
      <c r="O2" s="359" t="s">
        <v>127</v>
      </c>
    </row>
    <row r="3" spans="1:24" ht="52.5" customHeight="1">
      <c r="A3" s="342" t="s">
        <v>74</v>
      </c>
      <c r="B3" s="356" t="s">
        <v>128</v>
      </c>
      <c r="C3" s="343" t="s">
        <v>129</v>
      </c>
      <c r="D3" s="343" t="s">
        <v>130</v>
      </c>
      <c r="E3" s="343" t="s">
        <v>131</v>
      </c>
      <c r="F3" s="351" t="s">
        <v>132</v>
      </c>
      <c r="G3" s="351" t="s">
        <v>133</v>
      </c>
      <c r="H3" s="343" t="s">
        <v>134</v>
      </c>
      <c r="I3" s="343" t="s">
        <v>135</v>
      </c>
      <c r="J3" s="343" t="s">
        <v>136</v>
      </c>
      <c r="K3" s="351" t="s">
        <v>137</v>
      </c>
      <c r="L3" s="351" t="s">
        <v>131</v>
      </c>
      <c r="M3" s="343" t="s">
        <v>138</v>
      </c>
      <c r="N3" s="343" t="s">
        <v>139</v>
      </c>
      <c r="O3" s="343" t="s">
        <v>140</v>
      </c>
      <c r="Q3" s="361" t="s">
        <v>141</v>
      </c>
      <c r="R3" s="361" t="s">
        <v>142</v>
      </c>
      <c r="S3" s="343" t="s">
        <v>135</v>
      </c>
      <c r="U3" s="343" t="s">
        <v>143</v>
      </c>
      <c r="V3" s="343" t="s">
        <v>144</v>
      </c>
      <c r="W3" s="343" t="s">
        <v>145</v>
      </c>
      <c r="X3" s="343" t="s">
        <v>146</v>
      </c>
    </row>
    <row r="4" spans="1:24" ht="21.9" customHeight="1">
      <c r="A4" s="344">
        <v>1</v>
      </c>
      <c r="B4" s="345" t="s">
        <v>147</v>
      </c>
      <c r="C4" s="346">
        <v>931.5</v>
      </c>
      <c r="D4" s="346">
        <v>37200</v>
      </c>
      <c r="E4" s="346">
        <v>18600</v>
      </c>
      <c r="F4" s="346">
        <v>1062.4252998264101</v>
      </c>
      <c r="G4" s="346">
        <v>964.86</v>
      </c>
      <c r="H4" s="344">
        <f>原料中间表!D8</f>
        <v>1279</v>
      </c>
      <c r="I4" s="346">
        <f>S4</f>
        <v>1073.3324893710096</v>
      </c>
      <c r="J4" s="344">
        <v>37200</v>
      </c>
      <c r="K4" s="352">
        <v>37200</v>
      </c>
      <c r="L4" s="344">
        <f>K4*0.5</f>
        <v>18600</v>
      </c>
      <c r="M4" s="344">
        <f>(I4-C4)*(K4-L4)/10000</f>
        <v>263.80843023007787</v>
      </c>
      <c r="N4" s="344">
        <f t="shared" ref="N4:N12" si="0">(I4-F4)*(K4-L4)/10000</f>
        <v>20.28737255295513</v>
      </c>
      <c r="O4" s="344">
        <f t="shared" ref="O4:O12" si="1">(I4-G4)*(K4-L4)/10000</f>
        <v>201.75883023007788</v>
      </c>
      <c r="Q4" s="360">
        <v>26930</v>
      </c>
      <c r="R4" s="360">
        <v>964.86</v>
      </c>
      <c r="S4" s="360">
        <f>(Q4*R4+(原料中间表!D8/1.13+20)*原料中间表!C8)/(Q4+原料中间表!C8)</f>
        <v>1073.3324893710096</v>
      </c>
      <c r="U4" s="347" t="s">
        <v>28</v>
      </c>
      <c r="V4" s="344">
        <v>11900</v>
      </c>
      <c r="W4" s="347" t="s">
        <v>148</v>
      </c>
      <c r="X4" s="344">
        <f>V4*1.5492</f>
        <v>18435.48</v>
      </c>
    </row>
    <row r="5" spans="1:24" ht="21.9" customHeight="1">
      <c r="A5" s="344">
        <v>2</v>
      </c>
      <c r="B5" s="347" t="s">
        <v>149</v>
      </c>
      <c r="C5" s="346">
        <v>890.71</v>
      </c>
      <c r="D5" s="346">
        <v>95000</v>
      </c>
      <c r="E5" s="346">
        <v>63940.843500000003</v>
      </c>
      <c r="F5" s="346">
        <v>1273.28509497813</v>
      </c>
      <c r="G5" s="346">
        <v>1331</v>
      </c>
      <c r="H5" s="344">
        <f>原料中间表!D9</f>
        <v>1412</v>
      </c>
      <c r="I5" s="346">
        <f>S5</f>
        <v>1283.5090861798774</v>
      </c>
      <c r="J5" s="344">
        <v>75000</v>
      </c>
      <c r="K5" s="352">
        <v>69453</v>
      </c>
      <c r="L5" s="344">
        <f>X4+X5+X6+X10</f>
        <v>35937.176399999997</v>
      </c>
      <c r="M5" s="344">
        <f t="shared" ref="M5:M12" si="2">(I5-C5)*(K5-L5)/10000</f>
        <v>1316.4984882645967</v>
      </c>
      <c r="N5" s="344">
        <f t="shared" si="0"/>
        <v>34.266548560571685</v>
      </c>
      <c r="O5" s="344">
        <f t="shared" si="1"/>
        <v>-159.16970901980318</v>
      </c>
      <c r="Q5" s="360">
        <v>22033</v>
      </c>
      <c r="R5" s="360">
        <v>1331</v>
      </c>
      <c r="S5" s="360">
        <f>(Q5*R5+(原料中间表!D9/1.13+20)*原料中间表!C9)/(Q5+原料中间表!C9)</f>
        <v>1283.5090861798774</v>
      </c>
      <c r="U5" s="347" t="s">
        <v>150</v>
      </c>
      <c r="V5" s="344">
        <v>1000</v>
      </c>
      <c r="W5" s="347" t="s">
        <v>148</v>
      </c>
      <c r="X5" s="355">
        <f>V5*0.292*1.5492</f>
        <v>452.3664</v>
      </c>
    </row>
    <row r="6" spans="1:24" ht="21.9" customHeight="1">
      <c r="A6" s="344">
        <v>3</v>
      </c>
      <c r="B6" s="347" t="s">
        <v>151</v>
      </c>
      <c r="C6" s="346">
        <v>439.78</v>
      </c>
      <c r="D6" s="346">
        <v>2000</v>
      </c>
      <c r="E6" s="346"/>
      <c r="F6" s="346">
        <v>446.24</v>
      </c>
      <c r="G6" s="346">
        <v>459.02</v>
      </c>
      <c r="H6" s="344">
        <f>原料中间表!D10</f>
        <v>500</v>
      </c>
      <c r="I6" s="346">
        <f t="shared" ref="I6:I12" si="3">S6</f>
        <v>457.47787610619474</v>
      </c>
      <c r="J6" s="344">
        <v>0</v>
      </c>
      <c r="K6" s="352">
        <v>0</v>
      </c>
      <c r="L6" s="344"/>
      <c r="M6" s="344">
        <f t="shared" si="2"/>
        <v>0</v>
      </c>
      <c r="N6" s="344">
        <f t="shared" si="0"/>
        <v>0</v>
      </c>
      <c r="O6" s="344">
        <f t="shared" si="1"/>
        <v>0</v>
      </c>
      <c r="Q6" s="360"/>
      <c r="R6" s="360">
        <v>459.02</v>
      </c>
      <c r="S6" s="360">
        <f>H6/1.13+15</f>
        <v>457.47787610619474</v>
      </c>
      <c r="U6" s="347" t="s">
        <v>152</v>
      </c>
      <c r="V6" s="344">
        <v>1300</v>
      </c>
      <c r="W6" s="347" t="s">
        <v>148</v>
      </c>
      <c r="X6" s="355">
        <f>V6*8.6905</f>
        <v>11297.65</v>
      </c>
    </row>
    <row r="7" spans="1:24" ht="21.9" customHeight="1">
      <c r="A7" s="344">
        <v>4</v>
      </c>
      <c r="B7" s="347" t="s">
        <v>117</v>
      </c>
      <c r="C7" s="346">
        <v>439.78</v>
      </c>
      <c r="D7" s="346">
        <v>5000</v>
      </c>
      <c r="E7" s="346"/>
      <c r="F7" s="346">
        <v>446.24</v>
      </c>
      <c r="G7" s="346">
        <v>450.51</v>
      </c>
      <c r="H7" s="344">
        <f>原料中间表!D11</f>
        <v>470</v>
      </c>
      <c r="I7" s="346">
        <f t="shared" si="3"/>
        <v>433.4070005806949</v>
      </c>
      <c r="J7" s="344">
        <v>8000</v>
      </c>
      <c r="K7" s="352">
        <v>7500</v>
      </c>
      <c r="L7" s="344"/>
      <c r="M7" s="344">
        <f t="shared" si="2"/>
        <v>-4.7797495644788057</v>
      </c>
      <c r="N7" s="344">
        <f t="shared" si="0"/>
        <v>-9.624749564478833</v>
      </c>
      <c r="O7" s="344">
        <f t="shared" si="1"/>
        <v>-12.827249564478819</v>
      </c>
      <c r="Q7" s="360">
        <v>1159</v>
      </c>
      <c r="R7" s="360">
        <v>450.51</v>
      </c>
      <c r="S7" s="360">
        <f>(Q7*R7+(原料中间表!D11/1.13+15)*(原料中间表!C11))/(Q7+原料中间表!C11)</f>
        <v>433.4070005806949</v>
      </c>
      <c r="U7" s="347" t="s">
        <v>153</v>
      </c>
      <c r="V7" s="344">
        <v>18600</v>
      </c>
      <c r="W7" s="347" t="s">
        <v>154</v>
      </c>
      <c r="X7" s="355">
        <f>V7*1.045*0.3293</f>
        <v>6400.6040999999996</v>
      </c>
    </row>
    <row r="8" spans="1:24" ht="21.9" customHeight="1">
      <c r="A8" s="344">
        <v>5</v>
      </c>
      <c r="B8" s="347" t="s">
        <v>118</v>
      </c>
      <c r="C8" s="346">
        <v>389.38</v>
      </c>
      <c r="D8" s="346">
        <v>4500</v>
      </c>
      <c r="E8" s="346"/>
      <c r="F8" s="346">
        <v>417.7</v>
      </c>
      <c r="G8" s="346">
        <v>417.7</v>
      </c>
      <c r="H8" s="344">
        <f>原料中间表!D12</f>
        <v>450</v>
      </c>
      <c r="I8" s="346">
        <f t="shared" si="3"/>
        <v>398.23008849557527</v>
      </c>
      <c r="J8" s="344">
        <v>5000</v>
      </c>
      <c r="K8" s="352">
        <v>4500</v>
      </c>
      <c r="L8" s="344"/>
      <c r="M8" s="344">
        <f t="shared" si="2"/>
        <v>3.9825398230088749</v>
      </c>
      <c r="N8" s="344">
        <f t="shared" si="0"/>
        <v>-8.7614601769911218</v>
      </c>
      <c r="O8" s="344">
        <f t="shared" si="1"/>
        <v>-8.7614601769911218</v>
      </c>
      <c r="Q8" s="360"/>
      <c r="R8" s="360">
        <v>417.7</v>
      </c>
      <c r="S8" s="360">
        <f>(Q8*R8+(原料中间表!D12/1.13)*(原料中间表!C12))/(Q8+原料中间表!C12)</f>
        <v>398.23008849557527</v>
      </c>
      <c r="U8" s="347" t="s">
        <v>155</v>
      </c>
      <c r="V8" s="344"/>
      <c r="W8" s="347" t="s">
        <v>151</v>
      </c>
      <c r="X8" s="344">
        <f>V8*1.62</f>
        <v>0</v>
      </c>
    </row>
    <row r="9" spans="1:24" ht="21.9" customHeight="1">
      <c r="A9" s="344">
        <v>6</v>
      </c>
      <c r="B9" s="347" t="s">
        <v>119</v>
      </c>
      <c r="C9" s="346">
        <v>1504.42</v>
      </c>
      <c r="D9" s="346">
        <v>12500</v>
      </c>
      <c r="E9" s="346">
        <v>10760.585494999999</v>
      </c>
      <c r="F9" s="346">
        <v>935.21</v>
      </c>
      <c r="G9" s="346">
        <v>1000.41</v>
      </c>
      <c r="H9" s="344">
        <f>原料中间表!D13</f>
        <v>1000</v>
      </c>
      <c r="I9" s="346">
        <f t="shared" si="3"/>
        <v>949.70419093291162</v>
      </c>
      <c r="J9" s="344">
        <v>6000</v>
      </c>
      <c r="K9" s="352">
        <v>6700</v>
      </c>
      <c r="L9" s="344">
        <f>X7</f>
        <v>6400.6040999999996</v>
      </c>
      <c r="M9" s="344">
        <f t="shared" si="2"/>
        <v>-16.607963889986934</v>
      </c>
      <c r="N9" s="344">
        <f t="shared" si="0"/>
        <v>0.43395013391309084</v>
      </c>
      <c r="O9" s="344">
        <f t="shared" si="1"/>
        <v>-1.51811113408691</v>
      </c>
      <c r="Q9" s="360">
        <v>7425</v>
      </c>
      <c r="R9" s="360">
        <v>1000.41</v>
      </c>
      <c r="S9" s="360">
        <f>(Q9*R9+((原料中间表!D13)/1.13+2)*原料中间表!C13)/(Q9+原料中间表!C13)</f>
        <v>949.70419093291162</v>
      </c>
      <c r="U9" s="347" t="s">
        <v>156</v>
      </c>
      <c r="V9" s="344">
        <v>8800</v>
      </c>
      <c r="W9" s="347" t="s">
        <v>120</v>
      </c>
      <c r="X9" s="344">
        <f>V9*1.03</f>
        <v>9064</v>
      </c>
    </row>
    <row r="10" spans="1:24" ht="21.9" customHeight="1">
      <c r="A10" s="344">
        <v>7</v>
      </c>
      <c r="B10" s="347" t="s">
        <v>120</v>
      </c>
      <c r="C10" s="346">
        <v>5462.7</v>
      </c>
      <c r="D10" s="346">
        <v>35072.32</v>
      </c>
      <c r="E10" s="346">
        <v>14420</v>
      </c>
      <c r="F10" s="346">
        <v>6250.87</v>
      </c>
      <c r="G10" s="346">
        <v>6441.31</v>
      </c>
      <c r="H10" s="344">
        <f>原料中间表!D14</f>
        <v>7239</v>
      </c>
      <c r="I10" s="346">
        <f t="shared" si="3"/>
        <v>6441.2190406251812</v>
      </c>
      <c r="J10" s="344">
        <v>34000</v>
      </c>
      <c r="K10" s="352">
        <v>34000</v>
      </c>
      <c r="L10" s="344">
        <f>X9</f>
        <v>9064</v>
      </c>
      <c r="M10" s="344">
        <f t="shared" si="2"/>
        <v>2440.0350797029523</v>
      </c>
      <c r="N10" s="344">
        <f t="shared" si="0"/>
        <v>474.65436770295202</v>
      </c>
      <c r="O10" s="344">
        <f t="shared" si="1"/>
        <v>-0.22681629704927983</v>
      </c>
      <c r="Q10" s="360">
        <v>9102</v>
      </c>
      <c r="R10" s="360">
        <v>6441.31</v>
      </c>
      <c r="S10" s="360">
        <f>(Q10*R10+(原料中间表!D14/1.13+35)*原料中间表!C14)/(Q10+原料中间表!C14)</f>
        <v>6441.2190406251812</v>
      </c>
      <c r="U10" s="347" t="s">
        <v>157</v>
      </c>
      <c r="V10" s="344">
        <f>V9*0.076</f>
        <v>668.8</v>
      </c>
      <c r="W10" s="347" t="s">
        <v>148</v>
      </c>
      <c r="X10" s="344">
        <f>V10*8.6</f>
        <v>5751.6799999999994</v>
      </c>
    </row>
    <row r="11" spans="1:24" ht="21.9" customHeight="1">
      <c r="A11" s="344">
        <v>8</v>
      </c>
      <c r="B11" s="347" t="s">
        <v>121</v>
      </c>
      <c r="C11" s="346">
        <v>5757.21</v>
      </c>
      <c r="D11" s="346">
        <v>2050</v>
      </c>
      <c r="E11" s="346"/>
      <c r="F11" s="346">
        <v>4742.12</v>
      </c>
      <c r="G11" s="346">
        <v>4505.7</v>
      </c>
      <c r="H11" s="344">
        <f>原料中间表!D15</f>
        <v>5900</v>
      </c>
      <c r="I11" s="346">
        <f t="shared" si="3"/>
        <v>5042.2981007323033</v>
      </c>
      <c r="J11" s="344">
        <v>2150</v>
      </c>
      <c r="K11" s="352">
        <v>2100</v>
      </c>
      <c r="L11" s="344"/>
      <c r="M11" s="344">
        <f t="shared" si="2"/>
        <v>-150.13149884621632</v>
      </c>
      <c r="N11" s="344">
        <f t="shared" si="0"/>
        <v>63.037401153783712</v>
      </c>
      <c r="O11" s="344">
        <f t="shared" si="1"/>
        <v>112.68560115378374</v>
      </c>
      <c r="Q11" s="360">
        <v>737</v>
      </c>
      <c r="R11" s="360">
        <v>4505.7</v>
      </c>
      <c r="S11" s="360">
        <f>(Q11*R11+(原料中间表!D15/1.13+5)*原料中间表!C15)/(Q11+原料中间表!C15)</f>
        <v>5042.2981007323033</v>
      </c>
    </row>
    <row r="12" spans="1:24" ht="21.9" customHeight="1">
      <c r="A12" s="344">
        <v>9</v>
      </c>
      <c r="B12" s="347" t="s">
        <v>158</v>
      </c>
      <c r="C12" s="346">
        <v>13279.34</v>
      </c>
      <c r="D12" s="346">
        <v>585</v>
      </c>
      <c r="E12" s="346"/>
      <c r="F12" s="346">
        <v>8878.93</v>
      </c>
      <c r="G12" s="346">
        <v>9246.33</v>
      </c>
      <c r="H12" s="344">
        <f>原料中间表!D16</f>
        <v>10300</v>
      </c>
      <c r="I12" s="346">
        <f t="shared" si="3"/>
        <v>9176.9966458441795</v>
      </c>
      <c r="J12" s="344">
        <v>560</v>
      </c>
      <c r="K12" s="352">
        <v>750</v>
      </c>
      <c r="L12" s="344"/>
      <c r="M12" s="344">
        <f t="shared" si="2"/>
        <v>-307.67575156168652</v>
      </c>
      <c r="N12" s="344">
        <f t="shared" si="0"/>
        <v>22.354998438313441</v>
      </c>
      <c r="O12" s="344">
        <f t="shared" si="1"/>
        <v>-5.2000015616865314</v>
      </c>
      <c r="Q12" s="360">
        <v>460</v>
      </c>
      <c r="R12" s="360">
        <v>9246.33</v>
      </c>
      <c r="S12" s="360">
        <f>(Q12*R12+(原料中间表!D16/1.13+5)*原料中间表!C16)/(Q12+原料中间表!C16)</f>
        <v>9176.9966458441795</v>
      </c>
    </row>
    <row r="13" spans="1:24" ht="21.9" customHeight="1">
      <c r="A13" s="344">
        <v>10</v>
      </c>
      <c r="B13" s="347" t="s">
        <v>28</v>
      </c>
      <c r="C13" s="346"/>
      <c r="D13" s="346"/>
      <c r="E13" s="346"/>
      <c r="F13" s="346"/>
      <c r="G13" s="344"/>
      <c r="H13" s="344">
        <v>0</v>
      </c>
      <c r="I13" s="346">
        <v>0</v>
      </c>
      <c r="J13" s="344">
        <v>0</v>
      </c>
      <c r="K13" s="344">
        <v>0</v>
      </c>
      <c r="L13" s="344"/>
      <c r="M13" s="344"/>
      <c r="N13" s="344"/>
      <c r="O13" s="344"/>
      <c r="P13" s="360"/>
      <c r="Q13" s="360">
        <v>0</v>
      </c>
      <c r="R13" s="360">
        <v>0</v>
      </c>
      <c r="S13" s="360"/>
    </row>
    <row r="14" spans="1:24" ht="21.9" customHeight="1">
      <c r="A14" s="344">
        <v>11</v>
      </c>
      <c r="B14" s="357" t="s">
        <v>159</v>
      </c>
      <c r="C14" s="346"/>
      <c r="D14" s="346"/>
      <c r="E14" s="346"/>
      <c r="F14" s="346"/>
      <c r="G14" s="344"/>
      <c r="H14" s="344">
        <v>0</v>
      </c>
      <c r="I14" s="346">
        <v>0</v>
      </c>
      <c r="J14" s="344">
        <v>0</v>
      </c>
      <c r="K14" s="344">
        <v>0</v>
      </c>
      <c r="L14" s="344"/>
      <c r="M14" s="344"/>
      <c r="N14" s="344"/>
      <c r="O14" s="344"/>
      <c r="P14" s="360"/>
      <c r="Q14" s="360"/>
      <c r="R14" s="360"/>
      <c r="S14" s="360"/>
    </row>
    <row r="15" spans="1:24" ht="21.9" customHeight="1">
      <c r="A15" s="477" t="s">
        <v>69</v>
      </c>
      <c r="B15" s="478"/>
      <c r="C15" s="348"/>
      <c r="D15" s="348"/>
      <c r="E15" s="348"/>
      <c r="F15" s="348"/>
      <c r="G15" s="348"/>
      <c r="H15" s="348"/>
      <c r="I15" s="348"/>
      <c r="J15" s="348"/>
      <c r="K15" s="354"/>
      <c r="L15" s="354"/>
      <c r="M15" s="354">
        <f>-SUM(M4:M14)</f>
        <v>-3545.1295741582671</v>
      </c>
      <c r="N15" s="354">
        <f>-SUM(N4:N14)</f>
        <v>-596.64842880101912</v>
      </c>
      <c r="O15" s="354">
        <f>-SUM(O4:O14)</f>
        <v>-126.74108362976578</v>
      </c>
      <c r="P15" s="360"/>
      <c r="Q15" s="360">
        <v>0</v>
      </c>
      <c r="R15" s="360">
        <v>0</v>
      </c>
      <c r="S15" s="360"/>
    </row>
    <row r="16" spans="1:24" s="322" customFormat="1" ht="21.9" customHeight="1">
      <c r="A16" s="312"/>
      <c r="B16" s="312"/>
      <c r="C16" s="312"/>
      <c r="D16" s="312"/>
      <c r="E16" s="312"/>
      <c r="F16" s="312"/>
      <c r="G16" s="312"/>
      <c r="H16" s="312"/>
      <c r="I16" s="312"/>
      <c r="J16" s="312"/>
      <c r="K16" s="339"/>
      <c r="L16" s="339"/>
      <c r="M16" s="339"/>
      <c r="N16" s="339"/>
      <c r="O16" s="339"/>
      <c r="P16" s="360"/>
      <c r="Q16" s="360"/>
      <c r="R16" s="360"/>
      <c r="S16" s="360"/>
      <c r="T16" s="312"/>
    </row>
    <row r="17" spans="11:11" ht="21.9" customHeight="1"/>
    <row r="18" spans="11:11" ht="21.9" customHeight="1"/>
    <row r="19" spans="11:11" hidden="1"/>
    <row r="20" spans="11:11">
      <c r="K20" s="312"/>
    </row>
    <row r="21" spans="11:11">
      <c r="K21" s="312"/>
    </row>
    <row r="22" spans="11:11">
      <c r="K22" s="312"/>
    </row>
  </sheetData>
  <mergeCells count="2">
    <mergeCell ref="A1:O1"/>
    <mergeCell ref="A15:B15"/>
  </mergeCells>
  <phoneticPr fontId="117" type="noConversion"/>
  <pageMargins left="0.15748031496063" right="0.15748031496063" top="0.74803149606299202" bottom="0.59055118110236204" header="0.511811023622047" footer="0.511811023622047"/>
  <pageSetup paperSize="9" scale="9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6"/>
  <sheetViews>
    <sheetView zoomScale="120" zoomScaleNormal="120" workbookViewId="0">
      <selection activeCell="O12" sqref="O12"/>
    </sheetView>
  </sheetViews>
  <sheetFormatPr defaultColWidth="9" defaultRowHeight="15.6"/>
  <cols>
    <col min="1" max="1" width="4.88671875" style="312" customWidth="1"/>
    <col min="2" max="2" width="7.77734375" style="312" customWidth="1"/>
    <col min="3" max="3" width="9.77734375" style="312" customWidth="1"/>
    <col min="4" max="4" width="10.44140625" style="312" customWidth="1"/>
    <col min="5" max="5" width="9.109375" style="312" customWidth="1"/>
    <col min="6" max="6" width="8.88671875" style="312" customWidth="1"/>
    <col min="7" max="7" width="9.88671875" style="312" customWidth="1"/>
    <col min="8" max="8" width="8.88671875" style="312" customWidth="1"/>
    <col min="9" max="9" width="12" style="312" customWidth="1"/>
    <col min="10" max="10" width="9.109375" style="339" customWidth="1"/>
    <col min="11" max="11" width="9" style="339" customWidth="1"/>
    <col min="12" max="12" width="12" style="339" customWidth="1"/>
    <col min="13" max="13" width="10" style="339" customWidth="1"/>
    <col min="14" max="14" width="5.21875" style="312" customWidth="1"/>
    <col min="15" max="15" width="17.77734375" style="312" customWidth="1"/>
    <col min="16" max="16" width="10" style="312" customWidth="1"/>
    <col min="17" max="16384" width="9" style="312"/>
  </cols>
  <sheetData>
    <row r="1" spans="1:19" s="338" customFormat="1" ht="30" customHeight="1">
      <c r="A1" s="476" t="s">
        <v>160</v>
      </c>
      <c r="B1" s="476"/>
      <c r="C1" s="476"/>
      <c r="D1" s="476"/>
      <c r="E1" s="476"/>
      <c r="F1" s="476"/>
      <c r="G1" s="476"/>
      <c r="H1" s="476"/>
      <c r="I1" s="476"/>
      <c r="J1" s="476"/>
      <c r="K1" s="476"/>
      <c r="L1" s="476"/>
      <c r="M1" s="476"/>
    </row>
    <row r="2" spans="1:19" ht="20.399999999999999">
      <c r="A2" s="340" t="s">
        <v>161</v>
      </c>
      <c r="B2" s="341"/>
      <c r="C2" s="341"/>
      <c r="D2" s="341"/>
      <c r="E2" s="341"/>
      <c r="F2" s="341"/>
      <c r="G2" s="341"/>
      <c r="H2" s="341"/>
      <c r="I2" s="341"/>
      <c r="J2" s="349"/>
      <c r="K2" s="349"/>
      <c r="L2" s="350" t="s">
        <v>127</v>
      </c>
      <c r="M2" s="349"/>
    </row>
    <row r="3" spans="1:19" ht="63.75" customHeight="1">
      <c r="A3" s="342" t="s">
        <v>162</v>
      </c>
      <c r="B3" s="342" t="s">
        <v>163</v>
      </c>
      <c r="C3" s="343" t="s">
        <v>129</v>
      </c>
      <c r="D3" s="343" t="s">
        <v>164</v>
      </c>
      <c r="E3" s="343" t="s">
        <v>165</v>
      </c>
      <c r="F3" s="343" t="s">
        <v>166</v>
      </c>
      <c r="G3" s="343" t="s">
        <v>167</v>
      </c>
      <c r="H3" s="343" t="s">
        <v>168</v>
      </c>
      <c r="I3" s="343" t="s">
        <v>169</v>
      </c>
      <c r="J3" s="351" t="s">
        <v>137</v>
      </c>
      <c r="K3" s="351" t="s">
        <v>170</v>
      </c>
      <c r="L3" s="343" t="s">
        <v>138</v>
      </c>
      <c r="M3" s="343" t="s">
        <v>171</v>
      </c>
      <c r="O3" s="343" t="s">
        <v>143</v>
      </c>
      <c r="P3" s="343" t="s">
        <v>144</v>
      </c>
      <c r="Q3" s="343" t="s">
        <v>145</v>
      </c>
      <c r="R3" s="343" t="s">
        <v>146</v>
      </c>
    </row>
    <row r="4" spans="1:19" ht="21.9" customHeight="1">
      <c r="A4" s="344">
        <v>1</v>
      </c>
      <c r="B4" s="345" t="s">
        <v>147</v>
      </c>
      <c r="C4" s="346">
        <v>931.5</v>
      </c>
      <c r="D4" s="344">
        <f>原料本月!H4</f>
        <v>1279</v>
      </c>
      <c r="E4" s="344">
        <f>原料本月!I4</f>
        <v>1073.3324893710096</v>
      </c>
      <c r="F4" s="344">
        <f>原料中间表!G8</f>
        <v>1350</v>
      </c>
      <c r="G4" s="346">
        <f>原料中间表!J8</f>
        <v>1174.3287221974338</v>
      </c>
      <c r="H4" s="344">
        <f>原料中间表!F8</f>
        <v>41000</v>
      </c>
      <c r="I4" s="344">
        <f>(F4-D4)*H4/10000</f>
        <v>291.10000000000002</v>
      </c>
      <c r="J4" s="352">
        <v>37200</v>
      </c>
      <c r="K4" s="344">
        <f>J4*0.5</f>
        <v>18600</v>
      </c>
      <c r="L4" s="344">
        <f>(G4-C4)*(J4-K4)/10000</f>
        <v>451.6614232872268</v>
      </c>
      <c r="M4" s="344">
        <f>(G4-E4)*(J4-K4)/10000</f>
        <v>187.85299305714889</v>
      </c>
      <c r="N4" s="353"/>
      <c r="O4" s="347" t="s">
        <v>28</v>
      </c>
      <c r="P4" s="344">
        <v>11200</v>
      </c>
      <c r="Q4" s="347" t="s">
        <v>148</v>
      </c>
      <c r="R4" s="344">
        <f>P4*1.5492</f>
        <v>17351.039999999997</v>
      </c>
    </row>
    <row r="5" spans="1:19" ht="21.9" customHeight="1">
      <c r="A5" s="344">
        <v>2</v>
      </c>
      <c r="B5" s="347" t="s">
        <v>149</v>
      </c>
      <c r="C5" s="346">
        <v>890.71</v>
      </c>
      <c r="D5" s="344">
        <f>原料本月!H5</f>
        <v>1412</v>
      </c>
      <c r="E5" s="344">
        <f>原料本月!I5</f>
        <v>1283.5090861798774</v>
      </c>
      <c r="F5" s="344">
        <f>原料中间表!G9</f>
        <v>1550</v>
      </c>
      <c r="G5" s="346">
        <f>原料中间表!J9</f>
        <v>1356.5802683559064</v>
      </c>
      <c r="H5" s="344">
        <f>原料中间表!F9</f>
        <v>65000</v>
      </c>
      <c r="I5" s="344">
        <f>(F5-D5)*H5/10000</f>
        <v>897</v>
      </c>
      <c r="J5" s="352">
        <v>65694</v>
      </c>
      <c r="K5" s="344">
        <f>R4+R5+R6+R10</f>
        <v>32177.865399999995</v>
      </c>
      <c r="L5" s="344">
        <f>(G5-C5)*(J5-K5)/10000</f>
        <v>1561.4170620354678</v>
      </c>
      <c r="M5" s="344">
        <f>(G5-E5)*(J5-K5)/10000</f>
        <v>244.90635771929081</v>
      </c>
      <c r="N5" s="353"/>
      <c r="O5" s="347" t="s">
        <v>150</v>
      </c>
      <c r="P5" s="344">
        <v>1000</v>
      </c>
      <c r="Q5" s="347" t="s">
        <v>148</v>
      </c>
      <c r="R5" s="355">
        <f>P5*0.292*1.5492</f>
        <v>452.3664</v>
      </c>
    </row>
    <row r="6" spans="1:19" ht="21.9" customHeight="1">
      <c r="A6" s="344">
        <v>4</v>
      </c>
      <c r="B6" s="347" t="s">
        <v>151</v>
      </c>
      <c r="C6" s="346">
        <v>439.78</v>
      </c>
      <c r="D6" s="344">
        <f>原料本月!H6</f>
        <v>500</v>
      </c>
      <c r="E6" s="344">
        <f>原料本月!I6</f>
        <v>457.47787610619474</v>
      </c>
      <c r="F6" s="344">
        <f>原料中间表!G10</f>
        <v>490</v>
      </c>
      <c r="G6" s="346">
        <f>原料中间表!J10</f>
        <v>448.62831858407083</v>
      </c>
      <c r="H6" s="344">
        <f>原料中间表!F10</f>
        <v>0</v>
      </c>
      <c r="I6" s="344">
        <f t="shared" ref="I6:I12" si="0">(F6-D6)*H6/10000</f>
        <v>0</v>
      </c>
      <c r="J6" s="352">
        <v>0</v>
      </c>
      <c r="K6" s="344"/>
      <c r="L6" s="344">
        <f>(G6-C6)*(J6-K6)/10000</f>
        <v>0</v>
      </c>
      <c r="M6" s="344">
        <f>(G6-E6)*(J6-K6)/10000</f>
        <v>0</v>
      </c>
      <c r="N6" s="353"/>
      <c r="O6" s="347" t="s">
        <v>152</v>
      </c>
      <c r="P6" s="344">
        <v>1278</v>
      </c>
      <c r="Q6" s="347" t="s">
        <v>148</v>
      </c>
      <c r="R6" s="355">
        <f>P6*8.6905</f>
        <v>11106.459000000001</v>
      </c>
    </row>
    <row r="7" spans="1:19" ht="21.9" customHeight="1">
      <c r="A7" s="344">
        <v>5</v>
      </c>
      <c r="B7" s="347" t="s">
        <v>117</v>
      </c>
      <c r="C7" s="346">
        <v>439.78</v>
      </c>
      <c r="D7" s="344">
        <f>原料本月!H7</f>
        <v>470</v>
      </c>
      <c r="E7" s="344">
        <f>原料本月!I7</f>
        <v>433.4070005806949</v>
      </c>
      <c r="F7" s="344">
        <f>原料中间表!G11</f>
        <v>480</v>
      </c>
      <c r="G7" s="346">
        <f>原料中间表!J11</f>
        <v>437.56249654672888</v>
      </c>
      <c r="H7" s="344">
        <f>原料中间表!F11</f>
        <v>7500</v>
      </c>
      <c r="I7" s="344">
        <f t="shared" si="0"/>
        <v>7.5</v>
      </c>
      <c r="J7" s="352">
        <v>7500</v>
      </c>
      <c r="K7" s="344"/>
      <c r="L7" s="344">
        <f t="shared" ref="L7:L12" si="1">(G7-C7)*(J7-K7)/10000</f>
        <v>-1.6631275899533193</v>
      </c>
      <c r="M7" s="344">
        <f t="shared" ref="M7:M12" si="2">(G7-E7)*(J7-K7)/10000</f>
        <v>3.1166219745254864</v>
      </c>
      <c r="N7" s="353"/>
      <c r="O7" s="347" t="s">
        <v>153</v>
      </c>
      <c r="P7" s="344">
        <v>17900</v>
      </c>
      <c r="Q7" s="347" t="s">
        <v>119</v>
      </c>
      <c r="R7" s="355">
        <f>P7*1.045*0.3293</f>
        <v>6159.7211499999994</v>
      </c>
    </row>
    <row r="8" spans="1:19" ht="21.9" customHeight="1">
      <c r="A8" s="344">
        <v>6</v>
      </c>
      <c r="B8" s="347" t="s">
        <v>118</v>
      </c>
      <c r="C8" s="346">
        <v>389.38</v>
      </c>
      <c r="D8" s="344">
        <f>原料本月!H8</f>
        <v>450</v>
      </c>
      <c r="E8" s="344">
        <f>原料本月!I8</f>
        <v>398.23008849557527</v>
      </c>
      <c r="F8" s="344">
        <f>原料中间表!G12</f>
        <v>450</v>
      </c>
      <c r="G8" s="346">
        <f>原料中间表!J12</f>
        <v>398.23008849557527</v>
      </c>
      <c r="H8" s="344">
        <f>原料中间表!F12</f>
        <v>5000</v>
      </c>
      <c r="I8" s="344">
        <f t="shared" si="0"/>
        <v>0</v>
      </c>
      <c r="J8" s="352">
        <v>5000</v>
      </c>
      <c r="K8" s="344"/>
      <c r="L8" s="344">
        <f t="shared" si="1"/>
        <v>4.4250442477876391</v>
      </c>
      <c r="M8" s="344">
        <f t="shared" si="2"/>
        <v>0</v>
      </c>
      <c r="N8" s="353"/>
      <c r="O8" s="347" t="s">
        <v>155</v>
      </c>
      <c r="P8" s="344"/>
      <c r="Q8" s="347" t="s">
        <v>151</v>
      </c>
      <c r="R8" s="344">
        <f>P8*1.62</f>
        <v>0</v>
      </c>
    </row>
    <row r="9" spans="1:19" ht="21.9" customHeight="1">
      <c r="A9" s="344">
        <v>7</v>
      </c>
      <c r="B9" s="347" t="s">
        <v>119</v>
      </c>
      <c r="C9" s="346">
        <v>1504.42</v>
      </c>
      <c r="D9" s="344">
        <f>原料本月!H9</f>
        <v>1000</v>
      </c>
      <c r="E9" s="344">
        <f>原料本月!I9</f>
        <v>949.70419093291162</v>
      </c>
      <c r="F9" s="344">
        <f>原料中间表!G13</f>
        <v>1215</v>
      </c>
      <c r="G9" s="346">
        <f>原料中间表!J13</f>
        <v>1010.9123739753795</v>
      </c>
      <c r="H9" s="344">
        <f>原料中间表!F13</f>
        <v>6000</v>
      </c>
      <c r="I9" s="344">
        <f t="shared" si="0"/>
        <v>129</v>
      </c>
      <c r="J9" s="352">
        <v>6200</v>
      </c>
      <c r="K9" s="344">
        <f>R7</f>
        <v>6159.7211499999994</v>
      </c>
      <c r="L9" s="344">
        <f t="shared" si="1"/>
        <v>-1.9877919642502087</v>
      </c>
      <c r="M9" s="344">
        <f t="shared" si="2"/>
        <v>0.24653952235401452</v>
      </c>
      <c r="N9" s="353"/>
      <c r="O9" s="347" t="s">
        <v>156</v>
      </c>
      <c r="P9" s="344">
        <v>5000</v>
      </c>
      <c r="Q9" s="347" t="s">
        <v>120</v>
      </c>
      <c r="R9" s="344">
        <f>P9*1.03</f>
        <v>5150</v>
      </c>
    </row>
    <row r="10" spans="1:19" ht="21.9" customHeight="1">
      <c r="A10" s="344">
        <v>8</v>
      </c>
      <c r="B10" s="347" t="s">
        <v>120</v>
      </c>
      <c r="C10" s="346">
        <v>5462.7</v>
      </c>
      <c r="D10" s="344">
        <f>原料本月!H10</f>
        <v>7239</v>
      </c>
      <c r="E10" s="344">
        <f>原料本月!I10</f>
        <v>6441.2190406251812</v>
      </c>
      <c r="F10" s="344">
        <f>原料中间表!G14</f>
        <v>7172</v>
      </c>
      <c r="G10" s="346">
        <f>原料中间表!J14</f>
        <v>6402.6185985015727</v>
      </c>
      <c r="H10" s="344">
        <f>原料中间表!F14</f>
        <v>33500</v>
      </c>
      <c r="I10" s="344">
        <f t="shared" si="0"/>
        <v>-224.45</v>
      </c>
      <c r="J10" s="352">
        <v>32400</v>
      </c>
      <c r="K10" s="344">
        <f>R9</f>
        <v>5150</v>
      </c>
      <c r="L10" s="344">
        <f t="shared" si="1"/>
        <v>2561.2781809167864</v>
      </c>
      <c r="M10" s="344">
        <f t="shared" si="2"/>
        <v>-105.186204786833</v>
      </c>
      <c r="N10" s="353"/>
      <c r="O10" s="347" t="s">
        <v>157</v>
      </c>
      <c r="P10" s="344">
        <f>P9*0.076</f>
        <v>380</v>
      </c>
      <c r="Q10" s="347" t="s">
        <v>148</v>
      </c>
      <c r="R10" s="344">
        <f>P10*8.6</f>
        <v>3268</v>
      </c>
    </row>
    <row r="11" spans="1:19" ht="21.9" customHeight="1">
      <c r="A11" s="344">
        <v>9</v>
      </c>
      <c r="B11" s="347" t="s">
        <v>121</v>
      </c>
      <c r="C11" s="346">
        <v>5757.21</v>
      </c>
      <c r="D11" s="344">
        <f>原料本月!H11</f>
        <v>5900</v>
      </c>
      <c r="E11" s="344">
        <f>原料本月!I11</f>
        <v>5042.2981007323033</v>
      </c>
      <c r="F11" s="344">
        <f>原料中间表!G15</f>
        <v>6000</v>
      </c>
      <c r="G11" s="346">
        <f>原料中间表!J15</f>
        <v>5250.7458896879516</v>
      </c>
      <c r="H11" s="344">
        <f>原料中间表!F15</f>
        <v>2150</v>
      </c>
      <c r="I11" s="344">
        <f t="shared" si="0"/>
        <v>21.5</v>
      </c>
      <c r="J11" s="352">
        <v>2126</v>
      </c>
      <c r="K11" s="344"/>
      <c r="L11" s="344">
        <f t="shared" si="1"/>
        <v>-107.6742698523415</v>
      </c>
      <c r="M11" s="344">
        <f t="shared" si="2"/>
        <v>44.315999931970829</v>
      </c>
      <c r="N11" s="353"/>
    </row>
    <row r="12" spans="1:19" ht="21.9" customHeight="1">
      <c r="A12" s="344">
        <v>10</v>
      </c>
      <c r="B12" s="347" t="s">
        <v>158</v>
      </c>
      <c r="C12" s="346">
        <v>13279.34</v>
      </c>
      <c r="D12" s="344">
        <f>原料本月!H12</f>
        <v>10300</v>
      </c>
      <c r="E12" s="344">
        <f>原料本月!I12</f>
        <v>9176.9966458441795</v>
      </c>
      <c r="F12" s="344">
        <f>原料中间表!G16</f>
        <v>11700</v>
      </c>
      <c r="G12" s="346">
        <f>原料中间表!J16</f>
        <v>10044.624413906025</v>
      </c>
      <c r="H12" s="344">
        <f>原料中间表!F16</f>
        <v>690</v>
      </c>
      <c r="I12" s="344">
        <f t="shared" si="0"/>
        <v>96.6</v>
      </c>
      <c r="J12" s="352">
        <v>620</v>
      </c>
      <c r="K12" s="344"/>
      <c r="L12" s="344">
        <f t="shared" si="1"/>
        <v>-200.55236633782644</v>
      </c>
      <c r="M12" s="344">
        <f t="shared" si="2"/>
        <v>53.792921619834445</v>
      </c>
      <c r="N12" s="353"/>
    </row>
    <row r="13" spans="1:19" ht="21.9" customHeight="1">
      <c r="A13" s="344">
        <v>11</v>
      </c>
      <c r="B13" s="347" t="s">
        <v>28</v>
      </c>
      <c r="C13" s="346">
        <v>0</v>
      </c>
      <c r="D13" s="344">
        <v>0</v>
      </c>
      <c r="E13" s="344"/>
      <c r="F13" s="344"/>
      <c r="G13" s="346">
        <f>原料中间表!J17</f>
        <v>0</v>
      </c>
      <c r="H13" s="344"/>
      <c r="I13" s="344"/>
      <c r="J13" s="344">
        <v>0</v>
      </c>
      <c r="K13" s="344"/>
      <c r="L13" s="344"/>
      <c r="M13" s="344"/>
    </row>
    <row r="14" spans="1:19" ht="21.9" customHeight="1">
      <c r="A14" s="344">
        <v>12</v>
      </c>
      <c r="B14" s="347" t="s">
        <v>159</v>
      </c>
      <c r="C14" s="346">
        <v>0</v>
      </c>
      <c r="D14" s="344">
        <v>0</v>
      </c>
      <c r="E14" s="344"/>
      <c r="F14" s="344"/>
      <c r="G14" s="344"/>
      <c r="H14" s="344"/>
      <c r="I14" s="344"/>
      <c r="J14" s="344">
        <v>0</v>
      </c>
      <c r="K14" s="344"/>
      <c r="L14" s="344"/>
      <c r="M14" s="344"/>
    </row>
    <row r="15" spans="1:19" s="322" customFormat="1" ht="21.9" customHeight="1">
      <c r="A15" s="477" t="s">
        <v>69</v>
      </c>
      <c r="B15" s="478"/>
      <c r="C15" s="348"/>
      <c r="D15" s="348"/>
      <c r="E15" s="348"/>
      <c r="F15" s="348"/>
      <c r="G15" s="348"/>
      <c r="H15" s="348"/>
      <c r="I15" s="354">
        <f>SUM(I4:I13)</f>
        <v>1218.2499999999998</v>
      </c>
      <c r="J15" s="354">
        <f>SUM(J4:J14)</f>
        <v>156740</v>
      </c>
      <c r="K15" s="354"/>
      <c r="L15" s="354">
        <f>-SUM(L4:L14)</f>
        <v>-4266.9041547428978</v>
      </c>
      <c r="M15" s="354">
        <f>-SUM(M4:M14)</f>
        <v>-429.04522903829144</v>
      </c>
      <c r="O15" s="312"/>
      <c r="P15" s="312"/>
      <c r="Q15" s="312"/>
      <c r="R15" s="312"/>
      <c r="S15" s="312"/>
    </row>
    <row r="16" spans="1:19" ht="21.9" customHeight="1">
      <c r="O16" s="322"/>
      <c r="P16" s="322"/>
      <c r="Q16" s="322"/>
      <c r="R16" s="322"/>
      <c r="S16" s="322"/>
    </row>
  </sheetData>
  <mergeCells count="2">
    <mergeCell ref="A1:M1"/>
    <mergeCell ref="A15:B15"/>
  </mergeCells>
  <phoneticPr fontId="117" type="noConversion"/>
  <pageMargins left="0.35433070866141703" right="0.35433070866141703" top="0.74803149606299202" bottom="0.59055118110236204" header="0.511811023622047" footer="0.511811023622047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"/>
  <sheetViews>
    <sheetView zoomScale="166" zoomScaleNormal="166" workbookViewId="0">
      <selection activeCell="I10" sqref="I10"/>
    </sheetView>
  </sheetViews>
  <sheetFormatPr defaultColWidth="9" defaultRowHeight="14.4"/>
  <cols>
    <col min="1" max="1" width="13.33203125" customWidth="1"/>
    <col min="7" max="7" width="9.44140625" customWidth="1"/>
    <col min="9" max="9" width="11.88671875" customWidth="1"/>
    <col min="10" max="10" width="17.33203125" customWidth="1"/>
    <col min="11" max="11" width="20.44140625" customWidth="1"/>
    <col min="12" max="12" width="20.33203125" customWidth="1"/>
    <col min="14" max="14" width="16" customWidth="1"/>
  </cols>
  <sheetData>
    <row r="1" spans="1:15" ht="22.2">
      <c r="A1" s="479" t="s">
        <v>172</v>
      </c>
      <c r="B1" s="479"/>
      <c r="C1" s="479"/>
      <c r="D1" s="479"/>
      <c r="E1" s="479"/>
      <c r="F1" s="479"/>
      <c r="G1" s="479"/>
      <c r="H1" s="326"/>
      <c r="I1" s="480" t="s">
        <v>173</v>
      </c>
      <c r="J1" s="480"/>
      <c r="K1" s="480"/>
    </row>
    <row r="2" spans="1:15" ht="19.5" customHeight="1">
      <c r="A2" s="483" t="s">
        <v>174</v>
      </c>
      <c r="B2" s="481" t="s">
        <v>2</v>
      </c>
      <c r="C2" s="482"/>
      <c r="D2" s="482"/>
      <c r="E2" s="481" t="s">
        <v>3</v>
      </c>
      <c r="F2" s="482"/>
      <c r="G2" s="482"/>
      <c r="H2" s="326"/>
      <c r="I2" s="485" t="s">
        <v>1</v>
      </c>
      <c r="J2" s="486" t="s">
        <v>175</v>
      </c>
      <c r="K2" s="486" t="s">
        <v>176</v>
      </c>
    </row>
    <row r="3" spans="1:15" ht="57.6">
      <c r="A3" s="484"/>
      <c r="B3" s="327" t="s">
        <v>177</v>
      </c>
      <c r="C3" s="327" t="s">
        <v>178</v>
      </c>
      <c r="D3" s="327" t="s">
        <v>179</v>
      </c>
      <c r="E3" s="327" t="s">
        <v>14</v>
      </c>
      <c r="F3" s="327" t="s">
        <v>180</v>
      </c>
      <c r="G3" s="327" t="s">
        <v>181</v>
      </c>
      <c r="H3" s="326"/>
      <c r="I3" s="485"/>
      <c r="J3" s="486"/>
      <c r="K3" s="486"/>
    </row>
    <row r="4" spans="1:15" ht="21" customHeight="1">
      <c r="A4" s="328" t="s">
        <v>182</v>
      </c>
      <c r="B4" s="329">
        <v>700</v>
      </c>
      <c r="C4" s="329">
        <v>100</v>
      </c>
      <c r="D4" s="329">
        <v>700</v>
      </c>
      <c r="E4" s="329">
        <v>700</v>
      </c>
      <c r="F4" s="329">
        <v>730</v>
      </c>
      <c r="G4" s="330">
        <f t="shared" ref="G4:G7" si="0">(E4*F4-C4*B4)/10000</f>
        <v>44.1</v>
      </c>
      <c r="H4" s="331"/>
      <c r="I4" s="334" t="s">
        <v>42</v>
      </c>
      <c r="J4" s="329">
        <v>5400</v>
      </c>
      <c r="K4" s="329">
        <v>11600</v>
      </c>
      <c r="N4" s="335"/>
      <c r="O4" s="335"/>
    </row>
    <row r="5" spans="1:15" ht="18.75" customHeight="1">
      <c r="A5" s="328" t="s">
        <v>183</v>
      </c>
      <c r="B5" s="329">
        <v>520</v>
      </c>
      <c r="C5" s="329">
        <v>200</v>
      </c>
      <c r="D5" s="329">
        <v>520</v>
      </c>
      <c r="E5" s="329">
        <v>200</v>
      </c>
      <c r="F5" s="329">
        <v>550</v>
      </c>
      <c r="G5" s="330">
        <f t="shared" si="0"/>
        <v>0.6</v>
      </c>
      <c r="H5" s="331"/>
      <c r="I5" s="334" t="s">
        <v>184</v>
      </c>
      <c r="J5" s="329">
        <v>350</v>
      </c>
      <c r="K5" s="336">
        <v>10350</v>
      </c>
      <c r="N5" s="335"/>
      <c r="O5" s="337"/>
    </row>
    <row r="6" spans="1:15" ht="18" customHeight="1">
      <c r="A6" s="328" t="s">
        <v>185</v>
      </c>
      <c r="B6" s="329">
        <v>130</v>
      </c>
      <c r="C6" s="329">
        <v>15</v>
      </c>
      <c r="D6" s="329">
        <v>130</v>
      </c>
      <c r="E6" s="329">
        <v>15</v>
      </c>
      <c r="F6" s="329">
        <v>130</v>
      </c>
      <c r="G6" s="330">
        <f t="shared" si="0"/>
        <v>0</v>
      </c>
      <c r="H6" s="331"/>
      <c r="I6" s="334" t="s">
        <v>57</v>
      </c>
      <c r="J6" s="329">
        <v>160</v>
      </c>
      <c r="K6" s="329">
        <v>13000</v>
      </c>
      <c r="N6" s="335"/>
      <c r="O6" s="335"/>
    </row>
    <row r="7" spans="1:15" ht="21.75" customHeight="1">
      <c r="A7" s="328" t="s">
        <v>186</v>
      </c>
      <c r="B7" s="329">
        <v>11000</v>
      </c>
      <c r="C7" s="329">
        <v>8</v>
      </c>
      <c r="D7" s="329">
        <v>11500</v>
      </c>
      <c r="E7" s="329">
        <v>10</v>
      </c>
      <c r="F7" s="329">
        <v>12000</v>
      </c>
      <c r="G7" s="330">
        <f t="shared" si="0"/>
        <v>3.2</v>
      </c>
      <c r="H7" s="331"/>
      <c r="I7" s="334" t="s">
        <v>62</v>
      </c>
      <c r="J7" s="329">
        <v>120</v>
      </c>
      <c r="K7" s="329">
        <v>31300</v>
      </c>
      <c r="N7" s="335"/>
      <c r="O7" s="335"/>
    </row>
    <row r="8" spans="1:15" ht="23.25" customHeight="1">
      <c r="A8" s="328" t="s">
        <v>187</v>
      </c>
      <c r="B8" s="332"/>
      <c r="C8" s="333"/>
      <c r="D8" s="333"/>
      <c r="E8" s="333"/>
      <c r="F8" s="333"/>
      <c r="G8" s="333"/>
      <c r="H8" s="331"/>
      <c r="I8" s="331"/>
      <c r="J8" s="331"/>
      <c r="K8" s="331"/>
    </row>
  </sheetData>
  <mergeCells count="8">
    <mergeCell ref="A1:G1"/>
    <mergeCell ref="I1:K1"/>
    <mergeCell ref="B2:D2"/>
    <mergeCell ref="E2:G2"/>
    <mergeCell ref="A2:A3"/>
    <mergeCell ref="I2:I3"/>
    <mergeCell ref="J2:J3"/>
    <mergeCell ref="K2:K3"/>
  </mergeCells>
  <phoneticPr fontId="117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N21"/>
  <sheetViews>
    <sheetView zoomScale="150" zoomScaleNormal="150" workbookViewId="0">
      <pane xSplit="38256"/>
      <selection activeCell="F16" sqref="F16"/>
      <selection pane="topRight"/>
    </sheetView>
  </sheetViews>
  <sheetFormatPr defaultColWidth="9" defaultRowHeight="15.6"/>
  <cols>
    <col min="1" max="1" width="18.6640625" style="312" customWidth="1"/>
    <col min="2" max="2" width="15.6640625" style="312" customWidth="1"/>
    <col min="3" max="3" width="13.77734375" style="312" customWidth="1"/>
    <col min="4" max="4" width="14.33203125" style="312" customWidth="1"/>
    <col min="5" max="5" width="7.88671875" style="312" customWidth="1"/>
    <col min="6" max="6" width="13.21875" style="312" customWidth="1"/>
    <col min="7" max="7" width="11.33203125" style="312" customWidth="1"/>
    <col min="8" max="8" width="10" style="312" customWidth="1"/>
    <col min="9" max="9" width="11.21875" style="312" customWidth="1"/>
    <col min="10" max="10" width="10.88671875" style="313" customWidth="1"/>
    <col min="11" max="11" width="10.77734375" style="313" customWidth="1"/>
    <col min="12" max="12" width="9" style="312" customWidth="1"/>
    <col min="13" max="14" width="9" style="312" hidden="1" customWidth="1"/>
    <col min="15" max="16384" width="9" style="312"/>
  </cols>
  <sheetData>
    <row r="1" spans="1:11" ht="21.9" customHeight="1">
      <c r="A1" s="487" t="s">
        <v>188</v>
      </c>
      <c r="B1" s="487"/>
      <c r="C1" s="487"/>
      <c r="D1" s="487"/>
      <c r="J1" s="312"/>
    </row>
    <row r="2" spans="1:11" ht="21.9" customHeight="1">
      <c r="A2" s="314" t="s">
        <v>189</v>
      </c>
      <c r="B2" s="314" t="s">
        <v>190</v>
      </c>
      <c r="C2" s="314" t="s">
        <v>191</v>
      </c>
      <c r="D2" s="314" t="s">
        <v>192</v>
      </c>
      <c r="E2" s="315"/>
      <c r="J2" s="312"/>
    </row>
    <row r="3" spans="1:11" ht="21.9" customHeight="1">
      <c r="A3" s="316" t="s">
        <v>193</v>
      </c>
      <c r="B3" s="317">
        <f>产品本月!I27</f>
        <v>3666.1473796460205</v>
      </c>
      <c r="C3" s="317">
        <f>原料本月!M15</f>
        <v>-3545.1295741582671</v>
      </c>
      <c r="D3" s="317">
        <f>B3+C3</f>
        <v>121.01780548775332</v>
      </c>
      <c r="J3" s="312"/>
    </row>
    <row r="4" spans="1:11" ht="21.9" customHeight="1">
      <c r="A4" s="318" t="s">
        <v>194</v>
      </c>
      <c r="B4" s="317">
        <f>产品本月!J27</f>
        <v>1283.346902654858</v>
      </c>
      <c r="C4" s="317">
        <f>原料本月!N15</f>
        <v>-596.64842880101912</v>
      </c>
      <c r="D4" s="317">
        <f>B4+C4</f>
        <v>686.69847385383889</v>
      </c>
      <c r="J4" s="312"/>
    </row>
    <row r="5" spans="1:11" ht="21.9" customHeight="1">
      <c r="A5" s="316" t="s">
        <v>9</v>
      </c>
      <c r="B5" s="319">
        <f>产品本月!K27</f>
        <v>1162.443586080564</v>
      </c>
      <c r="C5" s="320">
        <f>原料本月!O15</f>
        <v>-126.74108362976578</v>
      </c>
      <c r="D5" s="321">
        <f>B5+C5</f>
        <v>1035.7025024507982</v>
      </c>
    </row>
    <row r="6" spans="1:11" ht="21.9" customHeight="1"/>
    <row r="7" spans="1:11" ht="21.9" customHeight="1"/>
    <row r="8" spans="1:11" ht="21.9" customHeight="1">
      <c r="A8" s="487" t="s">
        <v>195</v>
      </c>
      <c r="B8" s="487"/>
      <c r="C8" s="487"/>
      <c r="D8" s="487"/>
      <c r="E8" s="322"/>
    </row>
    <row r="9" spans="1:11" ht="21.9" customHeight="1">
      <c r="A9" s="314" t="s">
        <v>189</v>
      </c>
      <c r="B9" s="314" t="s">
        <v>190</v>
      </c>
      <c r="C9" s="314" t="s">
        <v>191</v>
      </c>
      <c r="D9" s="314" t="s">
        <v>192</v>
      </c>
      <c r="E9" s="323"/>
      <c r="I9" s="313"/>
      <c r="K9" s="312"/>
    </row>
    <row r="10" spans="1:11" ht="21.9" customHeight="1">
      <c r="A10" s="324" t="s">
        <v>193</v>
      </c>
      <c r="B10" s="317">
        <f>产品次月!G27</f>
        <v>3894.3373607079689</v>
      </c>
      <c r="C10" s="317">
        <f>原料次月!L15</f>
        <v>-4266.9041547428978</v>
      </c>
      <c r="D10" s="317">
        <f>B10+C10</f>
        <v>-372.56679403492899</v>
      </c>
      <c r="I10" s="313"/>
      <c r="K10" s="312"/>
    </row>
    <row r="11" spans="1:11" ht="21.9" customHeight="1">
      <c r="A11" s="325" t="s">
        <v>9</v>
      </c>
      <c r="B11" s="317">
        <f>产品次月!H27</f>
        <v>124.11504424778867</v>
      </c>
      <c r="C11" s="317">
        <f>原料次月!M15</f>
        <v>-429.04522903829144</v>
      </c>
      <c r="D11" s="321">
        <f>B11+C11</f>
        <v>-304.93018479050278</v>
      </c>
      <c r="I11" s="313"/>
      <c r="K11" s="312"/>
    </row>
    <row r="21" ht="13.5" customHeight="1"/>
  </sheetData>
  <mergeCells count="2">
    <mergeCell ref="A1:D1"/>
    <mergeCell ref="A8:D8"/>
  </mergeCells>
  <phoneticPr fontId="117" type="noConversion"/>
  <pageMargins left="0.70866141732283505" right="0.70866141732283505" top="0.35433070866141703" bottom="0.35433070866141703" header="0.31496062992126" footer="0.31496062992126"/>
  <pageSetup paperSize="9" scale="95" orientation="landscape" horizontalDpi="180" verticalDpi="18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X73"/>
  <sheetViews>
    <sheetView zoomScale="90" zoomScaleNormal="90" workbookViewId="0">
      <selection activeCell="I17" sqref="I17"/>
    </sheetView>
  </sheetViews>
  <sheetFormatPr defaultColWidth="9" defaultRowHeight="14.4"/>
  <cols>
    <col min="1" max="1" width="12.77734375" style="239" customWidth="1"/>
    <col min="2" max="4" width="10.77734375" style="239" customWidth="1"/>
    <col min="5" max="5" width="11.44140625" style="239" customWidth="1"/>
    <col min="6" max="6" width="10.109375" style="239" customWidth="1"/>
    <col min="7" max="9" width="9.21875" style="239" customWidth="1"/>
    <col min="10" max="10" width="13.88671875" style="239" customWidth="1"/>
    <col min="11" max="11" width="9.44140625" style="239" customWidth="1"/>
    <col min="12" max="14" width="11.109375" style="239" customWidth="1"/>
    <col min="15" max="15" width="8.6640625" style="239" customWidth="1"/>
    <col min="16" max="16" width="10.44140625" style="239" customWidth="1"/>
    <col min="17" max="17" width="8.6640625" style="239" customWidth="1"/>
    <col min="18" max="18" width="10.44140625" style="239" customWidth="1"/>
    <col min="19" max="19" width="8.6640625" style="239" customWidth="1"/>
    <col min="20" max="20" width="9.44140625" style="239" customWidth="1"/>
    <col min="21" max="21" width="8.88671875" style="239" customWidth="1"/>
    <col min="22" max="22" width="8.6640625" style="239" customWidth="1"/>
    <col min="23" max="23" width="10.33203125" style="239" customWidth="1"/>
    <col min="24" max="24" width="9.88671875" style="239" customWidth="1"/>
    <col min="25" max="16384" width="9" style="239"/>
  </cols>
  <sheetData>
    <row r="1" spans="1:24" ht="17.399999999999999">
      <c r="A1" s="515" t="s">
        <v>196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</row>
    <row r="2" spans="1:24">
      <c r="B2" s="240"/>
      <c r="C2" s="240"/>
      <c r="D2" s="240"/>
      <c r="G2" s="241"/>
      <c r="H2" s="241"/>
      <c r="I2" s="241"/>
      <c r="K2" s="267"/>
      <c r="L2" s="240"/>
      <c r="M2" s="240"/>
      <c r="N2" s="240"/>
      <c r="O2" s="241"/>
      <c r="P2" s="239" t="s">
        <v>197</v>
      </c>
      <c r="Q2" s="241"/>
      <c r="R2" s="241"/>
      <c r="S2" s="241"/>
      <c r="T2" s="286"/>
      <c r="U2" s="240"/>
    </row>
    <row r="3" spans="1:24" ht="27" customHeight="1">
      <c r="A3" s="510" t="s">
        <v>1</v>
      </c>
      <c r="B3" s="497" t="s">
        <v>198</v>
      </c>
      <c r="C3" s="497" t="s">
        <v>199</v>
      </c>
      <c r="D3" s="511" t="s">
        <v>78</v>
      </c>
      <c r="E3" s="510" t="s">
        <v>200</v>
      </c>
      <c r="F3" s="516"/>
      <c r="G3" s="516"/>
      <c r="H3" s="516"/>
      <c r="I3" s="517"/>
      <c r="J3" s="510" t="s">
        <v>201</v>
      </c>
      <c r="K3" s="516"/>
      <c r="L3" s="516"/>
      <c r="M3" s="516"/>
      <c r="N3" s="516"/>
      <c r="O3" s="516"/>
      <c r="P3" s="516"/>
      <c r="Q3" s="516"/>
      <c r="R3" s="516"/>
      <c r="S3" s="518"/>
      <c r="T3" s="508" t="s">
        <v>202</v>
      </c>
      <c r="U3" s="519"/>
      <c r="V3" s="509"/>
      <c r="W3" s="490" t="s">
        <v>203</v>
      </c>
    </row>
    <row r="4" spans="1:24" ht="28.8">
      <c r="A4" s="495"/>
      <c r="B4" s="498"/>
      <c r="C4" s="498"/>
      <c r="D4" s="512"/>
      <c r="E4" s="244" t="s">
        <v>204</v>
      </c>
      <c r="F4" s="245" t="s">
        <v>205</v>
      </c>
      <c r="G4" s="65" t="s">
        <v>206</v>
      </c>
      <c r="H4" s="65" t="s">
        <v>207</v>
      </c>
      <c r="I4" s="260" t="s">
        <v>83</v>
      </c>
      <c r="J4" s="268" t="s">
        <v>208</v>
      </c>
      <c r="K4" s="269" t="s">
        <v>209</v>
      </c>
      <c r="L4" s="270" t="s">
        <v>210</v>
      </c>
      <c r="M4" s="270" t="s">
        <v>77</v>
      </c>
      <c r="N4" s="243" t="s">
        <v>78</v>
      </c>
      <c r="O4" s="271" t="s">
        <v>211</v>
      </c>
      <c r="P4" s="270" t="s">
        <v>212</v>
      </c>
      <c r="Q4" s="271" t="s">
        <v>213</v>
      </c>
      <c r="R4" s="271" t="s">
        <v>214</v>
      </c>
      <c r="S4" s="287" t="s">
        <v>215</v>
      </c>
      <c r="T4" s="283" t="s">
        <v>216</v>
      </c>
      <c r="U4" s="288" t="s">
        <v>217</v>
      </c>
      <c r="V4" s="289" t="s">
        <v>218</v>
      </c>
      <c r="W4" s="490"/>
    </row>
    <row r="5" spans="1:24" ht="15" customHeight="1">
      <c r="A5" s="242" t="s">
        <v>219</v>
      </c>
      <c r="B5" s="65">
        <f>产品本月!C4</f>
        <v>761.06</v>
      </c>
      <c r="C5" s="65">
        <f>产品本月!E4</f>
        <v>730.08849557522103</v>
      </c>
      <c r="D5" s="65">
        <f>产品本月!F4</f>
        <v>705.01412738642705</v>
      </c>
      <c r="E5" s="246">
        <f>产品本月!G4</f>
        <v>16000</v>
      </c>
      <c r="F5" s="247">
        <f>产品本月!H4</f>
        <v>672.56637168141594</v>
      </c>
      <c r="G5" s="88">
        <f>(F5-B5)*E5/10000</f>
        <v>-141.5898053097344</v>
      </c>
      <c r="H5" s="88">
        <f>(F5-C5)*E5/10000</f>
        <v>-92.035398230088148</v>
      </c>
      <c r="I5" s="272">
        <f>(F5-D5)*E5/10000</f>
        <v>-51.916409128017769</v>
      </c>
      <c r="J5" s="268" t="s">
        <v>115</v>
      </c>
      <c r="K5" s="269">
        <v>0.27141984000000002</v>
      </c>
      <c r="L5" s="271">
        <f>原料本月!C5</f>
        <v>890.71</v>
      </c>
      <c r="M5" s="271">
        <f>原料本月!F5</f>
        <v>1273.28509497813</v>
      </c>
      <c r="N5" s="271">
        <f>原料本月!G5</f>
        <v>1331</v>
      </c>
      <c r="O5" s="88">
        <f>E5*K5</f>
        <v>4342.7174400000004</v>
      </c>
      <c r="P5" s="273">
        <f>P13</f>
        <v>1283.5090861798774</v>
      </c>
      <c r="Q5" s="88">
        <f t="shared" ref="Q5:Q31" si="0">(P5-L5)*O5/10000</f>
        <v>170.58154419694165</v>
      </c>
      <c r="R5" s="88">
        <f t="shared" ref="R5:R31" si="1">(P5-M5)*O5/10000</f>
        <v>4.4399904898234857</v>
      </c>
      <c r="S5" s="284">
        <f t="shared" ref="S5:S31" si="2">(P5-N5)*O5/10000</f>
        <v>-20.62396196881835</v>
      </c>
      <c r="T5" s="285">
        <f>G5-Q5</f>
        <v>-312.17134950667605</v>
      </c>
      <c r="U5" s="290">
        <f>H5-R5</f>
        <v>-96.475388719911635</v>
      </c>
      <c r="V5" s="291">
        <f>I5-S5</f>
        <v>-31.292447159199419</v>
      </c>
      <c r="W5" s="292">
        <f>(P5-N5)*K5</f>
        <v>-12.88997623051147</v>
      </c>
    </row>
    <row r="6" spans="1:24" ht="15" customHeight="1">
      <c r="A6" s="242" t="s">
        <v>220</v>
      </c>
      <c r="B6" s="65"/>
      <c r="C6" s="65">
        <f>产品本月!E6</f>
        <v>575.22123893805303</v>
      </c>
      <c r="D6" s="65">
        <f>产品本月!F6</f>
        <v>1773.4539638655399</v>
      </c>
      <c r="E6" s="246">
        <f>产品本月!G6</f>
        <v>400</v>
      </c>
      <c r="F6" s="247">
        <f>产品本月!H6</f>
        <v>1858.4070796460178</v>
      </c>
      <c r="G6" s="88"/>
      <c r="H6" s="88">
        <f t="shared" ref="H6:H30" si="3">(F6-C6)*E6/10000</f>
        <v>51.327433628318595</v>
      </c>
      <c r="I6" s="272">
        <f t="shared" ref="I6:I30" si="4">(F6-D6)*E6/10000</f>
        <v>3.3981246312191158</v>
      </c>
      <c r="J6" s="268" t="s">
        <v>115</v>
      </c>
      <c r="K6" s="269">
        <v>0.55369647359999996</v>
      </c>
      <c r="L6" s="271">
        <f>L5</f>
        <v>890.71</v>
      </c>
      <c r="M6" s="271">
        <f t="shared" ref="M6:N6" si="5">M5</f>
        <v>1273.28509497813</v>
      </c>
      <c r="N6" s="271">
        <f t="shared" si="5"/>
        <v>1331</v>
      </c>
      <c r="O6" s="88">
        <f>E6*K6</f>
        <v>221.47858943999998</v>
      </c>
      <c r="P6" s="273">
        <f>P5</f>
        <v>1283.5090861798774</v>
      </c>
      <c r="Q6" s="88">
        <f t="shared" si="0"/>
        <v>8.6996587540440231</v>
      </c>
      <c r="R6" s="88">
        <f t="shared" si="1"/>
        <v>0.22643951498099774</v>
      </c>
      <c r="S6" s="284">
        <f t="shared" si="2"/>
        <v>-1.0518220604097357</v>
      </c>
      <c r="T6" s="285"/>
      <c r="U6" s="290">
        <f t="shared" ref="U6:V9" si="6">H6-R6</f>
        <v>51.100994113337599</v>
      </c>
      <c r="V6" s="291">
        <f t="shared" si="6"/>
        <v>4.4499466916288517</v>
      </c>
      <c r="W6" s="292">
        <f>(P6-N6)*K6</f>
        <v>-26.295551510243396</v>
      </c>
    </row>
    <row r="7" spans="1:24" ht="15" customHeight="1">
      <c r="A7" s="242" t="s">
        <v>28</v>
      </c>
      <c r="B7" s="65">
        <f>产品本月!C7</f>
        <v>3061.95</v>
      </c>
      <c r="C7" s="65">
        <f>产品本月!E7</f>
        <v>3230.0884955752199</v>
      </c>
      <c r="D7" s="65">
        <f>产品本月!F7</f>
        <v>3173.1670312444098</v>
      </c>
      <c r="E7" s="246">
        <f>产品本月!G7</f>
        <v>8500</v>
      </c>
      <c r="F7" s="247">
        <f>产品本月!H7</f>
        <v>3318.5840707964603</v>
      </c>
      <c r="G7" s="88">
        <f>(F7-B7)*E7/10000</f>
        <v>218.13896017699145</v>
      </c>
      <c r="H7" s="88">
        <f t="shared" si="3"/>
        <v>75.221238938054356</v>
      </c>
      <c r="I7" s="272">
        <f t="shared" si="4"/>
        <v>123.60448361924291</v>
      </c>
      <c r="J7" s="268" t="s">
        <v>115</v>
      </c>
      <c r="K7" s="269">
        <v>1.63</v>
      </c>
      <c r="L7" s="271">
        <f>L5</f>
        <v>890.71</v>
      </c>
      <c r="M7" s="271">
        <f t="shared" ref="M7:N7" si="7">M5</f>
        <v>1273.28509497813</v>
      </c>
      <c r="N7" s="271">
        <f t="shared" si="7"/>
        <v>1331</v>
      </c>
      <c r="O7" s="88">
        <f>E7*K7</f>
        <v>13855</v>
      </c>
      <c r="P7" s="273">
        <f>P5</f>
        <v>1283.5090861798774</v>
      </c>
      <c r="Q7" s="88">
        <f t="shared" si="0"/>
        <v>544.22313390222007</v>
      </c>
      <c r="R7" s="88">
        <f t="shared" si="1"/>
        <v>14.165339810020978</v>
      </c>
      <c r="S7" s="284">
        <f t="shared" si="2"/>
        <v>-65.798661097779885</v>
      </c>
      <c r="T7" s="285">
        <f>G7-Q7</f>
        <v>-326.08417372522865</v>
      </c>
      <c r="U7" s="290">
        <f t="shared" si="6"/>
        <v>61.055899128033374</v>
      </c>
      <c r="V7" s="291">
        <f t="shared" si="6"/>
        <v>189.4031447170228</v>
      </c>
      <c r="W7" s="292">
        <f>(P7-N7)*K7</f>
        <v>-77.410189526799854</v>
      </c>
    </row>
    <row r="8" spans="1:24" ht="15" customHeight="1">
      <c r="A8" s="242" t="s">
        <v>221</v>
      </c>
      <c r="B8" s="65">
        <f>产品本月!C8</f>
        <v>513.27</v>
      </c>
      <c r="C8" s="65">
        <f>产品本月!E8</f>
        <v>0</v>
      </c>
      <c r="D8" s="65">
        <f>产品本月!F8</f>
        <v>176.99115044247799</v>
      </c>
      <c r="E8" s="246">
        <f>产品本月!G8</f>
        <v>0</v>
      </c>
      <c r="F8" s="247">
        <f>产品本月!H8</f>
        <v>0</v>
      </c>
      <c r="G8" s="88">
        <f>(F8-B8)*E8/10000</f>
        <v>0</v>
      </c>
      <c r="H8" s="88">
        <f t="shared" si="3"/>
        <v>0</v>
      </c>
      <c r="I8" s="272">
        <f t="shared" si="4"/>
        <v>0</v>
      </c>
      <c r="J8" s="268" t="s">
        <v>119</v>
      </c>
      <c r="K8" s="269">
        <v>0.31819999999999998</v>
      </c>
      <c r="L8" s="271">
        <f>原料本月!C9</f>
        <v>1504.42</v>
      </c>
      <c r="M8" s="271">
        <f>原料本月!F9</f>
        <v>935.21</v>
      </c>
      <c r="N8" s="271">
        <f>原料本月!G9</f>
        <v>1000.41</v>
      </c>
      <c r="O8" s="88">
        <f>E8*K8</f>
        <v>0</v>
      </c>
      <c r="P8" s="273">
        <f>原料本月!I9</f>
        <v>949.70419093291162</v>
      </c>
      <c r="Q8" s="88">
        <f t="shared" si="0"/>
        <v>0</v>
      </c>
      <c r="R8" s="88">
        <f t="shared" si="1"/>
        <v>0</v>
      </c>
      <c r="S8" s="284">
        <f t="shared" si="2"/>
        <v>0</v>
      </c>
      <c r="T8" s="285">
        <f>G8-Q8</f>
        <v>0</v>
      </c>
      <c r="U8" s="290">
        <f t="shared" si="6"/>
        <v>0</v>
      </c>
      <c r="V8" s="291">
        <f t="shared" si="6"/>
        <v>0</v>
      </c>
      <c r="W8" s="292">
        <f t="shared" ref="W8:W31" si="8">(P8-N8)*K8</f>
        <v>-16.134588445147514</v>
      </c>
    </row>
    <row r="9" spans="1:24" ht="15" customHeight="1">
      <c r="A9" s="242" t="s">
        <v>222</v>
      </c>
      <c r="B9" s="65">
        <f>产品本月!C9</f>
        <v>619.47</v>
      </c>
      <c r="C9" s="65">
        <f>产品本月!E9</f>
        <v>575.22123893805303</v>
      </c>
      <c r="D9" s="65">
        <f>产品本月!F9</f>
        <v>542.632838115401</v>
      </c>
      <c r="E9" s="248">
        <f>产品本月!G9</f>
        <v>300</v>
      </c>
      <c r="F9" s="79">
        <f>产品本月!H9</f>
        <v>393.80530973451329</v>
      </c>
      <c r="G9" s="88">
        <f>(F9-B9)*E9/10000</f>
        <v>-6.7699407079646026</v>
      </c>
      <c r="H9" s="88">
        <f t="shared" si="3"/>
        <v>-5.4424778761061923</v>
      </c>
      <c r="I9" s="272">
        <f t="shared" si="4"/>
        <v>-4.4648258514266317</v>
      </c>
      <c r="J9" s="268" t="s">
        <v>119</v>
      </c>
      <c r="K9" s="269">
        <v>0.3</v>
      </c>
      <c r="L9" s="271">
        <f>L8</f>
        <v>1504.42</v>
      </c>
      <c r="M9" s="271">
        <f t="shared" ref="M9:N9" si="9">M8</f>
        <v>935.21</v>
      </c>
      <c r="N9" s="271">
        <f t="shared" si="9"/>
        <v>1000.41</v>
      </c>
      <c r="O9" s="88">
        <f>E9*K9</f>
        <v>90</v>
      </c>
      <c r="P9" s="274">
        <f>原料本月!I9</f>
        <v>949.70419093291162</v>
      </c>
      <c r="Q9" s="88">
        <f t="shared" si="0"/>
        <v>-4.9924422816037968</v>
      </c>
      <c r="R9" s="88">
        <f t="shared" si="1"/>
        <v>0.1304477183962042</v>
      </c>
      <c r="S9" s="284">
        <f t="shared" si="2"/>
        <v>-0.45635228160379521</v>
      </c>
      <c r="T9" s="285">
        <f>G9-Q9</f>
        <v>-1.7774984263608058</v>
      </c>
      <c r="U9" s="290">
        <f t="shared" si="6"/>
        <v>-5.5729255945023963</v>
      </c>
      <c r="V9" s="291">
        <f t="shared" si="6"/>
        <v>-4.0084735698228364</v>
      </c>
      <c r="W9" s="292">
        <f t="shared" si="8"/>
        <v>-15.211742720126505</v>
      </c>
    </row>
    <row r="10" spans="1:24" ht="15" customHeight="1">
      <c r="A10" s="495" t="s">
        <v>223</v>
      </c>
      <c r="B10" s="249">
        <f>产品本月!C12</f>
        <v>610.62</v>
      </c>
      <c r="C10" s="499">
        <f>产品本月!E12</f>
        <v>991.15044247787603</v>
      </c>
      <c r="D10" s="513">
        <f>产品本月!F12</f>
        <v>1038.70770584039</v>
      </c>
      <c r="E10" s="248">
        <f>产品本月!G12</f>
        <v>13000</v>
      </c>
      <c r="F10" s="79">
        <f>产品本月!H12</f>
        <v>1141.5929203539824</v>
      </c>
      <c r="G10" s="88">
        <f>(F10-B10)*E10/10000</f>
        <v>690.26479646017719</v>
      </c>
      <c r="H10" s="88">
        <f t="shared" si="3"/>
        <v>195.57522123893833</v>
      </c>
      <c r="I10" s="272">
        <f t="shared" si="4"/>
        <v>133.75077886767022</v>
      </c>
      <c r="J10" s="268" t="s">
        <v>117</v>
      </c>
      <c r="K10" s="269">
        <v>0.31900000000000001</v>
      </c>
      <c r="L10" s="65">
        <f>原料本月!C7</f>
        <v>439.78</v>
      </c>
      <c r="M10" s="65">
        <f>原料本月!F7</f>
        <v>446.24</v>
      </c>
      <c r="N10" s="65">
        <f>原料本月!G7</f>
        <v>450.51</v>
      </c>
      <c r="O10" s="88">
        <f>K10*$E$10</f>
        <v>4147</v>
      </c>
      <c r="P10" s="274">
        <f>原料本月!I7</f>
        <v>433.4070005806949</v>
      </c>
      <c r="Q10" s="88">
        <f t="shared" si="0"/>
        <v>-2.6428828591858142</v>
      </c>
      <c r="R10" s="88">
        <f t="shared" si="1"/>
        <v>-5.3218448591858296</v>
      </c>
      <c r="S10" s="284">
        <f t="shared" si="2"/>
        <v>-7.0926138591858221</v>
      </c>
      <c r="T10" s="492">
        <f>G10-Q10-Q11</f>
        <v>690.80224326626558</v>
      </c>
      <c r="U10" s="520">
        <f>H10-R10-R11</f>
        <v>205.5289580450268</v>
      </c>
      <c r="V10" s="488">
        <f>I10-S10-S11</f>
        <v>145.47528467375869</v>
      </c>
      <c r="W10" s="292">
        <f t="shared" si="8"/>
        <v>-5.4558568147583246</v>
      </c>
    </row>
    <row r="11" spans="1:24" ht="15" customHeight="1">
      <c r="A11" s="495"/>
      <c r="B11" s="250"/>
      <c r="C11" s="500"/>
      <c r="D11" s="514"/>
      <c r="E11" s="248"/>
      <c r="F11" s="79"/>
      <c r="G11" s="88"/>
      <c r="H11" s="88"/>
      <c r="I11" s="272"/>
      <c r="J11" s="268" t="s">
        <v>118</v>
      </c>
      <c r="K11" s="269">
        <v>0.183</v>
      </c>
      <c r="L11" s="65">
        <f>原料本月!C8</f>
        <v>389.38</v>
      </c>
      <c r="M11" s="65">
        <f>原料本月!F8</f>
        <v>417.7</v>
      </c>
      <c r="N11" s="65">
        <f>原料本月!G8</f>
        <v>417.7</v>
      </c>
      <c r="O11" s="88">
        <f>K11*$E$10</f>
        <v>2379</v>
      </c>
      <c r="P11" s="274">
        <f>原料本月!I8</f>
        <v>398.23008849557527</v>
      </c>
      <c r="Q11" s="88">
        <f t="shared" si="0"/>
        <v>2.1054360530973586</v>
      </c>
      <c r="R11" s="88">
        <f t="shared" si="1"/>
        <v>-4.6318919469026394</v>
      </c>
      <c r="S11" s="284">
        <f t="shared" si="2"/>
        <v>-4.6318919469026394</v>
      </c>
      <c r="T11" s="493"/>
      <c r="U11" s="521"/>
      <c r="V11" s="489"/>
      <c r="W11" s="292">
        <f t="shared" si="8"/>
        <v>-3.562993805309723</v>
      </c>
      <c r="X11" s="292">
        <f>W10+W11</f>
        <v>-9.0188506200680472</v>
      </c>
    </row>
    <row r="12" spans="1:24" ht="15" customHeight="1">
      <c r="A12" s="495" t="s">
        <v>42</v>
      </c>
      <c r="B12" s="249">
        <f>产品本月!C13</f>
        <v>8407.08</v>
      </c>
      <c r="C12" s="499">
        <f>产品本月!E13</f>
        <v>8938.0530973451296</v>
      </c>
      <c r="D12" s="499">
        <f>产品本月!F13</f>
        <v>9133.9670214183407</v>
      </c>
      <c r="E12" s="248">
        <f>产品本月!G13</f>
        <v>16200</v>
      </c>
      <c r="F12" s="79">
        <f>产品本月!H13</f>
        <v>9115.0442477876113</v>
      </c>
      <c r="G12" s="88">
        <f>(F12-B12)*E12/10000</f>
        <v>1146.9020814159303</v>
      </c>
      <c r="H12" s="88">
        <f t="shared" si="3"/>
        <v>286.72566371682046</v>
      </c>
      <c r="I12" s="272">
        <f t="shared" si="4"/>
        <v>-30.65489328178155</v>
      </c>
      <c r="J12" s="268" t="s">
        <v>120</v>
      </c>
      <c r="K12" s="269">
        <v>0.85209999999999997</v>
      </c>
      <c r="L12" s="65">
        <f>原料本月!C10</f>
        <v>5462.7</v>
      </c>
      <c r="M12" s="65">
        <f>原料本月!F10</f>
        <v>6250.87</v>
      </c>
      <c r="N12" s="65">
        <f>原料本月!G10</f>
        <v>6441.31</v>
      </c>
      <c r="O12" s="88">
        <f>$E$12*K12</f>
        <v>13804.019999999999</v>
      </c>
      <c r="P12" s="274">
        <f>原料本月!I10</f>
        <v>6441.2190406251812</v>
      </c>
      <c r="Q12" s="88">
        <f t="shared" si="0"/>
        <v>1350.7496407170813</v>
      </c>
      <c r="R12" s="88">
        <f t="shared" si="1"/>
        <v>262.75819637708145</v>
      </c>
      <c r="S12" s="284">
        <f t="shared" si="2"/>
        <v>-0.12556050291924123</v>
      </c>
      <c r="T12" s="492">
        <f>G12-Q12-Q13-Q14-Q15-Q16</f>
        <v>-998.13185942205189</v>
      </c>
      <c r="U12" s="520">
        <f>H12-R12-R13-R14-R15-R16</f>
        <v>2.6759441575742673</v>
      </c>
      <c r="V12" s="488">
        <f>I12-S12-S13-S14-S15-S16</f>
        <v>54.752918375492371</v>
      </c>
      <c r="W12" s="292">
        <f t="shared" si="8"/>
        <v>-7.7506483283482239E-2</v>
      </c>
    </row>
    <row r="13" spans="1:24" ht="15" customHeight="1">
      <c r="A13" s="495"/>
      <c r="B13" s="251"/>
      <c r="C13" s="501"/>
      <c r="D13" s="501"/>
      <c r="E13" s="248"/>
      <c r="F13" s="79"/>
      <c r="G13" s="88"/>
      <c r="H13" s="88"/>
      <c r="I13" s="272"/>
      <c r="J13" s="268" t="s">
        <v>224</v>
      </c>
      <c r="K13" s="269">
        <v>0.65199474623999998</v>
      </c>
      <c r="L13" s="65">
        <f>L5</f>
        <v>890.71</v>
      </c>
      <c r="M13" s="65">
        <f t="shared" ref="M13:N13" si="10">M5</f>
        <v>1273.28509497813</v>
      </c>
      <c r="N13" s="65">
        <f t="shared" si="10"/>
        <v>1331</v>
      </c>
      <c r="O13" s="88">
        <f>$E$12*K13</f>
        <v>10562.314889088</v>
      </c>
      <c r="P13" s="274">
        <f>原料本月!I5</f>
        <v>1283.5090861798774</v>
      </c>
      <c r="Q13" s="88">
        <f t="shared" si="0"/>
        <v>414.88676363778791</v>
      </c>
      <c r="R13" s="88">
        <f t="shared" si="1"/>
        <v>10.798901449612092</v>
      </c>
      <c r="S13" s="284">
        <f t="shared" si="2"/>
        <v>-50.161398613867618</v>
      </c>
      <c r="T13" s="494"/>
      <c r="U13" s="522"/>
      <c r="V13" s="491"/>
      <c r="W13" s="292">
        <f t="shared" si="8"/>
        <v>-30.963826304856553</v>
      </c>
    </row>
    <row r="14" spans="1:24" ht="15" customHeight="1">
      <c r="A14" s="495"/>
      <c r="B14" s="251"/>
      <c r="C14" s="501"/>
      <c r="D14" s="501"/>
      <c r="E14" s="248"/>
      <c r="F14" s="79"/>
      <c r="G14" s="88"/>
      <c r="H14" s="88"/>
      <c r="I14" s="272"/>
      <c r="J14" s="268" t="s">
        <v>225</v>
      </c>
      <c r="K14" s="269"/>
      <c r="L14" s="65"/>
      <c r="M14" s="65"/>
      <c r="N14" s="65"/>
      <c r="O14" s="88">
        <f>原料本月!K14</f>
        <v>0</v>
      </c>
      <c r="P14" s="274">
        <v>0</v>
      </c>
      <c r="Q14" s="88">
        <f t="shared" si="0"/>
        <v>0</v>
      </c>
      <c r="R14" s="88">
        <f t="shared" si="1"/>
        <v>0</v>
      </c>
      <c r="S14" s="284">
        <f t="shared" si="2"/>
        <v>0</v>
      </c>
      <c r="T14" s="494"/>
      <c r="U14" s="522"/>
      <c r="V14" s="491"/>
      <c r="W14" s="292">
        <f t="shared" si="8"/>
        <v>0</v>
      </c>
    </row>
    <row r="15" spans="1:24" ht="15" customHeight="1">
      <c r="A15" s="495"/>
      <c r="B15" s="251"/>
      <c r="C15" s="501"/>
      <c r="D15" s="501"/>
      <c r="E15" s="248"/>
      <c r="F15" s="79"/>
      <c r="G15" s="88"/>
      <c r="H15" s="88"/>
      <c r="I15" s="272"/>
      <c r="J15" s="268" t="s">
        <v>226</v>
      </c>
      <c r="K15" s="269">
        <v>0.57715000000000005</v>
      </c>
      <c r="L15" s="65">
        <f>L5</f>
        <v>890.71</v>
      </c>
      <c r="M15" s="65">
        <f t="shared" ref="M15:N15" si="11">M5</f>
        <v>1273.28509497813</v>
      </c>
      <c r="N15" s="65">
        <f t="shared" si="11"/>
        <v>1331</v>
      </c>
      <c r="O15" s="88">
        <f>$E$12*K15</f>
        <v>9349.8300000000017</v>
      </c>
      <c r="P15" s="274">
        <f>P13</f>
        <v>1283.5090861798774</v>
      </c>
      <c r="Q15" s="88">
        <f t="shared" si="0"/>
        <v>367.26046799372034</v>
      </c>
      <c r="R15" s="88">
        <f t="shared" si="1"/>
        <v>9.5592579657833596</v>
      </c>
      <c r="S15" s="284">
        <f t="shared" si="2"/>
        <v>-44.40319707627971</v>
      </c>
      <c r="T15" s="494"/>
      <c r="U15" s="522"/>
      <c r="V15" s="491"/>
      <c r="W15" s="292">
        <f t="shared" si="8"/>
        <v>-27.409380911283769</v>
      </c>
    </row>
    <row r="16" spans="1:24" ht="15" customHeight="1">
      <c r="A16" s="495"/>
      <c r="B16" s="250"/>
      <c r="C16" s="500"/>
      <c r="D16" s="500"/>
      <c r="E16" s="248"/>
      <c r="F16" s="79"/>
      <c r="G16" s="88"/>
      <c r="H16" s="88"/>
      <c r="I16" s="272"/>
      <c r="J16" s="268" t="s">
        <v>227</v>
      </c>
      <c r="K16" s="269">
        <v>5.2823000000000002E-2</v>
      </c>
      <c r="L16" s="65">
        <f>原料本月!C4</f>
        <v>931.5</v>
      </c>
      <c r="M16" s="65">
        <f>原料本月!F4</f>
        <v>1062.4252998264101</v>
      </c>
      <c r="N16" s="65">
        <f>原料本月!G4</f>
        <v>964.86</v>
      </c>
      <c r="O16" s="88">
        <f>$E$12*K16</f>
        <v>855.73260000000005</v>
      </c>
      <c r="P16" s="275">
        <f>原料本月!I4</f>
        <v>1073.3324893710096</v>
      </c>
      <c r="Q16" s="88">
        <f t="shared" si="0"/>
        <v>12.137068489392643</v>
      </c>
      <c r="R16" s="88">
        <f t="shared" si="1"/>
        <v>0.93336376676929744</v>
      </c>
      <c r="S16" s="284">
        <f t="shared" si="2"/>
        <v>9.2823445357926424</v>
      </c>
      <c r="T16" s="493"/>
      <c r="U16" s="521"/>
      <c r="V16" s="489"/>
      <c r="W16" s="292">
        <f t="shared" si="8"/>
        <v>5.7298423060448407</v>
      </c>
      <c r="X16" s="292">
        <f>W12+W13+W14+W15+W16</f>
        <v>-52.720871393378957</v>
      </c>
    </row>
    <row r="17" spans="1:24" ht="15" customHeight="1">
      <c r="A17" s="242" t="s">
        <v>45</v>
      </c>
      <c r="B17" s="65">
        <f>产品本月!C15</f>
        <v>6194.69</v>
      </c>
      <c r="C17" s="252">
        <f>产品本月!E15</f>
        <v>0</v>
      </c>
      <c r="D17" s="252">
        <f>产品本月!F15</f>
        <v>0</v>
      </c>
      <c r="E17" s="248">
        <f>产品本月!G15</f>
        <v>0</v>
      </c>
      <c r="F17" s="79">
        <f>产品本月!H15</f>
        <v>0</v>
      </c>
      <c r="G17" s="88">
        <f>(F17-B17)*E17/10000</f>
        <v>0</v>
      </c>
      <c r="H17" s="88">
        <f t="shared" si="3"/>
        <v>0</v>
      </c>
      <c r="I17" s="272"/>
      <c r="J17" s="268" t="s">
        <v>120</v>
      </c>
      <c r="K17" s="269">
        <v>0.6371</v>
      </c>
      <c r="L17" s="65">
        <f>L12</f>
        <v>5462.7</v>
      </c>
      <c r="M17" s="65">
        <f t="shared" ref="M17:N17" si="12">M12</f>
        <v>6250.87</v>
      </c>
      <c r="N17" s="65">
        <f t="shared" si="12"/>
        <v>6441.31</v>
      </c>
      <c r="O17" s="88">
        <f>E17*K17</f>
        <v>0</v>
      </c>
      <c r="P17" s="275">
        <f>P12</f>
        <v>6441.2190406251812</v>
      </c>
      <c r="Q17" s="88">
        <f t="shared" si="0"/>
        <v>0</v>
      </c>
      <c r="R17" s="88">
        <f t="shared" si="1"/>
        <v>0</v>
      </c>
      <c r="S17" s="284">
        <f t="shared" si="2"/>
        <v>0</v>
      </c>
      <c r="T17" s="285">
        <f t="shared" ref="T17:V19" si="13">G17-Q17</f>
        <v>0</v>
      </c>
      <c r="U17" s="290">
        <f t="shared" si="13"/>
        <v>0</v>
      </c>
      <c r="V17" s="291">
        <f>I17-S17-S18-S19-S20-S21</f>
        <v>8.547670154744667</v>
      </c>
      <c r="W17" s="292">
        <f t="shared" si="8"/>
        <v>-5.7950217697343667E-2</v>
      </c>
    </row>
    <row r="18" spans="1:24" ht="15" customHeight="1">
      <c r="A18" s="242" t="s">
        <v>46</v>
      </c>
      <c r="B18" s="65">
        <f>产品本月!C16</f>
        <v>9734.51</v>
      </c>
      <c r="C18" s="252">
        <f>产品本月!E16</f>
        <v>0</v>
      </c>
      <c r="D18" s="252">
        <f>产品本月!F16</f>
        <v>10353.982300885</v>
      </c>
      <c r="E18" s="248">
        <f>产品本月!G16</f>
        <v>0</v>
      </c>
      <c r="F18" s="79">
        <f>产品本月!H16</f>
        <v>0</v>
      </c>
      <c r="G18" s="88">
        <f>(F18-B18)*E18/10000</f>
        <v>0</v>
      </c>
      <c r="H18" s="88">
        <f t="shared" si="3"/>
        <v>0</v>
      </c>
      <c r="I18" s="272">
        <f t="shared" si="4"/>
        <v>0</v>
      </c>
      <c r="J18" s="268" t="s">
        <v>120</v>
      </c>
      <c r="K18" s="269">
        <v>0.85250000000000004</v>
      </c>
      <c r="L18" s="65">
        <f>L12</f>
        <v>5462.7</v>
      </c>
      <c r="M18" s="65">
        <f t="shared" ref="M18:N18" si="14">M12</f>
        <v>6250.87</v>
      </c>
      <c r="N18" s="65">
        <f t="shared" si="14"/>
        <v>6441.31</v>
      </c>
      <c r="O18" s="88">
        <f>E18*K18</f>
        <v>0</v>
      </c>
      <c r="P18" s="275">
        <f>P12</f>
        <v>6441.2190406251812</v>
      </c>
      <c r="Q18" s="88">
        <f t="shared" si="0"/>
        <v>0</v>
      </c>
      <c r="R18" s="88">
        <f t="shared" si="1"/>
        <v>0</v>
      </c>
      <c r="S18" s="284">
        <f t="shared" si="2"/>
        <v>0</v>
      </c>
      <c r="T18" s="285">
        <f t="shared" si="13"/>
        <v>0</v>
      </c>
      <c r="U18" s="290">
        <f t="shared" si="13"/>
        <v>0</v>
      </c>
      <c r="V18" s="291">
        <f t="shared" si="13"/>
        <v>0</v>
      </c>
      <c r="W18" s="292">
        <f t="shared" si="8"/>
        <v>-7.7542867033409957E-2</v>
      </c>
    </row>
    <row r="19" spans="1:24" ht="15" customHeight="1">
      <c r="A19" s="242" t="s">
        <v>48</v>
      </c>
      <c r="B19" s="65">
        <f>产品本月!C17</f>
        <v>4867.26</v>
      </c>
      <c r="C19" s="252">
        <f>产品本月!E17</f>
        <v>5840.7079646017701</v>
      </c>
      <c r="D19" s="252">
        <f>产品本月!F17</f>
        <v>5727.7035975415902</v>
      </c>
      <c r="E19" s="248">
        <f>产品本月!G17</f>
        <v>4500</v>
      </c>
      <c r="F19" s="79">
        <f>产品本月!H17</f>
        <v>6637.1681415929206</v>
      </c>
      <c r="G19" s="88">
        <f>(F19-B19)*E19/10000</f>
        <v>796.45866371681416</v>
      </c>
      <c r="H19" s="88">
        <f t="shared" si="3"/>
        <v>358.40707964601773</v>
      </c>
      <c r="I19" s="272">
        <f t="shared" si="4"/>
        <v>409.25904482309869</v>
      </c>
      <c r="J19" s="268" t="s">
        <v>120</v>
      </c>
      <c r="K19" s="269">
        <v>0.73</v>
      </c>
      <c r="L19" s="65">
        <f>L12</f>
        <v>5462.7</v>
      </c>
      <c r="M19" s="65">
        <f t="shared" ref="M19:N19" si="15">M12</f>
        <v>6250.87</v>
      </c>
      <c r="N19" s="65">
        <f t="shared" si="15"/>
        <v>6441.31</v>
      </c>
      <c r="O19" s="88">
        <f>E19*K19</f>
        <v>3285</v>
      </c>
      <c r="P19" s="274">
        <f>P12</f>
        <v>6441.2190406251812</v>
      </c>
      <c r="Q19" s="88">
        <f t="shared" si="0"/>
        <v>321.44350484537205</v>
      </c>
      <c r="R19" s="88">
        <f t="shared" si="1"/>
        <v>62.529659845372045</v>
      </c>
      <c r="S19" s="284">
        <f t="shared" si="2"/>
        <v>-2.9880154628123365E-2</v>
      </c>
      <c r="T19" s="285">
        <f t="shared" si="13"/>
        <v>475.01515887144211</v>
      </c>
      <c r="U19" s="290">
        <f t="shared" si="13"/>
        <v>295.87741980064567</v>
      </c>
      <c r="V19" s="291">
        <f t="shared" si="13"/>
        <v>409.28892497772682</v>
      </c>
      <c r="W19" s="292">
        <f t="shared" si="8"/>
        <v>-6.6400343618051916E-2</v>
      </c>
    </row>
    <row r="20" spans="1:24" ht="15" customHeight="1">
      <c r="A20" s="495" t="s">
        <v>50</v>
      </c>
      <c r="B20" s="65">
        <f>产品本月!C18</f>
        <v>8141.59</v>
      </c>
      <c r="C20" s="499">
        <f>产品本月!E18</f>
        <v>7964.60176991151</v>
      </c>
      <c r="D20" s="499">
        <f>产品本月!F18</f>
        <v>7566.0431358604301</v>
      </c>
      <c r="E20" s="248">
        <f>产品本月!G18</f>
        <v>4550</v>
      </c>
      <c r="F20" s="79">
        <f>产品本月!H18</f>
        <v>8495.575221238938</v>
      </c>
      <c r="G20" s="88">
        <f>(F20-B20)*E20/10000</f>
        <v>161.06327566371669</v>
      </c>
      <c r="H20" s="88">
        <f t="shared" si="3"/>
        <v>241.59292035397971</v>
      </c>
      <c r="I20" s="272">
        <f t="shared" si="4"/>
        <v>422.93709884722114</v>
      </c>
      <c r="J20" s="268" t="s">
        <v>120</v>
      </c>
      <c r="K20" s="269">
        <v>0.54090000000000005</v>
      </c>
      <c r="L20" s="65">
        <f>L12</f>
        <v>5462.7</v>
      </c>
      <c r="M20" s="65">
        <f t="shared" ref="M20:N20" si="16">M12</f>
        <v>6250.87</v>
      </c>
      <c r="N20" s="65">
        <f t="shared" si="16"/>
        <v>6441.31</v>
      </c>
      <c r="O20" s="88">
        <f>$E$20*K20</f>
        <v>2461.0950000000003</v>
      </c>
      <c r="P20" s="274">
        <f>P12</f>
        <v>6441.2190406251812</v>
      </c>
      <c r="Q20" s="88">
        <f t="shared" si="0"/>
        <v>240.82283182874309</v>
      </c>
      <c r="R20" s="88">
        <f t="shared" si="1"/>
        <v>46.846707213743052</v>
      </c>
      <c r="S20" s="284">
        <f t="shared" si="2"/>
        <v>-2.2385966257078015E-2</v>
      </c>
      <c r="T20" s="492">
        <f>G20-Q20-Q21-Q22</f>
        <v>-171.4041053470641</v>
      </c>
      <c r="U20" s="520">
        <f>H20-R20-R21-R22</f>
        <v>191.27322935733193</v>
      </c>
      <c r="V20" s="488">
        <f>I20-S20-S21-S22</f>
        <v>415.10457019047095</v>
      </c>
      <c r="W20" s="292">
        <f t="shared" si="8"/>
        <v>-4.9199925839731901E-2</v>
      </c>
    </row>
    <row r="21" spans="1:24" ht="15" customHeight="1">
      <c r="A21" s="495"/>
      <c r="B21" s="251"/>
      <c r="C21" s="501"/>
      <c r="D21" s="501"/>
      <c r="E21" s="248"/>
      <c r="F21" s="79"/>
      <c r="G21" s="88"/>
      <c r="H21" s="88"/>
      <c r="I21" s="272"/>
      <c r="J21" s="268" t="s">
        <v>224</v>
      </c>
      <c r="K21" s="269">
        <v>0.393153472</v>
      </c>
      <c r="L21" s="65">
        <f>L5</f>
        <v>890.71</v>
      </c>
      <c r="M21" s="65">
        <f t="shared" ref="M21:N21" si="17">M5</f>
        <v>1273.28509497813</v>
      </c>
      <c r="N21" s="65">
        <f t="shared" si="17"/>
        <v>1331</v>
      </c>
      <c r="O21" s="88">
        <f>$E$20*K21</f>
        <v>1788.8482976</v>
      </c>
      <c r="P21" s="274">
        <f>P13</f>
        <v>1283.5090861798774</v>
      </c>
      <c r="Q21" s="88">
        <f t="shared" si="0"/>
        <v>70.265797661170936</v>
      </c>
      <c r="R21" s="88">
        <f t="shared" si="1"/>
        <v>1.8289169255923157</v>
      </c>
      <c r="S21" s="284">
        <f t="shared" si="2"/>
        <v>-8.4954040338594652</v>
      </c>
      <c r="T21" s="494"/>
      <c r="U21" s="522"/>
      <c r="V21" s="491"/>
      <c r="W21" s="292">
        <f t="shared" si="8"/>
        <v>-18.671217656833988</v>
      </c>
    </row>
    <row r="22" spans="1:24" ht="15" customHeight="1">
      <c r="A22" s="495"/>
      <c r="B22" s="250"/>
      <c r="C22" s="500"/>
      <c r="D22" s="500"/>
      <c r="E22" s="248"/>
      <c r="F22" s="79"/>
      <c r="G22" s="88"/>
      <c r="H22" s="88"/>
      <c r="I22" s="272"/>
      <c r="J22" s="268" t="s">
        <v>227</v>
      </c>
      <c r="K22" s="269">
        <v>0.33128000000000002</v>
      </c>
      <c r="L22" s="65">
        <f>L16</f>
        <v>931.5</v>
      </c>
      <c r="M22" s="65">
        <f t="shared" ref="M22:N22" si="18">M16</f>
        <v>1062.4252998264101</v>
      </c>
      <c r="N22" s="65">
        <f t="shared" si="18"/>
        <v>964.86</v>
      </c>
      <c r="O22" s="88">
        <f>$E$20*K22</f>
        <v>1507.3240000000001</v>
      </c>
      <c r="P22" s="274">
        <f>P16</f>
        <v>1073.3324893710096</v>
      </c>
      <c r="Q22" s="88">
        <f t="shared" si="0"/>
        <v>21.378751520866771</v>
      </c>
      <c r="R22" s="88">
        <f t="shared" si="1"/>
        <v>1.6440668573123944</v>
      </c>
      <c r="S22" s="284">
        <f t="shared" si="2"/>
        <v>16.350318656866769</v>
      </c>
      <c r="T22" s="493"/>
      <c r="U22" s="521"/>
      <c r="V22" s="489"/>
      <c r="W22" s="292">
        <f t="shared" si="8"/>
        <v>35.934766278828064</v>
      </c>
      <c r="X22" s="292">
        <f>W20+W21+W22</f>
        <v>17.214348696154342</v>
      </c>
    </row>
    <row r="23" spans="1:24" ht="15" customHeight="1">
      <c r="A23" s="495" t="s">
        <v>90</v>
      </c>
      <c r="B23" s="249">
        <f>产品本月!C19</f>
        <v>5752.21</v>
      </c>
      <c r="C23" s="499">
        <f>产品本月!E19</f>
        <v>4424.7787610619498</v>
      </c>
      <c r="D23" s="499">
        <f>产品本月!F19</f>
        <v>3539.2074586582999</v>
      </c>
      <c r="E23" s="248">
        <f>产品本月!G19</f>
        <v>2450</v>
      </c>
      <c r="F23" s="79">
        <f>产品本月!H19</f>
        <v>4690.2654867256642</v>
      </c>
      <c r="G23" s="88">
        <f>(F23-B23)*E23/10000</f>
        <v>-260.17640575221225</v>
      </c>
      <c r="H23" s="88">
        <f t="shared" si="3"/>
        <v>65.044247787610033</v>
      </c>
      <c r="I23" s="272">
        <f t="shared" si="4"/>
        <v>282.0092168765043</v>
      </c>
      <c r="J23" s="268" t="s">
        <v>120</v>
      </c>
      <c r="K23" s="269">
        <v>0.54090000000000005</v>
      </c>
      <c r="L23" s="65">
        <f>L12</f>
        <v>5462.7</v>
      </c>
      <c r="M23" s="65">
        <f t="shared" ref="M23:N23" si="19">M12</f>
        <v>6250.87</v>
      </c>
      <c r="N23" s="65">
        <f t="shared" si="19"/>
        <v>6441.31</v>
      </c>
      <c r="O23" s="88">
        <f>$E$23*K23</f>
        <v>1325.2050000000002</v>
      </c>
      <c r="P23" s="274">
        <f>P12</f>
        <v>6441.2190406251812</v>
      </c>
      <c r="Q23" s="88">
        <f t="shared" si="0"/>
        <v>129.67383252316938</v>
      </c>
      <c r="R23" s="88">
        <f t="shared" si="1"/>
        <v>25.225150038169335</v>
      </c>
      <c r="S23" s="284">
        <f t="shared" si="2"/>
        <v>-1.2053981830734315E-2</v>
      </c>
      <c r="T23" s="492">
        <f>G23-Q23-Q24-Q25</f>
        <v>-439.19730321955581</v>
      </c>
      <c r="U23" s="520">
        <f>H23-R23-R24-R25</f>
        <v>37.949029558645854</v>
      </c>
      <c r="V23" s="488">
        <f>I23-S23-S24-S25</f>
        <v>277.79170144594644</v>
      </c>
      <c r="W23" s="292">
        <f t="shared" si="8"/>
        <v>-4.9199925839731901E-2</v>
      </c>
    </row>
    <row r="24" spans="1:24" ht="15" customHeight="1">
      <c r="A24" s="495"/>
      <c r="B24" s="251"/>
      <c r="C24" s="501"/>
      <c r="D24" s="501"/>
      <c r="E24" s="248"/>
      <c r="F24" s="79"/>
      <c r="G24" s="88"/>
      <c r="H24" s="88"/>
      <c r="I24" s="272"/>
      <c r="J24" s="268" t="s">
        <v>224</v>
      </c>
      <c r="K24" s="269">
        <v>0.393153472</v>
      </c>
      <c r="L24" s="65">
        <f>L5</f>
        <v>890.71</v>
      </c>
      <c r="M24" s="65">
        <f t="shared" ref="M24:N24" si="20">M5</f>
        <v>1273.28509497813</v>
      </c>
      <c r="N24" s="65">
        <f t="shared" si="20"/>
        <v>1331</v>
      </c>
      <c r="O24" s="88">
        <f>$E$23*K24</f>
        <v>963.22600639999996</v>
      </c>
      <c r="P24" s="274">
        <f>P13</f>
        <v>1283.5090861798774</v>
      </c>
      <c r="Q24" s="88">
        <f t="shared" si="0"/>
        <v>37.835429509861264</v>
      </c>
      <c r="R24" s="88">
        <f t="shared" si="1"/>
        <v>0.98480142147278527</v>
      </c>
      <c r="S24" s="284">
        <f t="shared" si="2"/>
        <v>-4.5744483259243269</v>
      </c>
      <c r="T24" s="494"/>
      <c r="U24" s="522"/>
      <c r="V24" s="491"/>
      <c r="W24" s="292">
        <f t="shared" si="8"/>
        <v>-18.671217656833988</v>
      </c>
    </row>
    <row r="25" spans="1:24" ht="15" customHeight="1">
      <c r="A25" s="495"/>
      <c r="B25" s="250"/>
      <c r="C25" s="500"/>
      <c r="D25" s="500"/>
      <c r="E25" s="248"/>
      <c r="F25" s="79"/>
      <c r="G25" s="245"/>
      <c r="H25" s="88"/>
      <c r="I25" s="272"/>
      <c r="J25" s="268" t="s">
        <v>227</v>
      </c>
      <c r="K25" s="269">
        <v>0.33128000000000002</v>
      </c>
      <c r="L25" s="65">
        <f>L16</f>
        <v>931.5</v>
      </c>
      <c r="M25" s="65">
        <f t="shared" ref="M25:N25" si="21">M16</f>
        <v>1062.4252998264101</v>
      </c>
      <c r="N25" s="65">
        <f t="shared" si="21"/>
        <v>964.86</v>
      </c>
      <c r="O25" s="88">
        <f>$E$23*K25</f>
        <v>811.63600000000008</v>
      </c>
      <c r="P25" s="274">
        <f>P16</f>
        <v>1073.3324893710096</v>
      </c>
      <c r="Q25" s="88">
        <f t="shared" si="0"/>
        <v>11.511635434312877</v>
      </c>
      <c r="R25" s="88">
        <f t="shared" si="1"/>
        <v>0.88526676932205861</v>
      </c>
      <c r="S25" s="284">
        <f t="shared" si="2"/>
        <v>8.8040177383128757</v>
      </c>
      <c r="T25" s="493"/>
      <c r="U25" s="521"/>
      <c r="V25" s="489"/>
      <c r="W25" s="292">
        <f t="shared" si="8"/>
        <v>35.934766278828064</v>
      </c>
      <c r="X25" s="292">
        <f>W23+W24+W25</f>
        <v>17.214348696154342</v>
      </c>
    </row>
    <row r="26" spans="1:24" ht="15" customHeight="1">
      <c r="A26" s="495" t="s">
        <v>228</v>
      </c>
      <c r="B26" s="249">
        <f>产品本月!C23</f>
        <v>11946.9</v>
      </c>
      <c r="C26" s="499">
        <f>产品本月!E23</f>
        <v>11061.9469026549</v>
      </c>
      <c r="D26" s="499">
        <f>产品本月!F23</f>
        <v>10162.3375601231</v>
      </c>
      <c r="E26" s="248">
        <f>产品本月!G23</f>
        <v>3050</v>
      </c>
      <c r="F26" s="79">
        <f>产品本月!H23</f>
        <v>11415.929203539825</v>
      </c>
      <c r="G26" s="88">
        <f>(F26-B26)*E26/10000</f>
        <v>-161.94609292035332</v>
      </c>
      <c r="H26" s="88">
        <f t="shared" si="3"/>
        <v>107.9646017699022</v>
      </c>
      <c r="I26" s="272">
        <f t="shared" si="4"/>
        <v>382.34545124210103</v>
      </c>
      <c r="J26" s="268" t="s">
        <v>121</v>
      </c>
      <c r="K26" s="269">
        <v>0.69</v>
      </c>
      <c r="L26" s="65">
        <f>原料本月!C11</f>
        <v>5757.21</v>
      </c>
      <c r="M26" s="65">
        <f>原料本月!F11</f>
        <v>4742.12</v>
      </c>
      <c r="N26" s="65">
        <f>原料本月!G11</f>
        <v>4505.7</v>
      </c>
      <c r="O26" s="88">
        <f>$E$26*K26</f>
        <v>2104.5</v>
      </c>
      <c r="P26" s="274">
        <f>原料本月!I11</f>
        <v>5042.2981007323033</v>
      </c>
      <c r="Q26" s="88">
        <f t="shared" si="0"/>
        <v>-150.45320920088679</v>
      </c>
      <c r="R26" s="88">
        <f t="shared" si="1"/>
        <v>63.172481299113251</v>
      </c>
      <c r="S26" s="284">
        <f t="shared" si="2"/>
        <v>112.92707029911327</v>
      </c>
      <c r="T26" s="492">
        <f>G26-Q26-Q27</f>
        <v>-147.28686358222606</v>
      </c>
      <c r="U26" s="520">
        <f>H26-R26-R27</f>
        <v>18.376432358029419</v>
      </c>
      <c r="V26" s="488">
        <f>I26-S26-S27</f>
        <v>269.43100383022829</v>
      </c>
      <c r="W26" s="292">
        <f t="shared" si="8"/>
        <v>370.25268950528937</v>
      </c>
    </row>
    <row r="27" spans="1:24" ht="15" customHeight="1">
      <c r="A27" s="495"/>
      <c r="B27" s="250"/>
      <c r="C27" s="500"/>
      <c r="D27" s="500"/>
      <c r="E27" s="248"/>
      <c r="F27" s="79"/>
      <c r="G27" s="88"/>
      <c r="H27" s="88"/>
      <c r="I27" s="272"/>
      <c r="J27" s="268" t="s">
        <v>120</v>
      </c>
      <c r="K27" s="269">
        <v>0.45500000000000002</v>
      </c>
      <c r="L27" s="65">
        <f>L12</f>
        <v>5462.7</v>
      </c>
      <c r="M27" s="65">
        <f t="shared" ref="M27:N27" si="22">M12</f>
        <v>6250.87</v>
      </c>
      <c r="N27" s="65">
        <f t="shared" si="22"/>
        <v>6441.31</v>
      </c>
      <c r="O27" s="88">
        <f>$E$26*K27</f>
        <v>1387.75</v>
      </c>
      <c r="P27" s="274">
        <f>P12</f>
        <v>6441.2190406251812</v>
      </c>
      <c r="Q27" s="88">
        <f t="shared" si="0"/>
        <v>135.79397986275953</v>
      </c>
      <c r="R27" s="88">
        <f t="shared" si="1"/>
        <v>26.415688112759533</v>
      </c>
      <c r="S27" s="284">
        <f t="shared" si="2"/>
        <v>-1.2622887240541308E-2</v>
      </c>
      <c r="T27" s="493"/>
      <c r="U27" s="521"/>
      <c r="V27" s="489"/>
      <c r="W27" s="292">
        <f t="shared" si="8"/>
        <v>-4.1386515542758393E-2</v>
      </c>
      <c r="X27" s="292">
        <f>W26+W27</f>
        <v>370.21130298974663</v>
      </c>
    </row>
    <row r="28" spans="1:24" ht="15" customHeight="1">
      <c r="A28" s="495" t="s">
        <v>229</v>
      </c>
      <c r="B28" s="249">
        <f>产品本月!C25</f>
        <v>20796.46</v>
      </c>
      <c r="C28" s="499">
        <f>产品本月!E25</f>
        <v>27433.628318584098</v>
      </c>
      <c r="D28" s="499">
        <f>产品本月!F25</f>
        <v>30037.331949484302</v>
      </c>
      <c r="E28" s="248">
        <f>产品本月!G25</f>
        <v>1950</v>
      </c>
      <c r="F28" s="79">
        <f>产品本月!H25</f>
        <v>27433.628318584073</v>
      </c>
      <c r="G28" s="88">
        <f>(F28-B28)*E28/10000</f>
        <v>1294.2478221238944</v>
      </c>
      <c r="H28" s="88">
        <f t="shared" si="3"/>
        <v>-4.9658410716801881E-12</v>
      </c>
      <c r="I28" s="272">
        <f t="shared" si="4"/>
        <v>-507.7222080255446</v>
      </c>
      <c r="J28" s="268" t="s">
        <v>122</v>
      </c>
      <c r="K28" s="269">
        <v>0.39</v>
      </c>
      <c r="L28" s="65">
        <f>原料本月!C12</f>
        <v>13279.34</v>
      </c>
      <c r="M28" s="65">
        <f>原料本月!F12</f>
        <v>8878.93</v>
      </c>
      <c r="N28" s="65">
        <f>原料本月!G12</f>
        <v>9246.33</v>
      </c>
      <c r="O28" s="88">
        <f>$E$28*K28</f>
        <v>760.5</v>
      </c>
      <c r="P28" s="274">
        <f>原料本月!I12</f>
        <v>9176.9966458441795</v>
      </c>
      <c r="Q28" s="88">
        <f t="shared" si="0"/>
        <v>-311.98321208355014</v>
      </c>
      <c r="R28" s="88">
        <f t="shared" si="1"/>
        <v>22.667968416449828</v>
      </c>
      <c r="S28" s="284">
        <f t="shared" si="2"/>
        <v>-5.2728015835501427</v>
      </c>
      <c r="T28" s="492">
        <f>G28-Q28-Q29</f>
        <v>1477.3953032425707</v>
      </c>
      <c r="U28" s="520">
        <f>H28-R28-R29</f>
        <v>-47.730084501328662</v>
      </c>
      <c r="V28" s="488">
        <f>I28-S28-S29</f>
        <v>-502.43743036686828</v>
      </c>
      <c r="W28" s="292">
        <f t="shared" si="8"/>
        <v>-27.040008120769961</v>
      </c>
    </row>
    <row r="29" spans="1:24" ht="15" customHeight="1">
      <c r="A29" s="495"/>
      <c r="B29" s="250"/>
      <c r="C29" s="500"/>
      <c r="D29" s="500"/>
      <c r="E29" s="248"/>
      <c r="F29" s="79"/>
      <c r="G29" s="88"/>
      <c r="H29" s="88"/>
      <c r="I29" s="272"/>
      <c r="J29" s="268" t="s">
        <v>120</v>
      </c>
      <c r="K29" s="269">
        <v>0.67520000000000002</v>
      </c>
      <c r="L29" s="65">
        <f>L12</f>
        <v>5462.7</v>
      </c>
      <c r="M29" s="65">
        <f t="shared" ref="M29:N29" si="23">M12</f>
        <v>6250.87</v>
      </c>
      <c r="N29" s="65">
        <f t="shared" si="23"/>
        <v>6441.31</v>
      </c>
      <c r="O29" s="88">
        <f>$E$28*K29</f>
        <v>1316.64</v>
      </c>
      <c r="P29" s="274">
        <f>P12</f>
        <v>6441.2190406251812</v>
      </c>
      <c r="Q29" s="88">
        <f t="shared" si="0"/>
        <v>128.8357309648739</v>
      </c>
      <c r="R29" s="88">
        <f t="shared" si="1"/>
        <v>25.062116084873868</v>
      </c>
      <c r="S29" s="284">
        <f t="shared" si="2"/>
        <v>-1.1976075126201628E-2</v>
      </c>
      <c r="T29" s="493"/>
      <c r="U29" s="521"/>
      <c r="V29" s="489"/>
      <c r="W29" s="292">
        <f t="shared" si="8"/>
        <v>-6.1415769877957063E-2</v>
      </c>
      <c r="X29" s="292">
        <f>W28+W29</f>
        <v>-27.101423890647919</v>
      </c>
    </row>
    <row r="30" spans="1:24" ht="15" customHeight="1">
      <c r="A30" s="495" t="s">
        <v>230</v>
      </c>
      <c r="B30" s="249">
        <f>产品本月!C26</f>
        <v>15486.73</v>
      </c>
      <c r="C30" s="499">
        <f>产品本月!E26</f>
        <v>0</v>
      </c>
      <c r="D30" s="499">
        <f>产品本月!F26</f>
        <v>27742.175823552301</v>
      </c>
      <c r="E30" s="248">
        <f>产品本月!G26</f>
        <v>0</v>
      </c>
      <c r="F30" s="79">
        <f>产品本月!H26</f>
        <v>0</v>
      </c>
      <c r="G30" s="88">
        <f>(F30-B30)*E30/10000</f>
        <v>0</v>
      </c>
      <c r="H30" s="88">
        <f t="shared" si="3"/>
        <v>0</v>
      </c>
      <c r="I30" s="272">
        <f t="shared" si="4"/>
        <v>0</v>
      </c>
      <c r="J30" s="268" t="s">
        <v>121</v>
      </c>
      <c r="K30" s="269">
        <v>0.3</v>
      </c>
      <c r="L30" s="65">
        <f>L26</f>
        <v>5757.21</v>
      </c>
      <c r="M30" s="65">
        <f t="shared" ref="M30:N30" si="24">M26</f>
        <v>4742.12</v>
      </c>
      <c r="N30" s="65">
        <f t="shared" si="24"/>
        <v>4505.7</v>
      </c>
      <c r="O30" s="88">
        <f>$E$30*K30</f>
        <v>0</v>
      </c>
      <c r="P30" s="274">
        <f>P26</f>
        <v>5042.2981007323033</v>
      </c>
      <c r="Q30" s="88">
        <f t="shared" si="0"/>
        <v>0</v>
      </c>
      <c r="R30" s="88">
        <f t="shared" si="1"/>
        <v>0</v>
      </c>
      <c r="S30" s="284">
        <f t="shared" si="2"/>
        <v>0</v>
      </c>
      <c r="T30" s="492">
        <f>G30-Q30-Q31</f>
        <v>0</v>
      </c>
      <c r="U30" s="520">
        <f>H30-R30-R31</f>
        <v>0</v>
      </c>
      <c r="V30" s="488">
        <f>I30-S30-S31</f>
        <v>0</v>
      </c>
      <c r="W30" s="292">
        <f t="shared" si="8"/>
        <v>160.97943021969104</v>
      </c>
    </row>
    <row r="31" spans="1:24" ht="15" customHeight="1">
      <c r="A31" s="496"/>
      <c r="B31" s="253"/>
      <c r="C31" s="502"/>
      <c r="D31" s="502"/>
      <c r="E31" s="254"/>
      <c r="F31" s="255"/>
      <c r="G31" s="256"/>
      <c r="H31" s="256"/>
      <c r="I31" s="276"/>
      <c r="J31" s="277" t="s">
        <v>120</v>
      </c>
      <c r="K31" s="278">
        <v>0.76780000000000004</v>
      </c>
      <c r="L31" s="279">
        <f>L12</f>
        <v>5462.7</v>
      </c>
      <c r="M31" s="279">
        <f t="shared" ref="M31:N31" si="25">M12</f>
        <v>6250.87</v>
      </c>
      <c r="N31" s="279">
        <f t="shared" si="25"/>
        <v>6441.31</v>
      </c>
      <c r="O31" s="256">
        <f>$E$30*K31</f>
        <v>0</v>
      </c>
      <c r="P31" s="280">
        <f>P27</f>
        <v>6441.2190406251812</v>
      </c>
      <c r="Q31" s="256">
        <f t="shared" si="0"/>
        <v>0</v>
      </c>
      <c r="R31" s="256">
        <f t="shared" si="1"/>
        <v>0</v>
      </c>
      <c r="S31" s="293">
        <f t="shared" si="2"/>
        <v>0</v>
      </c>
      <c r="T31" s="493"/>
      <c r="U31" s="521"/>
      <c r="V31" s="489"/>
      <c r="W31" s="292">
        <f t="shared" si="8"/>
        <v>-6.9838607986219547E-2</v>
      </c>
      <c r="X31" s="292">
        <f>W30+W31</f>
        <v>160.90959161170483</v>
      </c>
    </row>
    <row r="32" spans="1:24" ht="15" customHeight="1">
      <c r="P32" s="281" t="s">
        <v>227</v>
      </c>
      <c r="Q32" s="294">
        <f>Q16+Q22+Q25</f>
        <v>45.027455444572297</v>
      </c>
      <c r="R32" s="294">
        <f t="shared" ref="R32:S32" si="26">R16+R22+R25</f>
        <v>3.4626973934037504</v>
      </c>
      <c r="S32" s="294">
        <f t="shared" si="26"/>
        <v>34.436680930972287</v>
      </c>
      <c r="T32" s="295">
        <f>SUM(T5:T31)</f>
        <v>247.15955215111489</v>
      </c>
      <c r="U32" s="296">
        <f>SUM(U5:U31)</f>
        <v>714.05950770288234</v>
      </c>
      <c r="V32" s="297">
        <f>SUM(V5:V31)</f>
        <v>1236.5068139611294</v>
      </c>
    </row>
    <row r="33" spans="1:22">
      <c r="Q33" s="298">
        <f>原料本月!M4</f>
        <v>263.80843023007787</v>
      </c>
      <c r="R33" s="298">
        <f>原料本月!N4</f>
        <v>20.28737255295513</v>
      </c>
      <c r="S33" s="298">
        <f>原料本月!O4</f>
        <v>201.75883023007788</v>
      </c>
      <c r="T33" s="299"/>
    </row>
    <row r="34" spans="1:22">
      <c r="P34" s="239" t="s">
        <v>115</v>
      </c>
      <c r="Q34" s="298">
        <f>Q5+Q6+Q7+Q15+Q21+Q24</f>
        <v>1198.8660320179583</v>
      </c>
      <c r="R34" s="298">
        <f t="shared" ref="R34:S34" si="27">R5+R6+R7+R15+R21+R24</f>
        <v>31.204746127673921</v>
      </c>
      <c r="S34" s="298">
        <f t="shared" si="27"/>
        <v>-144.94749456307147</v>
      </c>
      <c r="T34" s="299"/>
    </row>
    <row r="35" spans="1:22" ht="1.5" customHeight="1">
      <c r="T35" s="299"/>
    </row>
    <row r="36" spans="1:22" hidden="1">
      <c r="T36" s="299"/>
    </row>
    <row r="37" spans="1:22" hidden="1">
      <c r="T37" s="299"/>
    </row>
    <row r="38" spans="1:22" hidden="1"/>
    <row r="39" spans="1:22" ht="17.399999999999999">
      <c r="A39" s="515" t="s">
        <v>231</v>
      </c>
      <c r="B39" s="515"/>
      <c r="C39" s="515"/>
      <c r="D39" s="515"/>
      <c r="E39" s="515"/>
      <c r="F39" s="515"/>
      <c r="G39" s="515"/>
      <c r="H39" s="515"/>
      <c r="I39" s="515"/>
      <c r="J39" s="515"/>
      <c r="K39" s="515"/>
      <c r="L39" s="515"/>
      <c r="M39" s="515"/>
      <c r="N39" s="515"/>
      <c r="O39" s="515"/>
      <c r="P39" s="515"/>
      <c r="Q39" s="515"/>
      <c r="R39" s="300"/>
      <c r="S39" s="300"/>
      <c r="T39" s="300"/>
      <c r="U39" s="300"/>
      <c r="V39" s="300"/>
    </row>
    <row r="40" spans="1:22">
      <c r="B40" s="240"/>
      <c r="C40" s="240"/>
      <c r="D40" s="240"/>
      <c r="G40" s="241"/>
      <c r="H40" s="241"/>
      <c r="I40" s="241"/>
      <c r="K40" s="267"/>
      <c r="L40" s="240"/>
      <c r="M40" s="240"/>
      <c r="N40" s="240"/>
      <c r="O40" s="239" t="s">
        <v>197</v>
      </c>
      <c r="Q40" s="241"/>
      <c r="R40" s="241"/>
      <c r="S40" s="241"/>
      <c r="T40" s="286"/>
    </row>
    <row r="41" spans="1:22" ht="13.5" customHeight="1">
      <c r="A41" s="510" t="s">
        <v>1</v>
      </c>
      <c r="B41" s="497" t="s">
        <v>198</v>
      </c>
      <c r="C41" s="503" t="s">
        <v>78</v>
      </c>
      <c r="D41" s="506" t="s">
        <v>200</v>
      </c>
      <c r="E41" s="506"/>
      <c r="F41" s="506"/>
      <c r="G41" s="257"/>
      <c r="H41" s="507" t="s">
        <v>201</v>
      </c>
      <c r="I41" s="506"/>
      <c r="J41" s="506"/>
      <c r="K41" s="506"/>
      <c r="L41" s="506"/>
      <c r="M41" s="506"/>
      <c r="N41" s="506"/>
      <c r="O41" s="506"/>
      <c r="P41" s="508" t="s">
        <v>202</v>
      </c>
      <c r="Q41" s="509"/>
      <c r="R41" s="490" t="s">
        <v>203</v>
      </c>
      <c r="T41" s="301"/>
    </row>
    <row r="42" spans="1:22" ht="28.8">
      <c r="A42" s="495"/>
      <c r="B42" s="498"/>
      <c r="C42" s="504"/>
      <c r="D42" s="258" t="s">
        <v>204</v>
      </c>
      <c r="E42" s="245" t="s">
        <v>205</v>
      </c>
      <c r="F42" s="65" t="s">
        <v>206</v>
      </c>
      <c r="G42" s="252" t="s">
        <v>83</v>
      </c>
      <c r="H42" s="259" t="s">
        <v>208</v>
      </c>
      <c r="I42" s="269" t="s">
        <v>209</v>
      </c>
      <c r="J42" s="243" t="s">
        <v>129</v>
      </c>
      <c r="K42" s="243" t="s">
        <v>78</v>
      </c>
      <c r="L42" s="271" t="s">
        <v>211</v>
      </c>
      <c r="M42" s="270" t="s">
        <v>212</v>
      </c>
      <c r="N42" s="271" t="s">
        <v>213</v>
      </c>
      <c r="O42" s="282" t="s">
        <v>232</v>
      </c>
      <c r="P42" s="283" t="s">
        <v>216</v>
      </c>
      <c r="Q42" s="302" t="s">
        <v>218</v>
      </c>
      <c r="R42" s="490"/>
      <c r="S42" s="301"/>
    </row>
    <row r="43" spans="1:22" ht="15" customHeight="1">
      <c r="A43" s="242" t="s">
        <v>219</v>
      </c>
      <c r="B43" s="65">
        <v>761.061946902655</v>
      </c>
      <c r="C43" s="260">
        <f>产品次月!D4</f>
        <v>672.56637168141594</v>
      </c>
      <c r="D43" s="261">
        <f>产品次月!E4</f>
        <v>15100</v>
      </c>
      <c r="E43" s="247">
        <f>产品次月!F4</f>
        <v>681.41592920353992</v>
      </c>
      <c r="F43" s="88">
        <f>(E43-B43)*D43/10000</f>
        <v>-120.26548672566376</v>
      </c>
      <c r="G43" s="262">
        <f>(E43-C43)*D43/10000</f>
        <v>13.362831858407199</v>
      </c>
      <c r="H43" s="259" t="s">
        <v>115</v>
      </c>
      <c r="I43" s="269">
        <v>0.27141984000000002</v>
      </c>
      <c r="J43" s="65">
        <v>890.70796460176996</v>
      </c>
      <c r="K43" s="65">
        <f>原料次月!E5</f>
        <v>1283.5090861798774</v>
      </c>
      <c r="L43" s="79">
        <f>D43*I43</f>
        <v>4098.4395840000007</v>
      </c>
      <c r="M43" s="247">
        <f>原料次月!G5</f>
        <v>1356.5802683559064</v>
      </c>
      <c r="N43" s="88">
        <f t="shared" ref="N43:N69" si="28">(M43-J43)*L43/10000</f>
        <v>190.93494907952245</v>
      </c>
      <c r="O43" s="284">
        <f t="shared" ref="O43:O69" si="29">(M43-K43)*L43/10000</f>
        <v>29.947782547991245</v>
      </c>
      <c r="P43" s="285">
        <f>F43-N43</f>
        <v>-311.2004358051862</v>
      </c>
      <c r="Q43" s="291">
        <f>G43-O43</f>
        <v>-16.584950689584048</v>
      </c>
      <c r="R43" s="241">
        <f t="shared" ref="R43:R69" si="30">(M43-K43)*I43</f>
        <v>19.832968574828637</v>
      </c>
    </row>
    <row r="44" spans="1:22" ht="15" customHeight="1">
      <c r="A44" s="242" t="s">
        <v>220</v>
      </c>
      <c r="B44" s="65"/>
      <c r="C44" s="260">
        <f>产品次月!D6</f>
        <v>1858.4070796460178</v>
      </c>
      <c r="D44" s="261">
        <f>产品次月!E6</f>
        <v>200</v>
      </c>
      <c r="E44" s="247">
        <f>产品次月!F6</f>
        <v>1902.6548672566373</v>
      </c>
      <c r="F44" s="88"/>
      <c r="G44" s="262">
        <f t="shared" ref="G44:G68" si="31">(E44-C44)*D44/10000</f>
        <v>0.88495575221239053</v>
      </c>
      <c r="H44" s="259" t="s">
        <v>115</v>
      </c>
      <c r="I44" s="269">
        <v>0.55369647359999996</v>
      </c>
      <c r="J44" s="65">
        <v>890.70796460176996</v>
      </c>
      <c r="K44" s="65">
        <f>K43</f>
        <v>1283.5090861798774</v>
      </c>
      <c r="L44" s="79">
        <f t="shared" ref="L44:L48" si="32">D44*I44</f>
        <v>110.73929471999999</v>
      </c>
      <c r="M44" s="247">
        <f>原料次月!G5</f>
        <v>1356.5802683559064</v>
      </c>
      <c r="N44" s="88">
        <f t="shared" si="28"/>
        <v>5.1590370347314671</v>
      </c>
      <c r="O44" s="284">
        <f t="shared" si="29"/>
        <v>0.80918511785300828</v>
      </c>
      <c r="P44" s="285"/>
      <c r="Q44" s="291"/>
      <c r="R44" s="241">
        <f t="shared" si="30"/>
        <v>40.459255892650411</v>
      </c>
    </row>
    <row r="45" spans="1:22" ht="15" customHeight="1">
      <c r="A45" s="242" t="s">
        <v>28</v>
      </c>
      <c r="B45" s="65">
        <v>3061.94690265487</v>
      </c>
      <c r="C45" s="260">
        <f>产品次月!D7</f>
        <v>3318.5840707964603</v>
      </c>
      <c r="D45" s="261">
        <f>产品次月!E7</f>
        <v>6500</v>
      </c>
      <c r="E45" s="247">
        <f>产品次月!F7</f>
        <v>3097.3451327433631</v>
      </c>
      <c r="F45" s="88">
        <f>(E45-B45)*D45/10000</f>
        <v>23.008849557520556</v>
      </c>
      <c r="G45" s="262">
        <f t="shared" si="31"/>
        <v>-143.80530973451317</v>
      </c>
      <c r="H45" s="259" t="s">
        <v>115</v>
      </c>
      <c r="I45" s="269">
        <v>1.63</v>
      </c>
      <c r="J45" s="65">
        <v>890.70796460176996</v>
      </c>
      <c r="K45" s="65">
        <f>K43</f>
        <v>1283.5090861798774</v>
      </c>
      <c r="L45" s="79">
        <f t="shared" si="32"/>
        <v>10595</v>
      </c>
      <c r="M45" s="247">
        <f>原料次月!G5</f>
        <v>1356.5802683559064</v>
      </c>
      <c r="N45" s="88">
        <f t="shared" si="28"/>
        <v>493.5917058275075</v>
      </c>
      <c r="O45" s="284">
        <f t="shared" si="29"/>
        <v>77.418917515502699</v>
      </c>
      <c r="P45" s="285">
        <f t="shared" ref="P45:Q47" si="33">F45-N45</f>
        <v>-470.58285626998696</v>
      </c>
      <c r="Q45" s="291">
        <f t="shared" si="33"/>
        <v>-221.22422725001587</v>
      </c>
      <c r="R45" s="241">
        <f t="shared" si="30"/>
        <v>119.10602694692722</v>
      </c>
    </row>
    <row r="46" spans="1:22" ht="15" customHeight="1">
      <c r="A46" s="242" t="s">
        <v>221</v>
      </c>
      <c r="B46" s="65">
        <v>513.27433628318602</v>
      </c>
      <c r="C46" s="260">
        <f>产品次月!D8</f>
        <v>0</v>
      </c>
      <c r="D46" s="261">
        <f>产品次月!E8</f>
        <v>0</v>
      </c>
      <c r="E46" s="247">
        <f>产品次月!F8</f>
        <v>0</v>
      </c>
      <c r="F46" s="88">
        <f>(E46-B46)*D46/10000</f>
        <v>0</v>
      </c>
      <c r="G46" s="262">
        <f t="shared" si="31"/>
        <v>0</v>
      </c>
      <c r="H46" s="259" t="s">
        <v>119</v>
      </c>
      <c r="I46" s="269">
        <v>0.31819999999999998</v>
      </c>
      <c r="J46" s="65">
        <v>1504.42477876106</v>
      </c>
      <c r="K46" s="65">
        <f>原料次月!E9</f>
        <v>949.70419093291162</v>
      </c>
      <c r="L46" s="79">
        <f t="shared" si="32"/>
        <v>0</v>
      </c>
      <c r="M46" s="247">
        <f>原料次月!G9</f>
        <v>1010.9123739753795</v>
      </c>
      <c r="N46" s="88">
        <f t="shared" si="28"/>
        <v>0</v>
      </c>
      <c r="O46" s="284">
        <f t="shared" si="29"/>
        <v>0</v>
      </c>
      <c r="P46" s="285">
        <f t="shared" si="33"/>
        <v>0</v>
      </c>
      <c r="Q46" s="291">
        <f t="shared" si="33"/>
        <v>0</v>
      </c>
      <c r="R46" s="241">
        <f t="shared" si="30"/>
        <v>19.476443844113287</v>
      </c>
    </row>
    <row r="47" spans="1:22" ht="15" customHeight="1">
      <c r="A47" s="242" t="s">
        <v>222</v>
      </c>
      <c r="B47" s="65">
        <v>619.46902654867301</v>
      </c>
      <c r="C47" s="260">
        <f>产品次月!D9</f>
        <v>393.80530973451329</v>
      </c>
      <c r="D47" s="262">
        <f>产品次月!E9</f>
        <v>300</v>
      </c>
      <c r="E47" s="263">
        <f>产品次月!F9</f>
        <v>398.23008849557527</v>
      </c>
      <c r="F47" s="88">
        <f>(E47-B47)*D47/10000</f>
        <v>-6.6371681415929329</v>
      </c>
      <c r="G47" s="262">
        <f t="shared" si="31"/>
        <v>0.13274336283185961</v>
      </c>
      <c r="H47" s="259" t="s">
        <v>119</v>
      </c>
      <c r="I47" s="269">
        <v>0.3</v>
      </c>
      <c r="J47" s="65">
        <v>1504.42477876106</v>
      </c>
      <c r="K47" s="65">
        <f>K46</f>
        <v>949.70419093291162</v>
      </c>
      <c r="L47" s="79">
        <f t="shared" si="32"/>
        <v>90</v>
      </c>
      <c r="M47" s="275">
        <f>原料次月!G9</f>
        <v>1010.9123739753795</v>
      </c>
      <c r="N47" s="88">
        <f t="shared" si="28"/>
        <v>-4.4416116430711243</v>
      </c>
      <c r="O47" s="284">
        <f t="shared" si="29"/>
        <v>0.55087364738221112</v>
      </c>
      <c r="P47" s="285">
        <f t="shared" si="33"/>
        <v>-2.1955564985218086</v>
      </c>
      <c r="Q47" s="291">
        <f t="shared" si="33"/>
        <v>-0.41813028455035151</v>
      </c>
      <c r="R47" s="241">
        <f t="shared" si="30"/>
        <v>18.362454912740372</v>
      </c>
    </row>
    <row r="48" spans="1:22" ht="15" customHeight="1">
      <c r="A48" s="495" t="s">
        <v>223</v>
      </c>
      <c r="B48" s="249">
        <v>610.61946902654904</v>
      </c>
      <c r="C48" s="260">
        <f>产品次月!D12</f>
        <v>1141.5929203539824</v>
      </c>
      <c r="D48" s="262">
        <f>产品次月!E12</f>
        <v>14000</v>
      </c>
      <c r="E48" s="263">
        <f>产品次月!F12</f>
        <v>1061.9469026548672</v>
      </c>
      <c r="F48" s="88">
        <f>(E48-B48)*D48/10000</f>
        <v>631.85840707964553</v>
      </c>
      <c r="G48" s="262">
        <f t="shared" si="31"/>
        <v>-111.50442477876128</v>
      </c>
      <c r="H48" s="259" t="s">
        <v>117</v>
      </c>
      <c r="I48" s="269">
        <v>0.30680000000000002</v>
      </c>
      <c r="J48" s="65">
        <v>439.77876106194702</v>
      </c>
      <c r="K48" s="65">
        <f>原料次月!E7</f>
        <v>433.4070005806949</v>
      </c>
      <c r="L48" s="79">
        <f t="shared" si="32"/>
        <v>4295.2</v>
      </c>
      <c r="M48" s="274">
        <f>原料次月!G7</f>
        <v>437.56249654672888</v>
      </c>
      <c r="N48" s="88">
        <f t="shared" si="28"/>
        <v>-0.95192993457649666</v>
      </c>
      <c r="O48" s="284">
        <f t="shared" si="29"/>
        <v>1.7848686273309158</v>
      </c>
      <c r="P48" s="285">
        <f>F48-N49-N48</f>
        <v>630.38449630625735</v>
      </c>
      <c r="Q48" s="291">
        <f>G48-O49-O48</f>
        <v>-113.2892934060922</v>
      </c>
      <c r="R48" s="241">
        <f t="shared" si="30"/>
        <v>1.2749061623792257</v>
      </c>
    </row>
    <row r="49" spans="1:19" ht="15" customHeight="1">
      <c r="A49" s="495"/>
      <c r="B49" s="250"/>
      <c r="C49" s="260"/>
      <c r="D49" s="262"/>
      <c r="E49" s="263"/>
      <c r="F49" s="88"/>
      <c r="G49" s="262"/>
      <c r="H49" s="259" t="s">
        <v>118</v>
      </c>
      <c r="I49" s="269">
        <v>0.1958</v>
      </c>
      <c r="J49" s="65">
        <v>389.38053097345102</v>
      </c>
      <c r="K49" s="65">
        <f>原料次月!E8</f>
        <v>398.23008849557527</v>
      </c>
      <c r="L49" s="79">
        <f>I49*$D$48</f>
        <v>2741.2</v>
      </c>
      <c r="M49" s="274">
        <f>原料次月!G8</f>
        <v>398.23008849557527</v>
      </c>
      <c r="N49" s="88">
        <f t="shared" si="28"/>
        <v>2.4258407079647011</v>
      </c>
      <c r="O49" s="284">
        <f t="shared" si="29"/>
        <v>0</v>
      </c>
      <c r="P49" s="285"/>
      <c r="Q49" s="291"/>
      <c r="R49" s="241">
        <f t="shared" si="30"/>
        <v>0</v>
      </c>
      <c r="S49" s="241">
        <f>R48+R49</f>
        <v>1.2749061623792257</v>
      </c>
    </row>
    <row r="50" spans="1:19" ht="15" customHeight="1">
      <c r="A50" s="495" t="s">
        <v>42</v>
      </c>
      <c r="B50" s="249">
        <v>8407.0796460177007</v>
      </c>
      <c r="C50" s="264">
        <f>产品次月!D13</f>
        <v>9115.0442477876113</v>
      </c>
      <c r="D50" s="262">
        <f>产品次月!E13</f>
        <v>16500</v>
      </c>
      <c r="E50" s="263">
        <f>产品次月!F13</f>
        <v>9292.0353982300894</v>
      </c>
      <c r="F50" s="88">
        <f>(E50-B50)*D50/10000</f>
        <v>1460.1769911504414</v>
      </c>
      <c r="G50" s="262">
        <f t="shared" si="31"/>
        <v>292.0353982300889</v>
      </c>
      <c r="H50" s="259" t="s">
        <v>120</v>
      </c>
      <c r="I50" s="269">
        <v>0.85209999999999997</v>
      </c>
      <c r="J50" s="65">
        <v>5462.69911504425</v>
      </c>
      <c r="K50" s="65">
        <f>原料次月!E10</f>
        <v>6441.2190406251812</v>
      </c>
      <c r="L50" s="79">
        <f>$D$50*I50</f>
        <v>14059.65</v>
      </c>
      <c r="M50" s="275">
        <f>原料次月!G10</f>
        <v>6402.6185985015727</v>
      </c>
      <c r="N50" s="88">
        <f t="shared" si="28"/>
        <v>1321.4938965590748</v>
      </c>
      <c r="O50" s="284">
        <f t="shared" si="29"/>
        <v>-54.27087061031915</v>
      </c>
      <c r="P50" s="285">
        <f>F50-N50-N51-N52-N53-N54</f>
        <v>-827.31138943573683</v>
      </c>
      <c r="Q50" s="291">
        <f>G50-O50-O51-O52-O53-O54</f>
        <v>189.30879576873454</v>
      </c>
      <c r="R50" s="241">
        <f t="shared" si="30"/>
        <v>-32.891436733526753</v>
      </c>
    </row>
    <row r="51" spans="1:19" ht="15" customHeight="1">
      <c r="A51" s="495"/>
      <c r="B51" s="251"/>
      <c r="C51" s="265"/>
      <c r="D51" s="262"/>
      <c r="E51" s="263"/>
      <c r="F51" s="88"/>
      <c r="G51" s="262"/>
      <c r="H51" s="259" t="s">
        <v>224</v>
      </c>
      <c r="I51" s="269">
        <v>0.65199474623999998</v>
      </c>
      <c r="J51" s="65">
        <v>890.70796460176996</v>
      </c>
      <c r="K51" s="65">
        <f>K43</f>
        <v>1283.5090861798774</v>
      </c>
      <c r="L51" s="79">
        <f>$D$50*I51</f>
        <v>10757.91331296</v>
      </c>
      <c r="M51" s="275">
        <f>原料次月!G5</f>
        <v>1356.5802683559064</v>
      </c>
      <c r="N51" s="88">
        <f t="shared" si="28"/>
        <v>501.18138586959691</v>
      </c>
      <c r="O51" s="284">
        <f t="shared" si="29"/>
        <v>78.609344352522754</v>
      </c>
      <c r="P51" s="285"/>
      <c r="Q51" s="291"/>
      <c r="R51" s="241">
        <f t="shared" si="30"/>
        <v>47.64202688031682</v>
      </c>
    </row>
    <row r="52" spans="1:19" ht="15" customHeight="1">
      <c r="A52" s="495"/>
      <c r="B52" s="251"/>
      <c r="C52" s="265"/>
      <c r="D52" s="262"/>
      <c r="E52" s="263"/>
      <c r="F52" s="88"/>
      <c r="G52" s="262"/>
      <c r="H52" s="259" t="s">
        <v>225</v>
      </c>
      <c r="I52" s="269"/>
      <c r="J52" s="65"/>
      <c r="K52" s="65"/>
      <c r="L52" s="79">
        <f>$D$50*I52</f>
        <v>0</v>
      </c>
      <c r="M52" s="275">
        <f>原料次月!G14</f>
        <v>0</v>
      </c>
      <c r="N52" s="88">
        <f t="shared" si="28"/>
        <v>0</v>
      </c>
      <c r="O52" s="284">
        <f t="shared" si="29"/>
        <v>0</v>
      </c>
      <c r="P52" s="285"/>
      <c r="Q52" s="291"/>
      <c r="R52" s="241">
        <f t="shared" si="30"/>
        <v>0</v>
      </c>
    </row>
    <row r="53" spans="1:19" ht="15" customHeight="1">
      <c r="A53" s="495"/>
      <c r="B53" s="251"/>
      <c r="C53" s="265"/>
      <c r="D53" s="262"/>
      <c r="E53" s="263"/>
      <c r="F53" s="88"/>
      <c r="G53" s="262"/>
      <c r="H53" s="259" t="s">
        <v>226</v>
      </c>
      <c r="I53" s="269">
        <v>0.57715000000000005</v>
      </c>
      <c r="J53" s="65">
        <v>890.70796460176996</v>
      </c>
      <c r="K53" s="65">
        <f>K43</f>
        <v>1283.5090861798774</v>
      </c>
      <c r="L53" s="79">
        <f>$D$50*I53</f>
        <v>9522.9750000000004</v>
      </c>
      <c r="M53" s="275">
        <f>原料次月!G5</f>
        <v>1356.5802683559064</v>
      </c>
      <c r="N53" s="88">
        <f t="shared" si="28"/>
        <v>443.64903018430471</v>
      </c>
      <c r="O53" s="284">
        <f t="shared" si="29"/>
        <v>69.58550410827695</v>
      </c>
      <c r="P53" s="285"/>
      <c r="Q53" s="291"/>
      <c r="R53" s="241">
        <f t="shared" si="30"/>
        <v>42.173032792895121</v>
      </c>
    </row>
    <row r="54" spans="1:19" ht="15" customHeight="1">
      <c r="A54" s="495"/>
      <c r="B54" s="250"/>
      <c r="C54" s="266"/>
      <c r="D54" s="262"/>
      <c r="E54" s="263"/>
      <c r="F54" s="88"/>
      <c r="G54" s="262"/>
      <c r="H54" s="259" t="s">
        <v>227</v>
      </c>
      <c r="I54" s="269">
        <v>5.2823000000000002E-2</v>
      </c>
      <c r="J54" s="65">
        <v>931.50442477876095</v>
      </c>
      <c r="K54" s="65">
        <f>原料次月!E4</f>
        <v>1073.3324893710096</v>
      </c>
      <c r="L54" s="79">
        <f>$D$50*I54</f>
        <v>871.57950000000005</v>
      </c>
      <c r="M54" s="275">
        <f>原料次月!G4</f>
        <v>1174.3287221974338</v>
      </c>
      <c r="N54" s="88">
        <f t="shared" si="28"/>
        <v>21.164067973201814</v>
      </c>
      <c r="O54" s="284">
        <f t="shared" si="29"/>
        <v>8.8026246108738349</v>
      </c>
      <c r="P54" s="285"/>
      <c r="Q54" s="291"/>
      <c r="R54" s="241">
        <f t="shared" si="30"/>
        <v>5.334924006590203</v>
      </c>
      <c r="S54" s="241">
        <f>R50+R51+R52+R53+R54</f>
        <v>62.258546946275388</v>
      </c>
    </row>
    <row r="55" spans="1:19" ht="15" customHeight="1">
      <c r="A55" s="242" t="s">
        <v>45</v>
      </c>
      <c r="B55" s="65">
        <v>6194.6902654867299</v>
      </c>
      <c r="C55" s="260">
        <f>产品次月!D15</f>
        <v>0</v>
      </c>
      <c r="D55" s="262">
        <f>产品次月!E15</f>
        <v>0</v>
      </c>
      <c r="E55" s="263">
        <f>产品次月!F15</f>
        <v>0</v>
      </c>
      <c r="F55" s="88">
        <f>(E55-B55)*D55/10000</f>
        <v>0</v>
      </c>
      <c r="G55" s="262">
        <f t="shared" si="31"/>
        <v>0</v>
      </c>
      <c r="H55" s="259" t="s">
        <v>120</v>
      </c>
      <c r="I55" s="269">
        <v>0.6371</v>
      </c>
      <c r="J55" s="65">
        <v>5462.69911504425</v>
      </c>
      <c r="K55" s="65">
        <f>K50</f>
        <v>6441.2190406251812</v>
      </c>
      <c r="L55" s="79">
        <f>D55*I55</f>
        <v>0</v>
      </c>
      <c r="M55" s="275">
        <f>M50</f>
        <v>6402.6185985015727</v>
      </c>
      <c r="N55" s="88">
        <f t="shared" si="28"/>
        <v>0</v>
      </c>
      <c r="O55" s="284">
        <f t="shared" si="29"/>
        <v>0</v>
      </c>
      <c r="P55" s="285">
        <f t="shared" ref="P55:Q57" si="34">F55-N55</f>
        <v>0</v>
      </c>
      <c r="Q55" s="291"/>
      <c r="R55" s="241">
        <f t="shared" si="30"/>
        <v>-24.592341676950941</v>
      </c>
    </row>
    <row r="56" spans="1:19" ht="15" customHeight="1">
      <c r="A56" s="242" t="s">
        <v>46</v>
      </c>
      <c r="B56" s="65">
        <v>10619.469026548701</v>
      </c>
      <c r="C56" s="260">
        <f>产品次月!D16</f>
        <v>0</v>
      </c>
      <c r="D56" s="262">
        <f>产品次月!E16</f>
        <v>0</v>
      </c>
      <c r="E56" s="263">
        <f>产品次月!F16</f>
        <v>13628.318584070797</v>
      </c>
      <c r="F56" s="88">
        <f>(E56-B56)*D56/10000</f>
        <v>0</v>
      </c>
      <c r="G56" s="262">
        <f t="shared" si="31"/>
        <v>0</v>
      </c>
      <c r="H56" s="259" t="s">
        <v>120</v>
      </c>
      <c r="I56" s="269">
        <v>0.86470000000000002</v>
      </c>
      <c r="J56" s="65">
        <v>5462.69911504425</v>
      </c>
      <c r="K56" s="65">
        <f>K50</f>
        <v>6441.2190406251812</v>
      </c>
      <c r="L56" s="79">
        <f>D56*I56</f>
        <v>0</v>
      </c>
      <c r="M56" s="275">
        <f>M50</f>
        <v>6402.6185985015727</v>
      </c>
      <c r="N56" s="88">
        <f t="shared" si="28"/>
        <v>0</v>
      </c>
      <c r="O56" s="284">
        <f t="shared" si="29"/>
        <v>0</v>
      </c>
      <c r="P56" s="285">
        <f t="shared" si="34"/>
        <v>0</v>
      </c>
      <c r="Q56" s="291">
        <f t="shared" si="34"/>
        <v>0</v>
      </c>
      <c r="R56" s="241">
        <f t="shared" si="30"/>
        <v>-33.377802304284224</v>
      </c>
    </row>
    <row r="57" spans="1:19" ht="15" customHeight="1">
      <c r="A57" s="242" t="s">
        <v>48</v>
      </c>
      <c r="B57" s="65">
        <v>4867.2566371681396</v>
      </c>
      <c r="C57" s="260">
        <f>产品次月!D17</f>
        <v>6637.1681415929206</v>
      </c>
      <c r="D57" s="262">
        <f>产品次月!E17</f>
        <v>4380</v>
      </c>
      <c r="E57" s="263">
        <f>产品次月!F17</f>
        <v>6637.1681415929206</v>
      </c>
      <c r="F57" s="88">
        <f>(E57-B57)*D57/10000</f>
        <v>775.22123893805406</v>
      </c>
      <c r="G57" s="262">
        <f t="shared" si="31"/>
        <v>0</v>
      </c>
      <c r="H57" s="259" t="s">
        <v>120</v>
      </c>
      <c r="I57" s="269">
        <v>0.72906143934295398</v>
      </c>
      <c r="J57" s="65">
        <v>5462.69911504425</v>
      </c>
      <c r="K57" s="65">
        <f>K50</f>
        <v>6441.2190406251812</v>
      </c>
      <c r="L57" s="79">
        <f>D57*I57</f>
        <v>3193.2891043221384</v>
      </c>
      <c r="M57" s="275">
        <f>M50</f>
        <v>6402.6185985015727</v>
      </c>
      <c r="N57" s="88">
        <f t="shared" si="28"/>
        <v>300.14346454643612</v>
      </c>
      <c r="O57" s="284">
        <f t="shared" si="29"/>
        <v>-12.326237125533616</v>
      </c>
      <c r="P57" s="285">
        <f t="shared" si="34"/>
        <v>475.07777439161794</v>
      </c>
      <c r="Q57" s="291">
        <f t="shared" si="34"/>
        <v>12.326237125533616</v>
      </c>
      <c r="R57" s="241">
        <f t="shared" si="30"/>
        <v>-28.142093893912364</v>
      </c>
    </row>
    <row r="58" spans="1:19" ht="15" customHeight="1">
      <c r="A58" s="495" t="s">
        <v>50</v>
      </c>
      <c r="B58" s="65">
        <v>8849.5575221238905</v>
      </c>
      <c r="C58" s="505">
        <f>产品次月!D18</f>
        <v>8495.575221238938</v>
      </c>
      <c r="D58" s="262">
        <f>产品次月!E18</f>
        <v>5400</v>
      </c>
      <c r="E58" s="263">
        <f>产品次月!F18</f>
        <v>8628.3185840707974</v>
      </c>
      <c r="F58" s="88">
        <f>(E58-B58)*D58/10000</f>
        <v>-119.46902654867026</v>
      </c>
      <c r="G58" s="262">
        <f t="shared" si="31"/>
        <v>71.681415929204121</v>
      </c>
      <c r="H58" s="259" t="s">
        <v>120</v>
      </c>
      <c r="I58" s="269">
        <v>0.53990000000000005</v>
      </c>
      <c r="J58" s="65">
        <v>5462.69911504425</v>
      </c>
      <c r="K58" s="65">
        <f>K50</f>
        <v>6441.2190406251812</v>
      </c>
      <c r="L58" s="79">
        <f>$D$58*I58</f>
        <v>2915.46</v>
      </c>
      <c r="M58" s="275">
        <f>M50</f>
        <v>6402.6185985015727</v>
      </c>
      <c r="N58" s="88">
        <f t="shared" si="28"/>
        <v>274.02976572404862</v>
      </c>
      <c r="O58" s="284">
        <f t="shared" si="29"/>
        <v>-11.253804499369549</v>
      </c>
      <c r="P58" s="285">
        <f>F58-N58-N59-N60</f>
        <v>-535.84395164107389</v>
      </c>
      <c r="Q58" s="291">
        <f>G58-O58-O59-O60</f>
        <v>49.354661095924101</v>
      </c>
      <c r="R58" s="241">
        <f t="shared" si="30"/>
        <v>-20.840378702536203</v>
      </c>
    </row>
    <row r="59" spans="1:19" ht="15" customHeight="1">
      <c r="A59" s="495"/>
      <c r="B59" s="251"/>
      <c r="C59" s="505"/>
      <c r="D59" s="262"/>
      <c r="E59" s="263"/>
      <c r="F59" s="88"/>
      <c r="G59" s="262"/>
      <c r="H59" s="259" t="s">
        <v>224</v>
      </c>
      <c r="I59" s="269">
        <v>0.393153472</v>
      </c>
      <c r="J59" s="65">
        <v>890.70796460176996</v>
      </c>
      <c r="K59" s="65">
        <f>K43</f>
        <v>1283.5090861798774</v>
      </c>
      <c r="L59" s="79">
        <f>$D$58*I59</f>
        <v>2123.0287487999999</v>
      </c>
      <c r="M59" s="275">
        <f>M51</f>
        <v>1356.5802683559064</v>
      </c>
      <c r="N59" s="88">
        <f t="shared" si="28"/>
        <v>98.906029413971766</v>
      </c>
      <c r="O59" s="284">
        <f t="shared" si="29"/>
        <v>15.513222046851164</v>
      </c>
      <c r="P59" s="285"/>
      <c r="Q59" s="291"/>
      <c r="R59" s="241">
        <f t="shared" si="30"/>
        <v>28.728188975650305</v>
      </c>
    </row>
    <row r="60" spans="1:19" ht="15" customHeight="1">
      <c r="A60" s="495"/>
      <c r="B60" s="250"/>
      <c r="C60" s="505"/>
      <c r="D60" s="262"/>
      <c r="E60" s="263"/>
      <c r="F60" s="88"/>
      <c r="G60" s="262"/>
      <c r="H60" s="259" t="s">
        <v>227</v>
      </c>
      <c r="I60" s="269">
        <v>0.33128000000000002</v>
      </c>
      <c r="J60" s="65">
        <v>931.50442477876095</v>
      </c>
      <c r="K60" s="65">
        <f>K54</f>
        <v>1073.3324893710096</v>
      </c>
      <c r="L60" s="79">
        <f>$D$58*I60</f>
        <v>1788.912</v>
      </c>
      <c r="M60" s="275">
        <f>M54</f>
        <v>1174.3287221974338</v>
      </c>
      <c r="N60" s="88">
        <f t="shared" si="28"/>
        <v>43.439129954383283</v>
      </c>
      <c r="O60" s="284">
        <f t="shared" si="29"/>
        <v>18.067337285798406</v>
      </c>
      <c r="P60" s="285"/>
      <c r="Q60" s="291"/>
      <c r="R60" s="241">
        <f t="shared" si="30"/>
        <v>33.458032010737796</v>
      </c>
      <c r="S60" s="241">
        <f>R58+R59+R60</f>
        <v>41.345842283851894</v>
      </c>
    </row>
    <row r="61" spans="1:19" ht="15" customHeight="1">
      <c r="A61" s="495" t="s">
        <v>90</v>
      </c>
      <c r="B61" s="249">
        <v>7079.6460176991204</v>
      </c>
      <c r="C61" s="505">
        <f>产品次月!D19</f>
        <v>4690.2654867256642</v>
      </c>
      <c r="D61" s="262">
        <f>产品次月!E19</f>
        <v>3000</v>
      </c>
      <c r="E61" s="263">
        <f>产品次月!F19</f>
        <v>3982.3008849557527</v>
      </c>
      <c r="F61" s="88">
        <f>(E61-B61)*D61/10000</f>
        <v>-929.20353982301037</v>
      </c>
      <c r="G61" s="262">
        <f t="shared" si="31"/>
        <v>-212.38938053097343</v>
      </c>
      <c r="H61" s="259" t="s">
        <v>120</v>
      </c>
      <c r="I61" s="269">
        <v>0.53990000000000005</v>
      </c>
      <c r="J61" s="65">
        <v>5462.69911504425</v>
      </c>
      <c r="K61" s="65">
        <f>K55</f>
        <v>6441.2190406251812</v>
      </c>
      <c r="L61" s="79">
        <f>$D$61*I61</f>
        <v>1619.7</v>
      </c>
      <c r="M61" s="275">
        <f>M50</f>
        <v>6402.6185985015727</v>
      </c>
      <c r="N61" s="88">
        <f t="shared" si="28"/>
        <v>152.23875873558256</v>
      </c>
      <c r="O61" s="284">
        <f t="shared" si="29"/>
        <v>-6.2521136107608601</v>
      </c>
      <c r="P61" s="285">
        <f>F61-N61-N62-N63</f>
        <v>-1160.5229426521234</v>
      </c>
      <c r="Q61" s="291">
        <f>G61-O61-O62-O63</f>
        <v>-224.79313321612901</v>
      </c>
      <c r="R61" s="241">
        <f t="shared" si="30"/>
        <v>-20.840378702536203</v>
      </c>
    </row>
    <row r="62" spans="1:19" ht="15" customHeight="1">
      <c r="A62" s="495"/>
      <c r="B62" s="251"/>
      <c r="C62" s="505"/>
      <c r="D62" s="262"/>
      <c r="E62" s="263"/>
      <c r="F62" s="88"/>
      <c r="G62" s="262"/>
      <c r="H62" s="259" t="s">
        <v>224</v>
      </c>
      <c r="I62" s="269">
        <v>0.393153472</v>
      </c>
      <c r="J62" s="65">
        <v>890.70796460176996</v>
      </c>
      <c r="K62" s="65">
        <f>K43</f>
        <v>1283.5090861798774</v>
      </c>
      <c r="L62" s="79">
        <f>$D$61*I62</f>
        <v>1179.4604160000001</v>
      </c>
      <c r="M62" s="275">
        <f>M53</f>
        <v>1356.5802683559064</v>
      </c>
      <c r="N62" s="88">
        <f t="shared" si="28"/>
        <v>54.947794118873219</v>
      </c>
      <c r="O62" s="284">
        <f t="shared" si="29"/>
        <v>8.6184566926950925</v>
      </c>
      <c r="P62" s="285"/>
      <c r="Q62" s="291"/>
      <c r="R62" s="241">
        <f t="shared" si="30"/>
        <v>28.728188975650305</v>
      </c>
    </row>
    <row r="63" spans="1:19" ht="15" customHeight="1">
      <c r="A63" s="495"/>
      <c r="B63" s="250"/>
      <c r="C63" s="505"/>
      <c r="D63" s="262"/>
      <c r="E63" s="263"/>
      <c r="F63" s="88"/>
      <c r="G63" s="262"/>
      <c r="H63" s="259" t="s">
        <v>227</v>
      </c>
      <c r="I63" s="269">
        <v>0.33128000000000002</v>
      </c>
      <c r="J63" s="65">
        <v>931.50442477876095</v>
      </c>
      <c r="K63" s="65">
        <f>K54</f>
        <v>1073.3324893710096</v>
      </c>
      <c r="L63" s="79">
        <f>$D$61*I63</f>
        <v>993.84</v>
      </c>
      <c r="M63" s="275">
        <f>M54</f>
        <v>1174.3287221974338</v>
      </c>
      <c r="N63" s="88">
        <f t="shared" si="28"/>
        <v>24.132849974657379</v>
      </c>
      <c r="O63" s="284">
        <f t="shared" si="29"/>
        <v>10.037409603221338</v>
      </c>
      <c r="P63" s="285"/>
      <c r="Q63" s="291"/>
      <c r="R63" s="241">
        <f t="shared" si="30"/>
        <v>33.458032010737796</v>
      </c>
      <c r="S63" s="241">
        <f>R61+R62+R63</f>
        <v>41.345842283851894</v>
      </c>
    </row>
    <row r="64" spans="1:19" ht="15" customHeight="1">
      <c r="A64" s="495" t="s">
        <v>228</v>
      </c>
      <c r="B64" s="249">
        <v>11946.902654867299</v>
      </c>
      <c r="C64" s="260">
        <f>产品次月!D23</f>
        <v>11415.929203539825</v>
      </c>
      <c r="D64" s="262">
        <f>产品次月!E23</f>
        <v>2900</v>
      </c>
      <c r="E64" s="263">
        <f>产品次月!F23</f>
        <v>12389.380530973453</v>
      </c>
      <c r="F64" s="88">
        <f>(E64-B64)*D64/10000</f>
        <v>128.31858407078448</v>
      </c>
      <c r="G64" s="262">
        <f t="shared" si="31"/>
        <v>282.30088495575205</v>
      </c>
      <c r="H64" s="259" t="s">
        <v>121</v>
      </c>
      <c r="I64" s="269">
        <v>0.69</v>
      </c>
      <c r="J64" s="65">
        <v>5757.2123893805301</v>
      </c>
      <c r="K64" s="65">
        <f>原料次月!E11</f>
        <v>5042.2981007323033</v>
      </c>
      <c r="L64" s="79">
        <f>$D$64*I64</f>
        <v>2000.9999999999998</v>
      </c>
      <c r="M64" s="275">
        <f>原料次月!G11</f>
        <v>5250.7458896879516</v>
      </c>
      <c r="N64" s="88">
        <f t="shared" si="28"/>
        <v>-101.34394658848494</v>
      </c>
      <c r="O64" s="284">
        <f t="shared" si="29"/>
        <v>41.710402570025224</v>
      </c>
      <c r="P64" s="285">
        <f>F64-N64-N65</f>
        <v>105.64015481707568</v>
      </c>
      <c r="Q64" s="291">
        <f>G64-O64-O65</f>
        <v>245.68381072393697</v>
      </c>
      <c r="R64" s="241">
        <f t="shared" si="30"/>
        <v>143.82897437939732</v>
      </c>
    </row>
    <row r="65" spans="1:19" ht="15" customHeight="1">
      <c r="A65" s="495"/>
      <c r="B65" s="250"/>
      <c r="C65" s="260"/>
      <c r="D65" s="262"/>
      <c r="E65" s="263"/>
      <c r="F65" s="88"/>
      <c r="G65" s="262"/>
      <c r="H65" s="259" t="s">
        <v>120</v>
      </c>
      <c r="I65" s="269">
        <v>0.45500000000000002</v>
      </c>
      <c r="J65" s="65">
        <v>5462.69911504425</v>
      </c>
      <c r="K65" s="65">
        <f>K50</f>
        <v>6441.2190406251812</v>
      </c>
      <c r="L65" s="79">
        <f>$D$64*I65</f>
        <v>1319.5</v>
      </c>
      <c r="M65" s="275">
        <f>M50</f>
        <v>6402.6185985015727</v>
      </c>
      <c r="N65" s="88">
        <f t="shared" si="28"/>
        <v>124.02237584219372</v>
      </c>
      <c r="O65" s="284">
        <f t="shared" si="29"/>
        <v>-5.0933283382101342</v>
      </c>
      <c r="P65" s="285"/>
      <c r="Q65" s="291"/>
      <c r="R65" s="241">
        <f t="shared" si="30"/>
        <v>-17.563201166241843</v>
      </c>
      <c r="S65" s="241">
        <f>R64+R65</f>
        <v>126.26577321315548</v>
      </c>
    </row>
    <row r="66" spans="1:19" ht="15" customHeight="1">
      <c r="A66" s="495" t="s">
        <v>229</v>
      </c>
      <c r="B66" s="249">
        <v>24778.761061946901</v>
      </c>
      <c r="C66" s="260">
        <f>产品次月!D25</f>
        <v>27433.628318584073</v>
      </c>
      <c r="D66" s="262">
        <f>产品次月!E25</f>
        <v>1550</v>
      </c>
      <c r="E66" s="263">
        <f>产品次月!F25</f>
        <v>26991.15044247788</v>
      </c>
      <c r="F66" s="88">
        <f>(E66-B66)*D66/10000</f>
        <v>342.92035398230161</v>
      </c>
      <c r="G66" s="262">
        <f t="shared" si="31"/>
        <v>-68.584070796459983</v>
      </c>
      <c r="H66" s="259" t="s">
        <v>122</v>
      </c>
      <c r="I66" s="269">
        <v>0.39</v>
      </c>
      <c r="J66" s="65">
        <v>13279.336283185799</v>
      </c>
      <c r="K66" s="65">
        <f>原料次月!E12</f>
        <v>9176.9966458441795</v>
      </c>
      <c r="L66" s="79">
        <f>$D$66*I66</f>
        <v>604.5</v>
      </c>
      <c r="M66" s="275">
        <f>原料次月!G12</f>
        <v>10044.624413906025</v>
      </c>
      <c r="N66" s="88">
        <f t="shared" si="28"/>
        <v>-195.53833249796233</v>
      </c>
      <c r="O66" s="284">
        <f t="shared" si="29"/>
        <v>52.448098579338591</v>
      </c>
      <c r="P66" s="285">
        <f>F66-N66-N67</f>
        <v>440.09047301955439</v>
      </c>
      <c r="Q66" s="291">
        <f>G66-O66-O67</f>
        <v>-116.99240150491021</v>
      </c>
      <c r="R66" s="241">
        <f t="shared" si="30"/>
        <v>338.3748295441199</v>
      </c>
    </row>
    <row r="67" spans="1:19" ht="15" customHeight="1">
      <c r="A67" s="495"/>
      <c r="B67" s="250"/>
      <c r="C67" s="260"/>
      <c r="D67" s="262"/>
      <c r="E67" s="263"/>
      <c r="F67" s="88"/>
      <c r="G67" s="262"/>
      <c r="H67" s="259" t="s">
        <v>120</v>
      </c>
      <c r="I67" s="269">
        <v>0.67520000000000002</v>
      </c>
      <c r="J67" s="65">
        <v>5462.69911504425</v>
      </c>
      <c r="K67" s="65">
        <f>原料次月!E10</f>
        <v>6441.2190406251812</v>
      </c>
      <c r="L67" s="79">
        <f>$D$66*I67</f>
        <v>1046.56</v>
      </c>
      <c r="M67" s="275">
        <f>M50</f>
        <v>6402.6185985015727</v>
      </c>
      <c r="N67" s="88">
        <f t="shared" si="28"/>
        <v>98.368213460709569</v>
      </c>
      <c r="O67" s="284">
        <f t="shared" si="29"/>
        <v>-4.0397678708883653</v>
      </c>
      <c r="P67" s="285"/>
      <c r="Q67" s="291"/>
      <c r="R67" s="241">
        <f t="shared" si="30"/>
        <v>-26.063018521860425</v>
      </c>
      <c r="S67" s="241">
        <f>R66+R67</f>
        <v>312.31181102225946</v>
      </c>
    </row>
    <row r="68" spans="1:19" ht="15" customHeight="1">
      <c r="A68" s="495" t="s">
        <v>230</v>
      </c>
      <c r="B68" s="65">
        <v>15486.725663716799</v>
      </c>
      <c r="C68" s="260">
        <f>产品次月!D26</f>
        <v>0</v>
      </c>
      <c r="D68" s="262">
        <f>产品次月!E26</f>
        <v>260</v>
      </c>
      <c r="E68" s="263">
        <f>产品次月!F26</f>
        <v>27433.628318584073</v>
      </c>
      <c r="F68" s="88">
        <f>(E68-B68)*D68/10000</f>
        <v>310.6194690265491</v>
      </c>
      <c r="G68" s="262">
        <f t="shared" si="31"/>
        <v>713.2743362831859</v>
      </c>
      <c r="H68" s="259" t="s">
        <v>121</v>
      </c>
      <c r="I68" s="269">
        <v>0.3</v>
      </c>
      <c r="J68" s="65">
        <v>5757.2123893805301</v>
      </c>
      <c r="K68" s="65">
        <f>K64</f>
        <v>5042.2981007323033</v>
      </c>
      <c r="L68" s="79">
        <f>$D$68*I68</f>
        <v>78</v>
      </c>
      <c r="M68" s="275">
        <f>M64</f>
        <v>5250.7458896879516</v>
      </c>
      <c r="N68" s="88">
        <f t="shared" si="28"/>
        <v>-3.9504386976021122</v>
      </c>
      <c r="O68" s="284">
        <f t="shared" si="29"/>
        <v>1.6258927538540568</v>
      </c>
      <c r="P68" s="285">
        <f>F68-N68-N69</f>
        <v>295.8064830597894</v>
      </c>
      <c r="Q68" s="291">
        <f>G68-O68-O69</f>
        <v>712.41901643535709</v>
      </c>
      <c r="R68" s="241">
        <f t="shared" si="30"/>
        <v>62.534336686694495</v>
      </c>
    </row>
    <row r="69" spans="1:19" ht="15" customHeight="1">
      <c r="A69" s="496"/>
      <c r="B69" s="279"/>
      <c r="C69" s="303"/>
      <c r="D69" s="304"/>
      <c r="E69" s="85"/>
      <c r="F69" s="85"/>
      <c r="G69" s="305"/>
      <c r="H69" s="306" t="s">
        <v>120</v>
      </c>
      <c r="I69" s="307">
        <v>0.76780000000000004</v>
      </c>
      <c r="J69" s="308">
        <v>5462.69911504425</v>
      </c>
      <c r="K69" s="308">
        <f>K67</f>
        <v>6441.2190406251812</v>
      </c>
      <c r="L69" s="85">
        <f>$D$68*I69</f>
        <v>199.62800000000001</v>
      </c>
      <c r="M69" s="309">
        <f>M50</f>
        <v>6402.6185985015727</v>
      </c>
      <c r="N69" s="90">
        <f t="shared" si="28"/>
        <v>18.763424664361843</v>
      </c>
      <c r="O69" s="310">
        <f t="shared" si="29"/>
        <v>-0.7705729060251707</v>
      </c>
      <c r="P69" s="295"/>
      <c r="Q69" s="297"/>
      <c r="R69" s="241">
        <f t="shared" si="30"/>
        <v>-29.637419462506564</v>
      </c>
      <c r="S69" s="241">
        <f>R68+R69</f>
        <v>32.896917224187931</v>
      </c>
    </row>
    <row r="70" spans="1:19" ht="15" customHeight="1">
      <c r="P70" s="281">
        <f>SUM(P43:P69)</f>
        <v>-1360.6577507083346</v>
      </c>
      <c r="Q70" s="311">
        <f>SUM(Q43:Q69)</f>
        <v>515.79038479820463</v>
      </c>
    </row>
    <row r="71" spans="1:19">
      <c r="M71" s="259" t="s">
        <v>227</v>
      </c>
      <c r="N71" s="298">
        <f>N54+N60+N63</f>
        <v>88.736047902242476</v>
      </c>
      <c r="O71" s="298">
        <f>O54+O60+O63</f>
        <v>36.907371499893578</v>
      </c>
      <c r="P71" s="281"/>
    </row>
    <row r="72" spans="1:19">
      <c r="M72" s="259"/>
      <c r="N72" s="298">
        <f>原料次月!L4-N71</f>
        <v>362.92537538498431</v>
      </c>
      <c r="O72" s="298">
        <f>原料次月!M4-O71</f>
        <v>150.94562155725532</v>
      </c>
      <c r="P72" s="281"/>
    </row>
    <row r="73" spans="1:19">
      <c r="M73" s="239" t="s">
        <v>115</v>
      </c>
      <c r="N73" s="298">
        <f>N43+N44+N45+N51+N53+N59+N62</f>
        <v>1788.3699315285078</v>
      </c>
      <c r="O73" s="298">
        <f>O43+O44+O45+O51+O53+O59+O62</f>
        <v>280.50241238169292</v>
      </c>
    </row>
  </sheetData>
  <mergeCells count="68">
    <mergeCell ref="A1:V1"/>
    <mergeCell ref="E3:I3"/>
    <mergeCell ref="J3:S3"/>
    <mergeCell ref="T3:V3"/>
    <mergeCell ref="A39:Q39"/>
    <mergeCell ref="D23:D25"/>
    <mergeCell ref="D26:D27"/>
    <mergeCell ref="D28:D29"/>
    <mergeCell ref="D30:D31"/>
    <mergeCell ref="U10:U11"/>
    <mergeCell ref="U12:U16"/>
    <mergeCell ref="U20:U22"/>
    <mergeCell ref="U23:U25"/>
    <mergeCell ref="U26:U27"/>
    <mergeCell ref="U28:U29"/>
    <mergeCell ref="U30:U31"/>
    <mergeCell ref="H41:O41"/>
    <mergeCell ref="P41:Q41"/>
    <mergeCell ref="A3:A4"/>
    <mergeCell ref="A10:A11"/>
    <mergeCell ref="A12:A16"/>
    <mergeCell ref="A20:A22"/>
    <mergeCell ref="A23:A25"/>
    <mergeCell ref="A26:A27"/>
    <mergeCell ref="A28:A29"/>
    <mergeCell ref="A30:A31"/>
    <mergeCell ref="A41:A42"/>
    <mergeCell ref="D3:D4"/>
    <mergeCell ref="D10:D11"/>
    <mergeCell ref="D12:D16"/>
    <mergeCell ref="D20:D22"/>
    <mergeCell ref="A50:A54"/>
    <mergeCell ref="A58:A60"/>
    <mergeCell ref="A61:A63"/>
    <mergeCell ref="A64:A65"/>
    <mergeCell ref="D41:F41"/>
    <mergeCell ref="A66:A67"/>
    <mergeCell ref="A68:A69"/>
    <mergeCell ref="B3:B4"/>
    <mergeCell ref="B41:B42"/>
    <mergeCell ref="C3:C4"/>
    <mergeCell ref="C10:C11"/>
    <mergeCell ref="C12:C16"/>
    <mergeCell ref="C20:C22"/>
    <mergeCell ref="C23:C25"/>
    <mergeCell ref="C26:C27"/>
    <mergeCell ref="C28:C29"/>
    <mergeCell ref="C30:C31"/>
    <mergeCell ref="C41:C42"/>
    <mergeCell ref="C58:C60"/>
    <mergeCell ref="C61:C63"/>
    <mergeCell ref="A48:A49"/>
    <mergeCell ref="R41:R42"/>
    <mergeCell ref="T10:T11"/>
    <mergeCell ref="T12:T16"/>
    <mergeCell ref="T20:T22"/>
    <mergeCell ref="T23:T25"/>
    <mergeCell ref="T26:T27"/>
    <mergeCell ref="T28:T29"/>
    <mergeCell ref="T30:T31"/>
    <mergeCell ref="V28:V29"/>
    <mergeCell ref="V30:V31"/>
    <mergeCell ref="W3:W4"/>
    <mergeCell ref="V10:V11"/>
    <mergeCell ref="V12:V16"/>
    <mergeCell ref="V20:V22"/>
    <mergeCell ref="V23:V25"/>
    <mergeCell ref="V26:V27"/>
  </mergeCells>
  <phoneticPr fontId="117" type="noConversion"/>
  <pageMargins left="0.70866141732283505" right="0.70866141732283505" top="0.74803149606299202" bottom="0.74803149606299202" header="0.31496062992126" footer="0.31496062992126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产品中间表</vt:lpstr>
      <vt:lpstr>产品本月</vt:lpstr>
      <vt:lpstr>产品次月</vt:lpstr>
      <vt:lpstr>原料中间表</vt:lpstr>
      <vt:lpstr>原料本月</vt:lpstr>
      <vt:lpstr>原料次月</vt:lpstr>
      <vt:lpstr>副产品</vt:lpstr>
      <vt:lpstr>顺逆差</vt:lpstr>
      <vt:lpstr>产品效益</vt:lpstr>
      <vt:lpstr>本月产品成本测算</vt:lpstr>
      <vt:lpstr>次月产品成本测算</vt:lpstr>
      <vt:lpstr>11月份利润与10月份利润对比  (预计)</vt:lpstr>
      <vt:lpstr>7月份利润与6月份利润对比 </vt:lpstr>
      <vt:lpstr>8月份利润与7月份利润对比 </vt:lpstr>
      <vt:lpstr>财务指标-产品</vt:lpstr>
      <vt:lpstr>经营月报-利润、价格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</dc:creator>
  <cp:lastModifiedBy>Lhy</cp:lastModifiedBy>
  <cp:lastPrinted>2021-12-30T00:26:00Z</cp:lastPrinted>
  <dcterms:created xsi:type="dcterms:W3CDTF">2012-01-20T01:22:00Z</dcterms:created>
  <dcterms:modified xsi:type="dcterms:W3CDTF">2023-01-30T06:07:39Z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AA2EA9F3C2754D38A4D8CEB39CB1637C</vt:lpwstr>
  </property>
  <property fmtid="{D5CDD505-2E9C-101B-9397-08002B2CF9AE}" pid="3" name="KSOProductBuildVer">
    <vt:lpwstr>2052-11.8.2.11718</vt:lpwstr>
  </property>
</Properties>
</file>