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OneDrive\Ambiente de Trabalho\pie2\"/>
    </mc:Choice>
  </mc:AlternateContent>
  <xr:revisionPtr revIDLastSave="0" documentId="13_ncr:1_{84B3C7C5-5C1B-4E61-AE6C-A709BD931199}" xr6:coauthVersionLast="47" xr6:coauthVersionMax="47" xr10:uidLastSave="{00000000-0000-0000-0000-000000000000}"/>
  <bookViews>
    <workbookView xWindow="-108" yWindow="-108" windowWidth="23256" windowHeight="12576" firstSheet="8" activeTab="14" xr2:uid="{B980EE51-CC39-46DE-8223-2CCEEC94C929}"/>
  </bookViews>
  <sheets>
    <sheet name="Balanço_Inicial" sheetId="2" r:id="rId1"/>
    <sheet name="BalançoCargas" sheetId="3" r:id="rId2"/>
    <sheet name="Balanço_Final" sheetId="5" r:id="rId3"/>
    <sheet name="Correntes_CC" sheetId="10" r:id="rId4"/>
    <sheet name="Canalizações_Inicio" sheetId="6" r:id="rId5"/>
    <sheet name="Canalizações_Principais" sheetId="15" r:id="rId6"/>
    <sheet name="Ramais_AD3" sheetId="18" r:id="rId7"/>
    <sheet name="Ramais_AD1" sheetId="16" r:id="rId8"/>
    <sheet name="Ramais_AD2" sheetId="17" r:id="rId9"/>
    <sheet name="Ramais _AD3.1" sheetId="21" r:id="rId10"/>
    <sheet name="Ramais_AD4" sheetId="19" r:id="rId11"/>
    <sheet name="Ramais_AD4.1" sheetId="22" r:id="rId12"/>
    <sheet name="Ramais_AD5" sheetId="23" r:id="rId13"/>
    <sheet name="Ramais_AD5.1" sheetId="24" r:id="rId14"/>
    <sheet name="Folha11" sheetId="25" r:id="rId15"/>
    <sheet name="Folha12" sheetId="26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5" l="1"/>
  <c r="D40" i="25"/>
  <c r="E32" i="25"/>
  <c r="E34" i="25" s="1"/>
  <c r="D32" i="25"/>
  <c r="D34" i="25" s="1"/>
  <c r="E28" i="25"/>
  <c r="E42" i="25" s="1"/>
  <c r="E26" i="25"/>
  <c r="D26" i="25"/>
  <c r="E24" i="25"/>
  <c r="D24" i="25"/>
  <c r="E23" i="25"/>
  <c r="D23" i="25"/>
  <c r="E14" i="25"/>
  <c r="E30" i="25" s="1"/>
  <c r="D30" i="25"/>
  <c r="E10" i="25"/>
  <c r="E16" i="25" s="1"/>
  <c r="D10" i="25"/>
  <c r="D16" i="25" s="1"/>
  <c r="G41" i="24"/>
  <c r="F41" i="24"/>
  <c r="E41" i="24"/>
  <c r="D41" i="24"/>
  <c r="E33" i="24"/>
  <c r="D33" i="24"/>
  <c r="D35" i="24" s="1"/>
  <c r="G32" i="24"/>
  <c r="G34" i="24" s="1"/>
  <c r="F32" i="24"/>
  <c r="F34" i="24" s="1"/>
  <c r="E32" i="24"/>
  <c r="E34" i="24" s="1"/>
  <c r="D32" i="24"/>
  <c r="D34" i="24" s="1"/>
  <c r="G30" i="24"/>
  <c r="F30" i="24"/>
  <c r="E30" i="24"/>
  <c r="D30" i="24"/>
  <c r="G29" i="24"/>
  <c r="G31" i="24" s="1"/>
  <c r="F29" i="24"/>
  <c r="F31" i="24" s="1"/>
  <c r="E29" i="24"/>
  <c r="E31" i="24" s="1"/>
  <c r="D29" i="24"/>
  <c r="D31" i="24" s="1"/>
  <c r="G28" i="24"/>
  <c r="G43" i="24" s="1"/>
  <c r="F28" i="24"/>
  <c r="F43" i="24" s="1"/>
  <c r="E28" i="24"/>
  <c r="E43" i="24" s="1"/>
  <c r="D28" i="24"/>
  <c r="D43" i="24" s="1"/>
  <c r="G26" i="24"/>
  <c r="F26" i="24"/>
  <c r="E26" i="24"/>
  <c r="D26" i="24"/>
  <c r="E25" i="24"/>
  <c r="D25" i="24"/>
  <c r="G24" i="24"/>
  <c r="F24" i="24"/>
  <c r="E24" i="24"/>
  <c r="D24" i="24"/>
  <c r="G23" i="24"/>
  <c r="G27" i="24" s="1"/>
  <c r="F23" i="24"/>
  <c r="F27" i="24" s="1"/>
  <c r="E23" i="24"/>
  <c r="E27" i="24" s="1"/>
  <c r="D23" i="24"/>
  <c r="D27" i="24" s="1"/>
  <c r="G17" i="24"/>
  <c r="F17" i="24"/>
  <c r="F19" i="24" s="1"/>
  <c r="F20" i="24" s="1"/>
  <c r="E17" i="24"/>
  <c r="E19" i="24" s="1"/>
  <c r="E20" i="24" s="1"/>
  <c r="D17" i="24"/>
  <c r="D19" i="24" s="1"/>
  <c r="D20" i="24" s="1"/>
  <c r="G13" i="24"/>
  <c r="G18" i="24" s="1"/>
  <c r="F13" i="24"/>
  <c r="F18" i="24" s="1"/>
  <c r="E13" i="24"/>
  <c r="E18" i="24" s="1"/>
  <c r="D13" i="24"/>
  <c r="D18" i="24" s="1"/>
  <c r="H41" i="23"/>
  <c r="G41" i="23"/>
  <c r="F41" i="23"/>
  <c r="E41" i="23"/>
  <c r="D41" i="23"/>
  <c r="E34" i="23"/>
  <c r="D34" i="23"/>
  <c r="H32" i="23"/>
  <c r="H33" i="23" s="1"/>
  <c r="G32" i="23"/>
  <c r="G33" i="23" s="1"/>
  <c r="F32" i="23"/>
  <c r="F34" i="23" s="1"/>
  <c r="E32" i="23"/>
  <c r="E33" i="23" s="1"/>
  <c r="E35" i="23" s="1"/>
  <c r="D32" i="23"/>
  <c r="D28" i="23" s="1"/>
  <c r="D43" i="23" s="1"/>
  <c r="D31" i="23"/>
  <c r="H30" i="23"/>
  <c r="G30" i="23"/>
  <c r="F30" i="23"/>
  <c r="E30" i="23"/>
  <c r="D30" i="23"/>
  <c r="H29" i="23"/>
  <c r="H31" i="23" s="1"/>
  <c r="G29" i="23"/>
  <c r="G31" i="23" s="1"/>
  <c r="F29" i="23"/>
  <c r="F31" i="23" s="1"/>
  <c r="E29" i="23"/>
  <c r="D29" i="23"/>
  <c r="H28" i="23"/>
  <c r="H43" i="23" s="1"/>
  <c r="E28" i="23"/>
  <c r="E43" i="23" s="1"/>
  <c r="H27" i="23"/>
  <c r="H26" i="23"/>
  <c r="G26" i="23"/>
  <c r="F26" i="23"/>
  <c r="E26" i="23"/>
  <c r="D26" i="23"/>
  <c r="H25" i="23"/>
  <c r="G25" i="23"/>
  <c r="H24" i="23"/>
  <c r="G24" i="23"/>
  <c r="G27" i="23" s="1"/>
  <c r="F24" i="23"/>
  <c r="E24" i="23"/>
  <c r="D24" i="23"/>
  <c r="H23" i="23"/>
  <c r="G23" i="23"/>
  <c r="F23" i="23"/>
  <c r="F27" i="23" s="1"/>
  <c r="E23" i="23"/>
  <c r="E27" i="23" s="1"/>
  <c r="D23" i="23"/>
  <c r="D27" i="23" s="1"/>
  <c r="H18" i="23"/>
  <c r="H17" i="23"/>
  <c r="H19" i="23" s="1"/>
  <c r="H20" i="23" s="1"/>
  <c r="G17" i="23"/>
  <c r="F17" i="23"/>
  <c r="E17" i="23"/>
  <c r="D17" i="23"/>
  <c r="G13" i="23"/>
  <c r="G18" i="23" s="1"/>
  <c r="F13" i="23"/>
  <c r="F25" i="23" s="1"/>
  <c r="E13" i="23"/>
  <c r="E18" i="23" s="1"/>
  <c r="E19" i="23" s="1"/>
  <c r="E20" i="23" s="1"/>
  <c r="D13" i="23"/>
  <c r="D25" i="23" s="1"/>
  <c r="H12" i="23"/>
  <c r="G41" i="22"/>
  <c r="F41" i="22"/>
  <c r="E41" i="22"/>
  <c r="D41" i="22"/>
  <c r="F34" i="22"/>
  <c r="E34" i="22"/>
  <c r="D33" i="22"/>
  <c r="D35" i="22" s="1"/>
  <c r="G32" i="22"/>
  <c r="G33" i="22" s="1"/>
  <c r="F32" i="22"/>
  <c r="F33" i="22" s="1"/>
  <c r="F35" i="22" s="1"/>
  <c r="E32" i="22"/>
  <c r="E33" i="22" s="1"/>
  <c r="E35" i="22" s="1"/>
  <c r="D32" i="22"/>
  <c r="D34" i="22" s="1"/>
  <c r="G30" i="22"/>
  <c r="F30" i="22"/>
  <c r="E30" i="22"/>
  <c r="D30" i="22"/>
  <c r="G29" i="22"/>
  <c r="G31" i="22" s="1"/>
  <c r="F29" i="22"/>
  <c r="E29" i="22"/>
  <c r="E31" i="22" s="1"/>
  <c r="D29" i="22"/>
  <c r="D31" i="22" s="1"/>
  <c r="F28" i="22"/>
  <c r="F43" i="22" s="1"/>
  <c r="E28" i="22"/>
  <c r="E43" i="22" s="1"/>
  <c r="D28" i="22"/>
  <c r="D43" i="22" s="1"/>
  <c r="G26" i="22"/>
  <c r="F26" i="22"/>
  <c r="E26" i="22"/>
  <c r="D26" i="22"/>
  <c r="G24" i="22"/>
  <c r="F24" i="22"/>
  <c r="E24" i="22"/>
  <c r="D24" i="22"/>
  <c r="G23" i="22"/>
  <c r="G27" i="22" s="1"/>
  <c r="F23" i="22"/>
  <c r="F27" i="22" s="1"/>
  <c r="E23" i="22"/>
  <c r="E27" i="22" s="1"/>
  <c r="D23" i="22"/>
  <c r="D27" i="22" s="1"/>
  <c r="G17" i="22"/>
  <c r="F17" i="22"/>
  <c r="E17" i="22"/>
  <c r="D17" i="22"/>
  <c r="G13" i="22"/>
  <c r="G25" i="22" s="1"/>
  <c r="F13" i="22"/>
  <c r="F25" i="22" s="1"/>
  <c r="E13" i="22"/>
  <c r="E18" i="22" s="1"/>
  <c r="D13" i="22"/>
  <c r="D25" i="22" s="1"/>
  <c r="D13" i="19"/>
  <c r="AA229" i="6"/>
  <c r="AA226" i="6"/>
  <c r="AA223" i="6"/>
  <c r="AA220" i="6"/>
  <c r="AA191" i="6"/>
  <c r="AA188" i="6"/>
  <c r="AA185" i="6"/>
  <c r="AA182" i="6"/>
  <c r="AA161" i="6"/>
  <c r="AA158" i="6"/>
  <c r="AA155" i="6"/>
  <c r="AA152" i="6"/>
  <c r="AA123" i="6"/>
  <c r="AA120" i="6"/>
  <c r="AA117" i="6"/>
  <c r="AA114" i="6"/>
  <c r="D27" i="25" l="1"/>
  <c r="E27" i="25"/>
  <c r="D29" i="25"/>
  <c r="D31" i="25" s="1"/>
  <c r="E29" i="25"/>
  <c r="E31" i="25" s="1"/>
  <c r="E33" i="25"/>
  <c r="E35" i="25" s="1"/>
  <c r="E37" i="25" s="1"/>
  <c r="E41" i="25" s="1"/>
  <c r="E11" i="25"/>
  <c r="E25" i="25"/>
  <c r="E18" i="25"/>
  <c r="E19" i="25" s="1"/>
  <c r="E20" i="25" s="1"/>
  <c r="D18" i="25"/>
  <c r="D19" i="25" s="1"/>
  <c r="D20" i="25" s="1"/>
  <c r="D25" i="25"/>
  <c r="D11" i="25"/>
  <c r="D28" i="25"/>
  <c r="D42" i="25" s="1"/>
  <c r="D33" i="25"/>
  <c r="D35" i="25" s="1"/>
  <c r="D37" i="25" s="1"/>
  <c r="D41" i="25" s="1"/>
  <c r="E31" i="23"/>
  <c r="G19" i="23"/>
  <c r="G20" i="23" s="1"/>
  <c r="D38" i="24"/>
  <c r="D42" i="24" s="1"/>
  <c r="D36" i="24"/>
  <c r="G19" i="24"/>
  <c r="G20" i="24" s="1"/>
  <c r="E35" i="24"/>
  <c r="F25" i="24"/>
  <c r="F33" i="24"/>
  <c r="F35" i="24" s="1"/>
  <c r="G25" i="24"/>
  <c r="G33" i="24"/>
  <c r="G35" i="24" s="1"/>
  <c r="E38" i="23"/>
  <c r="E42" i="23" s="1"/>
  <c r="E36" i="23"/>
  <c r="G34" i="23"/>
  <c r="G35" i="23" s="1"/>
  <c r="F18" i="23"/>
  <c r="F19" i="23" s="1"/>
  <c r="F20" i="23" s="1"/>
  <c r="E25" i="23"/>
  <c r="F28" i="23"/>
  <c r="F43" i="23" s="1"/>
  <c r="H34" i="23"/>
  <c r="H35" i="23" s="1"/>
  <c r="D18" i="23"/>
  <c r="D19" i="23" s="1"/>
  <c r="D20" i="23" s="1"/>
  <c r="D33" i="23"/>
  <c r="D35" i="23" s="1"/>
  <c r="G28" i="23"/>
  <c r="G43" i="23" s="1"/>
  <c r="F33" i="23"/>
  <c r="F35" i="23" s="1"/>
  <c r="F31" i="22"/>
  <c r="D38" i="22"/>
  <c r="D42" i="22" s="1"/>
  <c r="D36" i="22"/>
  <c r="E38" i="22"/>
  <c r="E42" i="22" s="1"/>
  <c r="E36" i="22"/>
  <c r="F38" i="22"/>
  <c r="F42" i="22" s="1"/>
  <c r="F36" i="22"/>
  <c r="E19" i="22"/>
  <c r="E20" i="22" s="1"/>
  <c r="E25" i="22"/>
  <c r="D18" i="22"/>
  <c r="D19" i="22" s="1"/>
  <c r="D20" i="22" s="1"/>
  <c r="G34" i="22"/>
  <c r="G35" i="22" s="1"/>
  <c r="F18" i="22"/>
  <c r="F19" i="22" s="1"/>
  <c r="F20" i="22" s="1"/>
  <c r="G18" i="22"/>
  <c r="G19" i="22" s="1"/>
  <c r="G20" i="22" s="1"/>
  <c r="G28" i="22"/>
  <c r="G43" i="22" s="1"/>
  <c r="F36" i="24" l="1"/>
  <c r="F38" i="24"/>
  <c r="F42" i="24" s="1"/>
  <c r="E36" i="24"/>
  <c r="E38" i="24"/>
  <c r="E42" i="24" s="1"/>
  <c r="G36" i="24"/>
  <c r="G38" i="24"/>
  <c r="G42" i="24" s="1"/>
  <c r="H36" i="23"/>
  <c r="H38" i="23"/>
  <c r="H42" i="23" s="1"/>
  <c r="G38" i="23"/>
  <c r="G42" i="23" s="1"/>
  <c r="G36" i="23"/>
  <c r="F38" i="23"/>
  <c r="F42" i="23" s="1"/>
  <c r="F36" i="23"/>
  <c r="D36" i="23"/>
  <c r="D38" i="23"/>
  <c r="D42" i="23" s="1"/>
  <c r="G36" i="22"/>
  <c r="G38" i="22"/>
  <c r="G42" i="22" s="1"/>
  <c r="R100" i="6"/>
  <c r="D12" i="18"/>
  <c r="D13" i="16"/>
  <c r="F41" i="21"/>
  <c r="E41" i="21"/>
  <c r="D41" i="21"/>
  <c r="F32" i="21"/>
  <c r="F34" i="21" s="1"/>
  <c r="E32" i="21"/>
  <c r="E33" i="21" s="1"/>
  <c r="D32" i="21"/>
  <c r="D34" i="21" s="1"/>
  <c r="F30" i="21"/>
  <c r="E30" i="21"/>
  <c r="D30" i="21"/>
  <c r="F29" i="21"/>
  <c r="E29" i="21"/>
  <c r="D29" i="21"/>
  <c r="D28" i="21"/>
  <c r="D43" i="21" s="1"/>
  <c r="F26" i="21"/>
  <c r="E26" i="21"/>
  <c r="D26" i="21"/>
  <c r="F24" i="21"/>
  <c r="E24" i="21"/>
  <c r="D24" i="21"/>
  <c r="F23" i="21"/>
  <c r="E23" i="21"/>
  <c r="D23" i="21"/>
  <c r="F17" i="21"/>
  <c r="E17" i="21"/>
  <c r="D17" i="21"/>
  <c r="F13" i="21"/>
  <c r="F18" i="21" s="1"/>
  <c r="E12" i="21"/>
  <c r="E13" i="21" s="1"/>
  <c r="E18" i="21" s="1"/>
  <c r="D13" i="21"/>
  <c r="H41" i="19"/>
  <c r="G41" i="19"/>
  <c r="F41" i="19"/>
  <c r="E41" i="19"/>
  <c r="D41" i="19"/>
  <c r="H32" i="19"/>
  <c r="H34" i="19" s="1"/>
  <c r="G32" i="19"/>
  <c r="G34" i="19" s="1"/>
  <c r="F32" i="19"/>
  <c r="F34" i="19" s="1"/>
  <c r="E32" i="19"/>
  <c r="E34" i="19" s="1"/>
  <c r="D32" i="19"/>
  <c r="D34" i="19" s="1"/>
  <c r="H30" i="19"/>
  <c r="G30" i="19"/>
  <c r="F30" i="19"/>
  <c r="E30" i="19"/>
  <c r="D30" i="19"/>
  <c r="H29" i="19"/>
  <c r="G29" i="19"/>
  <c r="F29" i="19"/>
  <c r="E29" i="19"/>
  <c r="D29" i="19"/>
  <c r="H26" i="19"/>
  <c r="G26" i="19"/>
  <c r="F26" i="19"/>
  <c r="E26" i="19"/>
  <c r="D26" i="19"/>
  <c r="H24" i="19"/>
  <c r="G24" i="19"/>
  <c r="F24" i="19"/>
  <c r="E24" i="19"/>
  <c r="D24" i="19"/>
  <c r="H23" i="19"/>
  <c r="G23" i="19"/>
  <c r="F23" i="19"/>
  <c r="E23" i="19"/>
  <c r="D23" i="19"/>
  <c r="H17" i="19"/>
  <c r="G17" i="19"/>
  <c r="F17" i="19"/>
  <c r="E17" i="19"/>
  <c r="D17" i="19"/>
  <c r="H12" i="19"/>
  <c r="G13" i="19"/>
  <c r="F13" i="19"/>
  <c r="F18" i="19" s="1"/>
  <c r="E13" i="19"/>
  <c r="G41" i="18"/>
  <c r="F41" i="18"/>
  <c r="E41" i="18"/>
  <c r="D41" i="18"/>
  <c r="G32" i="18"/>
  <c r="G34" i="18" s="1"/>
  <c r="F32" i="18"/>
  <c r="F34" i="18" s="1"/>
  <c r="E32" i="18"/>
  <c r="E34" i="18" s="1"/>
  <c r="D32" i="18"/>
  <c r="D34" i="18" s="1"/>
  <c r="G30" i="18"/>
  <c r="F30" i="18"/>
  <c r="E30" i="18"/>
  <c r="D30" i="18"/>
  <c r="G29" i="18"/>
  <c r="F29" i="18"/>
  <c r="E29" i="18"/>
  <c r="E31" i="18" s="1"/>
  <c r="D29" i="18"/>
  <c r="D31" i="18" s="1"/>
  <c r="G26" i="18"/>
  <c r="F26" i="18"/>
  <c r="E26" i="18"/>
  <c r="D26" i="18"/>
  <c r="G24" i="18"/>
  <c r="F24" i="18"/>
  <c r="E24" i="18"/>
  <c r="D24" i="18"/>
  <c r="G23" i="18"/>
  <c r="F23" i="18"/>
  <c r="E23" i="18"/>
  <c r="E27" i="18" s="1"/>
  <c r="D23" i="18"/>
  <c r="D27" i="18" s="1"/>
  <c r="G17" i="18"/>
  <c r="F17" i="18"/>
  <c r="E17" i="18"/>
  <c r="D17" i="18"/>
  <c r="G13" i="18"/>
  <c r="F13" i="18"/>
  <c r="E13" i="18"/>
  <c r="D13" i="18"/>
  <c r="E41" i="17"/>
  <c r="D41" i="17"/>
  <c r="E32" i="17"/>
  <c r="E34" i="17" s="1"/>
  <c r="D32" i="17"/>
  <c r="D28" i="17" s="1"/>
  <c r="D43" i="17" s="1"/>
  <c r="E30" i="17"/>
  <c r="D30" i="17"/>
  <c r="E29" i="17"/>
  <c r="D29" i="17"/>
  <c r="E26" i="17"/>
  <c r="D26" i="17"/>
  <c r="E24" i="17"/>
  <c r="D24" i="17"/>
  <c r="E23" i="17"/>
  <c r="D23" i="17"/>
  <c r="E17" i="17"/>
  <c r="D17" i="17"/>
  <c r="E13" i="17"/>
  <c r="D13" i="17"/>
  <c r="E41" i="16"/>
  <c r="D41" i="16"/>
  <c r="E32" i="16"/>
  <c r="E34" i="16" s="1"/>
  <c r="D32" i="16"/>
  <c r="D34" i="16" s="1"/>
  <c r="E30" i="16"/>
  <c r="D30" i="16"/>
  <c r="E29" i="16"/>
  <c r="D29" i="16"/>
  <c r="E26" i="16"/>
  <c r="D26" i="16"/>
  <c r="E24" i="16"/>
  <c r="D24" i="16"/>
  <c r="E23" i="16"/>
  <c r="D23" i="16"/>
  <c r="E17" i="16"/>
  <c r="D17" i="16"/>
  <c r="E13" i="16"/>
  <c r="F49" i="15"/>
  <c r="D43" i="15"/>
  <c r="F43" i="15" s="1"/>
  <c r="H38" i="15"/>
  <c r="G38" i="15"/>
  <c r="F38" i="15"/>
  <c r="E38" i="15"/>
  <c r="D38" i="15"/>
  <c r="H27" i="15"/>
  <c r="G27" i="15"/>
  <c r="F27" i="15"/>
  <c r="E27" i="15"/>
  <c r="D27" i="15"/>
  <c r="H26" i="15"/>
  <c r="G26" i="15"/>
  <c r="F26" i="15"/>
  <c r="E26" i="15"/>
  <c r="D26" i="15"/>
  <c r="H23" i="15"/>
  <c r="G23" i="15"/>
  <c r="F23" i="15"/>
  <c r="E23" i="15"/>
  <c r="D23" i="15"/>
  <c r="H21" i="15"/>
  <c r="G21" i="15"/>
  <c r="F21" i="15"/>
  <c r="E21" i="15"/>
  <c r="D21" i="15"/>
  <c r="H20" i="15"/>
  <c r="G20" i="15"/>
  <c r="F20" i="15"/>
  <c r="E20" i="15"/>
  <c r="D20" i="15"/>
  <c r="H12" i="15"/>
  <c r="H22" i="15" s="1"/>
  <c r="G12" i="15"/>
  <c r="G22" i="15" s="1"/>
  <c r="F12" i="15"/>
  <c r="F15" i="15" s="1"/>
  <c r="F16" i="15" s="1"/>
  <c r="F17" i="15" s="1"/>
  <c r="E12" i="15"/>
  <c r="E22" i="15" s="1"/>
  <c r="D12" i="15"/>
  <c r="D22" i="15" s="1"/>
  <c r="G31" i="19" l="1"/>
  <c r="F31" i="19"/>
  <c r="H31" i="19"/>
  <c r="H27" i="19"/>
  <c r="F27" i="19"/>
  <c r="D28" i="19"/>
  <c r="D43" i="19" s="1"/>
  <c r="D27" i="19"/>
  <c r="G27" i="19"/>
  <c r="E31" i="19"/>
  <c r="E27" i="19"/>
  <c r="E28" i="19"/>
  <c r="E43" i="19" s="1"/>
  <c r="F28" i="19"/>
  <c r="F43" i="19" s="1"/>
  <c r="D33" i="19"/>
  <c r="D35" i="19" s="1"/>
  <c r="D31" i="19"/>
  <c r="E33" i="19"/>
  <c r="F31" i="21"/>
  <c r="E27" i="21"/>
  <c r="F28" i="21"/>
  <c r="F43" i="21" s="1"/>
  <c r="D27" i="21"/>
  <c r="E19" i="21"/>
  <c r="E20" i="21" s="1"/>
  <c r="F27" i="21"/>
  <c r="D31" i="21"/>
  <c r="D33" i="21"/>
  <c r="D35" i="21" s="1"/>
  <c r="D36" i="21" s="1"/>
  <c r="F19" i="21"/>
  <c r="F20" i="21" s="1"/>
  <c r="F33" i="21"/>
  <c r="F35" i="21" s="1"/>
  <c r="E28" i="21"/>
  <c r="E43" i="21" s="1"/>
  <c r="E34" i="21"/>
  <c r="E35" i="21" s="1"/>
  <c r="E31" i="21"/>
  <c r="F31" i="18"/>
  <c r="F28" i="18"/>
  <c r="F43" i="18" s="1"/>
  <c r="G27" i="18"/>
  <c r="D33" i="18"/>
  <c r="D35" i="18" s="1"/>
  <c r="E33" i="18"/>
  <c r="E35" i="18" s="1"/>
  <c r="F27" i="18"/>
  <c r="D28" i="18"/>
  <c r="D43" i="18" s="1"/>
  <c r="E28" i="18"/>
  <c r="E43" i="18" s="1"/>
  <c r="G31" i="18"/>
  <c r="F33" i="18"/>
  <c r="F35" i="18" s="1"/>
  <c r="E28" i="17"/>
  <c r="E43" i="17" s="1"/>
  <c r="D34" i="17"/>
  <c r="D33" i="17"/>
  <c r="D35" i="17" s="1"/>
  <c r="E31" i="17"/>
  <c r="E33" i="17"/>
  <c r="E35" i="17" s="1"/>
  <c r="E36" i="17" s="1"/>
  <c r="D27" i="17"/>
  <c r="D31" i="17"/>
  <c r="E27" i="17"/>
  <c r="D31" i="16"/>
  <c r="E31" i="16"/>
  <c r="E27" i="16"/>
  <c r="E33" i="16"/>
  <c r="D27" i="16"/>
  <c r="D28" i="16"/>
  <c r="D43" i="16" s="1"/>
  <c r="E28" i="16"/>
  <c r="E43" i="16" s="1"/>
  <c r="D33" i="16"/>
  <c r="D35" i="16" s="1"/>
  <c r="D38" i="21"/>
  <c r="D42" i="21" s="1"/>
  <c r="D25" i="21"/>
  <c r="D18" i="21"/>
  <c r="D19" i="21" s="1"/>
  <c r="D20" i="21" s="1"/>
  <c r="E25" i="21"/>
  <c r="F25" i="21"/>
  <c r="E24" i="15"/>
  <c r="E28" i="15"/>
  <c r="E29" i="15" s="1"/>
  <c r="E30" i="15" s="1"/>
  <c r="G18" i="19"/>
  <c r="G19" i="19" s="1"/>
  <c r="G20" i="19" s="1"/>
  <c r="G25" i="19"/>
  <c r="H18" i="19"/>
  <c r="H19" i="19" s="1"/>
  <c r="H20" i="19" s="1"/>
  <c r="H25" i="19"/>
  <c r="F19" i="19"/>
  <c r="F20" i="19" s="1"/>
  <c r="D38" i="19"/>
  <c r="D42" i="19" s="1"/>
  <c r="D36" i="19"/>
  <c r="E35" i="19"/>
  <c r="D25" i="19"/>
  <c r="D18" i="19"/>
  <c r="D19" i="19" s="1"/>
  <c r="D20" i="19" s="1"/>
  <c r="E18" i="19"/>
  <c r="E19" i="19" s="1"/>
  <c r="E20" i="19" s="1"/>
  <c r="E25" i="19"/>
  <c r="F25" i="19"/>
  <c r="F33" i="19"/>
  <c r="F35" i="19" s="1"/>
  <c r="G33" i="19"/>
  <c r="G35" i="19" s="1"/>
  <c r="G28" i="19"/>
  <c r="G43" i="19" s="1"/>
  <c r="H33" i="19"/>
  <c r="H35" i="19" s="1"/>
  <c r="H28" i="19"/>
  <c r="H43" i="19" s="1"/>
  <c r="D18" i="18"/>
  <c r="D19" i="18" s="1"/>
  <c r="D20" i="18" s="1"/>
  <c r="D25" i="18"/>
  <c r="E25" i="18"/>
  <c r="E18" i="18"/>
  <c r="E19" i="18" s="1"/>
  <c r="E20" i="18" s="1"/>
  <c r="F18" i="18"/>
  <c r="F19" i="18" s="1"/>
  <c r="F20" i="18" s="1"/>
  <c r="F25" i="18"/>
  <c r="G18" i="18"/>
  <c r="G19" i="18" s="1"/>
  <c r="G20" i="18" s="1"/>
  <c r="G25" i="18"/>
  <c r="G33" i="18"/>
  <c r="G35" i="18" s="1"/>
  <c r="G28" i="18"/>
  <c r="G43" i="18" s="1"/>
  <c r="D25" i="17"/>
  <c r="D18" i="17"/>
  <c r="D19" i="17" s="1"/>
  <c r="D20" i="17" s="1"/>
  <c r="E25" i="17"/>
  <c r="E18" i="17"/>
  <c r="E19" i="17" s="1"/>
  <c r="E20" i="17" s="1"/>
  <c r="D18" i="16"/>
  <c r="D19" i="16" s="1"/>
  <c r="D20" i="16" s="1"/>
  <c r="D25" i="16"/>
  <c r="E35" i="16"/>
  <c r="E18" i="16"/>
  <c r="E19" i="16" s="1"/>
  <c r="E20" i="16" s="1"/>
  <c r="E25" i="16"/>
  <c r="G28" i="15"/>
  <c r="G29" i="15" s="1"/>
  <c r="G31" i="15" s="1"/>
  <c r="G24" i="15"/>
  <c r="F24" i="15"/>
  <c r="F22" i="15"/>
  <c r="F28" i="15"/>
  <c r="F29" i="15" s="1"/>
  <c r="F25" i="15" s="1"/>
  <c r="F40" i="15" s="1"/>
  <c r="H28" i="15"/>
  <c r="H29" i="15" s="1"/>
  <c r="H24" i="15"/>
  <c r="D24" i="15"/>
  <c r="D28" i="15"/>
  <c r="D29" i="15" s="1"/>
  <c r="D25" i="15" s="1"/>
  <c r="D40" i="15" s="1"/>
  <c r="G43" i="15"/>
  <c r="D15" i="15"/>
  <c r="D16" i="15" s="1"/>
  <c r="D17" i="15" s="1"/>
  <c r="E15" i="15"/>
  <c r="E16" i="15" s="1"/>
  <c r="E17" i="15" s="1"/>
  <c r="G15" i="15"/>
  <c r="G16" i="15" s="1"/>
  <c r="G17" i="15" s="1"/>
  <c r="H15" i="15"/>
  <c r="H16" i="15" s="1"/>
  <c r="H17" i="15" s="1"/>
  <c r="AA67" i="6"/>
  <c r="I54" i="10"/>
  <c r="G39" i="10"/>
  <c r="F223" i="6"/>
  <c r="H223" i="6"/>
  <c r="M223" i="6"/>
  <c r="Q223" i="6"/>
  <c r="W223" i="6"/>
  <c r="F225" i="6"/>
  <c r="H225" i="6"/>
  <c r="M225" i="6"/>
  <c r="Q225" i="6"/>
  <c r="W225" i="6"/>
  <c r="F227" i="6"/>
  <c r="H227" i="6"/>
  <c r="M227" i="6"/>
  <c r="Q227" i="6"/>
  <c r="W227" i="6"/>
  <c r="F229" i="6"/>
  <c r="H229" i="6"/>
  <c r="W229" i="6" s="1"/>
  <c r="M229" i="6"/>
  <c r="Q229" i="6"/>
  <c r="Q161" i="6"/>
  <c r="W161" i="6" s="1"/>
  <c r="M161" i="6"/>
  <c r="F161" i="6"/>
  <c r="H161" i="6" s="1"/>
  <c r="Q159" i="6"/>
  <c r="M159" i="6"/>
  <c r="F159" i="6"/>
  <c r="H159" i="6" s="1"/>
  <c r="Q157" i="6"/>
  <c r="W157" i="6" s="1"/>
  <c r="M157" i="6"/>
  <c r="F157" i="6"/>
  <c r="H157" i="6" s="1"/>
  <c r="Q155" i="6"/>
  <c r="M155" i="6"/>
  <c r="F155" i="6"/>
  <c r="H155" i="6" s="1"/>
  <c r="W155" i="6" s="1"/>
  <c r="AA70" i="6"/>
  <c r="AA93" i="6"/>
  <c r="AA96" i="6"/>
  <c r="AA90" i="6"/>
  <c r="AA64" i="6"/>
  <c r="J50" i="10"/>
  <c r="J47" i="10"/>
  <c r="N36" i="10"/>
  <c r="N233" i="6"/>
  <c r="K233" i="6"/>
  <c r="I233" i="6"/>
  <c r="D233" i="6"/>
  <c r="Q231" i="6"/>
  <c r="M231" i="6"/>
  <c r="F231" i="6"/>
  <c r="H231" i="6" s="1"/>
  <c r="N165" i="6"/>
  <c r="K165" i="6"/>
  <c r="I165" i="6"/>
  <c r="D165" i="6"/>
  <c r="Q199" i="6"/>
  <c r="M199" i="6"/>
  <c r="F199" i="6"/>
  <c r="H199" i="6" s="1"/>
  <c r="Q197" i="6"/>
  <c r="M197" i="6"/>
  <c r="F197" i="6"/>
  <c r="H197" i="6" s="1"/>
  <c r="Q195" i="6"/>
  <c r="M195" i="6"/>
  <c r="F195" i="6"/>
  <c r="H195" i="6" s="1"/>
  <c r="Q193" i="6"/>
  <c r="M193" i="6"/>
  <c r="F193" i="6"/>
  <c r="H193" i="6" s="1"/>
  <c r="Q191" i="6"/>
  <c r="M191" i="6"/>
  <c r="F191" i="6"/>
  <c r="H191" i="6" s="1"/>
  <c r="Q189" i="6"/>
  <c r="M189" i="6"/>
  <c r="F189" i="6"/>
  <c r="H189" i="6" s="1"/>
  <c r="Q187" i="6"/>
  <c r="M187" i="6"/>
  <c r="F187" i="6"/>
  <c r="H187" i="6" s="1"/>
  <c r="Q185" i="6"/>
  <c r="M185" i="6"/>
  <c r="F185" i="6"/>
  <c r="H185" i="6" s="1"/>
  <c r="N203" i="6"/>
  <c r="K203" i="6"/>
  <c r="I203" i="6"/>
  <c r="D203" i="6"/>
  <c r="R206" i="6" s="1"/>
  <c r="R209" i="6" s="1"/>
  <c r="Q201" i="6"/>
  <c r="M201" i="6"/>
  <c r="F201" i="6"/>
  <c r="H201" i="6" s="1"/>
  <c r="N135" i="6"/>
  <c r="K135" i="6"/>
  <c r="I135" i="6"/>
  <c r="D135" i="6"/>
  <c r="R138" i="6" s="1"/>
  <c r="Q163" i="6"/>
  <c r="M163" i="6"/>
  <c r="F163" i="6"/>
  <c r="H163" i="6" s="1"/>
  <c r="Q133" i="6"/>
  <c r="M133" i="6"/>
  <c r="F133" i="6"/>
  <c r="H133" i="6" s="1"/>
  <c r="Q131" i="6"/>
  <c r="M131" i="6"/>
  <c r="F131" i="6"/>
  <c r="H131" i="6" s="1"/>
  <c r="Q129" i="6"/>
  <c r="M129" i="6"/>
  <c r="F129" i="6"/>
  <c r="H129" i="6" s="1"/>
  <c r="Q127" i="6"/>
  <c r="M127" i="6"/>
  <c r="F127" i="6"/>
  <c r="H127" i="6" s="1"/>
  <c r="Q125" i="6"/>
  <c r="M125" i="6"/>
  <c r="F125" i="6"/>
  <c r="H125" i="6" s="1"/>
  <c r="Q123" i="6"/>
  <c r="M123" i="6"/>
  <c r="F123" i="6"/>
  <c r="H123" i="6" s="1"/>
  <c r="Q121" i="6"/>
  <c r="M121" i="6"/>
  <c r="F121" i="6"/>
  <c r="H121" i="6" s="1"/>
  <c r="Q119" i="6"/>
  <c r="M119" i="6"/>
  <c r="F119" i="6"/>
  <c r="H119" i="6" s="1"/>
  <c r="Q117" i="6"/>
  <c r="M117" i="6"/>
  <c r="F117" i="6"/>
  <c r="Q93" i="6"/>
  <c r="Q97" i="6" s="1"/>
  <c r="K93" i="6"/>
  <c r="M93" i="6" s="1"/>
  <c r="F93" i="6"/>
  <c r="F97" i="6" s="1"/>
  <c r="N97" i="6"/>
  <c r="I97" i="6"/>
  <c r="D97" i="6"/>
  <c r="Q69" i="6"/>
  <c r="K69" i="6"/>
  <c r="M69" i="6" s="1"/>
  <c r="F69" i="6"/>
  <c r="H69" i="6" s="1"/>
  <c r="Q67" i="6"/>
  <c r="K67" i="6"/>
  <c r="F67" i="6"/>
  <c r="H67" i="6" s="1"/>
  <c r="N73" i="6"/>
  <c r="I73" i="6"/>
  <c r="D73" i="6"/>
  <c r="Q43" i="6"/>
  <c r="M43" i="6"/>
  <c r="F43" i="6"/>
  <c r="H43" i="6" s="1"/>
  <c r="Q41" i="6"/>
  <c r="M41" i="6"/>
  <c r="F41" i="6"/>
  <c r="H41" i="6" s="1"/>
  <c r="N47" i="6"/>
  <c r="K47" i="6"/>
  <c r="I47" i="6"/>
  <c r="D47" i="6"/>
  <c r="K21" i="6"/>
  <c r="N21" i="6"/>
  <c r="I21" i="6"/>
  <c r="D21" i="6"/>
  <c r="Q17" i="6"/>
  <c r="M17" i="6"/>
  <c r="F17" i="6"/>
  <c r="H17" i="6" s="1"/>
  <c r="Q15" i="6"/>
  <c r="M15" i="6"/>
  <c r="W15" i="6" s="1"/>
  <c r="AA12" i="6" s="1"/>
  <c r="F15" i="6"/>
  <c r="H15" i="6" s="1"/>
  <c r="Y63" i="5"/>
  <c r="M72" i="5"/>
  <c r="G72" i="5"/>
  <c r="T64" i="5"/>
  <c r="Q64" i="5"/>
  <c r="N64" i="5"/>
  <c r="K64" i="5"/>
  <c r="H64" i="5"/>
  <c r="E64" i="5"/>
  <c r="B64" i="5"/>
  <c r="P59" i="5"/>
  <c r="M59" i="5"/>
  <c r="J59" i="5"/>
  <c r="H59" i="5"/>
  <c r="P13" i="5"/>
  <c r="P15" i="5"/>
  <c r="P17" i="5"/>
  <c r="P19" i="5"/>
  <c r="P21" i="5"/>
  <c r="P23" i="5"/>
  <c r="P25" i="5"/>
  <c r="P27" i="5"/>
  <c r="P29" i="5"/>
  <c r="P31" i="5"/>
  <c r="P33" i="5"/>
  <c r="P35" i="5"/>
  <c r="P37" i="5"/>
  <c r="P39" i="5"/>
  <c r="P41" i="5"/>
  <c r="P43" i="5"/>
  <c r="P45" i="5"/>
  <c r="P47" i="5"/>
  <c r="P49" i="5"/>
  <c r="P51" i="5"/>
  <c r="P53" i="5"/>
  <c r="P55" i="5"/>
  <c r="V55" i="5" s="1"/>
  <c r="P57" i="5"/>
  <c r="V57" i="5" s="1"/>
  <c r="P11" i="5"/>
  <c r="C59" i="5"/>
  <c r="V13" i="5"/>
  <c r="G13" i="5"/>
  <c r="G15" i="5"/>
  <c r="G17" i="5"/>
  <c r="V17" i="5" s="1"/>
  <c r="G19" i="5"/>
  <c r="V19" i="5" s="1"/>
  <c r="G21" i="5"/>
  <c r="V21" i="5" s="1"/>
  <c r="G55" i="5"/>
  <c r="G57" i="5"/>
  <c r="G11" i="5"/>
  <c r="E13" i="5"/>
  <c r="E15" i="5"/>
  <c r="E17" i="5"/>
  <c r="E19" i="5"/>
  <c r="E21" i="5"/>
  <c r="E23" i="5"/>
  <c r="G23" i="5" s="1"/>
  <c r="V23" i="5" s="1"/>
  <c r="E25" i="5"/>
  <c r="E59" i="5" s="1"/>
  <c r="E27" i="5"/>
  <c r="G27" i="5" s="1"/>
  <c r="V27" i="5" s="1"/>
  <c r="E29" i="5"/>
  <c r="G29" i="5" s="1"/>
  <c r="V29" i="5" s="1"/>
  <c r="E31" i="5"/>
  <c r="G31" i="5" s="1"/>
  <c r="E33" i="5"/>
  <c r="G33" i="5" s="1"/>
  <c r="V33" i="5" s="1"/>
  <c r="E35" i="5"/>
  <c r="G35" i="5" s="1"/>
  <c r="V35" i="5" s="1"/>
  <c r="E37" i="5"/>
  <c r="G37" i="5" s="1"/>
  <c r="V37" i="5" s="1"/>
  <c r="E39" i="5"/>
  <c r="G39" i="5" s="1"/>
  <c r="V39" i="5" s="1"/>
  <c r="E41" i="5"/>
  <c r="G41" i="5" s="1"/>
  <c r="E43" i="5"/>
  <c r="G43" i="5" s="1"/>
  <c r="V43" i="5" s="1"/>
  <c r="E45" i="5"/>
  <c r="G45" i="5" s="1"/>
  <c r="V45" i="5" s="1"/>
  <c r="E47" i="5"/>
  <c r="G47" i="5" s="1"/>
  <c r="E49" i="5"/>
  <c r="G49" i="5" s="1"/>
  <c r="V49" i="5" s="1"/>
  <c r="E51" i="5"/>
  <c r="G51" i="5" s="1"/>
  <c r="V51" i="5" s="1"/>
  <c r="E53" i="5"/>
  <c r="G53" i="5" s="1"/>
  <c r="V53" i="5" s="1"/>
  <c r="E55" i="5"/>
  <c r="E57" i="5"/>
  <c r="E11" i="5"/>
  <c r="L59" i="5"/>
  <c r="L13" i="5"/>
  <c r="L15" i="5"/>
  <c r="L17" i="5"/>
  <c r="L19" i="5"/>
  <c r="L21" i="5"/>
  <c r="L23" i="5"/>
  <c r="L25" i="5"/>
  <c r="L27" i="5"/>
  <c r="L29" i="5"/>
  <c r="L31" i="5"/>
  <c r="L33" i="5"/>
  <c r="L35" i="5"/>
  <c r="L37" i="5"/>
  <c r="L39" i="5"/>
  <c r="L41" i="5"/>
  <c r="L43" i="5"/>
  <c r="L45" i="5"/>
  <c r="L47" i="5"/>
  <c r="L49" i="5"/>
  <c r="L51" i="5"/>
  <c r="L53" i="5"/>
  <c r="L55" i="5"/>
  <c r="L57" i="5"/>
  <c r="L11" i="5"/>
  <c r="J21" i="5"/>
  <c r="J19" i="5"/>
  <c r="E48" i="2"/>
  <c r="N46" i="2"/>
  <c r="O46" i="2" s="1"/>
  <c r="N43" i="2"/>
  <c r="O43" i="2" s="1"/>
  <c r="E42" i="2"/>
  <c r="N49" i="2"/>
  <c r="N52" i="2"/>
  <c r="O55" i="2"/>
  <c r="N47" i="2"/>
  <c r="N53" i="2"/>
  <c r="N41" i="2"/>
  <c r="N50" i="2"/>
  <c r="N40" i="2"/>
  <c r="N48" i="2"/>
  <c r="N45" i="2"/>
  <c r="N55" i="2"/>
  <c r="N38" i="2"/>
  <c r="N37" i="2"/>
  <c r="N39" i="2"/>
  <c r="N54" i="2"/>
  <c r="N51" i="2"/>
  <c r="N44" i="2"/>
  <c r="N42" i="2"/>
  <c r="P34" i="3"/>
  <c r="O34" i="3"/>
  <c r="N21" i="2"/>
  <c r="N24" i="2"/>
  <c r="N23" i="2"/>
  <c r="N20" i="2"/>
  <c r="N17" i="2"/>
  <c r="N19" i="2"/>
  <c r="R11" i="3"/>
  <c r="N26" i="2"/>
  <c r="N27" i="2"/>
  <c r="N25" i="2"/>
  <c r="N22" i="2"/>
  <c r="N18" i="2"/>
  <c r="N16" i="2"/>
  <c r="N15" i="2"/>
  <c r="N14" i="2"/>
  <c r="N13" i="2"/>
  <c r="N12" i="2"/>
  <c r="N11" i="2"/>
  <c r="N10" i="2"/>
  <c r="N9" i="2"/>
  <c r="N8" i="2"/>
  <c r="E38" i="21" l="1"/>
  <c r="E42" i="21" s="1"/>
  <c r="E36" i="21"/>
  <c r="F36" i="21"/>
  <c r="F38" i="21"/>
  <c r="F42" i="21" s="1"/>
  <c r="F38" i="18"/>
  <c r="F42" i="18" s="1"/>
  <c r="F36" i="18"/>
  <c r="E38" i="17"/>
  <c r="E42" i="17" s="1"/>
  <c r="D38" i="17"/>
  <c r="D42" i="17" s="1"/>
  <c r="D36" i="17"/>
  <c r="G38" i="19"/>
  <c r="G42" i="19" s="1"/>
  <c r="G36" i="19"/>
  <c r="H36" i="19"/>
  <c r="H38" i="19"/>
  <c r="H42" i="19" s="1"/>
  <c r="F38" i="19"/>
  <c r="F42" i="19" s="1"/>
  <c r="F36" i="19"/>
  <c r="E38" i="19"/>
  <c r="E42" i="19" s="1"/>
  <c r="E36" i="19"/>
  <c r="E38" i="18"/>
  <c r="E42" i="18" s="1"/>
  <c r="E36" i="18"/>
  <c r="G38" i="18"/>
  <c r="G42" i="18" s="1"/>
  <c r="G36" i="18"/>
  <c r="D38" i="18"/>
  <c r="D42" i="18" s="1"/>
  <c r="D36" i="18"/>
  <c r="D38" i="16"/>
  <c r="D42" i="16" s="1"/>
  <c r="D36" i="16"/>
  <c r="E38" i="16"/>
  <c r="E42" i="16" s="1"/>
  <c r="E36" i="16"/>
  <c r="E31" i="15"/>
  <c r="E32" i="15" s="1"/>
  <c r="E33" i="15" s="1"/>
  <c r="F30" i="15"/>
  <c r="F31" i="15"/>
  <c r="E25" i="15"/>
  <c r="E40" i="15" s="1"/>
  <c r="D30" i="15"/>
  <c r="D31" i="15"/>
  <c r="G25" i="15"/>
  <c r="G40" i="15" s="1"/>
  <c r="G30" i="15"/>
  <c r="G32" i="15" s="1"/>
  <c r="G35" i="15" s="1"/>
  <c r="G39" i="15" s="1"/>
  <c r="H30" i="15"/>
  <c r="H25" i="15"/>
  <c r="H40" i="15" s="1"/>
  <c r="H31" i="15"/>
  <c r="V11" i="5"/>
  <c r="V15" i="5"/>
  <c r="V59" i="5" s="1"/>
  <c r="G59" i="5"/>
  <c r="W159" i="6"/>
  <c r="W193" i="6"/>
  <c r="W119" i="6"/>
  <c r="W201" i="6"/>
  <c r="Q135" i="6"/>
  <c r="H165" i="6"/>
  <c r="M135" i="6"/>
  <c r="Q165" i="6"/>
  <c r="R168" i="6" s="1"/>
  <c r="M165" i="6"/>
  <c r="M203" i="6"/>
  <c r="W231" i="6"/>
  <c r="W191" i="6"/>
  <c r="Q203" i="6"/>
  <c r="F165" i="6"/>
  <c r="Q233" i="6"/>
  <c r="R236" i="6" s="1"/>
  <c r="R239" i="6" s="1"/>
  <c r="W197" i="6"/>
  <c r="W199" i="6"/>
  <c r="F135" i="6"/>
  <c r="W189" i="6"/>
  <c r="H117" i="6"/>
  <c r="H135" i="6" s="1"/>
  <c r="H233" i="6"/>
  <c r="F233" i="6"/>
  <c r="M233" i="6"/>
  <c r="W195" i="6"/>
  <c r="W185" i="6"/>
  <c r="W187" i="6"/>
  <c r="H203" i="6"/>
  <c r="F203" i="6"/>
  <c r="W123" i="6"/>
  <c r="W163" i="6"/>
  <c r="W125" i="6"/>
  <c r="W121" i="6"/>
  <c r="W131" i="6"/>
  <c r="W133" i="6"/>
  <c r="W129" i="6"/>
  <c r="W127" i="6"/>
  <c r="M47" i="6"/>
  <c r="K97" i="6"/>
  <c r="K73" i="6"/>
  <c r="M67" i="6"/>
  <c r="M73" i="6" s="1"/>
  <c r="Q73" i="6"/>
  <c r="R76" i="6" s="1"/>
  <c r="R79" i="6" s="1"/>
  <c r="F73" i="6"/>
  <c r="F47" i="6"/>
  <c r="W41" i="6"/>
  <c r="AA38" i="6" s="1"/>
  <c r="W69" i="6"/>
  <c r="M97" i="6"/>
  <c r="H93" i="6"/>
  <c r="H97" i="6" s="1"/>
  <c r="R103" i="6"/>
  <c r="H73" i="6"/>
  <c r="W43" i="6"/>
  <c r="AA41" i="6" s="1"/>
  <c r="H47" i="6"/>
  <c r="Q47" i="6"/>
  <c r="R50" i="6" s="1"/>
  <c r="W17" i="6"/>
  <c r="AA15" i="6" s="1"/>
  <c r="M21" i="6"/>
  <c r="Q21" i="6"/>
  <c r="R24" i="6" s="1"/>
  <c r="F21" i="6"/>
  <c r="H21" i="6"/>
  <c r="V41" i="5"/>
  <c r="V47" i="5"/>
  <c r="V31" i="5"/>
  <c r="G25" i="5"/>
  <c r="V25" i="5" s="1"/>
  <c r="O52" i="2"/>
  <c r="O40" i="2"/>
  <c r="O49" i="2"/>
  <c r="O37" i="2"/>
  <c r="O26" i="2"/>
  <c r="O11" i="2"/>
  <c r="O8" i="2"/>
  <c r="O14" i="2"/>
  <c r="O23" i="2"/>
  <c r="O20" i="2"/>
  <c r="O17" i="2"/>
  <c r="F32" i="15" l="1"/>
  <c r="F33" i="15" s="1"/>
  <c r="D32" i="15"/>
  <c r="D33" i="15" s="1"/>
  <c r="G33" i="15"/>
  <c r="E35" i="15"/>
  <c r="E39" i="15" s="1"/>
  <c r="H32" i="15"/>
  <c r="W203" i="6"/>
  <c r="W117" i="6"/>
  <c r="W135" i="6" s="1"/>
  <c r="W165" i="6"/>
  <c r="W233" i="6"/>
  <c r="R171" i="6"/>
  <c r="R141" i="6"/>
  <c r="W47" i="6"/>
  <c r="R53" i="6"/>
  <c r="W67" i="6"/>
  <c r="W73" i="6" s="1"/>
  <c r="W93" i="6"/>
  <c r="W97" i="6" s="1"/>
  <c r="R27" i="6"/>
  <c r="W21" i="6"/>
  <c r="E19" i="2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S11" i="3"/>
  <c r="F35" i="15" l="1"/>
  <c r="F39" i="15" s="1"/>
  <c r="D35" i="15"/>
  <c r="D39" i="15" s="1"/>
  <c r="H33" i="15"/>
  <c r="H35" i="15"/>
  <c r="H39" i="15" s="1"/>
</calcChain>
</file>

<file path=xl/sharedStrings.xml><?xml version="1.0" encoding="utf-8"?>
<sst xmlns="http://schemas.openxmlformats.org/spreadsheetml/2006/main" count="1804" uniqueCount="339">
  <si>
    <t>Lote</t>
  </si>
  <si>
    <t>Tipo</t>
  </si>
  <si>
    <t>Pisos</t>
  </si>
  <si>
    <t>Caracterização</t>
  </si>
  <si>
    <t>Cave</t>
  </si>
  <si>
    <t>R/C</t>
  </si>
  <si>
    <t>Numero</t>
  </si>
  <si>
    <t>L1</t>
  </si>
  <si>
    <t>L2</t>
  </si>
  <si>
    <t>L3</t>
  </si>
  <si>
    <t>L4</t>
  </si>
  <si>
    <t>L5</t>
  </si>
  <si>
    <t>L6</t>
  </si>
  <si>
    <t>Habitação Unifamiliar</t>
  </si>
  <si>
    <t>Garagem</t>
  </si>
  <si>
    <t>Habitação</t>
  </si>
  <si>
    <t>L7 ao L22</t>
  </si>
  <si>
    <t>kVA</t>
  </si>
  <si>
    <t>Coordenadas das Cargas</t>
  </si>
  <si>
    <t>Lotes</t>
  </si>
  <si>
    <t>Potências (kVA)</t>
  </si>
  <si>
    <t>Imaginário</t>
  </si>
  <si>
    <t>Produto com Potência da Carga</t>
  </si>
  <si>
    <t>Serviços Comuns</t>
  </si>
  <si>
    <t>Charging Station (Uni)</t>
  </si>
  <si>
    <t>Charging Station (Col)</t>
  </si>
  <si>
    <t>Pisos(1 a 3)</t>
  </si>
  <si>
    <t xml:space="preserve">Edificio coletivo de habitação e comercio </t>
  </si>
  <si>
    <t>Aparcamento/S.C.</t>
  </si>
  <si>
    <t>Potência (kVA)</t>
  </si>
  <si>
    <t>Potência Total por Lote (kVA)</t>
  </si>
  <si>
    <t>Edificio coletivo de habitação</t>
  </si>
  <si>
    <t>Pisos (1 a 4)</t>
  </si>
  <si>
    <t>Habitação - 3 frações tipo T3</t>
  </si>
  <si>
    <t>Habitação - T3 &amp; Uni</t>
  </si>
  <si>
    <t>Potência Total da Urbanização sem coeficientes (kVA)</t>
  </si>
  <si>
    <t>Balanço de Potências Inicial</t>
  </si>
  <si>
    <t>Instalada</t>
  </si>
  <si>
    <t>Aparcamento/S.C. (2 Chargers)</t>
  </si>
  <si>
    <t>Comércio 1</t>
  </si>
  <si>
    <t>Comercio 1</t>
  </si>
  <si>
    <t>Comercio 2</t>
  </si>
  <si>
    <t>Balanço de Potências Final</t>
  </si>
  <si>
    <t>Calculo do Centro de Cargas</t>
  </si>
  <si>
    <t>Eixo X</t>
  </si>
  <si>
    <t>Eixo Y</t>
  </si>
  <si>
    <t>Coordenadas do Centro de Carga</t>
  </si>
  <si>
    <t>Baseando-nos nos slides 23 e 24 do documento 7.1_rdeebt_v1.pdf</t>
  </si>
  <si>
    <t>Serviços Comuns (2 elevadores+Garagem)</t>
  </si>
  <si>
    <t>Habitações Unifamiliares</t>
  </si>
  <si>
    <t>LOTE</t>
  </si>
  <si>
    <t>Comércio/Equipamento/Outros</t>
  </si>
  <si>
    <t>Potência Estimada / Área  (X)</t>
  </si>
  <si>
    <t>Quantidade</t>
  </si>
  <si>
    <t>Potência</t>
  </si>
  <si>
    <t>P. Total</t>
  </si>
  <si>
    <t>Coeficiente</t>
  </si>
  <si>
    <t>Tipo de Utilização</t>
  </si>
  <si>
    <t xml:space="preserve">Unitária </t>
  </si>
  <si>
    <t>Comércio</t>
  </si>
  <si>
    <t>S.Comuns</t>
  </si>
  <si>
    <t>Estimada</t>
  </si>
  <si>
    <t>(kVA)</t>
  </si>
  <si>
    <t>(KVA)</t>
  </si>
  <si>
    <t>Totais</t>
  </si>
  <si>
    <t>Variável</t>
  </si>
  <si>
    <t>Pot. total do Loteamento</t>
  </si>
  <si>
    <t xml:space="preserve">Comércio </t>
  </si>
  <si>
    <t>S.C (2 elevadores+Garagem+Carregador Elétrico)</t>
  </si>
  <si>
    <t>Comercio</t>
  </si>
  <si>
    <t>Aparcamento/S.C. C/ Carregamento</t>
  </si>
  <si>
    <t>RTIEBT 803.2.4.3</t>
  </si>
  <si>
    <t>Coeficiente de simultaniedade</t>
  </si>
  <si>
    <t>Numero De Utilizadores</t>
  </si>
  <si>
    <t>Locais de habitação</t>
  </si>
  <si>
    <t>2 a 4</t>
  </si>
  <si>
    <t>5 a 9</t>
  </si>
  <si>
    <t>10 a 14</t>
  </si>
  <si>
    <t>15 a 19</t>
  </si>
  <si>
    <t>20 a 24</t>
  </si>
  <si>
    <t>25 a 29</t>
  </si>
  <si>
    <t>30 a 34</t>
  </si>
  <si>
    <t>35 a 39</t>
  </si>
  <si>
    <t>40 a 49</t>
  </si>
  <si>
    <t>&gt;= 50</t>
  </si>
  <si>
    <t>Outros Locais()</t>
  </si>
  <si>
    <t>Qualquer</t>
  </si>
  <si>
    <t>Potência               Total dos Lotes                  (kVA)</t>
  </si>
  <si>
    <r>
      <t>(m</t>
    </r>
    <r>
      <rPr>
        <b/>
        <vertAlign val="superscript"/>
        <sz val="10"/>
        <color theme="1" tint="0.34998626667073579"/>
        <rFont val="Calibri Light"/>
        <family val="2"/>
        <scheme val="major"/>
      </rPr>
      <t>2</t>
    </r>
    <r>
      <rPr>
        <b/>
        <sz val="10"/>
        <color theme="1" tint="0.34998626667073579"/>
        <rFont val="Calibri Light"/>
        <family val="2"/>
        <scheme val="major"/>
      </rPr>
      <t>)</t>
    </r>
  </si>
  <si>
    <r>
      <t>(VA/m</t>
    </r>
    <r>
      <rPr>
        <b/>
        <vertAlign val="superscript"/>
        <sz val="10"/>
        <color theme="1" tint="0.34998626667073579"/>
        <rFont val="Calibri Light"/>
        <family val="2"/>
        <scheme val="major"/>
      </rPr>
      <t>2</t>
    </r>
    <r>
      <rPr>
        <b/>
        <sz val="10"/>
        <color theme="1" tint="0.34998626667073579"/>
        <rFont val="Calibri Light"/>
        <family val="2"/>
        <scheme val="major"/>
      </rPr>
      <t>)</t>
    </r>
  </si>
  <si>
    <r>
      <t>(n</t>
    </r>
    <r>
      <rPr>
        <vertAlign val="subscript"/>
        <sz val="10"/>
        <rFont val="Calibri Light"/>
        <family val="2"/>
        <scheme val="major"/>
      </rPr>
      <t>1</t>
    </r>
    <r>
      <rPr>
        <sz val="10"/>
        <rFont val="Calibri Light"/>
        <family val="2"/>
        <scheme val="major"/>
      </rPr>
      <t>)</t>
    </r>
  </si>
  <si>
    <r>
      <t>(s</t>
    </r>
    <r>
      <rPr>
        <vertAlign val="subscript"/>
        <sz val="10"/>
        <rFont val="Calibri Light"/>
        <family val="2"/>
        <scheme val="major"/>
      </rPr>
      <t>1</t>
    </r>
    <r>
      <rPr>
        <sz val="10"/>
        <rFont val="Calibri Light"/>
        <family val="2"/>
        <scheme val="major"/>
      </rPr>
      <t>)</t>
    </r>
  </si>
  <si>
    <r>
      <t>(n</t>
    </r>
    <r>
      <rPr>
        <vertAlign val="subscript"/>
        <sz val="10"/>
        <rFont val="Calibri Light"/>
        <family val="2"/>
        <scheme val="major"/>
      </rPr>
      <t>2</t>
    </r>
    <r>
      <rPr>
        <sz val="10"/>
        <rFont val="Calibri Light"/>
        <family val="2"/>
        <scheme val="major"/>
      </rPr>
      <t>)</t>
    </r>
  </si>
  <si>
    <r>
      <t>(s</t>
    </r>
    <r>
      <rPr>
        <vertAlign val="subscript"/>
        <sz val="10"/>
        <rFont val="Calibri Light"/>
        <family val="2"/>
        <scheme val="major"/>
      </rPr>
      <t>2</t>
    </r>
    <r>
      <rPr>
        <sz val="10"/>
        <rFont val="Calibri Light"/>
        <family val="2"/>
        <scheme val="major"/>
      </rPr>
      <t>)</t>
    </r>
  </si>
  <si>
    <r>
      <t>(n</t>
    </r>
    <r>
      <rPr>
        <vertAlign val="subscript"/>
        <sz val="10"/>
        <rFont val="Calibri Light"/>
        <family val="2"/>
        <scheme val="major"/>
      </rPr>
      <t>3</t>
    </r>
    <r>
      <rPr>
        <sz val="10"/>
        <rFont val="Calibri Light"/>
        <family val="2"/>
        <scheme val="major"/>
      </rPr>
      <t>)</t>
    </r>
  </si>
  <si>
    <r>
      <t>(s</t>
    </r>
    <r>
      <rPr>
        <vertAlign val="subscript"/>
        <sz val="10"/>
        <rFont val="Calibri Light"/>
        <family val="2"/>
        <scheme val="major"/>
      </rPr>
      <t>3</t>
    </r>
    <r>
      <rPr>
        <sz val="10"/>
        <rFont val="Calibri Light"/>
        <family val="2"/>
        <scheme val="major"/>
      </rPr>
      <t>)</t>
    </r>
  </si>
  <si>
    <r>
      <t>(s</t>
    </r>
    <r>
      <rPr>
        <vertAlign val="subscript"/>
        <sz val="10"/>
        <rFont val="Calibri Light"/>
        <family val="2"/>
        <scheme val="major"/>
      </rPr>
      <t>4</t>
    </r>
    <r>
      <rPr>
        <sz val="10"/>
        <rFont val="Calibri Light"/>
        <family val="2"/>
        <scheme val="major"/>
      </rPr>
      <t>)</t>
    </r>
  </si>
  <si>
    <r>
      <t>Coef. habitação (c</t>
    </r>
    <r>
      <rPr>
        <b/>
        <vertAlign val="subscript"/>
        <sz val="11"/>
        <color theme="1" tint="0.34998626667073579"/>
        <rFont val="Calibri Light"/>
        <family val="2"/>
        <scheme val="major"/>
      </rPr>
      <t>1</t>
    </r>
    <r>
      <rPr>
        <b/>
        <sz val="11"/>
        <color theme="1" tint="0.34998626667073579"/>
        <rFont val="Calibri Light"/>
        <family val="2"/>
        <scheme val="major"/>
      </rPr>
      <t>)</t>
    </r>
  </si>
  <si>
    <r>
      <t>Pot. total habitação (S</t>
    </r>
    <r>
      <rPr>
        <b/>
        <vertAlign val="subscript"/>
        <sz val="11"/>
        <color theme="1" tint="0.34998626667073579"/>
        <rFont val="Calibri Light"/>
        <family val="2"/>
        <scheme val="major"/>
      </rPr>
      <t>t1</t>
    </r>
    <r>
      <rPr>
        <b/>
        <sz val="11"/>
        <color theme="1" tint="0.34998626667073579"/>
        <rFont val="Calibri Light"/>
        <family val="2"/>
        <scheme val="major"/>
      </rPr>
      <t>)</t>
    </r>
  </si>
  <si>
    <r>
      <t>Coef. Com. /Equip./Outros(c</t>
    </r>
    <r>
      <rPr>
        <b/>
        <vertAlign val="subscript"/>
        <sz val="11"/>
        <color theme="1" tint="0.34998626667073579"/>
        <rFont val="Calibri Light"/>
        <family val="2"/>
        <scheme val="major"/>
      </rPr>
      <t>2</t>
    </r>
    <r>
      <rPr>
        <b/>
        <sz val="11"/>
        <color theme="1" tint="0.34998626667073579"/>
        <rFont val="Calibri Light"/>
        <family val="2"/>
        <scheme val="major"/>
      </rPr>
      <t>)</t>
    </r>
  </si>
  <si>
    <r>
      <t>Pot. total com,/Equip./Outros (S</t>
    </r>
    <r>
      <rPr>
        <b/>
        <vertAlign val="subscript"/>
        <sz val="11"/>
        <color theme="1" tint="0.34998626667073579"/>
        <rFont val="Calibri Light"/>
        <family val="2"/>
        <scheme val="major"/>
      </rPr>
      <t>t2</t>
    </r>
    <r>
      <rPr>
        <b/>
        <sz val="11"/>
        <color theme="1" tint="0.34998626667073579"/>
        <rFont val="Calibri Light"/>
        <family val="2"/>
        <scheme val="major"/>
      </rPr>
      <t>)</t>
    </r>
  </si>
  <si>
    <r>
      <t>Pot. Serviços Comuns (S</t>
    </r>
    <r>
      <rPr>
        <b/>
        <vertAlign val="subscript"/>
        <sz val="11"/>
        <color theme="1" tint="0.34998626667073579"/>
        <rFont val="Calibri Light"/>
        <family val="2"/>
        <scheme val="major"/>
      </rPr>
      <t>t3</t>
    </r>
    <r>
      <rPr>
        <b/>
        <sz val="11"/>
        <color theme="1" tint="0.34998626667073579"/>
        <rFont val="Calibri Light"/>
        <family val="2"/>
        <scheme val="major"/>
      </rPr>
      <t>)</t>
    </r>
  </si>
  <si>
    <r>
      <t>Pot. total estimada/área(S</t>
    </r>
    <r>
      <rPr>
        <b/>
        <vertAlign val="subscript"/>
        <sz val="11"/>
        <color theme="1" tint="0.34998626667073579"/>
        <rFont val="Calibri Light"/>
        <family val="2"/>
        <scheme val="major"/>
      </rPr>
      <t>t4</t>
    </r>
    <r>
      <rPr>
        <b/>
        <sz val="11"/>
        <color theme="1" tint="0.34998626667073579"/>
        <rFont val="Calibri Light"/>
        <family val="2"/>
        <scheme val="major"/>
      </rPr>
      <t>)</t>
    </r>
  </si>
  <si>
    <r>
      <t>c</t>
    </r>
    <r>
      <rPr>
        <b/>
        <vertAlign val="subscript"/>
        <sz val="11"/>
        <color theme="1" tint="0.34998626667073579"/>
        <rFont val="Calibri Light"/>
        <family val="2"/>
        <scheme val="major"/>
      </rPr>
      <t>1</t>
    </r>
    <r>
      <rPr>
        <b/>
        <sz val="11"/>
        <color theme="1" tint="0.34998626667073579"/>
        <rFont val="Calibri Light"/>
        <family val="2"/>
        <scheme val="major"/>
      </rPr>
      <t>=0,2+(0,8/((n</t>
    </r>
    <r>
      <rPr>
        <b/>
        <vertAlign val="subscript"/>
        <sz val="11"/>
        <color theme="1" tint="0.34998626667073579"/>
        <rFont val="Calibri Light"/>
        <family val="2"/>
        <scheme val="major"/>
      </rPr>
      <t>1</t>
    </r>
    <r>
      <rPr>
        <b/>
        <sz val="11"/>
        <color theme="1" tint="0.34998626667073579"/>
        <rFont val="Calibri Light"/>
        <family val="2"/>
        <scheme val="major"/>
      </rPr>
      <t>+n</t>
    </r>
    <r>
      <rPr>
        <b/>
        <vertAlign val="subscript"/>
        <sz val="11"/>
        <color theme="1" tint="0.34998626667073579"/>
        <rFont val="Calibri Light"/>
        <family val="2"/>
        <scheme val="major"/>
      </rPr>
      <t>3</t>
    </r>
    <r>
      <rPr>
        <b/>
        <sz val="11"/>
        <color theme="1" tint="0.34998626667073579"/>
        <rFont val="Calibri Light"/>
        <family val="2"/>
        <scheme val="major"/>
      </rPr>
      <t>)^</t>
    </r>
    <r>
      <rPr>
        <b/>
        <vertAlign val="superscript"/>
        <sz val="11"/>
        <color theme="1" tint="0.34998626667073579"/>
        <rFont val="Calibri Light"/>
        <family val="2"/>
        <scheme val="major"/>
      </rPr>
      <t>(1/2)</t>
    </r>
    <r>
      <rPr>
        <b/>
        <sz val="11"/>
        <color theme="1" tint="0.34998626667073579"/>
        <rFont val="Calibri Light"/>
        <family val="2"/>
        <scheme val="major"/>
      </rPr>
      <t>))</t>
    </r>
  </si>
  <si>
    <r>
      <t>S</t>
    </r>
    <r>
      <rPr>
        <b/>
        <vertAlign val="subscript"/>
        <sz val="11"/>
        <color theme="1" tint="0.34998626667073579"/>
        <rFont val="Calibri Light"/>
        <family val="2"/>
        <scheme val="major"/>
      </rPr>
      <t>t1</t>
    </r>
    <r>
      <rPr>
        <b/>
        <sz val="11"/>
        <color theme="1" tint="0.34998626667073579"/>
        <rFont val="Calibri Light"/>
        <family val="2"/>
        <scheme val="major"/>
      </rPr>
      <t>=c</t>
    </r>
    <r>
      <rPr>
        <b/>
        <vertAlign val="subscript"/>
        <sz val="11"/>
        <color theme="1" tint="0.34998626667073579"/>
        <rFont val="Calibri Light"/>
        <family val="2"/>
        <scheme val="major"/>
      </rPr>
      <t>1</t>
    </r>
    <r>
      <rPr>
        <b/>
        <sz val="11"/>
        <color theme="1" tint="0.34998626667073579"/>
        <rFont val="Calibri Light"/>
        <family val="2"/>
        <scheme val="major"/>
      </rPr>
      <t>*s1 (kVA)</t>
    </r>
  </si>
  <si>
    <r>
      <t>c</t>
    </r>
    <r>
      <rPr>
        <b/>
        <vertAlign val="subscript"/>
        <sz val="11"/>
        <color theme="1" tint="0.34998626667073579"/>
        <rFont val="Calibri Light"/>
        <family val="2"/>
        <scheme val="major"/>
      </rPr>
      <t>2</t>
    </r>
    <r>
      <rPr>
        <b/>
        <sz val="11"/>
        <color theme="1" tint="0.34998626667073579"/>
        <rFont val="Calibri Light"/>
        <family val="2"/>
        <scheme val="major"/>
      </rPr>
      <t>=0,5+0,5/(n</t>
    </r>
    <r>
      <rPr>
        <b/>
        <vertAlign val="subscript"/>
        <sz val="11"/>
        <color theme="1" tint="0.34998626667073579"/>
        <rFont val="Calibri Light"/>
        <family val="2"/>
        <scheme val="major"/>
      </rPr>
      <t>2</t>
    </r>
    <r>
      <rPr>
        <b/>
        <sz val="11"/>
        <color theme="1" tint="0.34998626667073579"/>
        <rFont val="Calibri Light"/>
        <family val="2"/>
        <scheme val="major"/>
      </rPr>
      <t>)1/2</t>
    </r>
  </si>
  <si>
    <r>
      <t>S</t>
    </r>
    <r>
      <rPr>
        <b/>
        <vertAlign val="subscript"/>
        <sz val="11"/>
        <color theme="1" tint="0.34998626667073579"/>
        <rFont val="Calibri Light"/>
        <family val="2"/>
        <scheme val="major"/>
      </rPr>
      <t>t2</t>
    </r>
    <r>
      <rPr>
        <b/>
        <sz val="11"/>
        <color theme="1" tint="0.34998626667073579"/>
        <rFont val="Calibri Light"/>
        <family val="2"/>
        <scheme val="major"/>
      </rPr>
      <t>=c</t>
    </r>
    <r>
      <rPr>
        <b/>
        <vertAlign val="subscript"/>
        <sz val="11"/>
        <color theme="1" tint="0.34998626667073579"/>
        <rFont val="Calibri Light"/>
        <family val="2"/>
        <scheme val="major"/>
      </rPr>
      <t>2</t>
    </r>
    <r>
      <rPr>
        <b/>
        <sz val="11"/>
        <color theme="1" tint="0.34998626667073579"/>
        <rFont val="Calibri Light"/>
        <family val="2"/>
        <scheme val="major"/>
      </rPr>
      <t>*s</t>
    </r>
    <r>
      <rPr>
        <b/>
        <vertAlign val="subscript"/>
        <sz val="11"/>
        <color theme="1" tint="0.34998626667073579"/>
        <rFont val="Calibri Light"/>
        <family val="2"/>
        <scheme val="major"/>
      </rPr>
      <t>2</t>
    </r>
    <r>
      <rPr>
        <b/>
        <sz val="11"/>
        <color theme="1" tint="0.34998626667073579"/>
        <rFont val="Calibri Light"/>
        <family val="2"/>
        <scheme val="major"/>
      </rPr>
      <t xml:space="preserve"> (kVA)</t>
    </r>
  </si>
  <si>
    <r>
      <t>S</t>
    </r>
    <r>
      <rPr>
        <b/>
        <vertAlign val="subscript"/>
        <sz val="11"/>
        <color theme="1" tint="0.34998626667073579"/>
        <rFont val="Calibri Light"/>
        <family val="2"/>
        <scheme val="major"/>
      </rPr>
      <t>t3</t>
    </r>
    <r>
      <rPr>
        <b/>
        <sz val="11"/>
        <color theme="1" tint="0.34998626667073579"/>
        <rFont val="Calibri Light"/>
        <family val="2"/>
        <scheme val="major"/>
      </rPr>
      <t>=c</t>
    </r>
    <r>
      <rPr>
        <b/>
        <vertAlign val="subscript"/>
        <sz val="11"/>
        <color theme="1" tint="0.34998626667073579"/>
        <rFont val="Calibri Light"/>
        <family val="2"/>
        <scheme val="major"/>
      </rPr>
      <t>1</t>
    </r>
    <r>
      <rPr>
        <b/>
        <sz val="11"/>
        <color theme="1" tint="0.34998626667073579"/>
        <rFont val="Calibri Light"/>
        <family val="2"/>
        <scheme val="major"/>
      </rPr>
      <t>*s</t>
    </r>
    <r>
      <rPr>
        <b/>
        <vertAlign val="subscript"/>
        <sz val="11"/>
        <color theme="1" tint="0.34998626667073579"/>
        <rFont val="Calibri Light"/>
        <family val="2"/>
        <scheme val="major"/>
      </rPr>
      <t>3</t>
    </r>
    <r>
      <rPr>
        <b/>
        <sz val="11"/>
        <color theme="1" tint="0.34998626667073579"/>
        <rFont val="Calibri Light"/>
        <family val="2"/>
        <scheme val="major"/>
      </rPr>
      <t xml:space="preserve"> (kVA)</t>
    </r>
  </si>
  <si>
    <r>
      <t>S</t>
    </r>
    <r>
      <rPr>
        <b/>
        <vertAlign val="subscript"/>
        <sz val="11"/>
        <color theme="1" tint="0.34998626667073579"/>
        <rFont val="Calibri Light"/>
        <family val="2"/>
        <scheme val="major"/>
      </rPr>
      <t>t4</t>
    </r>
    <r>
      <rPr>
        <b/>
        <sz val="11"/>
        <color theme="1" tint="0.34998626667073579"/>
        <rFont val="Calibri Light"/>
        <family val="2"/>
        <scheme val="major"/>
      </rPr>
      <t>=s</t>
    </r>
    <r>
      <rPr>
        <b/>
        <vertAlign val="subscript"/>
        <sz val="11"/>
        <color theme="1" tint="0.34998626667073579"/>
        <rFont val="Calibri Light"/>
        <family val="2"/>
        <scheme val="major"/>
      </rPr>
      <t>4</t>
    </r>
    <r>
      <rPr>
        <b/>
        <sz val="11"/>
        <color theme="1" tint="0.34998626667073579"/>
        <rFont val="Calibri Light"/>
        <family val="2"/>
        <scheme val="major"/>
      </rPr>
      <t xml:space="preserve"> (kVA)</t>
    </r>
  </si>
  <si>
    <r>
      <t>S</t>
    </r>
    <r>
      <rPr>
        <b/>
        <vertAlign val="subscript"/>
        <sz val="11"/>
        <color theme="1" tint="0.34998626667073579"/>
        <rFont val="Calibri Light"/>
        <family val="2"/>
        <scheme val="major"/>
      </rPr>
      <t>Total</t>
    </r>
    <r>
      <rPr>
        <b/>
        <sz val="11"/>
        <color theme="1" tint="0.34998626667073579"/>
        <rFont val="Calibri Light"/>
        <family val="2"/>
        <scheme val="major"/>
      </rPr>
      <t>=S</t>
    </r>
    <r>
      <rPr>
        <b/>
        <vertAlign val="subscript"/>
        <sz val="11"/>
        <color theme="1" tint="0.34998626667073579"/>
        <rFont val="Calibri Light"/>
        <family val="2"/>
        <scheme val="major"/>
      </rPr>
      <t>t1</t>
    </r>
    <r>
      <rPr>
        <b/>
        <sz val="11"/>
        <color theme="1" tint="0.34998626667073579"/>
        <rFont val="Calibri Light"/>
        <family val="2"/>
        <scheme val="major"/>
      </rPr>
      <t>+S</t>
    </r>
    <r>
      <rPr>
        <b/>
        <vertAlign val="subscript"/>
        <sz val="11"/>
        <color theme="1" tint="0.34998626667073579"/>
        <rFont val="Calibri Light"/>
        <family val="2"/>
        <scheme val="major"/>
      </rPr>
      <t>t2</t>
    </r>
    <r>
      <rPr>
        <b/>
        <sz val="11"/>
        <color theme="1" tint="0.34998626667073579"/>
        <rFont val="Calibri Light"/>
        <family val="2"/>
        <scheme val="major"/>
      </rPr>
      <t>+S</t>
    </r>
    <r>
      <rPr>
        <b/>
        <vertAlign val="subscript"/>
        <sz val="11"/>
        <color theme="1" tint="0.34998626667073579"/>
        <rFont val="Calibri Light"/>
        <family val="2"/>
        <scheme val="major"/>
      </rPr>
      <t>t3</t>
    </r>
    <r>
      <rPr>
        <b/>
        <sz val="11"/>
        <color theme="1" tint="0.34998626667073579"/>
        <rFont val="Calibri Light"/>
        <family val="2"/>
        <scheme val="major"/>
      </rPr>
      <t>+S</t>
    </r>
    <r>
      <rPr>
        <b/>
        <vertAlign val="subscript"/>
        <sz val="11"/>
        <color theme="1" tint="0.34998626667073579"/>
        <rFont val="Calibri Light"/>
        <family val="2"/>
        <scheme val="major"/>
      </rPr>
      <t xml:space="preserve">t4 </t>
    </r>
    <r>
      <rPr>
        <b/>
        <sz val="11"/>
        <color theme="1" tint="0.34998626667073579"/>
        <rFont val="Calibri Light"/>
        <family val="2"/>
        <scheme val="major"/>
      </rPr>
      <t>(kVA)</t>
    </r>
  </si>
  <si>
    <t>Iluminação Publica</t>
  </si>
  <si>
    <t>Potência p/ lampada (W)</t>
  </si>
  <si>
    <t>Potencia p/ Lâmpada (VA)</t>
  </si>
  <si>
    <t>η p/ Lâmpada (%)</t>
  </si>
  <si>
    <t>Numero de Lâmpadas</t>
  </si>
  <si>
    <t>Potência Total da Iluminação Publica do Loteamento (kVA)</t>
  </si>
  <si>
    <t>POTÊNCIA TOTAL DO LOTEAMENTO POR POSTO DE TRANSFORMAÇÃO</t>
  </si>
  <si>
    <t>V</t>
  </si>
  <si>
    <t>A</t>
  </si>
  <si>
    <t>Ramais</t>
  </si>
  <si>
    <r>
      <t>I</t>
    </r>
    <r>
      <rPr>
        <b/>
        <sz val="14"/>
        <color theme="1" tint="0.34998626667073579"/>
        <rFont val="Calibri"/>
        <family val="2"/>
        <scheme val="minor"/>
      </rPr>
      <t>B(AD2)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</si>
  <si>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alim(AD2)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</si>
  <si>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</si>
  <si>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B(AD1)</t>
    </r>
    <r>
      <rPr>
        <b/>
        <sz val="24"/>
        <color theme="1" tint="0.34998626667073579"/>
        <rFont val="Calibri"/>
        <family val="2"/>
        <scheme val="minor"/>
      </rPr>
      <t>=</t>
    </r>
  </si>
  <si>
    <t>Potências de curto-circuito (15 kV em Urgezes)</t>
  </si>
  <si>
    <t>Máxima</t>
  </si>
  <si>
    <t>Minima</t>
  </si>
  <si>
    <t>MVA</t>
  </si>
  <si>
    <t>QMT: 15 kV</t>
  </si>
  <si>
    <t>QGBT: 400 V</t>
  </si>
  <si>
    <t>Bases P.U.</t>
  </si>
  <si>
    <r>
      <t>U</t>
    </r>
    <r>
      <rPr>
        <sz val="12"/>
        <color theme="1"/>
        <rFont val="Calibri"/>
        <family val="2"/>
        <scheme val="minor"/>
      </rPr>
      <t>b1</t>
    </r>
  </si>
  <si>
    <r>
      <t>S</t>
    </r>
    <r>
      <rPr>
        <sz val="11"/>
        <color theme="1"/>
        <rFont val="Calibri"/>
        <family val="2"/>
        <scheme val="minor"/>
      </rPr>
      <t>B</t>
    </r>
  </si>
  <si>
    <r>
      <t>U</t>
    </r>
    <r>
      <rPr>
        <sz val="12"/>
        <color theme="1"/>
        <rFont val="Calibri"/>
        <family val="2"/>
        <scheme val="minor"/>
      </rPr>
      <t>b2</t>
    </r>
  </si>
  <si>
    <t>P.U.</t>
  </si>
  <si>
    <r>
      <t>U</t>
    </r>
    <r>
      <rPr>
        <sz val="12"/>
        <color theme="1"/>
        <rFont val="Calibri"/>
        <family val="2"/>
        <scheme val="minor"/>
      </rPr>
      <t>1</t>
    </r>
  </si>
  <si>
    <r>
      <t>U</t>
    </r>
    <r>
      <rPr>
        <sz val="12"/>
        <color theme="1"/>
        <rFont val="Calibri"/>
        <family val="2"/>
        <scheme val="minor"/>
      </rPr>
      <t>2</t>
    </r>
  </si>
  <si>
    <t>Transformador</t>
  </si>
  <si>
    <t>S</t>
  </si>
  <si>
    <t>Xf</t>
  </si>
  <si>
    <t>%</t>
  </si>
  <si>
    <t>Média Tensão</t>
  </si>
  <si>
    <t>Canalizações Principais e Ramais</t>
  </si>
  <si>
    <r>
      <t>S</t>
    </r>
    <r>
      <rPr>
        <b/>
        <sz val="16"/>
        <color theme="1" tint="0.34998626667073579"/>
        <rFont val="Calibri"/>
        <family val="2"/>
        <scheme val="minor"/>
      </rPr>
      <t>alim(AD3)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</si>
  <si>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B(AD3)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</si>
  <si>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alim(AD3.1)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</si>
  <si>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B(AD3.1)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</si>
  <si>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alim(AD4)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</si>
  <si>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B(AD4)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</si>
  <si>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alim(AD4.1)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</si>
  <si>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B(AD4.1)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</si>
  <si>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alim(AD5)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</si>
  <si>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B(AD5.1)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</si>
  <si>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4"/>
        <color theme="1" tint="0.34998626667073579"/>
        <rFont val="Calibri"/>
        <family val="2"/>
        <scheme val="minor"/>
      </rPr>
      <t>B(AD5)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</si>
  <si>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S</t>
    </r>
    <r>
      <rPr>
        <b/>
        <sz val="16"/>
        <color theme="1" tint="0.34998626667073579"/>
        <rFont val="Calibri"/>
        <family val="2"/>
        <scheme val="minor"/>
      </rPr>
      <t>alim(AD5.1)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</si>
  <si>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</si>
  <si>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2)</t>
    </r>
  </si>
  <si>
    <t>AD1 (TIPO X)</t>
  </si>
  <si>
    <t>AD2 (TIPO X)</t>
  </si>
  <si>
    <t>Reserva</t>
  </si>
  <si>
    <t>----------------------------------------</t>
  </si>
  <si>
    <r>
      <t>S</t>
    </r>
    <r>
      <rPr>
        <sz val="11"/>
        <color theme="1"/>
        <rFont val="Calibri"/>
        <family val="2"/>
        <scheme val="minor"/>
      </rPr>
      <t>C</t>
    </r>
  </si>
  <si>
    <t>RIX</t>
  </si>
  <si>
    <t>Para SCC de 207 MVA</t>
  </si>
  <si>
    <t>Para SCC infinito</t>
  </si>
  <si>
    <t>Corrente de CC em QGBT</t>
  </si>
  <si>
    <t>AD3 (TIPO X)</t>
  </si>
  <si>
    <t>AD3.1 (TIPO X)</t>
  </si>
  <si>
    <t>AD4 (TIPO Y)</t>
  </si>
  <si>
    <t>AD5 (TIPO Y)</t>
  </si>
  <si>
    <r>
      <t>I</t>
    </r>
    <r>
      <rPr>
        <b/>
        <sz val="12"/>
        <color theme="1" tint="0.34998626667073579"/>
        <rFont val="Calibri"/>
        <family val="2"/>
        <scheme val="minor"/>
      </rPr>
      <t>B(Lote 3)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</si>
  <si>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4)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</si>
  <si>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B(S.C Lote 5)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</si>
  <si>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B(Comercio Lote 5)</t>
    </r>
  </si>
  <si>
    <t>Ligação AD3.1</t>
  </si>
  <si>
    <r>
      <t>I</t>
    </r>
    <r>
      <rPr>
        <b/>
        <sz val="12"/>
        <color theme="1" tint="0.34998626667073579"/>
        <rFont val="Calibri"/>
        <family val="2"/>
        <scheme val="minor"/>
      </rPr>
      <t>B(S.C Lote 6)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</si>
  <si>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B(Comercio Lote 6)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</si>
  <si>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19)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</si>
  <si>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20)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</si>
  <si>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21)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</si>
  <si>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22)</t>
    </r>
  </si>
  <si>
    <t>Ligação AD4.1</t>
  </si>
  <si>
    <t>AD4.1 (TIPO Y)</t>
  </si>
  <si>
    <r>
      <t>I</t>
    </r>
    <r>
      <rPr>
        <b/>
        <sz val="12"/>
        <color theme="1" tint="0.34998626667073579"/>
        <rFont val="Calibri"/>
        <family val="2"/>
        <scheme val="minor"/>
      </rPr>
      <t>B(Lote 15)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</si>
  <si>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16)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</si>
  <si>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17)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</si>
  <si>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18)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</si>
  <si>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14)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</si>
  <si>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13)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</si>
  <si>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12)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</si>
  <si>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11)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</si>
  <si>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7)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</si>
  <si>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8)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</si>
  <si>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9)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</si>
  <si>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B(Lote 10)</t>
    </r>
  </si>
  <si>
    <t>Ligação AD5.1</t>
  </si>
  <si>
    <t>AD5.1 (TIPO Y)</t>
  </si>
  <si>
    <r>
      <t>S</t>
    </r>
    <r>
      <rPr>
        <b/>
        <sz val="12"/>
        <color theme="1" tint="0.34998626667073579"/>
        <rFont val="Calibri"/>
        <family val="2"/>
        <scheme val="minor"/>
      </rPr>
      <t>CC</t>
    </r>
  </si>
  <si>
    <r>
      <t>S</t>
    </r>
    <r>
      <rPr>
        <b/>
        <sz val="12"/>
        <color theme="1" tint="0.34998626667073579"/>
        <rFont val="Calibri"/>
        <family val="2"/>
        <scheme val="minor"/>
      </rPr>
      <t>CC</t>
    </r>
    <r>
      <rPr>
        <b/>
        <sz val="16"/>
        <color theme="1" tint="0.34998626667073579"/>
        <rFont val="Calibri"/>
        <family val="2"/>
        <scheme val="minor"/>
      </rPr>
      <t>=I</t>
    </r>
    <r>
      <rPr>
        <b/>
        <sz val="12"/>
        <color theme="1" tint="0.34998626667073579"/>
        <rFont val="Calibri"/>
        <family val="2"/>
        <scheme val="minor"/>
      </rPr>
      <t>CC</t>
    </r>
    <r>
      <rPr>
        <b/>
        <sz val="16"/>
        <color theme="1" tint="0.34998626667073579"/>
        <rFont val="Calibri"/>
        <family val="2"/>
        <scheme val="minor"/>
      </rPr>
      <t>*U</t>
    </r>
    <r>
      <rPr>
        <b/>
        <sz val="12"/>
        <color theme="1" tint="0.34998626667073579"/>
        <rFont val="Calibri"/>
        <family val="2"/>
        <scheme val="minor"/>
      </rPr>
      <t>1</t>
    </r>
    <r>
      <rPr>
        <b/>
        <sz val="16"/>
        <color theme="1" tint="0.34998626667073579"/>
        <rFont val="Calibri"/>
        <family val="2"/>
        <scheme val="minor"/>
      </rPr>
      <t>, logo I</t>
    </r>
    <r>
      <rPr>
        <b/>
        <sz val="12"/>
        <color theme="1" tint="0.34998626667073579"/>
        <rFont val="Calibri"/>
        <family val="2"/>
        <scheme val="minor"/>
      </rPr>
      <t>CC</t>
    </r>
    <r>
      <rPr>
        <b/>
        <sz val="16"/>
        <color theme="1" tint="0.34998626667073579"/>
        <rFont val="Calibri"/>
        <family val="2"/>
        <scheme val="minor"/>
      </rPr>
      <t>=1.P.U.</t>
    </r>
  </si>
  <si>
    <r>
      <t>Z</t>
    </r>
    <r>
      <rPr>
        <b/>
        <sz val="12"/>
        <color theme="1" tint="0.34998626667073579"/>
        <rFont val="Calibri"/>
        <family val="2"/>
        <scheme val="minor"/>
      </rPr>
      <t>1</t>
    </r>
    <r>
      <rPr>
        <b/>
        <sz val="16"/>
        <color theme="1" tint="0.34998626667073579"/>
        <rFont val="Calibri"/>
        <family val="2"/>
        <scheme val="minor"/>
      </rPr>
      <t>=(c*U</t>
    </r>
    <r>
      <rPr>
        <b/>
        <sz val="12"/>
        <color theme="1" tint="0.34998626667073579"/>
        <rFont val="Calibri"/>
        <family val="2"/>
        <scheme val="minor"/>
      </rPr>
      <t>1</t>
    </r>
    <r>
      <rPr>
        <b/>
        <sz val="16"/>
        <color theme="1" tint="0.34998626667073579"/>
        <rFont val="Calibri"/>
        <family val="2"/>
        <scheme val="minor"/>
      </rPr>
      <t>)/I</t>
    </r>
    <r>
      <rPr>
        <b/>
        <sz val="12"/>
        <color theme="1" tint="0.34998626667073579"/>
        <rFont val="Calibri"/>
        <family val="2"/>
        <scheme val="minor"/>
      </rPr>
      <t>CC</t>
    </r>
    <r>
      <rPr>
        <b/>
        <sz val="16"/>
        <color theme="1" tint="0.34998626667073579"/>
        <rFont val="Calibri"/>
        <family val="2"/>
        <scheme val="minor"/>
      </rPr>
      <t>=1,1 P.U</t>
    </r>
  </si>
  <si>
    <r>
      <t>Z</t>
    </r>
    <r>
      <rPr>
        <b/>
        <sz val="12"/>
        <color theme="1" tint="0.34998626667073579"/>
        <rFont val="Calibri"/>
        <family val="2"/>
        <scheme val="minor"/>
      </rPr>
      <t>1</t>
    </r>
    <r>
      <rPr>
        <b/>
        <sz val="16"/>
        <color theme="1" tint="0.34998626667073579"/>
        <rFont val="Calibri"/>
        <family val="2"/>
        <scheme val="minor"/>
      </rPr>
      <t>= j 1,1 P.U.</t>
    </r>
  </si>
  <si>
    <r>
      <t>X</t>
    </r>
    <r>
      <rPr>
        <b/>
        <sz val="12"/>
        <color theme="1" tint="0.34998626667073579"/>
        <rFont val="Calibri"/>
        <family val="2"/>
        <scheme val="minor"/>
      </rPr>
      <t>F(rede)</t>
    </r>
  </si>
  <si>
    <r>
      <t>X</t>
    </r>
    <r>
      <rPr>
        <b/>
        <sz val="12"/>
        <color theme="1" tint="0.34998626667073579"/>
        <rFont val="Calibri"/>
        <family val="2"/>
        <scheme val="minor"/>
      </rPr>
      <t>F(máquina)</t>
    </r>
  </si>
  <si>
    <r>
      <t>I</t>
    </r>
    <r>
      <rPr>
        <b/>
        <sz val="11"/>
        <color theme="1" tint="0.34998626667073579"/>
        <rFont val="Calibri"/>
        <family val="2"/>
        <scheme val="minor"/>
      </rPr>
      <t>CC2</t>
    </r>
    <r>
      <rPr>
        <b/>
        <sz val="16"/>
        <color theme="1" tint="0.34998626667073579"/>
        <rFont val="Calibri"/>
        <family val="2"/>
        <scheme val="minor"/>
      </rPr>
      <t>=(c*U</t>
    </r>
    <r>
      <rPr>
        <b/>
        <sz val="11"/>
        <color theme="1" tint="0.34998626667073579"/>
        <rFont val="Calibri"/>
        <family val="2"/>
        <scheme val="minor"/>
      </rPr>
      <t>2</t>
    </r>
    <r>
      <rPr>
        <b/>
        <sz val="16"/>
        <color theme="1" tint="0.34998626667073579"/>
        <rFont val="Calibri"/>
        <family val="2"/>
        <scheme val="minor"/>
      </rPr>
      <t>)/Z</t>
    </r>
    <r>
      <rPr>
        <b/>
        <sz val="11"/>
        <color theme="1" tint="0.34998626667073579"/>
        <rFont val="Calibri"/>
        <family val="2"/>
        <scheme val="minor"/>
      </rPr>
      <t>1</t>
    </r>
  </si>
  <si>
    <r>
      <t>I</t>
    </r>
    <r>
      <rPr>
        <b/>
        <sz val="11"/>
        <color theme="1" tint="0.34998626667073579"/>
        <rFont val="Calibri"/>
        <family val="2"/>
        <scheme val="minor"/>
      </rPr>
      <t>CC2</t>
    </r>
  </si>
  <si>
    <r>
      <t>I</t>
    </r>
    <r>
      <rPr>
        <b/>
        <sz val="10"/>
        <color theme="1" tint="0.34998626667073579"/>
        <rFont val="Calibri"/>
        <family val="2"/>
        <scheme val="minor"/>
      </rPr>
      <t>CC2</t>
    </r>
  </si>
  <si>
    <t>Correntes Curto-Circuito + Intensidades Nominais</t>
  </si>
  <si>
    <r>
      <t>I</t>
    </r>
    <r>
      <rPr>
        <b/>
        <sz val="12"/>
        <color theme="1" tint="0.34998626667073579"/>
        <rFont val="Calibri"/>
        <family val="2"/>
        <scheme val="minor"/>
      </rPr>
      <t>NominalAT</t>
    </r>
    <r>
      <rPr>
        <b/>
        <sz val="24"/>
        <color theme="1" tint="0.34998626667073579"/>
        <rFont val="Calibri"/>
        <family val="2"/>
        <scheme val="minor"/>
      </rPr>
      <t>=</t>
    </r>
  </si>
  <si>
    <r>
      <t>I</t>
    </r>
    <r>
      <rPr>
        <b/>
        <sz val="12"/>
        <color theme="1" tint="0.34998626667073579"/>
        <rFont val="Calibri"/>
        <family val="2"/>
        <scheme val="minor"/>
      </rPr>
      <t>NominalBT</t>
    </r>
    <r>
      <rPr>
        <b/>
        <sz val="24"/>
        <color theme="1" tint="0.34998626667073579"/>
        <rFont val="Calibri"/>
        <family val="2"/>
        <scheme val="minor"/>
      </rPr>
      <t>=</t>
    </r>
  </si>
  <si>
    <t>AD1</t>
  </si>
  <si>
    <t>AD2</t>
  </si>
  <si>
    <t>AD3</t>
  </si>
  <si>
    <t>Origen</t>
  </si>
  <si>
    <t>PT</t>
  </si>
  <si>
    <t>Destino</t>
  </si>
  <si>
    <t>AD4</t>
  </si>
  <si>
    <t>AD5</t>
  </si>
  <si>
    <t>Comprimento (m)</t>
  </si>
  <si>
    <t>Ib (A)</t>
  </si>
  <si>
    <t>Secção Fase (mm2)</t>
  </si>
  <si>
    <t>Secção Neutro (mm2)</t>
  </si>
  <si>
    <t>Queda de Tensão</t>
  </si>
  <si>
    <r>
      <rPr>
        <sz val="10"/>
        <rFont val="Calibri"/>
        <family val="2"/>
      </rPr>
      <t>∆U</t>
    </r>
    <r>
      <rPr>
        <sz val="11"/>
        <color theme="1"/>
        <rFont val="Calibri"/>
        <family val="2"/>
        <scheme val="minor"/>
      </rPr>
      <t xml:space="preserve"> (V)</t>
    </r>
  </si>
  <si>
    <r>
      <rPr>
        <sz val="10"/>
        <rFont val="Calibri"/>
        <family val="2"/>
      </rPr>
      <t>∆U</t>
    </r>
    <r>
      <rPr>
        <sz val="11"/>
        <color theme="1"/>
        <rFont val="Calibri"/>
        <family val="2"/>
        <scheme val="minor"/>
      </rPr>
      <t xml:space="preserve"> (%)</t>
    </r>
  </si>
  <si>
    <t xml:space="preserve">Verificação ∆U&lt;=5%  </t>
  </si>
  <si>
    <t>Sobrecargas</t>
  </si>
  <si>
    <t>Iz (A)</t>
  </si>
  <si>
    <r>
      <t>r</t>
    </r>
    <r>
      <rPr>
        <b/>
        <sz val="8"/>
        <rFont val="Century Gothic"/>
        <family val="2"/>
      </rPr>
      <t xml:space="preserve"> ºC de funcionamento (70ºC)</t>
    </r>
  </si>
  <si>
    <t>Factor de Correcção</t>
  </si>
  <si>
    <t>Calibre In (A)</t>
  </si>
  <si>
    <r>
      <t>r</t>
    </r>
    <r>
      <rPr>
        <sz val="10"/>
        <rFont val="Century Gothic"/>
        <family val="2"/>
      </rPr>
      <t>cobre</t>
    </r>
  </si>
  <si>
    <t>Factor 1,25</t>
  </si>
  <si>
    <t>I2 (A)</t>
  </si>
  <si>
    <r>
      <t>r</t>
    </r>
    <r>
      <rPr>
        <sz val="10"/>
        <rFont val="Century Gothic"/>
        <family val="2"/>
      </rPr>
      <t>aluminio</t>
    </r>
  </si>
  <si>
    <t>Fadiga Termica 1,45*Iz (A)</t>
  </si>
  <si>
    <t>Condição:  IB &lt;= In</t>
  </si>
  <si>
    <t>Condição:  In &lt;= Iz</t>
  </si>
  <si>
    <r>
      <t>r</t>
    </r>
    <r>
      <rPr>
        <b/>
        <sz val="8"/>
        <rFont val="Century Gothic"/>
        <family val="2"/>
      </rPr>
      <t xml:space="preserve"> ºC de funcionamento (140ºC)</t>
    </r>
  </si>
  <si>
    <t>Condição:  I2 &lt;= K2.Iz</t>
  </si>
  <si>
    <t>Factor 1,5</t>
  </si>
  <si>
    <t>Correntes Curto-Circuito Minimas</t>
  </si>
  <si>
    <t>IK3máx (kA)</t>
  </si>
  <si>
    <t>Rcabo (mΩ)</t>
  </si>
  <si>
    <t>Xcabo (mΩ)</t>
  </si>
  <si>
    <t>Ub Mono</t>
  </si>
  <si>
    <t>Zcabo (mΩ)</t>
  </si>
  <si>
    <t>Ub Trif</t>
  </si>
  <si>
    <t>Ztotal (mΩ)</t>
  </si>
  <si>
    <t>IK1min (A)</t>
  </si>
  <si>
    <t>Ik2.min (A)</t>
  </si>
  <si>
    <t>K2</t>
  </si>
  <si>
    <t xml:space="preserve">Mínimo (Ik1.min.ou Ik2.min.) </t>
  </si>
  <si>
    <t>Disjuntor modular</t>
  </si>
  <si>
    <t>I / Ir</t>
  </si>
  <si>
    <t>Disjuntor outros</t>
  </si>
  <si>
    <t>K</t>
  </si>
  <si>
    <t>Fusivel (In&gt;=16A)</t>
  </si>
  <si>
    <t>Tft (s)</t>
  </si>
  <si>
    <t>Fusivel (4&lt;In&lt;16A)</t>
  </si>
  <si>
    <t>Tc (s)</t>
  </si>
  <si>
    <t>Fusivel (In&lt;=4A)</t>
  </si>
  <si>
    <t>Ics (kA)</t>
  </si>
  <si>
    <t>Condição Tc&lt;=5s</t>
  </si>
  <si>
    <t>Condição Tc&lt;Tft</t>
  </si>
  <si>
    <t>Condição:  IK3max &lt;= Ics</t>
  </si>
  <si>
    <t>Canalizações Principais</t>
  </si>
  <si>
    <t>RAMAIS</t>
  </si>
  <si>
    <t>Nº saida AD</t>
  </si>
  <si>
    <t>Mono / Trifásico</t>
  </si>
  <si>
    <t>Tri.</t>
  </si>
  <si>
    <t>Mono</t>
  </si>
  <si>
    <r>
      <rPr>
        <sz val="10"/>
        <rFont val="Calibri"/>
        <family val="2"/>
      </rPr>
      <t>∆U</t>
    </r>
    <r>
      <rPr>
        <sz val="11"/>
        <color theme="1"/>
        <rFont val="Calibri"/>
        <family val="2"/>
        <scheme val="minor"/>
      </rPr>
      <t xml:space="preserve"> no AD(%)</t>
    </r>
  </si>
  <si>
    <t xml:space="preserve">Verificação ∆U&lt;=8%  </t>
  </si>
  <si>
    <t>Numero de instações eléctricas (de utilização) situadas a jusante</t>
  </si>
  <si>
    <t>Factor de simultaneidade</t>
  </si>
  <si>
    <t>IK3máx (KA)</t>
  </si>
  <si>
    <t xml:space="preserve">35 a 39 </t>
  </si>
  <si>
    <t>&gt;=50</t>
  </si>
  <si>
    <t>Origem</t>
  </si>
  <si>
    <t>Calibre In (A)**</t>
  </si>
  <si>
    <t xml:space="preserve">Origem  </t>
  </si>
  <si>
    <t xml:space="preserve">Destino  </t>
  </si>
  <si>
    <t xml:space="preserve">Potência (kVA)  </t>
  </si>
  <si>
    <t xml:space="preserve">Comprimento (m)  </t>
  </si>
  <si>
    <t xml:space="preserve">Ib (A)   </t>
  </si>
  <si>
    <t xml:space="preserve">Secção Fase (mm2)  *   </t>
  </si>
  <si>
    <t xml:space="preserve">Secção Neutro (mm2)  *       </t>
  </si>
  <si>
    <r>
      <rPr>
        <sz val="10"/>
        <color theme="1"/>
        <rFont val="Calibri"/>
        <family val="2"/>
      </rPr>
      <t>∆U</t>
    </r>
    <r>
      <rPr>
        <sz val="11"/>
        <color theme="1"/>
        <rFont val="Calibri"/>
        <family val="2"/>
        <scheme val="minor"/>
      </rPr>
      <t xml:space="preserve"> (V)</t>
    </r>
  </si>
  <si>
    <r>
      <rPr>
        <sz val="10"/>
        <color theme="1"/>
        <rFont val="Calibri"/>
        <family val="2"/>
      </rPr>
      <t>∆U</t>
    </r>
    <r>
      <rPr>
        <sz val="11"/>
        <color theme="1"/>
        <rFont val="Calibri"/>
        <family val="2"/>
        <scheme val="minor"/>
      </rPr>
      <t xml:space="preserve"> (%)</t>
    </r>
  </si>
  <si>
    <r>
      <t>r</t>
    </r>
    <r>
      <rPr>
        <sz val="10"/>
        <color theme="1"/>
        <rFont val="Century Gothic"/>
        <family val="2"/>
      </rPr>
      <t>cobre</t>
    </r>
  </si>
  <si>
    <r>
      <t>r</t>
    </r>
    <r>
      <rPr>
        <sz val="10"/>
        <color theme="1"/>
        <rFont val="Century Gothic"/>
        <family val="2"/>
      </rPr>
      <t>aluminio</t>
    </r>
  </si>
  <si>
    <r>
      <t>Z</t>
    </r>
    <r>
      <rPr>
        <sz val="8"/>
        <color theme="1"/>
        <rFont val="Calibri"/>
        <family val="2"/>
      </rPr>
      <t>rede (Ω)</t>
    </r>
  </si>
  <si>
    <t>IK3máx(KA)</t>
  </si>
  <si>
    <r>
      <t>S</t>
    </r>
    <r>
      <rPr>
        <b/>
        <sz val="8"/>
        <color theme="1"/>
        <rFont val="Calibri"/>
        <family val="2"/>
        <scheme val="minor"/>
      </rPr>
      <t>trnsf   [VA]</t>
    </r>
  </si>
  <si>
    <r>
      <t>U</t>
    </r>
    <r>
      <rPr>
        <b/>
        <sz val="8"/>
        <color theme="1"/>
        <rFont val="Calibri"/>
        <family val="2"/>
        <scheme val="minor"/>
      </rPr>
      <t xml:space="preserve">cc  (%)               </t>
    </r>
  </si>
  <si>
    <r>
      <t xml:space="preserve">Uc </t>
    </r>
    <r>
      <rPr>
        <b/>
        <sz val="9"/>
        <color theme="1"/>
        <rFont val="Calibri"/>
        <family val="2"/>
        <scheme val="minor"/>
      </rPr>
      <t>(V)</t>
    </r>
  </si>
  <si>
    <r>
      <t>Z</t>
    </r>
    <r>
      <rPr>
        <b/>
        <sz val="8"/>
        <color theme="1"/>
        <rFont val="Calibri"/>
        <family val="2"/>
        <scheme val="minor"/>
      </rPr>
      <t>trnsf</t>
    </r>
    <r>
      <rPr>
        <b/>
        <sz val="10"/>
        <color theme="1"/>
        <rFont val="Calibri"/>
        <family val="2"/>
        <scheme val="minor"/>
      </rPr>
      <t xml:space="preserve"> (Ω)</t>
    </r>
  </si>
  <si>
    <t>r ºC de funcionamento (70ºC)</t>
  </si>
  <si>
    <t>Lote 1</t>
  </si>
  <si>
    <t>Lote 2</t>
  </si>
  <si>
    <t>-------------</t>
  </si>
  <si>
    <t>------------</t>
  </si>
  <si>
    <t>Ramais AD1</t>
  </si>
  <si>
    <t>Lote 4</t>
  </si>
  <si>
    <t>Lote 3</t>
  </si>
  <si>
    <t>AD3.1</t>
  </si>
  <si>
    <t>Lote 5 Entrada Coletiva</t>
  </si>
  <si>
    <t>Lote 5 Comercio</t>
  </si>
  <si>
    <t>Lote 6 Entrada Coletiva</t>
  </si>
  <si>
    <t>Lote 6 Comercio</t>
  </si>
  <si>
    <t>Lote 22</t>
  </si>
  <si>
    <t>Lote 21</t>
  </si>
  <si>
    <t>Lote 20</t>
  </si>
  <si>
    <t>Lote 19</t>
  </si>
  <si>
    <t>AD4.1</t>
  </si>
  <si>
    <t>Lote 18</t>
  </si>
  <si>
    <t>Lote 17</t>
  </si>
  <si>
    <t>Lote 16</t>
  </si>
  <si>
    <t>Lote 15</t>
  </si>
  <si>
    <t>AD5.1</t>
  </si>
  <si>
    <t>Lote 11</t>
  </si>
  <si>
    <t>Lote 12</t>
  </si>
  <si>
    <t>Lote 13</t>
  </si>
  <si>
    <t>Lote 14</t>
  </si>
  <si>
    <t>Circuito 1</t>
  </si>
  <si>
    <t>Circuito 2</t>
  </si>
  <si>
    <t>Nº Luminário</t>
  </si>
  <si>
    <t>Pu un (W)</t>
  </si>
  <si>
    <t>Pa un (W)</t>
  </si>
  <si>
    <t>η</t>
  </si>
  <si>
    <t>Stotal (VA)</t>
  </si>
  <si>
    <t>IP1</t>
  </si>
  <si>
    <t>IP2</t>
  </si>
  <si>
    <t>Comprimento</t>
  </si>
  <si>
    <t>Secção (mm2)</t>
  </si>
  <si>
    <t>cos ø</t>
  </si>
  <si>
    <t xml:space="preserve">Verificação ∆U&lt;=3%  </t>
  </si>
  <si>
    <t>Ics (KA)</t>
  </si>
  <si>
    <t>Fornecido pelo SISCET6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</si>
</sst>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#,##0.000000"/>
    <numFmt numFmtId="168" formatCode="0.0000000"/>
  </numFmts>
  <fonts count="54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inor"/>
    </font>
    <font>
      <sz val="10"/>
      <name val="Arial"/>
      <family val="2"/>
    </font>
    <font>
      <b/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10"/>
      <color theme="1" tint="0.34998626667073579"/>
      <name val="Calibri Light"/>
      <family val="2"/>
      <scheme val="major"/>
    </font>
    <font>
      <b/>
      <vertAlign val="superscript"/>
      <sz val="10"/>
      <color theme="1" tint="0.34998626667073579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vertAlign val="subscript"/>
      <sz val="10"/>
      <name val="Calibri Light"/>
      <family val="2"/>
      <scheme val="major"/>
    </font>
    <font>
      <b/>
      <sz val="11"/>
      <color theme="1" tint="0.34998626667073579"/>
      <name val="Calibri Light"/>
      <family val="2"/>
      <scheme val="major"/>
    </font>
    <font>
      <b/>
      <vertAlign val="subscript"/>
      <sz val="11"/>
      <color theme="1" tint="0.34998626667073579"/>
      <name val="Calibri Light"/>
      <family val="2"/>
      <scheme val="major"/>
    </font>
    <font>
      <b/>
      <vertAlign val="superscript"/>
      <sz val="11"/>
      <color theme="1" tint="0.34998626667073579"/>
      <name val="Calibri Light"/>
      <family val="2"/>
      <scheme val="major"/>
    </font>
    <font>
      <b/>
      <sz val="36"/>
      <color theme="1" tint="0.34998626667073579"/>
      <name val="Calibri Light"/>
      <family val="2"/>
      <scheme val="major"/>
    </font>
    <font>
      <b/>
      <i/>
      <u/>
      <sz val="36"/>
      <color theme="1" tint="0.34998626667073579"/>
      <name val="Calibri Light"/>
      <family val="2"/>
      <scheme val="major"/>
    </font>
    <font>
      <b/>
      <sz val="26"/>
      <color theme="1" tint="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8"/>
      <name val="GreekC"/>
    </font>
    <font>
      <b/>
      <sz val="8"/>
      <name val="Century Gothic"/>
      <family val="2"/>
    </font>
    <font>
      <sz val="10"/>
      <name val="GreekC"/>
    </font>
    <font>
      <sz val="10"/>
      <name val="Century Gothic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0"/>
      <color theme="1"/>
      <name val="Calibri"/>
      <family val="2"/>
    </font>
    <font>
      <sz val="10"/>
      <color theme="1"/>
      <name val="GreekC"/>
    </font>
    <font>
      <sz val="10"/>
      <color theme="1"/>
      <name val="Century Gothic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 tint="0.34998626667073579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1" tint="0.34998626667073579"/>
      </right>
      <top style="medium">
        <color auto="1"/>
      </top>
      <bottom style="thin">
        <color auto="1"/>
      </bottom>
      <diagonal/>
    </border>
    <border>
      <left style="medium">
        <color theme="1" tint="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 tint="0.34998626667073579"/>
      </right>
      <top style="thin">
        <color auto="1"/>
      </top>
      <bottom style="thin">
        <color auto="1"/>
      </bottom>
      <diagonal/>
    </border>
    <border>
      <left style="medium">
        <color theme="1" tint="0.34998626667073579"/>
      </left>
      <right style="thin">
        <color auto="1"/>
      </right>
      <top style="thin">
        <color auto="1"/>
      </top>
      <bottom style="medium">
        <color theme="1" tint="0.34998626667073579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theme="1" tint="0.34998626667073579"/>
      </bottom>
      <diagonal/>
    </border>
    <border>
      <left style="thin">
        <color auto="1"/>
      </left>
      <right style="medium">
        <color theme="1" tint="0.34998626667073579"/>
      </right>
      <top style="thin">
        <color auto="1"/>
      </top>
      <bottom style="medium">
        <color theme="1" tint="0.34998626667073579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9" fontId="39" fillId="0" borderId="0" applyFont="0" applyFill="0" applyBorder="0" applyAlignment="0" applyProtection="0"/>
  </cellStyleXfs>
  <cellXfs count="9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 hidden="1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 applyAlignment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left" vertical="center"/>
    </xf>
    <xf numFmtId="0" fontId="8" fillId="4" borderId="0" xfId="0" applyFont="1" applyFill="1" applyAlignment="1">
      <alignment horizontal="left"/>
    </xf>
    <xf numFmtId="0" fontId="0" fillId="4" borderId="0" xfId="0" applyFill="1" applyAlignment="1"/>
    <xf numFmtId="0" fontId="0" fillId="2" borderId="0" xfId="0" applyFill="1" applyBorder="1"/>
    <xf numFmtId="0" fontId="1" fillId="2" borderId="0" xfId="0" applyFont="1" applyFill="1"/>
    <xf numFmtId="0" fontId="0" fillId="4" borderId="0" xfId="0" applyFill="1"/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0" fillId="2" borderId="45" xfId="0" applyFont="1" applyFill="1" applyBorder="1" applyAlignment="1" applyProtection="1">
      <alignment horizontal="center" vertical="center"/>
      <protection locked="0" hidden="1"/>
    </xf>
    <xf numFmtId="0" fontId="0" fillId="2" borderId="46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5" fillId="5" borderId="51" xfId="1" applyFont="1" applyFill="1" applyBorder="1" applyAlignment="1" applyProtection="1">
      <alignment horizontal="center" vertical="center"/>
      <protection hidden="1"/>
    </xf>
    <xf numFmtId="0" fontId="25" fillId="5" borderId="38" xfId="1" applyFont="1" applyFill="1" applyBorder="1" applyAlignment="1" applyProtection="1">
      <alignment horizontal="center" vertical="center"/>
      <protection hidden="1"/>
    </xf>
    <xf numFmtId="0" fontId="25" fillId="5" borderId="51" xfId="1" applyFont="1" applyFill="1" applyBorder="1" applyAlignment="1" applyProtection="1">
      <alignment horizontal="center" vertical="center"/>
      <protection hidden="1"/>
    </xf>
    <xf numFmtId="0" fontId="25" fillId="5" borderId="39" xfId="1" applyFont="1" applyFill="1" applyBorder="1" applyAlignment="1" applyProtection="1">
      <alignment horizontal="center" vertical="center"/>
      <protection hidden="1"/>
    </xf>
    <xf numFmtId="0" fontId="25" fillId="5" borderId="37" xfId="1" applyFont="1" applyFill="1" applyBorder="1" applyAlignment="1" applyProtection="1">
      <alignment horizontal="center" vertical="center"/>
      <protection hidden="1"/>
    </xf>
    <xf numFmtId="0" fontId="25" fillId="5" borderId="52" xfId="1" applyFont="1" applyFill="1" applyBorder="1" applyAlignment="1" applyProtection="1">
      <alignment horizontal="center" vertical="center"/>
      <protection hidden="1"/>
    </xf>
    <xf numFmtId="0" fontId="25" fillId="5" borderId="0" xfId="1" applyFont="1" applyFill="1" applyBorder="1" applyAlignment="1" applyProtection="1">
      <alignment horizontal="center" vertical="center"/>
      <protection hidden="1"/>
    </xf>
    <xf numFmtId="0" fontId="25" fillId="5" borderId="52" xfId="1" applyFont="1" applyFill="1" applyBorder="1" applyAlignment="1" applyProtection="1">
      <alignment horizontal="center" vertical="center"/>
      <protection hidden="1"/>
    </xf>
    <xf numFmtId="0" fontId="25" fillId="5" borderId="36" xfId="1" applyFont="1" applyFill="1" applyBorder="1" applyAlignment="1" applyProtection="1">
      <alignment horizontal="center" vertical="center"/>
      <protection hidden="1"/>
    </xf>
    <xf numFmtId="0" fontId="25" fillId="5" borderId="50" xfId="1" applyFont="1" applyFill="1" applyBorder="1" applyAlignment="1" applyProtection="1">
      <alignment horizontal="center" vertical="center"/>
      <protection hidden="1"/>
    </xf>
    <xf numFmtId="0" fontId="25" fillId="5" borderId="52" xfId="1" applyFont="1" applyFill="1" applyBorder="1" applyAlignment="1" applyProtection="1">
      <alignment horizontal="center"/>
      <protection hidden="1"/>
    </xf>
    <xf numFmtId="1" fontId="29" fillId="0" borderId="53" xfId="1" applyNumberFormat="1" applyFont="1" applyBorder="1" applyAlignment="1" applyProtection="1">
      <alignment horizontal="center" vertical="center"/>
      <protection hidden="1"/>
    </xf>
    <xf numFmtId="164" fontId="29" fillId="0" borderId="54" xfId="1" applyNumberFormat="1" applyFont="1" applyBorder="1" applyAlignment="1" applyProtection="1">
      <alignment horizontal="center" vertical="center"/>
      <protection hidden="1"/>
    </xf>
    <xf numFmtId="164" fontId="29" fillId="0" borderId="59" xfId="1" applyNumberFormat="1" applyFont="1" applyBorder="1" applyAlignment="1" applyProtection="1">
      <alignment horizontal="center" vertical="center"/>
      <protection hidden="1"/>
    </xf>
    <xf numFmtId="0" fontId="27" fillId="0" borderId="55" xfId="1" applyFont="1" applyBorder="1" applyAlignment="1" applyProtection="1">
      <alignment horizontal="center" vertical="center"/>
      <protection hidden="1"/>
    </xf>
    <xf numFmtId="0" fontId="27" fillId="0" borderId="56" xfId="1" applyFont="1" applyBorder="1" applyAlignment="1" applyProtection="1">
      <alignment horizontal="center" vertical="center"/>
      <protection hidden="1"/>
    </xf>
    <xf numFmtId="164" fontId="27" fillId="0" borderId="57" xfId="1" applyNumberFormat="1" applyFont="1" applyBorder="1" applyAlignment="1" applyProtection="1">
      <alignment horizontal="center" vertical="center"/>
      <protection hidden="1"/>
    </xf>
    <xf numFmtId="0" fontId="27" fillId="0" borderId="57" xfId="1" applyFont="1" applyBorder="1" applyAlignment="1" applyProtection="1">
      <alignment horizontal="center" vertical="center"/>
      <protection hidden="1"/>
    </xf>
    <xf numFmtId="0" fontId="29" fillId="5" borderId="58" xfId="1" applyFont="1" applyFill="1" applyBorder="1" applyAlignment="1" applyProtection="1">
      <alignment horizontal="center" vertical="center"/>
      <protection hidden="1"/>
    </xf>
    <xf numFmtId="0" fontId="29" fillId="5" borderId="60" xfId="1" applyFont="1" applyFill="1" applyBorder="1" applyAlignment="1" applyProtection="1">
      <alignment horizontal="center" vertical="center"/>
      <protection hidden="1"/>
    </xf>
    <xf numFmtId="0" fontId="0" fillId="2" borderId="79" xfId="0" applyFill="1" applyBorder="1"/>
    <xf numFmtId="0" fontId="0" fillId="2" borderId="80" xfId="0" applyFill="1" applyBorder="1"/>
    <xf numFmtId="0" fontId="0" fillId="2" borderId="81" xfId="0" applyFill="1" applyBorder="1"/>
    <xf numFmtId="0" fontId="0" fillId="2" borderId="82" xfId="0" applyFill="1" applyBorder="1"/>
    <xf numFmtId="0" fontId="0" fillId="2" borderId="83" xfId="0" applyFill="1" applyBorder="1"/>
    <xf numFmtId="0" fontId="0" fillId="2" borderId="84" xfId="0" applyFill="1" applyBorder="1"/>
    <xf numFmtId="0" fontId="0" fillId="2" borderId="85" xfId="0" applyFill="1" applyBorder="1"/>
    <xf numFmtId="0" fontId="34" fillId="3" borderId="81" xfId="0" applyFont="1" applyFill="1" applyBorder="1" applyAlignment="1">
      <alignment vertical="center" wrapText="1"/>
    </xf>
    <xf numFmtId="0" fontId="34" fillId="3" borderId="0" xfId="0" applyFont="1" applyFill="1" applyBorder="1" applyAlignment="1">
      <alignment vertical="center" wrapText="1"/>
    </xf>
    <xf numFmtId="0" fontId="34" fillId="3" borderId="82" xfId="0" applyFont="1" applyFill="1" applyBorder="1" applyAlignment="1">
      <alignment vertical="center" wrapText="1"/>
    </xf>
    <xf numFmtId="0" fontId="36" fillId="2" borderId="79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41" xfId="0" applyFont="1" applyFill="1" applyBorder="1" applyAlignment="1">
      <alignment vertical="center"/>
    </xf>
    <xf numFmtId="0" fontId="18" fillId="2" borderId="0" xfId="0" applyFont="1" applyFill="1" applyBorder="1" applyAlignment="1"/>
    <xf numFmtId="0" fontId="17" fillId="2" borderId="0" xfId="0" applyFont="1" applyFill="1" applyBorder="1" applyAlignment="1"/>
    <xf numFmtId="0" fontId="36" fillId="2" borderId="81" xfId="0" applyFont="1" applyFill="1" applyBorder="1" applyAlignment="1">
      <alignment vertical="center"/>
    </xf>
    <xf numFmtId="0" fontId="0" fillId="2" borderId="0" xfId="0" applyFill="1" applyBorder="1" applyAlignment="1"/>
    <xf numFmtId="0" fontId="36" fillId="2" borderId="83" xfId="0" applyFont="1" applyFill="1" applyBorder="1" applyAlignment="1">
      <alignment vertical="center"/>
    </xf>
    <xf numFmtId="0" fontId="36" fillId="2" borderId="84" xfId="0" applyFont="1" applyFill="1" applyBorder="1" applyAlignment="1">
      <alignment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10" fillId="3" borderId="45" xfId="0" applyFont="1" applyFill="1" applyBorder="1" applyAlignment="1" applyProtection="1">
      <alignment horizontal="center" vertical="center"/>
      <protection locked="0" hidden="1"/>
    </xf>
    <xf numFmtId="0" fontId="0" fillId="3" borderId="8" xfId="0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10" fillId="3" borderId="47" xfId="0" applyFont="1" applyFill="1" applyBorder="1" applyAlignment="1" applyProtection="1">
      <alignment horizontal="center" vertical="center"/>
      <protection locked="0" hidden="1"/>
    </xf>
    <xf numFmtId="0" fontId="0" fillId="3" borderId="48" xfId="0" applyFill="1" applyBorder="1" applyAlignment="1">
      <alignment horizontal="center" vertical="center"/>
    </xf>
    <xf numFmtId="2" fontId="0" fillId="3" borderId="48" xfId="0" applyNumberForma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  <protection locked="0" hidden="1"/>
    </xf>
    <xf numFmtId="0" fontId="4" fillId="3" borderId="17" xfId="0" applyFont="1" applyFill="1" applyBorder="1" applyAlignment="1" applyProtection="1">
      <alignment horizontal="center" vertical="center"/>
      <protection locked="0" hidden="1"/>
    </xf>
    <xf numFmtId="0" fontId="12" fillId="2" borderId="0" xfId="0" applyFont="1" applyFill="1" applyAlignment="1">
      <alignment vertical="center"/>
    </xf>
    <xf numFmtId="0" fontId="37" fillId="2" borderId="0" xfId="0" applyFont="1" applyFill="1"/>
    <xf numFmtId="0" fontId="9" fillId="0" borderId="102" xfId="0" applyFont="1" applyBorder="1"/>
    <xf numFmtId="0" fontId="0" fillId="0" borderId="102" xfId="0" applyBorder="1"/>
    <xf numFmtId="2" fontId="0" fillId="0" borderId="8" xfId="0" applyNumberFormat="1" applyBorder="1"/>
    <xf numFmtId="2" fontId="0" fillId="0" borderId="103" xfId="0" applyNumberFormat="1" applyBorder="1"/>
    <xf numFmtId="2" fontId="0" fillId="0" borderId="8" xfId="0" applyNumberFormat="1" applyBorder="1" applyAlignment="1">
      <alignment horizontal="right" vertical="center"/>
    </xf>
    <xf numFmtId="2" fontId="0" fillId="0" borderId="103" xfId="0" applyNumberFormat="1" applyBorder="1" applyAlignment="1">
      <alignment horizontal="right" vertical="center"/>
    </xf>
    <xf numFmtId="0" fontId="0" fillId="0" borderId="8" xfId="0" applyBorder="1"/>
    <xf numFmtId="0" fontId="0" fillId="0" borderId="103" xfId="0" applyBorder="1"/>
    <xf numFmtId="0" fontId="0" fillId="0" borderId="107" xfId="0" applyBorder="1"/>
    <xf numFmtId="0" fontId="0" fillId="0" borderId="108" xfId="0" applyBorder="1"/>
    <xf numFmtId="2" fontId="0" fillId="0" borderId="75" xfId="0" applyNumberFormat="1" applyBorder="1"/>
    <xf numFmtId="2" fontId="0" fillId="0" borderId="109" xfId="0" applyNumberFormat="1" applyBorder="1"/>
    <xf numFmtId="0" fontId="9" fillId="0" borderId="8" xfId="0" applyFont="1" applyBorder="1" applyAlignment="1">
      <alignment horizontal="left"/>
    </xf>
    <xf numFmtId="0" fontId="9" fillId="7" borderId="107" xfId="0" applyFont="1" applyFill="1" applyBorder="1" applyAlignment="1">
      <alignment horizontal="left" vertical="center" wrapText="1"/>
    </xf>
    <xf numFmtId="0" fontId="0" fillId="7" borderId="107" xfId="0" applyFill="1" applyBorder="1" applyAlignment="1">
      <alignment horizontal="center" vertical="center"/>
    </xf>
    <xf numFmtId="0" fontId="0" fillId="7" borderId="108" xfId="0" applyFill="1" applyBorder="1" applyAlignment="1">
      <alignment horizontal="center" vertical="center"/>
    </xf>
    <xf numFmtId="0" fontId="9" fillId="0" borderId="75" xfId="1" applyBorder="1" applyAlignment="1">
      <alignment horizontal="left"/>
    </xf>
    <xf numFmtId="0" fontId="0" fillId="0" borderId="75" xfId="0" applyBorder="1"/>
    <xf numFmtId="0" fontId="0" fillId="0" borderId="110" xfId="0" applyBorder="1"/>
    <xf numFmtId="0" fontId="9" fillId="0" borderId="8" xfId="0" applyFont="1" applyBorder="1"/>
    <xf numFmtId="3" fontId="43" fillId="0" borderId="102" xfId="0" applyNumberFormat="1" applyFont="1" applyBorder="1" applyAlignment="1">
      <alignment horizontal="center"/>
    </xf>
    <xf numFmtId="167" fontId="44" fillId="0" borderId="8" xfId="0" applyNumberFormat="1" applyFont="1" applyBorder="1" applyAlignment="1">
      <alignment horizontal="center"/>
    </xf>
    <xf numFmtId="3" fontId="43" fillId="0" borderId="106" xfId="0" applyNumberFormat="1" applyFont="1" applyBorder="1" applyAlignment="1">
      <alignment horizontal="center"/>
    </xf>
    <xf numFmtId="167" fontId="44" fillId="0" borderId="107" xfId="0" applyNumberFormat="1" applyFont="1" applyBorder="1" applyAlignment="1">
      <alignment horizontal="center"/>
    </xf>
    <xf numFmtId="3" fontId="43" fillId="0" borderId="0" xfId="0" applyNumberFormat="1" applyFont="1" applyAlignment="1">
      <alignment horizontal="center"/>
    </xf>
    <xf numFmtId="167" fontId="4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7" borderId="8" xfId="1" applyFill="1" applyBorder="1" applyAlignment="1">
      <alignment wrapText="1"/>
    </xf>
    <xf numFmtId="0" fontId="0" fillId="7" borderId="8" xfId="0" applyFill="1" applyBorder="1" applyAlignment="1">
      <alignment horizontal="center" vertical="center"/>
    </xf>
    <xf numFmtId="0" fontId="0" fillId="7" borderId="103" xfId="0" applyFill="1" applyBorder="1" applyAlignment="1">
      <alignment horizontal="center" vertical="center"/>
    </xf>
    <xf numFmtId="0" fontId="9" fillId="7" borderId="107" xfId="1" applyFill="1" applyBorder="1" applyAlignment="1">
      <alignment wrapText="1"/>
    </xf>
    <xf numFmtId="0" fontId="0" fillId="0" borderId="112" xfId="0" applyBorder="1"/>
    <xf numFmtId="2" fontId="0" fillId="0" borderId="110" xfId="0" applyNumberFormat="1" applyBorder="1"/>
    <xf numFmtId="2" fontId="9" fillId="0" borderId="1" xfId="1" applyNumberFormat="1" applyBorder="1"/>
    <xf numFmtId="0" fontId="4" fillId="0" borderId="117" xfId="0" applyFont="1" applyBorder="1"/>
    <xf numFmtId="0" fontId="9" fillId="0" borderId="109" xfId="0" applyFont="1" applyBorder="1" applyAlignment="1">
      <alignment horizontal="center" vertical="center"/>
    </xf>
    <xf numFmtId="0" fontId="4" fillId="0" borderId="106" xfId="0" applyFont="1" applyBorder="1"/>
    <xf numFmtId="0" fontId="9" fillId="0" borderId="108" xfId="0" applyFont="1" applyBorder="1" applyAlignment="1">
      <alignment horizontal="center" vertical="center"/>
    </xf>
    <xf numFmtId="2" fontId="9" fillId="0" borderId="8" xfId="1" applyNumberFormat="1" applyBorder="1" applyAlignment="1">
      <alignment horizontal="right"/>
    </xf>
    <xf numFmtId="2" fontId="9" fillId="0" borderId="103" xfId="1" applyNumberFormat="1" applyBorder="1" applyAlignment="1">
      <alignment horizontal="right"/>
    </xf>
    <xf numFmtId="0" fontId="0" fillId="8" borderId="0" xfId="0" applyFill="1"/>
    <xf numFmtId="2" fontId="45" fillId="0" borderId="8" xfId="0" applyNumberFormat="1" applyFont="1" applyBorder="1"/>
    <xf numFmtId="2" fontId="45" fillId="0" borderId="103" xfId="0" applyNumberFormat="1" applyFont="1" applyBorder="1"/>
    <xf numFmtId="2" fontId="0" fillId="0" borderId="0" xfId="0" applyNumberFormat="1"/>
    <xf numFmtId="0" fontId="0" fillId="0" borderId="1" xfId="0" applyBorder="1"/>
    <xf numFmtId="0" fontId="0" fillId="0" borderId="0" xfId="2" applyNumberFormat="1" applyFont="1" applyFill="1" applyBorder="1"/>
    <xf numFmtId="0" fontId="0" fillId="7" borderId="1" xfId="0" applyFill="1" applyBorder="1"/>
    <xf numFmtId="0" fontId="0" fillId="7" borderId="8" xfId="0" applyFill="1" applyBorder="1"/>
    <xf numFmtId="2" fontId="9" fillId="7" borderId="107" xfId="1" applyNumberFormat="1" applyFill="1" applyBorder="1"/>
    <xf numFmtId="2" fontId="9" fillId="0" borderId="0" xfId="1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 vertic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wrapText="1"/>
    </xf>
    <xf numFmtId="2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9" fillId="0" borderId="3" xfId="0" applyFont="1" applyBorder="1"/>
    <xf numFmtId="0" fontId="9" fillId="0" borderId="103" xfId="0" applyFont="1" applyBorder="1"/>
    <xf numFmtId="0" fontId="0" fillId="0" borderId="3" xfId="0" applyBorder="1"/>
    <xf numFmtId="0" fontId="9" fillId="0" borderId="102" xfId="0" applyFont="1" applyBorder="1" applyAlignment="1">
      <alignment vertical="top"/>
    </xf>
    <xf numFmtId="2" fontId="0" fillId="0" borderId="0" xfId="0" applyNumberFormat="1" applyAlignment="1">
      <alignment horizontal="right" vertical="center"/>
    </xf>
    <xf numFmtId="2" fontId="9" fillId="0" borderId="3" xfId="0" applyNumberFormat="1" applyFont="1" applyBorder="1" applyAlignment="1">
      <alignment horizontal="right" vertical="center"/>
    </xf>
    <xf numFmtId="2" fontId="9" fillId="0" borderId="103" xfId="0" applyNumberFormat="1" applyFont="1" applyBorder="1" applyAlignment="1">
      <alignment horizontal="right" vertical="center"/>
    </xf>
    <xf numFmtId="3" fontId="43" fillId="0" borderId="106" xfId="0" applyNumberFormat="1" applyFont="1" applyBorder="1" applyAlignment="1">
      <alignment horizontal="left" vertical="center"/>
    </xf>
    <xf numFmtId="167" fontId="44" fillId="0" borderId="107" xfId="0" applyNumberFormat="1" applyFont="1" applyBorder="1" applyAlignment="1">
      <alignment horizontal="left" vertical="center"/>
    </xf>
    <xf numFmtId="0" fontId="9" fillId="0" borderId="102" xfId="0" applyFont="1" applyBorder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9" fillId="0" borderId="103" xfId="0" applyFont="1" applyBorder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9" fillId="0" borderId="106" xfId="0" applyFont="1" applyBorder="1" applyAlignment="1">
      <alignment vertical="top" wrapText="1"/>
    </xf>
    <xf numFmtId="0" fontId="9" fillId="0" borderId="107" xfId="0" applyFont="1" applyBorder="1" applyAlignment="1">
      <alignment horizontal="right" vertical="center"/>
    </xf>
    <xf numFmtId="0" fontId="9" fillId="0" borderId="121" xfId="0" applyFont="1" applyBorder="1" applyAlignment="1">
      <alignment horizontal="right" vertical="center"/>
    </xf>
    <xf numFmtId="0" fontId="9" fillId="0" borderId="108" xfId="0" applyFont="1" applyBorder="1" applyAlignment="1">
      <alignment horizontal="right" vertical="center"/>
    </xf>
    <xf numFmtId="0" fontId="9" fillId="0" borderId="0" xfId="0" applyFont="1" applyAlignment="1">
      <alignment wrapText="1"/>
    </xf>
    <xf numFmtId="0" fontId="0" fillId="0" borderId="93" xfId="0" applyBorder="1"/>
    <xf numFmtId="0" fontId="9" fillId="0" borderId="8" xfId="0" applyFont="1" applyBorder="1" applyAlignment="1">
      <alignment horizontal="left" vertical="top"/>
    </xf>
    <xf numFmtId="2" fontId="9" fillId="0" borderId="7" xfId="0" applyNumberFormat="1" applyFont="1" applyBorder="1" applyAlignment="1">
      <alignment horizontal="right" vertical="center"/>
    </xf>
    <xf numFmtId="2" fontId="9" fillId="0" borderId="109" xfId="0" applyNumberFormat="1" applyFont="1" applyBorder="1" applyAlignment="1">
      <alignment horizontal="right" vertical="center"/>
    </xf>
    <xf numFmtId="0" fontId="9" fillId="0" borderId="7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7" borderId="1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5" xfId="0" applyBorder="1" applyAlignment="1">
      <alignment horizontal="right"/>
    </xf>
    <xf numFmtId="0" fontId="9" fillId="0" borderId="75" xfId="1" applyBorder="1" applyAlignment="1">
      <alignment horizontal="right"/>
    </xf>
    <xf numFmtId="0" fontId="9" fillId="0" borderId="109" xfId="1" applyBorder="1" applyAlignment="1">
      <alignment horizontal="right"/>
    </xf>
    <xf numFmtId="0" fontId="9" fillId="0" borderId="0" xfId="1" applyAlignment="1">
      <alignment horizontal="left"/>
    </xf>
    <xf numFmtId="0" fontId="0" fillId="7" borderId="3" xfId="0" applyFill="1" applyBorder="1" applyAlignment="1">
      <alignment horizontal="center" vertical="center"/>
    </xf>
    <xf numFmtId="0" fontId="9" fillId="7" borderId="8" xfId="1" applyFill="1" applyBorder="1" applyAlignment="1">
      <alignment vertical="center" wrapText="1"/>
    </xf>
    <xf numFmtId="0" fontId="9" fillId="7" borderId="107" xfId="1" applyFill="1" applyBorder="1" applyAlignment="1">
      <alignment vertical="center" wrapText="1"/>
    </xf>
    <xf numFmtId="2" fontId="9" fillId="0" borderId="103" xfId="1" applyNumberFormat="1" applyBorder="1"/>
    <xf numFmtId="2" fontId="9" fillId="0" borderId="2" xfId="1" applyNumberFormat="1" applyBorder="1"/>
    <xf numFmtId="2" fontId="0" fillId="0" borderId="2" xfId="0" applyNumberFormat="1" applyBorder="1"/>
    <xf numFmtId="0" fontId="0" fillId="0" borderId="2" xfId="0" applyBorder="1"/>
    <xf numFmtId="0" fontId="9" fillId="0" borderId="1" xfId="0" applyFont="1" applyBorder="1"/>
    <xf numFmtId="0" fontId="0" fillId="7" borderId="8" xfId="0" applyFill="1" applyBorder="1" applyAlignment="1">
      <alignment horizontal="center"/>
    </xf>
    <xf numFmtId="0" fontId="0" fillId="7" borderId="107" xfId="0" applyFill="1" applyBorder="1" applyAlignment="1">
      <alignment horizontal="center"/>
    </xf>
    <xf numFmtId="0" fontId="9" fillId="9" borderId="107" xfId="0" applyFont="1" applyFill="1" applyBorder="1" applyAlignment="1">
      <alignment horizontal="left" vertical="center" wrapText="1"/>
    </xf>
    <xf numFmtId="0" fontId="9" fillId="9" borderId="8" xfId="1" applyFill="1" applyBorder="1" applyAlignment="1">
      <alignment wrapText="1"/>
    </xf>
    <xf numFmtId="0" fontId="9" fillId="9" borderId="107" xfId="1" applyFill="1" applyBorder="1" applyAlignment="1">
      <alignment vertical="center" wrapText="1"/>
    </xf>
    <xf numFmtId="0" fontId="0" fillId="9" borderId="1" xfId="0" applyFill="1" applyBorder="1"/>
    <xf numFmtId="2" fontId="9" fillId="9" borderId="107" xfId="1" applyNumberFormat="1" applyFill="1" applyBorder="1"/>
    <xf numFmtId="0" fontId="0" fillId="2" borderId="82" xfId="0" applyFill="1" applyBorder="1" applyAlignment="1"/>
    <xf numFmtId="0" fontId="0" fillId="2" borderId="84" xfId="0" applyFill="1" applyBorder="1" applyAlignment="1"/>
    <xf numFmtId="0" fontId="0" fillId="2" borderId="85" xfId="0" applyFill="1" applyBorder="1" applyAlignment="1"/>
    <xf numFmtId="0" fontId="0" fillId="2" borderId="79" xfId="0" applyFill="1" applyBorder="1" applyAlignment="1"/>
    <xf numFmtId="0" fontId="0" fillId="2" borderId="80" xfId="0" applyFill="1" applyBorder="1" applyAlignment="1"/>
    <xf numFmtId="2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15" xfId="0" applyFont="1" applyBorder="1" applyAlignment="1">
      <alignment horizontal="right" vertical="center"/>
    </xf>
    <xf numFmtId="2" fontId="9" fillId="0" borderId="112" xfId="0" applyNumberFormat="1" applyFont="1" applyBorder="1" applyAlignment="1">
      <alignment horizontal="right" vertical="center"/>
    </xf>
    <xf numFmtId="2" fontId="0" fillId="0" borderId="40" xfId="0" applyNumberFormat="1" applyBorder="1"/>
    <xf numFmtId="0" fontId="0" fillId="7" borderId="115" xfId="0" applyFill="1" applyBorder="1" applyAlignment="1">
      <alignment horizontal="center" vertical="center"/>
    </xf>
    <xf numFmtId="0" fontId="9" fillId="0" borderId="112" xfId="1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2" fontId="0" fillId="0" borderId="112" xfId="0" applyNumberFormat="1" applyBorder="1"/>
    <xf numFmtId="2" fontId="9" fillId="0" borderId="1" xfId="1" applyNumberFormat="1" applyBorder="1" applyAlignment="1">
      <alignment horizontal="right"/>
    </xf>
    <xf numFmtId="2" fontId="45" fillId="0" borderId="1" xfId="0" applyNumberFormat="1" applyFont="1" applyBorder="1"/>
    <xf numFmtId="0" fontId="0" fillId="7" borderId="1" xfId="0" applyFill="1" applyBorder="1" applyAlignment="1">
      <alignment horizontal="center"/>
    </xf>
    <xf numFmtId="0" fontId="0" fillId="7" borderId="115" xfId="0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9" fillId="0" borderId="0" xfId="0" applyFont="1" applyFill="1" applyBorder="1"/>
    <xf numFmtId="2" fontId="0" fillId="0" borderId="0" xfId="0" applyNumberForma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9" fillId="0" borderId="0" xfId="1" applyFill="1" applyBorder="1" applyAlignment="1">
      <alignment horizontal="right"/>
    </xf>
    <xf numFmtId="2" fontId="9" fillId="0" borderId="0" xfId="1" applyNumberFormat="1" applyFill="1" applyBorder="1"/>
    <xf numFmtId="2" fontId="9" fillId="0" borderId="0" xfId="1" applyNumberFormat="1" applyFill="1" applyBorder="1" applyAlignment="1">
      <alignment horizontal="right"/>
    </xf>
    <xf numFmtId="2" fontId="45" fillId="0" borderId="0" xfId="0" applyNumberFormat="1" applyFont="1" applyFill="1" applyBorder="1"/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9" fillId="0" borderId="0" xfId="1" applyFill="1" applyBorder="1" applyAlignment="1">
      <alignment horizontal="left"/>
    </xf>
    <xf numFmtId="2" fontId="45" fillId="3" borderId="8" xfId="0" applyNumberFormat="1" applyFont="1" applyFill="1" applyBorder="1"/>
    <xf numFmtId="2" fontId="45" fillId="3" borderId="103" xfId="0" applyNumberFormat="1" applyFont="1" applyFill="1" applyBorder="1"/>
    <xf numFmtId="0" fontId="3" fillId="3" borderId="119" xfId="0" applyFont="1" applyFill="1" applyBorder="1" applyAlignment="1">
      <alignment horizontal="center" vertical="center"/>
    </xf>
    <xf numFmtId="0" fontId="0" fillId="0" borderId="85" xfId="2" applyNumberFormat="1" applyFont="1" applyFill="1" applyBorder="1"/>
    <xf numFmtId="0" fontId="0" fillId="3" borderId="7" xfId="0" applyFont="1" applyFill="1" applyBorder="1" applyAlignment="1">
      <alignment horizontal="center" vertical="center"/>
    </xf>
    <xf numFmtId="0" fontId="0" fillId="3" borderId="109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3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right"/>
    </xf>
    <xf numFmtId="1" fontId="0" fillId="3" borderId="8" xfId="0" applyNumberFormat="1" applyFont="1" applyFill="1" applyBorder="1" applyAlignment="1">
      <alignment horizontal="right" vertical="center"/>
    </xf>
    <xf numFmtId="0" fontId="0" fillId="3" borderId="103" xfId="0" applyFont="1" applyFill="1" applyBorder="1" applyAlignment="1">
      <alignment horizontal="right"/>
    </xf>
    <xf numFmtId="2" fontId="0" fillId="0" borderId="8" xfId="0" applyNumberFormat="1" applyFont="1" applyBorder="1"/>
    <xf numFmtId="2" fontId="0" fillId="0" borderId="103" xfId="0" applyNumberFormat="1" applyFont="1" applyBorder="1"/>
    <xf numFmtId="2" fontId="0" fillId="3" borderId="8" xfId="0" applyNumberFormat="1" applyFont="1" applyFill="1" applyBorder="1" applyAlignment="1">
      <alignment horizontal="right" vertical="center"/>
    </xf>
    <xf numFmtId="2" fontId="0" fillId="3" borderId="103" xfId="0" applyNumberFormat="1" applyFont="1" applyFill="1" applyBorder="1" applyAlignment="1">
      <alignment horizontal="right" vertical="center"/>
    </xf>
    <xf numFmtId="0" fontId="0" fillId="0" borderId="8" xfId="0" applyFont="1" applyBorder="1"/>
    <xf numFmtId="0" fontId="0" fillId="0" borderId="103" xfId="0" applyFont="1" applyBorder="1"/>
    <xf numFmtId="0" fontId="0" fillId="3" borderId="107" xfId="0" applyFont="1" applyFill="1" applyBorder="1"/>
    <xf numFmtId="0" fontId="0" fillId="3" borderId="108" xfId="0" applyFont="1" applyFill="1" applyBorder="1"/>
    <xf numFmtId="0" fontId="45" fillId="0" borderId="7" xfId="0" applyFont="1" applyBorder="1" applyAlignment="1">
      <alignment horizontal="left"/>
    </xf>
    <xf numFmtId="2" fontId="0" fillId="0" borderId="75" xfId="0" applyNumberFormat="1" applyFont="1" applyBorder="1"/>
    <xf numFmtId="2" fontId="0" fillId="0" borderId="109" xfId="0" applyNumberFormat="1" applyFont="1" applyBorder="1"/>
    <xf numFmtId="0" fontId="45" fillId="3" borderId="8" xfId="0" applyFont="1" applyFill="1" applyBorder="1" applyAlignment="1">
      <alignment horizontal="left"/>
    </xf>
    <xf numFmtId="2" fontId="0" fillId="3" borderId="8" xfId="0" applyNumberFormat="1" applyFont="1" applyFill="1" applyBorder="1"/>
    <xf numFmtId="2" fontId="0" fillId="3" borderId="103" xfId="0" applyNumberFormat="1" applyFont="1" applyFill="1" applyBorder="1"/>
    <xf numFmtId="0" fontId="45" fillId="9" borderId="107" xfId="0" applyFont="1" applyFill="1" applyBorder="1" applyAlignment="1">
      <alignment horizontal="left" vertical="center" wrapText="1"/>
    </xf>
    <xf numFmtId="0" fontId="0" fillId="9" borderId="107" xfId="0" applyFont="1" applyFill="1" applyBorder="1" applyAlignment="1">
      <alignment horizontal="center" vertical="center"/>
    </xf>
    <xf numFmtId="0" fontId="0" fillId="9" borderId="108" xfId="0" applyFont="1" applyFill="1" applyBorder="1" applyAlignment="1">
      <alignment horizontal="center" vertical="center"/>
    </xf>
    <xf numFmtId="0" fontId="45" fillId="0" borderId="75" xfId="1" applyFont="1" applyBorder="1" applyAlignment="1">
      <alignment horizontal="left"/>
    </xf>
    <xf numFmtId="0" fontId="0" fillId="0" borderId="75" xfId="0" applyFont="1" applyBorder="1"/>
    <xf numFmtId="0" fontId="0" fillId="0" borderId="110" xfId="0" applyFont="1" applyBorder="1"/>
    <xf numFmtId="0" fontId="45" fillId="3" borderId="8" xfId="0" applyFont="1" applyFill="1" applyBorder="1"/>
    <xf numFmtId="0" fontId="0" fillId="3" borderId="8" xfId="0" applyFont="1" applyFill="1" applyBorder="1"/>
    <xf numFmtId="0" fontId="0" fillId="3" borderId="103" xfId="0" applyFont="1" applyFill="1" applyBorder="1"/>
    <xf numFmtId="0" fontId="45" fillId="0" borderId="8" xfId="0" applyFont="1" applyBorder="1"/>
    <xf numFmtId="0" fontId="45" fillId="9" borderId="8" xfId="1" applyFont="1" applyFill="1" applyBorder="1" applyAlignment="1">
      <alignment wrapText="1"/>
    </xf>
    <xf numFmtId="0" fontId="0" fillId="9" borderId="8" xfId="0" applyFont="1" applyFill="1" applyBorder="1" applyAlignment="1">
      <alignment horizontal="center" vertical="center"/>
    </xf>
    <xf numFmtId="0" fontId="0" fillId="9" borderId="103" xfId="0" applyFont="1" applyFill="1" applyBorder="1" applyAlignment="1">
      <alignment horizontal="center" vertical="center"/>
    </xf>
    <xf numFmtId="0" fontId="45" fillId="9" borderId="107" xfId="1" applyFont="1" applyFill="1" applyBorder="1" applyAlignment="1">
      <alignment vertical="center" wrapText="1"/>
    </xf>
    <xf numFmtId="0" fontId="0" fillId="0" borderId="112" xfId="0" applyFont="1" applyBorder="1"/>
    <xf numFmtId="2" fontId="0" fillId="0" borderId="110" xfId="0" applyNumberFormat="1" applyFont="1" applyBorder="1"/>
    <xf numFmtId="2" fontId="45" fillId="3" borderId="1" xfId="1" applyNumberFormat="1" applyFont="1" applyFill="1" applyBorder="1"/>
    <xf numFmtId="2" fontId="45" fillId="0" borderId="1" xfId="1" applyNumberFormat="1" applyFont="1" applyBorder="1"/>
    <xf numFmtId="2" fontId="45" fillId="3" borderId="8" xfId="1" applyNumberFormat="1" applyFont="1" applyFill="1" applyBorder="1" applyAlignment="1">
      <alignment horizontal="right"/>
    </xf>
    <xf numFmtId="2" fontId="45" fillId="3" borderId="103" xfId="1" applyNumberFormat="1" applyFont="1" applyFill="1" applyBorder="1" applyAlignment="1">
      <alignment horizontal="right"/>
    </xf>
    <xf numFmtId="2" fontId="45" fillId="0" borderId="8" xfId="1" applyNumberFormat="1" applyFont="1" applyBorder="1" applyAlignment="1">
      <alignment horizontal="right"/>
    </xf>
    <xf numFmtId="2" fontId="45" fillId="0" borderId="103" xfId="1" applyNumberFormat="1" applyFont="1" applyBorder="1" applyAlignment="1">
      <alignment horizontal="right"/>
    </xf>
    <xf numFmtId="0" fontId="0" fillId="0" borderId="1" xfId="0" applyFont="1" applyBorder="1"/>
    <xf numFmtId="0" fontId="0" fillId="3" borderId="1" xfId="0" applyFont="1" applyFill="1" applyBorder="1"/>
    <xf numFmtId="0" fontId="0" fillId="9" borderId="1" xfId="0" applyFont="1" applyFill="1" applyBorder="1"/>
    <xf numFmtId="0" fontId="0" fillId="9" borderId="8" xfId="0" applyFont="1" applyFill="1" applyBorder="1"/>
    <xf numFmtId="0" fontId="0" fillId="9" borderId="103" xfId="0" applyFont="1" applyFill="1" applyBorder="1"/>
    <xf numFmtId="2" fontId="45" fillId="9" borderId="107" xfId="1" applyNumberFormat="1" applyFont="1" applyFill="1" applyBorder="1"/>
    <xf numFmtId="0" fontId="0" fillId="9" borderId="107" xfId="0" applyFont="1" applyFill="1" applyBorder="1"/>
    <xf numFmtId="0" fontId="0" fillId="9" borderId="108" xfId="0" applyFont="1" applyFill="1" applyBorder="1"/>
    <xf numFmtId="0" fontId="0" fillId="0" borderId="107" xfId="0" applyFont="1" applyBorder="1" applyAlignment="1">
      <alignment horizontal="center" vertical="center"/>
    </xf>
    <xf numFmtId="166" fontId="0" fillId="0" borderId="107" xfId="0" applyNumberFormat="1" applyFont="1" applyBorder="1" applyAlignment="1">
      <alignment horizontal="center" vertical="center"/>
    </xf>
    <xf numFmtId="3" fontId="48" fillId="0" borderId="102" xfId="0" applyNumberFormat="1" applyFont="1" applyBorder="1" applyAlignment="1">
      <alignment horizontal="center"/>
    </xf>
    <xf numFmtId="167" fontId="49" fillId="0" borderId="8" xfId="0" applyNumberFormat="1" applyFont="1" applyBorder="1" applyAlignment="1">
      <alignment horizontal="center"/>
    </xf>
    <xf numFmtId="3" fontId="48" fillId="3" borderId="106" xfId="0" applyNumberFormat="1" applyFont="1" applyFill="1" applyBorder="1" applyAlignment="1">
      <alignment horizontal="center"/>
    </xf>
    <xf numFmtId="167" fontId="49" fillId="3" borderId="107" xfId="0" applyNumberFormat="1" applyFont="1" applyFill="1" applyBorder="1" applyAlignment="1">
      <alignment horizontal="center"/>
    </xf>
    <xf numFmtId="0" fontId="45" fillId="0" borderId="109" xfId="0" applyFont="1" applyBorder="1" applyAlignment="1">
      <alignment horizontal="center" vertical="center"/>
    </xf>
    <xf numFmtId="0" fontId="0" fillId="0" borderId="122" xfId="0" applyFont="1" applyBorder="1" applyAlignment="1">
      <alignment horizontal="center"/>
    </xf>
    <xf numFmtId="0" fontId="45" fillId="3" borderId="108" xfId="0" applyFont="1" applyFill="1" applyBorder="1" applyAlignment="1">
      <alignment horizontal="center" vertical="center"/>
    </xf>
    <xf numFmtId="0" fontId="0" fillId="0" borderId="82" xfId="0" applyFont="1" applyBorder="1"/>
    <xf numFmtId="0" fontId="3" fillId="3" borderId="7" xfId="0" applyFont="1" applyFill="1" applyBorder="1" applyAlignment="1">
      <alignment horizontal="center" vertical="center" wrapText="1"/>
    </xf>
    <xf numFmtId="0" fontId="51" fillId="0" borderId="117" xfId="0" applyFont="1" applyBorder="1"/>
    <xf numFmtId="0" fontId="51" fillId="3" borderId="106" xfId="0" applyFont="1" applyFill="1" applyBorder="1"/>
    <xf numFmtId="0" fontId="2" fillId="0" borderId="81" xfId="0" applyFont="1" applyBorder="1"/>
    <xf numFmtId="0" fontId="2" fillId="0" borderId="83" xfId="0" applyFont="1" applyBorder="1"/>
    <xf numFmtId="0" fontId="0" fillId="5" borderId="78" xfId="0" applyFont="1" applyFill="1" applyBorder="1"/>
    <xf numFmtId="0" fontId="0" fillId="5" borderId="80" xfId="0" applyFont="1" applyFill="1" applyBorder="1"/>
    <xf numFmtId="0" fontId="2" fillId="3" borderId="81" xfId="0" applyFont="1" applyFill="1" applyBorder="1"/>
    <xf numFmtId="2" fontId="0" fillId="3" borderId="82" xfId="0" applyNumberFormat="1" applyFont="1" applyFill="1" applyBorder="1"/>
    <xf numFmtId="0" fontId="0" fillId="3" borderId="82" xfId="0" applyFont="1" applyFill="1" applyBorder="1"/>
    <xf numFmtId="16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43" fillId="2" borderId="0" xfId="0" applyNumberFormat="1" applyFont="1" applyFill="1" applyBorder="1" applyAlignment="1">
      <alignment horizontal="center"/>
    </xf>
    <xf numFmtId="167" fontId="44" fillId="2" borderId="0" xfId="0" applyNumberFormat="1" applyFont="1" applyFill="1" applyBorder="1" applyAlignment="1">
      <alignment horizontal="center"/>
    </xf>
    <xf numFmtId="0" fontId="9" fillId="2" borderId="0" xfId="0" applyFont="1" applyFill="1"/>
    <xf numFmtId="0" fontId="46" fillId="2" borderId="0" xfId="0" applyFont="1" applyFill="1"/>
    <xf numFmtId="168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2" fontId="45" fillId="2" borderId="0" xfId="1" applyNumberFormat="1" applyFont="1" applyFill="1"/>
    <xf numFmtId="0" fontId="0" fillId="0" borderId="3" xfId="0" quotePrefix="1" applyBorder="1"/>
    <xf numFmtId="0" fontId="9" fillId="0" borderId="42" xfId="0" applyFont="1" applyBorder="1"/>
    <xf numFmtId="0" fontId="9" fillId="0" borderId="40" xfId="0" applyFont="1" applyBorder="1"/>
    <xf numFmtId="0" fontId="0" fillId="0" borderId="0" xfId="0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 wrapText="1"/>
    </xf>
    <xf numFmtId="0" fontId="0" fillId="9" borderId="8" xfId="0" applyFill="1" applyBorder="1" applyAlignment="1">
      <alignment horizontal="center"/>
    </xf>
    <xf numFmtId="0" fontId="0" fillId="9" borderId="3" xfId="0" quotePrefix="1" applyFill="1" applyBorder="1"/>
    <xf numFmtId="0" fontId="0" fillId="9" borderId="107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9" fillId="9" borderId="8" xfId="1" applyFill="1" applyBorder="1" applyAlignment="1">
      <alignment vertical="center" wrapText="1"/>
    </xf>
    <xf numFmtId="0" fontId="0" fillId="9" borderId="121" xfId="0" applyFill="1" applyBorder="1" applyAlignment="1">
      <alignment horizontal="center" vertical="center"/>
    </xf>
    <xf numFmtId="0" fontId="9" fillId="0" borderId="111" xfId="0" applyFont="1" applyBorder="1"/>
    <xf numFmtId="0" fontId="9" fillId="0" borderId="109" xfId="0" applyFont="1" applyBorder="1"/>
    <xf numFmtId="0" fontId="0" fillId="0" borderId="103" xfId="0" quotePrefix="1" applyBorder="1"/>
    <xf numFmtId="0" fontId="0" fillId="9" borderId="103" xfId="0" quotePrefix="1" applyFill="1" applyBorder="1"/>
    <xf numFmtId="0" fontId="0" fillId="9" borderId="121" xfId="0" quotePrefix="1" applyFill="1" applyBorder="1"/>
    <xf numFmtId="0" fontId="0" fillId="9" borderId="108" xfId="0" quotePrefix="1" applyFill="1" applyBorder="1"/>
    <xf numFmtId="0" fontId="4" fillId="2" borderId="0" xfId="0" applyFont="1" applyFill="1" applyBorder="1" applyAlignment="1">
      <alignment vertical="center"/>
    </xf>
    <xf numFmtId="0" fontId="9" fillId="2" borderId="0" xfId="0" applyFont="1" applyFill="1" applyBorder="1"/>
    <xf numFmtId="2" fontId="0" fillId="2" borderId="0" xfId="0" applyNumberForma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2" fontId="0" fillId="2" borderId="0" xfId="0" applyNumberFormat="1" applyFill="1" applyBorder="1"/>
    <xf numFmtId="0" fontId="9" fillId="2" borderId="0" xfId="1" applyFill="1" applyBorder="1" applyAlignment="1">
      <alignment horizontal="right"/>
    </xf>
    <xf numFmtId="2" fontId="9" fillId="2" borderId="0" xfId="1" applyNumberFormat="1" applyFill="1" applyBorder="1"/>
    <xf numFmtId="2" fontId="9" fillId="2" borderId="0" xfId="1" applyNumberFormat="1" applyFill="1" applyBorder="1" applyAlignment="1">
      <alignment horizontal="right"/>
    </xf>
    <xf numFmtId="2" fontId="45" fillId="2" borderId="0" xfId="0" applyNumberFormat="1" applyFont="1" applyFill="1" applyBorder="1"/>
    <xf numFmtId="0" fontId="9" fillId="0" borderId="75" xfId="0" applyFont="1" applyBorder="1" applyAlignment="1">
      <alignment horizontal="left" vertical="top"/>
    </xf>
    <xf numFmtId="2" fontId="9" fillId="0" borderId="75" xfId="0" applyNumberFormat="1" applyFont="1" applyBorder="1" applyAlignment="1">
      <alignment horizontal="right" vertical="center"/>
    </xf>
    <xf numFmtId="0" fontId="0" fillId="0" borderId="42" xfId="0" quotePrefix="1" applyBorder="1"/>
    <xf numFmtId="0" fontId="0" fillId="0" borderId="110" xfId="0" quotePrefix="1" applyBorder="1"/>
    <xf numFmtId="0" fontId="0" fillId="0" borderId="121" xfId="0" quotePrefix="1" applyBorder="1"/>
    <xf numFmtId="0" fontId="0" fillId="0" borderId="108" xfId="0" quotePrefix="1" applyBorder="1"/>
    <xf numFmtId="0" fontId="4" fillId="0" borderId="0" xfId="0" applyFont="1" applyFill="1" applyBorder="1" applyAlignment="1">
      <alignment vertical="center"/>
    </xf>
    <xf numFmtId="0" fontId="9" fillId="0" borderId="2" xfId="0" applyFont="1" applyBorder="1"/>
    <xf numFmtId="2" fontId="0" fillId="0" borderId="2" xfId="0" applyNumberFormat="1" applyBorder="1" applyAlignment="1">
      <alignment horizontal="right" vertical="center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104" xfId="0" applyFont="1" applyBorder="1" applyAlignment="1">
      <alignment horizontal="right" vertical="center"/>
    </xf>
    <xf numFmtId="2" fontId="9" fillId="0" borderId="100" xfId="0" applyNumberFormat="1" applyFont="1" applyBorder="1" applyAlignment="1">
      <alignment horizontal="right" vertical="center"/>
    </xf>
    <xf numFmtId="2" fontId="0" fillId="0" borderId="41" xfId="0" applyNumberFormat="1" applyBorder="1"/>
    <xf numFmtId="0" fontId="0" fillId="7" borderId="104" xfId="0" applyFill="1" applyBorder="1" applyAlignment="1">
      <alignment horizontal="center" vertical="center"/>
    </xf>
    <xf numFmtId="0" fontId="9" fillId="0" borderId="40" xfId="1" applyBorder="1" applyAlignment="1">
      <alignment horizontal="right"/>
    </xf>
    <xf numFmtId="0" fontId="0" fillId="7" borderId="2" xfId="0" applyFill="1" applyBorder="1" applyAlignment="1">
      <alignment horizontal="center" vertical="center"/>
    </xf>
    <xf numFmtId="2" fontId="9" fillId="0" borderId="2" xfId="1" applyNumberFormat="1" applyBorder="1" applyAlignment="1">
      <alignment horizontal="right"/>
    </xf>
    <xf numFmtId="2" fontId="45" fillId="0" borderId="2" xfId="0" applyNumberFormat="1" applyFont="1" applyBorder="1"/>
    <xf numFmtId="0" fontId="9" fillId="0" borderId="120" xfId="0" applyFont="1" applyBorder="1"/>
    <xf numFmtId="0" fontId="9" fillId="0" borderId="122" xfId="0" applyFont="1" applyBorder="1"/>
    <xf numFmtId="0" fontId="9" fillId="0" borderId="117" xfId="0" applyFont="1" applyBorder="1"/>
    <xf numFmtId="0" fontId="9" fillId="0" borderId="123" xfId="0" applyFont="1" applyBorder="1"/>
    <xf numFmtId="0" fontId="0" fillId="0" borderId="74" xfId="0" applyBorder="1"/>
    <xf numFmtId="0" fontId="0" fillId="0" borderId="124" xfId="0" applyBorder="1"/>
    <xf numFmtId="0" fontId="40" fillId="0" borderId="102" xfId="0" applyFont="1" applyBorder="1"/>
    <xf numFmtId="0" fontId="9" fillId="0" borderId="8" xfId="0" applyFont="1" applyBorder="1" applyAlignment="1">
      <alignment horizontal="right"/>
    </xf>
    <xf numFmtId="0" fontId="9" fillId="0" borderId="103" xfId="0" applyFont="1" applyBorder="1" applyAlignment="1">
      <alignment horizontal="right"/>
    </xf>
    <xf numFmtId="0" fontId="40" fillId="0" borderId="0" xfId="0" applyFont="1"/>
    <xf numFmtId="0" fontId="9" fillId="0" borderId="106" xfId="0" applyFont="1" applyBorder="1"/>
    <xf numFmtId="0" fontId="9" fillId="0" borderId="0" xfId="0" applyFont="1" applyAlignment="1">
      <alignment horizontal="center" vertical="center"/>
    </xf>
    <xf numFmtId="0" fontId="0" fillId="0" borderId="7" xfId="0" applyBorder="1"/>
    <xf numFmtId="2" fontId="9" fillId="0" borderId="8" xfId="1" applyNumberFormat="1" applyBorder="1"/>
    <xf numFmtId="0" fontId="0" fillId="7" borderId="103" xfId="0" applyFill="1" applyBorder="1" applyAlignment="1">
      <alignment horizontal="center"/>
    </xf>
    <xf numFmtId="0" fontId="0" fillId="7" borderId="108" xfId="0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/>
    </xf>
    <xf numFmtId="167" fontId="44" fillId="0" borderId="115" xfId="0" applyNumberFormat="1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3" borderId="94" xfId="0" applyFont="1" applyFill="1" applyBorder="1" applyAlignment="1">
      <alignment horizontal="center" vertical="center"/>
    </xf>
    <xf numFmtId="0" fontId="6" fillId="3" borderId="79" xfId="0" applyFont="1" applyFill="1" applyBorder="1" applyAlignment="1">
      <alignment horizontal="center" vertical="center"/>
    </xf>
    <xf numFmtId="0" fontId="6" fillId="3" borderId="80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90" xfId="0" applyFont="1" applyFill="1" applyBorder="1" applyAlignment="1">
      <alignment horizontal="center" vertical="center"/>
    </xf>
    <xf numFmtId="0" fontId="0" fillId="3" borderId="97" xfId="0" applyFill="1" applyBorder="1" applyAlignment="1">
      <alignment horizontal="center"/>
    </xf>
    <xf numFmtId="0" fontId="0" fillId="3" borderId="84" xfId="0" applyFill="1" applyBorder="1" applyAlignment="1">
      <alignment horizontal="center"/>
    </xf>
    <xf numFmtId="0" fontId="0" fillId="3" borderId="85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3" xfId="0" applyBorder="1" applyAlignment="1">
      <alignment horizontal="center"/>
    </xf>
    <xf numFmtId="0" fontId="21" fillId="3" borderId="0" xfId="0" applyFont="1" applyFill="1" applyBorder="1" applyAlignment="1">
      <alignment horizontal="left" vertical="center"/>
    </xf>
    <xf numFmtId="0" fontId="21" fillId="3" borderId="82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82" xfId="0" applyFont="1" applyBorder="1" applyAlignment="1">
      <alignment horizontal="left" vertical="center"/>
    </xf>
    <xf numFmtId="0" fontId="20" fillId="3" borderId="38" xfId="0" applyFont="1" applyFill="1" applyBorder="1" applyAlignment="1">
      <alignment horizontal="center" vertical="center"/>
    </xf>
    <xf numFmtId="0" fontId="20" fillId="3" borderId="88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20" fillId="3" borderId="90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35" fillId="3" borderId="78" xfId="0" applyFont="1" applyFill="1" applyBorder="1" applyAlignment="1">
      <alignment horizontal="center" vertical="center" wrapText="1"/>
    </xf>
    <xf numFmtId="0" fontId="35" fillId="3" borderId="79" xfId="0" applyFont="1" applyFill="1" applyBorder="1" applyAlignment="1">
      <alignment horizontal="center" vertical="center" wrapText="1"/>
    </xf>
    <xf numFmtId="0" fontId="35" fillId="3" borderId="80" xfId="0" applyFont="1" applyFill="1" applyBorder="1" applyAlignment="1">
      <alignment horizontal="center" vertical="center" wrapText="1"/>
    </xf>
    <xf numFmtId="0" fontId="35" fillId="3" borderId="81" xfId="0" applyFont="1" applyFill="1" applyBorder="1" applyAlignment="1">
      <alignment horizontal="center" vertical="center" wrapText="1"/>
    </xf>
    <xf numFmtId="0" fontId="35" fillId="3" borderId="0" xfId="0" applyFont="1" applyFill="1" applyBorder="1" applyAlignment="1">
      <alignment horizontal="center" vertical="center" wrapText="1"/>
    </xf>
    <xf numFmtId="0" fontId="35" fillId="3" borderId="82" xfId="0" applyFont="1" applyFill="1" applyBorder="1" applyAlignment="1">
      <alignment horizontal="center" vertical="center" wrapText="1"/>
    </xf>
    <xf numFmtId="2" fontId="34" fillId="3" borderId="81" xfId="0" applyNumberFormat="1" applyFont="1" applyFill="1" applyBorder="1" applyAlignment="1">
      <alignment horizontal="right" vertical="center" wrapText="1"/>
    </xf>
    <xf numFmtId="0" fontId="34" fillId="3" borderId="0" xfId="0" applyFont="1" applyFill="1" applyBorder="1" applyAlignment="1">
      <alignment horizontal="right" vertical="center" wrapText="1"/>
    </xf>
    <xf numFmtId="0" fontId="34" fillId="3" borderId="81" xfId="0" applyFont="1" applyFill="1" applyBorder="1" applyAlignment="1">
      <alignment horizontal="right" vertical="center" wrapText="1"/>
    </xf>
    <xf numFmtId="0" fontId="34" fillId="3" borderId="83" xfId="0" applyFont="1" applyFill="1" applyBorder="1" applyAlignment="1">
      <alignment horizontal="right" vertical="center" wrapText="1"/>
    </xf>
    <xf numFmtId="0" fontId="34" fillId="3" borderId="84" xfId="0" applyFont="1" applyFill="1" applyBorder="1" applyAlignment="1">
      <alignment horizontal="right" vertical="center" wrapText="1"/>
    </xf>
    <xf numFmtId="0" fontId="34" fillId="3" borderId="82" xfId="0" applyFont="1" applyFill="1" applyBorder="1" applyAlignment="1">
      <alignment horizontal="center" vertical="center" wrapText="1"/>
    </xf>
    <xf numFmtId="0" fontId="34" fillId="3" borderId="85" xfId="0" applyFont="1" applyFill="1" applyBorder="1" applyAlignment="1">
      <alignment horizontal="center" vertical="center" wrapText="1"/>
    </xf>
    <xf numFmtId="2" fontId="27" fillId="3" borderId="51" xfId="1" applyNumberFormat="1" applyFont="1" applyFill="1" applyBorder="1" applyAlignment="1" applyProtection="1">
      <alignment horizontal="center" vertical="center"/>
      <protection locked="0"/>
    </xf>
    <xf numFmtId="0" fontId="27" fillId="3" borderId="63" xfId="1" applyFont="1" applyFill="1" applyBorder="1" applyAlignment="1">
      <alignment horizontal="center" vertical="center"/>
    </xf>
    <xf numFmtId="0" fontId="21" fillId="0" borderId="84" xfId="0" applyFont="1" applyBorder="1" applyAlignment="1">
      <alignment horizontal="left" vertical="center"/>
    </xf>
    <xf numFmtId="0" fontId="21" fillId="0" borderId="85" xfId="0" applyFont="1" applyBorder="1" applyAlignment="1">
      <alignment horizontal="left" vertical="center"/>
    </xf>
    <xf numFmtId="0" fontId="27" fillId="3" borderId="66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67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68" xfId="1" applyFont="1" applyFill="1" applyBorder="1" applyAlignment="1">
      <alignment horizontal="center" vertical="center"/>
    </xf>
    <xf numFmtId="0" fontId="27" fillId="3" borderId="69" xfId="1" applyFont="1" applyFill="1" applyBorder="1" applyAlignment="1">
      <alignment horizontal="center" vertical="center"/>
    </xf>
    <xf numFmtId="0" fontId="27" fillId="2" borderId="72" xfId="1" applyNumberFormat="1" applyFont="1" applyFill="1" applyBorder="1" applyAlignment="1" applyProtection="1">
      <alignment horizontal="center" vertical="center" wrapText="1"/>
    </xf>
    <xf numFmtId="0" fontId="27" fillId="2" borderId="73" xfId="1" applyNumberFormat="1" applyFont="1" applyFill="1" applyBorder="1" applyAlignment="1" applyProtection="1">
      <alignment horizontal="center" vertical="center" wrapText="1"/>
    </xf>
    <xf numFmtId="1" fontId="28" fillId="2" borderId="64" xfId="1" applyNumberFormat="1" applyFont="1" applyFill="1" applyBorder="1" applyAlignment="1" applyProtection="1">
      <alignment horizontal="center" vertical="center"/>
    </xf>
    <xf numFmtId="0" fontId="27" fillId="2" borderId="65" xfId="1" applyFont="1" applyFill="1" applyBorder="1" applyAlignment="1" applyProtection="1">
      <alignment horizontal="center" vertical="center"/>
    </xf>
    <xf numFmtId="2" fontId="27" fillId="2" borderId="51" xfId="1" applyNumberFormat="1" applyFont="1" applyFill="1" applyBorder="1" applyAlignment="1" applyProtection="1">
      <alignment horizontal="center" vertical="center" wrapText="1"/>
      <protection locked="0"/>
    </xf>
    <xf numFmtId="2" fontId="27" fillId="2" borderId="63" xfId="1" applyNumberFormat="1" applyFont="1" applyFill="1" applyBorder="1" applyAlignment="1" applyProtection="1">
      <alignment horizontal="center" vertical="center" wrapText="1"/>
      <protection locked="0"/>
    </xf>
    <xf numFmtId="2" fontId="27" fillId="2" borderId="54" xfId="1" applyNumberFormat="1" applyFont="1" applyFill="1" applyBorder="1" applyAlignment="1" applyProtection="1">
      <alignment horizontal="center" vertical="center"/>
      <protection hidden="1"/>
    </xf>
    <xf numFmtId="2" fontId="27" fillId="2" borderId="56" xfId="1" applyNumberFormat="1" applyFont="1" applyFill="1" applyBorder="1" applyAlignment="1" applyProtection="1">
      <alignment horizontal="center" vertical="center"/>
      <protection hidden="1"/>
    </xf>
    <xf numFmtId="2" fontId="28" fillId="2" borderId="54" xfId="1" applyNumberFormat="1" applyFont="1" applyFill="1" applyBorder="1" applyAlignment="1" applyProtection="1">
      <alignment horizontal="center" vertical="center"/>
      <protection hidden="1"/>
    </xf>
    <xf numFmtId="2" fontId="28" fillId="2" borderId="56" xfId="1" applyNumberFormat="1" applyFont="1" applyFill="1" applyBorder="1" applyAlignment="1" applyProtection="1">
      <alignment horizontal="center" vertical="center"/>
      <protection hidden="1"/>
    </xf>
    <xf numFmtId="2" fontId="28" fillId="2" borderId="59" xfId="1" applyNumberFormat="1" applyFont="1" applyFill="1" applyBorder="1" applyAlignment="1" applyProtection="1">
      <alignment horizontal="center" vertical="center"/>
      <protection hidden="1"/>
    </xf>
    <xf numFmtId="2" fontId="28" fillId="2" borderId="57" xfId="1" applyNumberFormat="1" applyFont="1" applyFill="1" applyBorder="1" applyAlignment="1" applyProtection="1">
      <alignment horizontal="center" vertical="center"/>
      <protection hidden="1"/>
    </xf>
    <xf numFmtId="0" fontId="27" fillId="2" borderId="64" xfId="1" applyFont="1" applyFill="1" applyBorder="1" applyAlignment="1" applyProtection="1">
      <alignment horizontal="center" vertical="center"/>
      <protection locked="0"/>
    </xf>
    <xf numFmtId="0" fontId="27" fillId="2" borderId="65" xfId="1" applyFont="1" applyFill="1" applyBorder="1" applyAlignment="1">
      <alignment horizontal="center" vertical="center"/>
    </xf>
    <xf numFmtId="0" fontId="27" fillId="2" borderId="51" xfId="1" applyFont="1" applyFill="1" applyBorder="1" applyAlignment="1" applyProtection="1">
      <alignment horizontal="center" vertical="center"/>
      <protection locked="0"/>
    </xf>
    <xf numFmtId="0" fontId="27" fillId="2" borderId="63" xfId="1" applyFont="1" applyFill="1" applyBorder="1" applyAlignment="1">
      <alignment horizontal="center" vertical="center"/>
    </xf>
    <xf numFmtId="2" fontId="28" fillId="2" borderId="51" xfId="1" applyNumberFormat="1" applyFont="1" applyFill="1" applyBorder="1" applyAlignment="1" applyProtection="1">
      <alignment horizontal="center" vertical="center"/>
      <protection locked="0"/>
    </xf>
    <xf numFmtId="0" fontId="18" fillId="5" borderId="78" xfId="0" applyFont="1" applyFill="1" applyBorder="1" applyAlignment="1">
      <alignment horizontal="center" vertical="center"/>
    </xf>
    <xf numFmtId="0" fontId="18" fillId="5" borderId="79" xfId="0" applyFont="1" applyFill="1" applyBorder="1" applyAlignment="1">
      <alignment horizontal="center" vertical="center"/>
    </xf>
    <xf numFmtId="0" fontId="18" fillId="5" borderId="80" xfId="0" applyFont="1" applyFill="1" applyBorder="1" applyAlignment="1">
      <alignment horizontal="center" vertical="center"/>
    </xf>
    <xf numFmtId="0" fontId="18" fillId="5" borderId="81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82" xfId="0" applyFont="1" applyFill="1" applyBorder="1" applyAlignment="1">
      <alignment horizontal="center" vertical="center"/>
    </xf>
    <xf numFmtId="0" fontId="22" fillId="3" borderId="8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22" fillId="3" borderId="39" xfId="0" applyFont="1" applyFill="1" applyBorder="1" applyAlignment="1">
      <alignment horizontal="center" vertical="center"/>
    </xf>
    <xf numFmtId="0" fontId="22" fillId="3" borderId="89" xfId="0" applyFont="1" applyFill="1" applyBorder="1" applyAlignment="1">
      <alignment horizontal="center" vertical="center"/>
    </xf>
    <xf numFmtId="0" fontId="22" fillId="3" borderId="41" xfId="0" applyFont="1" applyFill="1" applyBorder="1" applyAlignment="1">
      <alignment horizontal="center" vertical="center"/>
    </xf>
    <xf numFmtId="0" fontId="22" fillId="3" borderId="42" xfId="0" applyFont="1" applyFill="1" applyBorder="1" applyAlignment="1">
      <alignment horizontal="center" vertical="center"/>
    </xf>
    <xf numFmtId="0" fontId="22" fillId="3" borderId="88" xfId="0" applyFont="1" applyFill="1" applyBorder="1" applyAlignment="1">
      <alignment horizontal="center" vertical="center"/>
    </xf>
    <xf numFmtId="0" fontId="22" fillId="3" borderId="90" xfId="0" applyFont="1" applyFill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89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21" fillId="3" borderId="81" xfId="0" applyFont="1" applyFill="1" applyBorder="1" applyAlignment="1">
      <alignment horizontal="right" vertical="center"/>
    </xf>
    <xf numFmtId="0" fontId="21" fillId="3" borderId="0" xfId="0" applyFont="1" applyFill="1" applyBorder="1" applyAlignment="1">
      <alignment horizontal="right" vertical="center"/>
    </xf>
    <xf numFmtId="0" fontId="21" fillId="3" borderId="36" xfId="0" applyFont="1" applyFill="1" applyBorder="1" applyAlignment="1">
      <alignment horizontal="right" vertical="center"/>
    </xf>
    <xf numFmtId="0" fontId="21" fillId="0" borderId="81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36" xfId="0" applyFont="1" applyBorder="1" applyAlignment="1">
      <alignment horizontal="right" vertical="center"/>
    </xf>
    <xf numFmtId="0" fontId="21" fillId="0" borderId="83" xfId="0" applyFont="1" applyBorder="1" applyAlignment="1">
      <alignment horizontal="right" vertical="center"/>
    </xf>
    <xf numFmtId="0" fontId="21" fillId="0" borderId="84" xfId="0" applyFont="1" applyBorder="1" applyAlignment="1">
      <alignment horizontal="right" vertical="center"/>
    </xf>
    <xf numFmtId="0" fontId="21" fillId="0" borderId="86" xfId="0" applyFont="1" applyBorder="1" applyAlignment="1">
      <alignment horizontal="right" vertical="center"/>
    </xf>
    <xf numFmtId="2" fontId="27" fillId="2" borderId="64" xfId="1" applyNumberFormat="1" applyFont="1" applyFill="1" applyBorder="1" applyAlignment="1" applyProtection="1">
      <alignment horizontal="center" vertical="center"/>
      <protection locked="0"/>
    </xf>
    <xf numFmtId="0" fontId="27" fillId="2" borderId="66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67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68" xfId="1" applyFont="1" applyFill="1" applyBorder="1" applyAlignment="1">
      <alignment horizontal="center" vertical="center"/>
    </xf>
    <xf numFmtId="0" fontId="27" fillId="2" borderId="69" xfId="1" applyFont="1" applyFill="1" applyBorder="1" applyAlignment="1">
      <alignment horizontal="center" vertical="center"/>
    </xf>
    <xf numFmtId="2" fontId="27" fillId="2" borderId="51" xfId="1" applyNumberFormat="1" applyFont="1" applyFill="1" applyBorder="1" applyAlignment="1" applyProtection="1">
      <alignment horizontal="center" vertical="center"/>
      <protection locked="0"/>
    </xf>
    <xf numFmtId="2" fontId="27" fillId="2" borderId="59" xfId="1" applyNumberFormat="1" applyFont="1" applyFill="1" applyBorder="1" applyAlignment="1" applyProtection="1">
      <alignment horizontal="center" vertical="center"/>
      <protection hidden="1"/>
    </xf>
    <xf numFmtId="2" fontId="27" fillId="2" borderId="57" xfId="1" applyNumberFormat="1" applyFont="1" applyFill="1" applyBorder="1" applyAlignment="1" applyProtection="1">
      <alignment horizontal="center" vertical="center"/>
      <protection hidden="1"/>
    </xf>
    <xf numFmtId="2" fontId="27" fillId="2" borderId="61" xfId="1" applyNumberFormat="1" applyFont="1" applyFill="1" applyBorder="1" applyAlignment="1" applyProtection="1">
      <alignment horizontal="center" vertical="center"/>
      <protection hidden="1"/>
    </xf>
    <xf numFmtId="2" fontId="27" fillId="2" borderId="62" xfId="1" applyNumberFormat="1" applyFont="1" applyFill="1" applyBorder="1" applyAlignment="1" applyProtection="1">
      <alignment horizontal="center" vertical="center"/>
      <protection hidden="1"/>
    </xf>
    <xf numFmtId="0" fontId="27" fillId="3" borderId="72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73" xfId="1" applyNumberFormat="1" applyFont="1" applyFill="1" applyBorder="1" applyAlignment="1" applyProtection="1">
      <alignment horizontal="center" vertical="center" wrapText="1"/>
      <protection locked="0"/>
    </xf>
    <xf numFmtId="1" fontId="28" fillId="3" borderId="64" xfId="1" applyNumberFormat="1" applyFont="1" applyFill="1" applyBorder="1" applyAlignment="1" applyProtection="1">
      <alignment horizontal="center" vertical="center"/>
      <protection locked="0"/>
    </xf>
    <xf numFmtId="0" fontId="27" fillId="3" borderId="65" xfId="1" applyFont="1" applyFill="1" applyBorder="1" applyAlignment="1">
      <alignment horizontal="center" vertical="center"/>
    </xf>
    <xf numFmtId="2" fontId="27" fillId="3" borderId="51" xfId="1" applyNumberFormat="1" applyFont="1" applyFill="1" applyBorder="1" applyAlignment="1" applyProtection="1">
      <alignment horizontal="center" vertical="center" wrapText="1"/>
      <protection locked="0"/>
    </xf>
    <xf numFmtId="2" fontId="27" fillId="3" borderId="54" xfId="1" applyNumberFormat="1" applyFont="1" applyFill="1" applyBorder="1" applyAlignment="1" applyProtection="1">
      <alignment horizontal="center" vertical="center"/>
      <protection hidden="1"/>
    </xf>
    <xf numFmtId="2" fontId="27" fillId="3" borderId="56" xfId="1" applyNumberFormat="1" applyFont="1" applyFill="1" applyBorder="1" applyAlignment="1" applyProtection="1">
      <alignment horizontal="center" vertical="center"/>
      <protection hidden="1"/>
    </xf>
    <xf numFmtId="2" fontId="28" fillId="3" borderId="54" xfId="1" applyNumberFormat="1" applyFont="1" applyFill="1" applyBorder="1" applyAlignment="1" applyProtection="1">
      <alignment horizontal="center" vertical="center"/>
      <protection hidden="1"/>
    </xf>
    <xf numFmtId="2" fontId="28" fillId="3" borderId="56" xfId="1" applyNumberFormat="1" applyFont="1" applyFill="1" applyBorder="1" applyAlignment="1" applyProtection="1">
      <alignment horizontal="center" vertical="center"/>
      <protection hidden="1"/>
    </xf>
    <xf numFmtId="2" fontId="28" fillId="3" borderId="59" xfId="1" applyNumberFormat="1" applyFont="1" applyFill="1" applyBorder="1" applyAlignment="1" applyProtection="1">
      <alignment horizontal="center" vertical="center"/>
      <protection hidden="1"/>
    </xf>
    <xf numFmtId="2" fontId="28" fillId="3" borderId="57" xfId="1" applyNumberFormat="1" applyFont="1" applyFill="1" applyBorder="1" applyAlignment="1" applyProtection="1">
      <alignment horizontal="center" vertical="center"/>
      <protection hidden="1"/>
    </xf>
    <xf numFmtId="0" fontId="27" fillId="3" borderId="64" xfId="1" applyFont="1" applyFill="1" applyBorder="1" applyAlignment="1" applyProtection="1">
      <alignment horizontal="center" vertical="center"/>
      <protection locked="0"/>
    </xf>
    <xf numFmtId="0" fontId="27" fillId="3" borderId="51" xfId="1" applyFont="1" applyFill="1" applyBorder="1" applyAlignment="1" applyProtection="1">
      <alignment horizontal="center" vertical="center"/>
      <protection locked="0"/>
    </xf>
    <xf numFmtId="2" fontId="27" fillId="3" borderId="70" xfId="1" applyNumberFormat="1" applyFont="1" applyFill="1" applyBorder="1" applyAlignment="1" applyProtection="1">
      <alignment horizontal="center" vertical="center"/>
      <protection hidden="1"/>
    </xf>
    <xf numFmtId="0" fontId="27" fillId="3" borderId="71" xfId="1" applyFont="1" applyFill="1" applyBorder="1" applyAlignment="1">
      <alignment horizontal="center" vertical="center"/>
    </xf>
    <xf numFmtId="2" fontId="27" fillId="3" borderId="59" xfId="1" applyNumberFormat="1" applyFont="1" applyFill="1" applyBorder="1" applyAlignment="1" applyProtection="1">
      <alignment horizontal="center" vertical="center"/>
      <protection hidden="1"/>
    </xf>
    <xf numFmtId="2" fontId="27" fillId="3" borderId="57" xfId="1" applyNumberFormat="1" applyFont="1" applyFill="1" applyBorder="1" applyAlignment="1" applyProtection="1">
      <alignment horizontal="center" vertical="center"/>
      <protection hidden="1"/>
    </xf>
    <xf numFmtId="2" fontId="27" fillId="3" borderId="61" xfId="1" applyNumberFormat="1" applyFont="1" applyFill="1" applyBorder="1" applyAlignment="1" applyProtection="1">
      <alignment horizontal="center" vertical="center"/>
      <protection hidden="1"/>
    </xf>
    <xf numFmtId="2" fontId="27" fillId="3" borderId="62" xfId="1" applyNumberFormat="1" applyFont="1" applyFill="1" applyBorder="1" applyAlignment="1" applyProtection="1">
      <alignment horizontal="center" vertical="center"/>
      <protection hidden="1"/>
    </xf>
    <xf numFmtId="2" fontId="28" fillId="3" borderId="51" xfId="1" applyNumberFormat="1" applyFont="1" applyFill="1" applyBorder="1" applyAlignment="1" applyProtection="1">
      <alignment horizontal="center" vertical="center"/>
      <protection locked="0"/>
    </xf>
    <xf numFmtId="2" fontId="27" fillId="3" borderId="64" xfId="1" applyNumberFormat="1" applyFont="1" applyFill="1" applyBorder="1" applyAlignment="1" applyProtection="1">
      <alignment horizontal="center" vertical="center"/>
      <protection locked="0"/>
    </xf>
    <xf numFmtId="0" fontId="27" fillId="3" borderId="72" xfId="1" applyNumberFormat="1" applyFont="1" applyFill="1" applyBorder="1" applyAlignment="1" applyProtection="1">
      <alignment horizontal="center" vertical="center" wrapText="1"/>
    </xf>
    <xf numFmtId="0" fontId="27" fillId="3" borderId="73" xfId="1" applyNumberFormat="1" applyFont="1" applyFill="1" applyBorder="1" applyAlignment="1" applyProtection="1">
      <alignment horizontal="center" vertical="center" wrapText="1"/>
    </xf>
    <xf numFmtId="2" fontId="27" fillId="3" borderId="63" xfId="1" applyNumberFormat="1" applyFont="1" applyFill="1" applyBorder="1" applyAlignment="1" applyProtection="1">
      <alignment horizontal="center" vertical="center" wrapText="1"/>
      <protection locked="0"/>
    </xf>
    <xf numFmtId="2" fontId="27" fillId="2" borderId="70" xfId="1" applyNumberFormat="1" applyFont="1" applyFill="1" applyBorder="1" applyAlignment="1" applyProtection="1">
      <alignment horizontal="center" vertical="center"/>
      <protection hidden="1"/>
    </xf>
    <xf numFmtId="0" fontId="27" fillId="2" borderId="71" xfId="1" applyFont="1" applyFill="1" applyBorder="1" applyAlignment="1">
      <alignment horizontal="center" vertical="center"/>
    </xf>
    <xf numFmtId="1" fontId="28" fillId="2" borderId="64" xfId="1" applyNumberFormat="1" applyFont="1" applyFill="1" applyBorder="1" applyAlignment="1" applyProtection="1">
      <alignment horizontal="center" vertical="center"/>
      <protection locked="0"/>
    </xf>
    <xf numFmtId="0" fontId="27" fillId="2" borderId="72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73" xfId="1" applyNumberFormat="1" applyFont="1" applyFill="1" applyBorder="1" applyAlignment="1" applyProtection="1">
      <alignment horizontal="center" vertical="center" wrapText="1"/>
      <protection locked="0"/>
    </xf>
    <xf numFmtId="49" fontId="31" fillId="3" borderId="40" xfId="1" applyNumberFormat="1" applyFont="1" applyFill="1" applyBorder="1" applyAlignment="1" applyProtection="1">
      <alignment horizontal="center" vertical="center"/>
      <protection hidden="1"/>
    </xf>
    <xf numFmtId="49" fontId="31" fillId="3" borderId="41" xfId="1" applyNumberFormat="1" applyFont="1" applyFill="1" applyBorder="1" applyAlignment="1" applyProtection="1">
      <alignment horizontal="center" vertical="center"/>
      <protection hidden="1"/>
    </xf>
    <xf numFmtId="49" fontId="31" fillId="3" borderId="90" xfId="1" applyNumberFormat="1" applyFont="1" applyFill="1" applyBorder="1" applyAlignment="1" applyProtection="1">
      <alignment horizontal="center" vertical="center"/>
      <protection hidden="1"/>
    </xf>
    <xf numFmtId="49" fontId="31" fillId="0" borderId="92" xfId="1" applyNumberFormat="1" applyFont="1" applyBorder="1" applyAlignment="1" applyProtection="1">
      <alignment horizontal="center" vertical="center"/>
      <protection hidden="1"/>
    </xf>
    <xf numFmtId="49" fontId="31" fillId="0" borderId="79" xfId="1" applyNumberFormat="1" applyFont="1" applyBorder="1" applyAlignment="1" applyProtection="1">
      <alignment horizontal="center" vertical="center"/>
      <protection hidden="1"/>
    </xf>
    <xf numFmtId="49" fontId="31" fillId="0" borderId="91" xfId="1" applyNumberFormat="1" applyFont="1" applyBorder="1" applyAlignment="1" applyProtection="1">
      <alignment horizontal="center" vertical="center"/>
      <protection hidden="1"/>
    </xf>
    <xf numFmtId="49" fontId="31" fillId="0" borderId="68" xfId="1" applyNumberFormat="1" applyFont="1" applyBorder="1" applyAlignment="1" applyProtection="1">
      <alignment horizontal="center" vertical="center"/>
      <protection hidden="1"/>
    </xf>
    <xf numFmtId="49" fontId="31" fillId="0" borderId="41" xfId="1" applyNumberFormat="1" applyFont="1" applyBorder="1" applyAlignment="1" applyProtection="1">
      <alignment horizontal="center" vertical="center"/>
      <protection hidden="1"/>
    </xf>
    <xf numFmtId="49" fontId="31" fillId="0" borderId="69" xfId="1" applyNumberFormat="1" applyFont="1" applyBorder="1" applyAlignment="1" applyProtection="1">
      <alignment horizontal="center" vertical="center"/>
      <protection hidden="1"/>
    </xf>
    <xf numFmtId="2" fontId="29" fillId="0" borderId="96" xfId="1" applyNumberFormat="1" applyFont="1" applyBorder="1" applyAlignment="1" applyProtection="1">
      <alignment horizontal="center" vertical="center"/>
      <protection hidden="1"/>
    </xf>
    <xf numFmtId="2" fontId="29" fillId="0" borderId="84" xfId="1" applyNumberFormat="1" applyFont="1" applyBorder="1" applyAlignment="1" applyProtection="1">
      <alignment horizontal="center" vertical="center"/>
      <protection hidden="1"/>
    </xf>
    <xf numFmtId="2" fontId="29" fillId="0" borderId="86" xfId="1" applyNumberFormat="1" applyFont="1" applyBorder="1" applyAlignment="1" applyProtection="1">
      <alignment horizontal="center" vertical="center"/>
      <protection hidden="1"/>
    </xf>
    <xf numFmtId="2" fontId="29" fillId="0" borderId="95" xfId="1" applyNumberFormat="1" applyFont="1" applyBorder="1" applyAlignment="1" applyProtection="1">
      <alignment horizontal="center" vertical="center"/>
      <protection hidden="1"/>
    </xf>
    <xf numFmtId="0" fontId="27" fillId="5" borderId="51" xfId="1" applyFont="1" applyFill="1" applyBorder="1" applyAlignment="1" applyProtection="1">
      <alignment horizontal="center" vertical="center"/>
      <protection hidden="1"/>
    </xf>
    <xf numFmtId="0" fontId="27" fillId="5" borderId="63" xfId="1" applyFont="1" applyFill="1" applyBorder="1" applyAlignment="1" applyProtection="1">
      <alignment horizontal="center" vertical="center"/>
      <protection hidden="1"/>
    </xf>
    <xf numFmtId="165" fontId="29" fillId="0" borderId="83" xfId="1" applyNumberFormat="1" applyFont="1" applyBorder="1" applyAlignment="1" applyProtection="1">
      <alignment horizontal="center" vertical="center"/>
      <protection hidden="1"/>
    </xf>
    <xf numFmtId="165" fontId="29" fillId="0" borderId="84" xfId="1" applyNumberFormat="1" applyFont="1" applyBorder="1" applyAlignment="1" applyProtection="1">
      <alignment horizontal="center" vertical="center"/>
      <protection hidden="1"/>
    </xf>
    <xf numFmtId="165" fontId="29" fillId="0" borderId="95" xfId="1" applyNumberFormat="1" applyFont="1" applyBorder="1" applyAlignment="1" applyProtection="1">
      <alignment horizontal="center" vertical="center"/>
      <protection hidden="1"/>
    </xf>
    <xf numFmtId="49" fontId="31" fillId="0" borderId="89" xfId="1" applyNumberFormat="1" applyFont="1" applyBorder="1" applyAlignment="1" applyProtection="1">
      <alignment horizontal="center" vertical="center"/>
      <protection hidden="1"/>
    </xf>
    <xf numFmtId="164" fontId="29" fillId="0" borderId="70" xfId="1" applyNumberFormat="1" applyFont="1" applyBorder="1" applyAlignment="1" applyProtection="1">
      <alignment horizontal="center" vertical="center"/>
      <protection hidden="1"/>
    </xf>
    <xf numFmtId="164" fontId="29" fillId="0" borderId="71" xfId="1" applyNumberFormat="1" applyFont="1" applyBorder="1" applyAlignment="1" applyProtection="1">
      <alignment horizontal="center" vertical="center"/>
      <protection hidden="1"/>
    </xf>
    <xf numFmtId="164" fontId="29" fillId="5" borderId="66" xfId="1" applyNumberFormat="1" applyFont="1" applyFill="1" applyBorder="1" applyAlignment="1" applyProtection="1">
      <alignment horizontal="center" vertical="center"/>
      <protection hidden="1"/>
    </xf>
    <xf numFmtId="164" fontId="29" fillId="5" borderId="67" xfId="1" applyNumberFormat="1" applyFont="1" applyFill="1" applyBorder="1" applyAlignment="1" applyProtection="1">
      <alignment horizontal="center" vertical="center"/>
      <protection hidden="1"/>
    </xf>
    <xf numFmtId="164" fontId="29" fillId="5" borderId="68" xfId="1" applyNumberFormat="1" applyFont="1" applyFill="1" applyBorder="1" applyAlignment="1" applyProtection="1">
      <alignment horizontal="center" vertical="center"/>
      <protection hidden="1"/>
    </xf>
    <xf numFmtId="164" fontId="29" fillId="5" borderId="69" xfId="1" applyNumberFormat="1" applyFont="1" applyFill="1" applyBorder="1" applyAlignment="1" applyProtection="1">
      <alignment horizontal="center" vertical="center"/>
      <protection hidden="1"/>
    </xf>
    <xf numFmtId="1" fontId="28" fillId="3" borderId="64" xfId="1" applyNumberFormat="1" applyFont="1" applyFill="1" applyBorder="1" applyAlignment="1" applyProtection="1">
      <alignment horizontal="center" vertical="center"/>
    </xf>
    <xf numFmtId="0" fontId="27" fillId="3" borderId="65" xfId="1" applyFont="1" applyFill="1" applyBorder="1" applyAlignment="1" applyProtection="1">
      <alignment horizontal="center" vertical="center"/>
    </xf>
    <xf numFmtId="49" fontId="31" fillId="0" borderId="78" xfId="1" applyNumberFormat="1" applyFont="1" applyBorder="1" applyAlignment="1" applyProtection="1">
      <alignment horizontal="center" vertical="center"/>
      <protection hidden="1"/>
    </xf>
    <xf numFmtId="49" fontId="25" fillId="5" borderId="74" xfId="1" applyNumberFormat="1" applyFont="1" applyFill="1" applyBorder="1" applyAlignment="1" applyProtection="1">
      <alignment horizontal="center" vertical="center"/>
      <protection hidden="1"/>
    </xf>
    <xf numFmtId="0" fontId="25" fillId="5" borderId="50" xfId="1" applyFont="1" applyFill="1" applyBorder="1" applyAlignment="1" applyProtection="1">
      <alignment horizontal="center" vertical="center"/>
      <protection hidden="1"/>
    </xf>
    <xf numFmtId="0" fontId="25" fillId="5" borderId="37" xfId="1" applyFont="1" applyFill="1" applyBorder="1" applyAlignment="1" applyProtection="1">
      <alignment horizontal="center" vertical="center"/>
      <protection hidden="1"/>
    </xf>
    <xf numFmtId="0" fontId="25" fillId="5" borderId="50" xfId="1" applyFont="1" applyFill="1" applyBorder="1" applyAlignment="1" applyProtection="1">
      <alignment horizontal="center"/>
      <protection hidden="1"/>
    </xf>
    <xf numFmtId="0" fontId="25" fillId="5" borderId="51" xfId="1" applyFont="1" applyFill="1" applyBorder="1" applyAlignment="1" applyProtection="1">
      <alignment horizontal="center" vertical="center"/>
      <protection hidden="1"/>
    </xf>
    <xf numFmtId="0" fontId="25" fillId="5" borderId="52" xfId="1" applyFont="1" applyFill="1" applyBorder="1" applyAlignment="1" applyProtection="1">
      <alignment horizontal="center" vertical="center"/>
      <protection hidden="1"/>
    </xf>
    <xf numFmtId="0" fontId="25" fillId="5" borderId="51" xfId="1" applyFont="1" applyFill="1" applyBorder="1" applyAlignment="1" applyProtection="1">
      <alignment horizontal="center" vertical="center" wrapText="1"/>
      <protection hidden="1"/>
    </xf>
    <xf numFmtId="0" fontId="25" fillId="5" borderId="52" xfId="1" applyFont="1" applyFill="1" applyBorder="1" applyAlignment="1" applyProtection="1">
      <alignment horizontal="center" vertical="center" wrapText="1"/>
      <protection hidden="1"/>
    </xf>
    <xf numFmtId="0" fontId="25" fillId="5" borderId="63" xfId="1" applyFont="1" applyFill="1" applyBorder="1" applyAlignment="1" applyProtection="1">
      <alignment horizontal="center" vertical="center" wrapText="1"/>
      <protection hidden="1"/>
    </xf>
    <xf numFmtId="0" fontId="25" fillId="5" borderId="1" xfId="1" applyFont="1" applyFill="1" applyBorder="1" applyAlignment="1" applyProtection="1">
      <alignment horizontal="center" vertical="center"/>
      <protection hidden="1"/>
    </xf>
    <xf numFmtId="0" fontId="25" fillId="5" borderId="2" xfId="1" applyFont="1" applyFill="1" applyBorder="1" applyAlignment="1" applyProtection="1">
      <alignment horizontal="center" vertical="center"/>
      <protection hidden="1"/>
    </xf>
    <xf numFmtId="0" fontId="25" fillId="5" borderId="3" xfId="1" applyFont="1" applyFill="1" applyBorder="1" applyAlignment="1" applyProtection="1">
      <alignment horizontal="center" vertical="center"/>
      <protection hidden="1"/>
    </xf>
    <xf numFmtId="164" fontId="29" fillId="0" borderId="58" xfId="1" applyNumberFormat="1" applyFont="1" applyBorder="1" applyAlignment="1" applyProtection="1">
      <alignment horizontal="center" vertical="center"/>
      <protection hidden="1"/>
    </xf>
    <xf numFmtId="164" fontId="29" fillId="0" borderId="75" xfId="1" applyNumberFormat="1" applyFont="1" applyBorder="1" applyAlignment="1" applyProtection="1">
      <alignment horizontal="center" vertical="center"/>
      <protection hidden="1"/>
    </xf>
    <xf numFmtId="49" fontId="31" fillId="0" borderId="93" xfId="1" applyNumberFormat="1" applyFont="1" applyBorder="1" applyAlignment="1" applyProtection="1">
      <alignment horizontal="center" vertical="center"/>
      <protection hidden="1"/>
    </xf>
    <xf numFmtId="164" fontId="29" fillId="0" borderId="64" xfId="1" applyNumberFormat="1" applyFont="1" applyBorder="1" applyAlignment="1" applyProtection="1">
      <alignment horizontal="center" vertical="center"/>
      <protection hidden="1"/>
    </xf>
    <xf numFmtId="164" fontId="29" fillId="0" borderId="65" xfId="1" applyNumberFormat="1" applyFont="1" applyBorder="1" applyAlignment="1" applyProtection="1">
      <alignment horizontal="center" vertical="center"/>
      <protection hidden="1"/>
    </xf>
    <xf numFmtId="0" fontId="27" fillId="5" borderId="66" xfId="1" applyFont="1" applyFill="1" applyBorder="1" applyAlignment="1" applyProtection="1">
      <alignment horizontal="center" vertical="center"/>
      <protection hidden="1"/>
    </xf>
    <xf numFmtId="0" fontId="27" fillId="5" borderId="38" xfId="1" applyFont="1" applyFill="1" applyBorder="1" applyAlignment="1" applyProtection="1">
      <alignment horizontal="center" vertical="center"/>
      <protection hidden="1"/>
    </xf>
    <xf numFmtId="0" fontId="27" fillId="5" borderId="67" xfId="1" applyFont="1" applyFill="1" applyBorder="1" applyAlignment="1" applyProtection="1">
      <alignment horizontal="center" vertical="center"/>
      <protection hidden="1"/>
    </xf>
    <xf numFmtId="0" fontId="27" fillId="5" borderId="68" xfId="1" applyFont="1" applyFill="1" applyBorder="1" applyAlignment="1" applyProtection="1">
      <alignment horizontal="center" vertical="center"/>
      <protection hidden="1"/>
    </xf>
    <xf numFmtId="0" fontId="27" fillId="5" borderId="41" xfId="1" applyFont="1" applyFill="1" applyBorder="1" applyAlignment="1" applyProtection="1">
      <alignment horizontal="center" vertical="center"/>
      <protection hidden="1"/>
    </xf>
    <xf numFmtId="0" fontId="27" fillId="5" borderId="69" xfId="1" applyFont="1" applyFill="1" applyBorder="1" applyAlignment="1" applyProtection="1">
      <alignment horizontal="center" vertical="center"/>
      <protection hidden="1"/>
    </xf>
    <xf numFmtId="2" fontId="29" fillId="3" borderId="97" xfId="1" applyNumberFormat="1" applyFont="1" applyFill="1" applyBorder="1" applyAlignment="1" applyProtection="1">
      <alignment horizontal="center" vertical="center"/>
      <protection hidden="1"/>
    </xf>
    <xf numFmtId="2" fontId="29" fillId="3" borderId="84" xfId="1" applyNumberFormat="1" applyFont="1" applyFill="1" applyBorder="1" applyAlignment="1" applyProtection="1">
      <alignment horizontal="center" vertical="center"/>
      <protection hidden="1"/>
    </xf>
    <xf numFmtId="2" fontId="29" fillId="3" borderId="85" xfId="1" applyNumberFormat="1" applyFont="1" applyFill="1" applyBorder="1" applyAlignment="1" applyProtection="1">
      <alignment horizontal="center" vertical="center"/>
      <protection hidden="1"/>
    </xf>
    <xf numFmtId="49" fontId="31" fillId="0" borderId="42" xfId="1" applyNumberFormat="1" applyFont="1" applyBorder="1" applyAlignment="1" applyProtection="1">
      <alignment horizontal="center" vertical="center"/>
      <protection hidden="1"/>
    </xf>
    <xf numFmtId="49" fontId="31" fillId="3" borderId="94" xfId="1" applyNumberFormat="1" applyFont="1" applyFill="1" applyBorder="1" applyAlignment="1" applyProtection="1">
      <alignment horizontal="center" vertical="center"/>
      <protection hidden="1"/>
    </xf>
    <xf numFmtId="49" fontId="31" fillId="3" borderId="79" xfId="1" applyNumberFormat="1" applyFont="1" applyFill="1" applyBorder="1" applyAlignment="1" applyProtection="1">
      <alignment horizontal="center" vertical="center"/>
      <protection hidden="1"/>
    </xf>
    <xf numFmtId="49" fontId="31" fillId="3" borderId="80" xfId="1" applyNumberFormat="1" applyFont="1" applyFill="1" applyBorder="1" applyAlignment="1" applyProtection="1">
      <alignment horizontal="center" vertical="center"/>
      <protection hidden="1"/>
    </xf>
    <xf numFmtId="0" fontId="25" fillId="5" borderId="38" xfId="1" applyFont="1" applyFill="1" applyBorder="1" applyAlignment="1" applyProtection="1">
      <alignment horizontal="center" vertical="center"/>
      <protection hidden="1"/>
    </xf>
    <xf numFmtId="0" fontId="25" fillId="5" borderId="39" xfId="1" applyFont="1" applyFill="1" applyBorder="1" applyAlignment="1" applyProtection="1">
      <alignment horizontal="center" vertical="center"/>
      <protection hidden="1"/>
    </xf>
    <xf numFmtId="165" fontId="29" fillId="0" borderId="96" xfId="1" applyNumberFormat="1" applyFont="1" applyBorder="1" applyAlignment="1" applyProtection="1">
      <alignment horizontal="center" vertical="center"/>
      <protection hidden="1"/>
    </xf>
    <xf numFmtId="0" fontId="27" fillId="0" borderId="38" xfId="1" applyFont="1" applyFill="1" applyBorder="1" applyAlignment="1" applyProtection="1">
      <alignment horizontal="center" vertical="center" shrinkToFit="1"/>
      <protection hidden="1"/>
    </xf>
    <xf numFmtId="0" fontId="25" fillId="5" borderId="74" xfId="1" applyFont="1" applyFill="1" applyBorder="1" applyAlignment="1" applyProtection="1">
      <alignment horizontal="center" vertical="center" wrapText="1"/>
      <protection hidden="1"/>
    </xf>
    <xf numFmtId="0" fontId="25" fillId="5" borderId="58" xfId="1" applyFont="1" applyFill="1" applyBorder="1" applyAlignment="1" applyProtection="1">
      <alignment horizontal="center" vertical="center" wrapText="1"/>
      <protection hidden="1"/>
    </xf>
    <xf numFmtId="0" fontId="25" fillId="5" borderId="75" xfId="1" applyFont="1" applyFill="1" applyBorder="1" applyAlignment="1" applyProtection="1">
      <alignment horizontal="center" vertical="center" wrapText="1"/>
      <protection hidden="1"/>
    </xf>
    <xf numFmtId="0" fontId="25" fillId="5" borderId="66" xfId="1" applyFont="1" applyFill="1" applyBorder="1" applyAlignment="1" applyProtection="1">
      <alignment horizontal="center" vertical="center"/>
      <protection hidden="1"/>
    </xf>
    <xf numFmtId="0" fontId="25" fillId="5" borderId="67" xfId="1" applyFont="1" applyFill="1" applyBorder="1" applyAlignment="1" applyProtection="1">
      <alignment horizontal="center"/>
      <protection hidden="1"/>
    </xf>
    <xf numFmtId="0" fontId="25" fillId="5" borderId="76" xfId="1" applyFont="1" applyFill="1" applyBorder="1" applyAlignment="1" applyProtection="1">
      <alignment horizontal="center"/>
      <protection hidden="1"/>
    </xf>
    <xf numFmtId="0" fontId="25" fillId="5" borderId="77" xfId="1" applyFont="1" applyFill="1" applyBorder="1" applyAlignment="1" applyProtection="1">
      <alignment horizontal="center"/>
      <protection hidden="1"/>
    </xf>
    <xf numFmtId="0" fontId="18" fillId="3" borderId="78" xfId="0" applyFont="1" applyFill="1" applyBorder="1" applyAlignment="1">
      <alignment horizontal="center" vertical="center"/>
    </xf>
    <xf numFmtId="0" fontId="18" fillId="3" borderId="79" xfId="0" applyFont="1" applyFill="1" applyBorder="1" applyAlignment="1">
      <alignment horizontal="center" vertical="center"/>
    </xf>
    <xf numFmtId="0" fontId="18" fillId="3" borderId="81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center" vertical="center"/>
    </xf>
    <xf numFmtId="0" fontId="18" fillId="3" borderId="84" xfId="0" applyFont="1" applyFill="1" applyBorder="1" applyAlignment="1">
      <alignment horizontal="center" vertical="center"/>
    </xf>
    <xf numFmtId="0" fontId="22" fillId="3" borderId="79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84" xfId="0" applyFont="1" applyFill="1" applyBorder="1" applyAlignment="1">
      <alignment horizontal="center" vertical="center"/>
    </xf>
    <xf numFmtId="0" fontId="7" fillId="3" borderId="80" xfId="0" applyFont="1" applyFill="1" applyBorder="1" applyAlignment="1">
      <alignment horizontal="center" vertical="center"/>
    </xf>
    <xf numFmtId="0" fontId="7" fillId="3" borderId="82" xfId="0" applyFont="1" applyFill="1" applyBorder="1" applyAlignment="1">
      <alignment horizontal="center" vertical="center"/>
    </xf>
    <xf numFmtId="0" fontId="7" fillId="3" borderId="85" xfId="0" applyFont="1" applyFill="1" applyBorder="1" applyAlignment="1">
      <alignment horizontal="center"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84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23" fillId="3" borderId="81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83" xfId="0" applyFont="1" applyFill="1" applyBorder="1" applyAlignment="1">
      <alignment horizontal="center" vertical="center"/>
    </xf>
    <xf numFmtId="0" fontId="23" fillId="3" borderId="84" xfId="0" applyFont="1" applyFill="1" applyBorder="1" applyAlignment="1">
      <alignment horizontal="center" vertical="center"/>
    </xf>
    <xf numFmtId="0" fontId="23" fillId="3" borderId="82" xfId="0" applyFont="1" applyFill="1" applyBorder="1" applyAlignment="1">
      <alignment horizontal="center" vertical="center"/>
    </xf>
    <xf numFmtId="0" fontId="23" fillId="3" borderId="85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23" fillId="3" borderId="78" xfId="0" applyFont="1" applyFill="1" applyBorder="1" applyAlignment="1">
      <alignment horizontal="center" vertical="center"/>
    </xf>
    <xf numFmtId="0" fontId="1" fillId="3" borderId="79" xfId="0" applyFont="1" applyFill="1" applyBorder="1" applyAlignment="1">
      <alignment horizontal="center" vertical="center"/>
    </xf>
    <xf numFmtId="0" fontId="1" fillId="3" borderId="80" xfId="0" applyFont="1" applyFill="1" applyBorder="1" applyAlignment="1">
      <alignment horizontal="center" vertical="center"/>
    </xf>
    <xf numFmtId="0" fontId="1" fillId="3" borderId="83" xfId="0" applyFont="1" applyFill="1" applyBorder="1" applyAlignment="1">
      <alignment horizontal="center" vertical="center"/>
    </xf>
    <xf numFmtId="0" fontId="1" fillId="3" borderId="84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22" fillId="3" borderId="78" xfId="0" applyFont="1" applyFill="1" applyBorder="1" applyAlignment="1">
      <alignment horizontal="center" vertical="center"/>
    </xf>
    <xf numFmtId="0" fontId="22" fillId="3" borderId="83" xfId="0" applyFont="1" applyFill="1" applyBorder="1" applyAlignment="1">
      <alignment horizontal="center" vertical="center"/>
    </xf>
    <xf numFmtId="0" fontId="22" fillId="3" borderId="80" xfId="0" applyFont="1" applyFill="1" applyBorder="1" applyAlignment="1">
      <alignment horizontal="center" vertical="center"/>
    </xf>
    <xf numFmtId="0" fontId="22" fillId="3" borderId="85" xfId="0" applyFont="1" applyFill="1" applyBorder="1" applyAlignment="1">
      <alignment horizontal="center" vertical="center"/>
    </xf>
    <xf numFmtId="0" fontId="23" fillId="3" borderId="79" xfId="0" applyFont="1" applyFill="1" applyBorder="1" applyAlignment="1">
      <alignment horizontal="center" vertical="center"/>
    </xf>
    <xf numFmtId="0" fontId="23" fillId="3" borderId="80" xfId="0" applyFont="1" applyFill="1" applyBorder="1" applyAlignment="1">
      <alignment horizontal="center" vertical="center"/>
    </xf>
    <xf numFmtId="0" fontId="22" fillId="3" borderId="82" xfId="0" applyFont="1" applyFill="1" applyBorder="1" applyAlignment="1">
      <alignment horizontal="left" vertical="center"/>
    </xf>
    <xf numFmtId="0" fontId="22" fillId="3" borderId="85" xfId="0" applyFont="1" applyFill="1" applyBorder="1" applyAlignment="1">
      <alignment horizontal="left" vertical="center"/>
    </xf>
    <xf numFmtId="0" fontId="24" fillId="5" borderId="78" xfId="0" applyFont="1" applyFill="1" applyBorder="1" applyAlignment="1">
      <alignment horizontal="center" vertical="center"/>
    </xf>
    <xf numFmtId="0" fontId="24" fillId="5" borderId="79" xfId="0" applyFont="1" applyFill="1" applyBorder="1" applyAlignment="1">
      <alignment horizontal="center" vertical="center"/>
    </xf>
    <xf numFmtId="0" fontId="24" fillId="5" borderId="80" xfId="0" applyFont="1" applyFill="1" applyBorder="1" applyAlignment="1">
      <alignment horizontal="center" vertical="center"/>
    </xf>
    <xf numFmtId="0" fontId="24" fillId="5" borderId="81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4" fillId="5" borderId="8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84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16" fillId="3" borderId="8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4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84" xfId="0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0" borderId="84" xfId="0" applyFont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4" fillId="3" borderId="8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7" fillId="5" borderId="78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5" borderId="80" xfId="0" applyFont="1" applyFill="1" applyBorder="1" applyAlignment="1">
      <alignment horizontal="center"/>
    </xf>
    <xf numFmtId="0" fontId="7" fillId="5" borderId="8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82" xfId="0" applyFont="1" applyFill="1" applyBorder="1" applyAlignment="1">
      <alignment horizontal="center"/>
    </xf>
    <xf numFmtId="0" fontId="24" fillId="0" borderId="82" xfId="0" applyFont="1" applyBorder="1" applyAlignment="1">
      <alignment horizontal="center" vertical="center"/>
    </xf>
    <xf numFmtId="0" fontId="24" fillId="0" borderId="85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0" borderId="84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0" fontId="6" fillId="0" borderId="81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83" xfId="0" applyFont="1" applyBorder="1" applyAlignment="1">
      <alignment horizontal="right" vertical="center"/>
    </xf>
    <xf numFmtId="0" fontId="6" fillId="0" borderId="84" xfId="0" applyFont="1" applyBorder="1" applyAlignment="1">
      <alignment horizontal="right" vertical="center"/>
    </xf>
    <xf numFmtId="0" fontId="5" fillId="5" borderId="78" xfId="0" applyFont="1" applyFill="1" applyBorder="1" applyAlignment="1">
      <alignment horizontal="center"/>
    </xf>
    <xf numFmtId="0" fontId="5" fillId="5" borderId="79" xfId="0" applyFont="1" applyFill="1" applyBorder="1" applyAlignment="1">
      <alignment horizontal="center"/>
    </xf>
    <xf numFmtId="0" fontId="5" fillId="5" borderId="80" xfId="0" applyFont="1" applyFill="1" applyBorder="1" applyAlignment="1">
      <alignment horizontal="center"/>
    </xf>
    <xf numFmtId="0" fontId="5" fillId="5" borderId="8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8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/>
    </xf>
    <xf numFmtId="0" fontId="6" fillId="3" borderId="84" xfId="0" applyFont="1" applyFill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84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2" fillId="0" borderId="84" xfId="0" applyFont="1" applyBorder="1" applyAlignment="1">
      <alignment horizontal="left" vertical="center"/>
    </xf>
    <xf numFmtId="0" fontId="12" fillId="3" borderId="0" xfId="0" applyFont="1" applyFill="1" applyBorder="1" applyAlignment="1">
      <alignment horizontal="right" vertical="center"/>
    </xf>
    <xf numFmtId="0" fontId="12" fillId="3" borderId="84" xfId="0" applyFont="1" applyFill="1" applyBorder="1" applyAlignment="1">
      <alignment horizontal="right" vertical="center"/>
    </xf>
    <xf numFmtId="0" fontId="12" fillId="3" borderId="82" xfId="0" applyFont="1" applyFill="1" applyBorder="1" applyAlignment="1">
      <alignment horizontal="left" vertical="center"/>
    </xf>
    <xf numFmtId="0" fontId="12" fillId="3" borderId="85" xfId="0" applyFont="1" applyFill="1" applyBorder="1" applyAlignment="1">
      <alignment horizontal="left" vertical="center"/>
    </xf>
    <xf numFmtId="0" fontId="5" fillId="2" borderId="80" xfId="0" applyFont="1" applyFill="1" applyBorder="1" applyAlignment="1">
      <alignment horizontal="left" vertical="center"/>
    </xf>
    <xf numFmtId="0" fontId="15" fillId="2" borderId="85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7" fillId="2" borderId="82" xfId="0" applyFont="1" applyFill="1" applyBorder="1" applyAlignment="1">
      <alignment horizontal="left"/>
    </xf>
    <xf numFmtId="0" fontId="23" fillId="2" borderId="78" xfId="0" applyFont="1" applyFill="1" applyBorder="1" applyAlignment="1">
      <alignment horizontal="center" vertical="center"/>
    </xf>
    <xf numFmtId="0" fontId="23" fillId="2" borderId="79" xfId="0" applyFont="1" applyFill="1" applyBorder="1" applyAlignment="1">
      <alignment horizontal="center" vertical="center"/>
    </xf>
    <xf numFmtId="0" fontId="23" fillId="2" borderId="83" xfId="0" applyFont="1" applyFill="1" applyBorder="1" applyAlignment="1">
      <alignment horizontal="center" vertical="center"/>
    </xf>
    <xf numFmtId="0" fontId="23" fillId="2" borderId="84" xfId="0" applyFont="1" applyFill="1" applyBorder="1" applyAlignment="1">
      <alignment horizontal="center" vertical="center"/>
    </xf>
    <xf numFmtId="0" fontId="23" fillId="2" borderId="79" xfId="0" applyFont="1" applyFill="1" applyBorder="1" applyAlignment="1">
      <alignment horizontal="right" vertical="center"/>
    </xf>
    <xf numFmtId="0" fontId="23" fillId="2" borderId="84" xfId="0" applyFont="1" applyFill="1" applyBorder="1" applyAlignment="1">
      <alignment horizontal="right" vertical="center"/>
    </xf>
    <xf numFmtId="0" fontId="0" fillId="2" borderId="79" xfId="0" quotePrefix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2" borderId="85" xfId="0" applyFill="1" applyBorder="1" applyAlignment="1">
      <alignment horizontal="center" vertical="center"/>
    </xf>
    <xf numFmtId="2" fontId="28" fillId="3" borderId="70" xfId="1" applyNumberFormat="1" applyFont="1" applyFill="1" applyBorder="1" applyAlignment="1" applyProtection="1">
      <alignment horizontal="center" vertical="center"/>
      <protection hidden="1"/>
    </xf>
    <xf numFmtId="2" fontId="28" fillId="3" borderId="71" xfId="1" applyNumberFormat="1" applyFont="1" applyFill="1" applyBorder="1" applyAlignment="1" applyProtection="1">
      <alignment horizontal="center" vertical="center"/>
      <protection hidden="1"/>
    </xf>
    <xf numFmtId="2" fontId="27" fillId="3" borderId="65" xfId="1" applyNumberFormat="1" applyFont="1" applyFill="1" applyBorder="1" applyAlignment="1" applyProtection="1">
      <alignment horizontal="center" vertical="center"/>
      <protection locked="0"/>
    </xf>
    <xf numFmtId="0" fontId="27" fillId="3" borderId="68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69" xfId="1" applyNumberFormat="1" applyFont="1" applyFill="1" applyBorder="1" applyAlignment="1" applyProtection="1">
      <alignment horizontal="center" vertical="center" wrapText="1"/>
      <protection locked="0"/>
    </xf>
    <xf numFmtId="2" fontId="27" fillId="3" borderId="63" xfId="1" applyNumberFormat="1" applyFont="1" applyFill="1" applyBorder="1" applyAlignment="1" applyProtection="1">
      <alignment horizontal="center" vertical="center"/>
      <protection locked="0"/>
    </xf>
    <xf numFmtId="2" fontId="27" fillId="3" borderId="71" xfId="1" applyNumberFormat="1" applyFont="1" applyFill="1" applyBorder="1" applyAlignment="1" applyProtection="1">
      <alignment horizontal="center" vertical="center"/>
      <protection hidden="1"/>
    </xf>
    <xf numFmtId="2" fontId="27" fillId="3" borderId="74" xfId="1" applyNumberFormat="1" applyFont="1" applyFill="1" applyBorder="1" applyAlignment="1" applyProtection="1">
      <alignment horizontal="center" vertical="center"/>
      <protection hidden="1"/>
    </xf>
    <xf numFmtId="2" fontId="27" fillId="3" borderId="75" xfId="1" applyNumberFormat="1" applyFont="1" applyFill="1" applyBorder="1" applyAlignment="1" applyProtection="1">
      <alignment horizontal="center" vertical="center"/>
      <protection hidden="1"/>
    </xf>
    <xf numFmtId="2" fontId="27" fillId="3" borderId="51" xfId="1" applyNumberFormat="1" applyFont="1" applyFill="1" applyBorder="1" applyAlignment="1" applyProtection="1">
      <alignment horizontal="center" vertical="center"/>
      <protection hidden="1"/>
    </xf>
    <xf numFmtId="2" fontId="27" fillId="3" borderId="63" xfId="1" applyNumberFormat="1" applyFont="1" applyFill="1" applyBorder="1" applyAlignment="1" applyProtection="1">
      <alignment horizontal="center" vertical="center"/>
      <protection hidden="1"/>
    </xf>
    <xf numFmtId="1" fontId="28" fillId="3" borderId="65" xfId="1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>
      <alignment horizontal="right"/>
    </xf>
    <xf numFmtId="0" fontId="23" fillId="3" borderId="0" xfId="0" applyFont="1" applyFill="1" applyBorder="1" applyAlignment="1">
      <alignment horizontal="right" vertical="center"/>
    </xf>
    <xf numFmtId="0" fontId="23" fillId="3" borderId="0" xfId="0" applyFont="1" applyFill="1" applyBorder="1" applyAlignment="1">
      <alignment horizontal="left" vertical="center"/>
    </xf>
    <xf numFmtId="2" fontId="28" fillId="3" borderId="63" xfId="1" applyNumberFormat="1" applyFont="1" applyFill="1" applyBorder="1" applyAlignment="1" applyProtection="1">
      <alignment horizontal="center" vertical="center"/>
      <protection locked="0"/>
    </xf>
    <xf numFmtId="2" fontId="27" fillId="2" borderId="71" xfId="1" applyNumberFormat="1" applyFont="1" applyFill="1" applyBorder="1" applyAlignment="1" applyProtection="1">
      <alignment horizontal="center" vertical="center"/>
      <protection hidden="1"/>
    </xf>
    <xf numFmtId="2" fontId="27" fillId="2" borderId="74" xfId="1" applyNumberFormat="1" applyFont="1" applyFill="1" applyBorder="1" applyAlignment="1" applyProtection="1">
      <alignment horizontal="center" vertical="center"/>
      <protection hidden="1"/>
    </xf>
    <xf numFmtId="2" fontId="27" fillId="2" borderId="75" xfId="1" applyNumberFormat="1" applyFont="1" applyFill="1" applyBorder="1" applyAlignment="1" applyProtection="1">
      <alignment horizontal="center" vertical="center"/>
      <protection hidden="1"/>
    </xf>
    <xf numFmtId="0" fontId="27" fillId="3" borderId="74" xfId="1" applyNumberFormat="1" applyFont="1" applyFill="1" applyBorder="1" applyAlignment="1" applyProtection="1">
      <alignment horizontal="center" vertical="center" wrapText="1"/>
    </xf>
    <xf numFmtId="0" fontId="27" fillId="3" borderId="75" xfId="1" applyNumberFormat="1" applyFont="1" applyFill="1" applyBorder="1" applyAlignment="1" applyProtection="1">
      <alignment horizontal="center" vertical="center" wrapText="1"/>
    </xf>
    <xf numFmtId="1" fontId="28" fillId="3" borderId="65" xfId="1" applyNumberFormat="1" applyFont="1" applyFill="1" applyBorder="1" applyAlignment="1" applyProtection="1">
      <alignment horizontal="center" vertical="center"/>
    </xf>
    <xf numFmtId="2" fontId="28" fillId="3" borderId="51" xfId="1" applyNumberFormat="1" applyFont="1" applyFill="1" applyBorder="1" applyAlignment="1" applyProtection="1">
      <alignment horizontal="center" vertical="center"/>
      <protection hidden="1"/>
    </xf>
    <xf numFmtId="2" fontId="28" fillId="3" borderId="63" xfId="1" applyNumberFormat="1" applyFont="1" applyFill="1" applyBorder="1" applyAlignment="1" applyProtection="1">
      <alignment horizontal="center" vertical="center"/>
      <protection hidden="1"/>
    </xf>
    <xf numFmtId="0" fontId="27" fillId="3" borderId="65" xfId="1" applyFont="1" applyFill="1" applyBorder="1" applyAlignment="1" applyProtection="1">
      <alignment horizontal="center" vertical="center"/>
      <protection locked="0"/>
    </xf>
    <xf numFmtId="0" fontId="27" fillId="3" borderId="63" xfId="1" applyFont="1" applyFill="1" applyBorder="1" applyAlignment="1" applyProtection="1">
      <alignment horizontal="center" vertical="center"/>
      <protection locked="0"/>
    </xf>
    <xf numFmtId="2" fontId="28" fillId="2" borderId="63" xfId="1" applyNumberFormat="1" applyFont="1" applyFill="1" applyBorder="1" applyAlignment="1" applyProtection="1">
      <alignment horizontal="center" vertical="center"/>
      <protection locked="0"/>
    </xf>
    <xf numFmtId="2" fontId="28" fillId="2" borderId="70" xfId="1" applyNumberFormat="1" applyFont="1" applyFill="1" applyBorder="1" applyAlignment="1" applyProtection="1">
      <alignment horizontal="center" vertical="center"/>
      <protection hidden="1"/>
    </xf>
    <xf numFmtId="2" fontId="28" fillId="2" borderId="71" xfId="1" applyNumberFormat="1" applyFont="1" applyFill="1" applyBorder="1" applyAlignment="1" applyProtection="1">
      <alignment horizontal="center" vertical="center"/>
      <protection hidden="1"/>
    </xf>
    <xf numFmtId="2" fontId="27" fillId="2" borderId="65" xfId="1" applyNumberFormat="1" applyFont="1" applyFill="1" applyBorder="1" applyAlignment="1" applyProtection="1">
      <alignment horizontal="center" vertical="center"/>
      <protection locked="0"/>
    </xf>
    <xf numFmtId="0" fontId="27" fillId="2" borderId="68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69" xfId="1" applyNumberFormat="1" applyFont="1" applyFill="1" applyBorder="1" applyAlignment="1" applyProtection="1">
      <alignment horizontal="center" vertical="center" wrapText="1"/>
      <protection locked="0"/>
    </xf>
    <xf numFmtId="2" fontId="27" fillId="2" borderId="63" xfId="1" applyNumberFormat="1" applyFont="1" applyFill="1" applyBorder="1" applyAlignment="1" applyProtection="1">
      <alignment horizontal="center" vertical="center"/>
      <protection locked="0"/>
    </xf>
    <xf numFmtId="0" fontId="27" fillId="2" borderId="65" xfId="1" applyFont="1" applyFill="1" applyBorder="1" applyAlignment="1" applyProtection="1">
      <alignment horizontal="center" vertical="center"/>
      <protection locked="0"/>
    </xf>
    <xf numFmtId="0" fontId="27" fillId="2" borderId="63" xfId="1" applyFont="1" applyFill="1" applyBorder="1" applyAlignment="1" applyProtection="1">
      <alignment horizontal="center" vertical="center"/>
      <protection locked="0"/>
    </xf>
    <xf numFmtId="2" fontId="27" fillId="2" borderId="51" xfId="1" applyNumberFormat="1" applyFont="1" applyFill="1" applyBorder="1" applyAlignment="1" applyProtection="1">
      <alignment horizontal="center" vertical="center"/>
      <protection hidden="1"/>
    </xf>
    <xf numFmtId="2" fontId="27" fillId="2" borderId="63" xfId="1" applyNumberFormat="1" applyFont="1" applyFill="1" applyBorder="1" applyAlignment="1" applyProtection="1">
      <alignment horizontal="center" vertical="center"/>
      <protection hidden="1"/>
    </xf>
    <xf numFmtId="1" fontId="28" fillId="2" borderId="65" xfId="1" applyNumberFormat="1" applyFont="1" applyFill="1" applyBorder="1" applyAlignment="1" applyProtection="1">
      <alignment horizontal="center" vertical="center"/>
      <protection locked="0"/>
    </xf>
    <xf numFmtId="0" fontId="27" fillId="2" borderId="74" xfId="1" applyNumberFormat="1" applyFont="1" applyFill="1" applyBorder="1" applyAlignment="1" applyProtection="1">
      <alignment horizontal="center" vertical="center" wrapText="1"/>
    </xf>
    <xf numFmtId="0" fontId="27" fillId="2" borderId="75" xfId="1" applyNumberFormat="1" applyFont="1" applyFill="1" applyBorder="1" applyAlignment="1" applyProtection="1">
      <alignment horizontal="center" vertical="center" wrapText="1"/>
    </xf>
    <xf numFmtId="1" fontId="28" fillId="2" borderId="65" xfId="1" applyNumberFormat="1" applyFont="1" applyFill="1" applyBorder="1" applyAlignment="1" applyProtection="1">
      <alignment horizontal="center" vertical="center"/>
    </xf>
    <xf numFmtId="2" fontId="28" fillId="2" borderId="51" xfId="1" applyNumberFormat="1" applyFont="1" applyFill="1" applyBorder="1" applyAlignment="1" applyProtection="1">
      <alignment horizontal="center" vertical="center"/>
      <protection hidden="1"/>
    </xf>
    <xf numFmtId="2" fontId="28" fillId="2" borderId="63" xfId="1" applyNumberFormat="1" applyFont="1" applyFill="1" applyBorder="1" applyAlignment="1" applyProtection="1">
      <alignment horizontal="center" vertical="center"/>
      <protection hidden="1"/>
    </xf>
    <xf numFmtId="0" fontId="25" fillId="5" borderId="64" xfId="1" applyFont="1" applyFill="1" applyBorder="1" applyAlignment="1" applyProtection="1">
      <alignment horizontal="center" vertical="center"/>
      <protection hidden="1"/>
    </xf>
    <xf numFmtId="0" fontId="25" fillId="5" borderId="98" xfId="1" applyFont="1" applyFill="1" applyBorder="1" applyAlignment="1" applyProtection="1">
      <alignment horizontal="center" vertical="center"/>
      <protection hidden="1"/>
    </xf>
    <xf numFmtId="0" fontId="25" fillId="5" borderId="65" xfId="1" applyFont="1" applyFill="1" applyBorder="1" applyAlignment="1" applyProtection="1">
      <alignment horizontal="center" vertical="center"/>
      <protection hidden="1"/>
    </xf>
    <xf numFmtId="0" fontId="25" fillId="5" borderId="63" xfId="1" applyFont="1" applyFill="1" applyBorder="1" applyAlignment="1" applyProtection="1">
      <alignment horizontal="center" vertical="center"/>
      <protection hidden="1"/>
    </xf>
    <xf numFmtId="0" fontId="25" fillId="5" borderId="67" xfId="1" applyFont="1" applyFill="1" applyBorder="1" applyAlignment="1" applyProtection="1">
      <alignment horizontal="center" vertical="center"/>
      <protection hidden="1"/>
    </xf>
    <xf numFmtId="0" fontId="25" fillId="5" borderId="76" xfId="1" applyFont="1" applyFill="1" applyBorder="1" applyAlignment="1" applyProtection="1">
      <alignment horizontal="center" vertical="center"/>
      <protection hidden="1"/>
    </xf>
    <xf numFmtId="0" fontId="25" fillId="5" borderId="77" xfId="1" applyFont="1" applyFill="1" applyBorder="1" applyAlignment="1" applyProtection="1">
      <alignment horizontal="center" vertical="center"/>
      <protection hidden="1"/>
    </xf>
    <xf numFmtId="0" fontId="25" fillId="5" borderId="68" xfId="1" applyFont="1" applyFill="1" applyBorder="1" applyAlignment="1" applyProtection="1">
      <alignment horizontal="center" vertical="center"/>
      <protection hidden="1"/>
    </xf>
    <xf numFmtId="0" fontId="25" fillId="5" borderId="69" xfId="1" applyFont="1" applyFill="1" applyBorder="1" applyAlignment="1" applyProtection="1">
      <alignment horizontal="center" vertical="center"/>
      <protection hidden="1"/>
    </xf>
    <xf numFmtId="0" fontId="36" fillId="2" borderId="78" xfId="0" applyFont="1" applyFill="1" applyBorder="1" applyAlignment="1">
      <alignment horizontal="left" vertical="center"/>
    </xf>
    <xf numFmtId="0" fontId="36" fillId="2" borderId="79" xfId="0" applyFont="1" applyFill="1" applyBorder="1" applyAlignment="1">
      <alignment horizontal="left" vertical="center"/>
    </xf>
    <xf numFmtId="0" fontId="36" fillId="2" borderId="81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/>
    </xf>
    <xf numFmtId="49" fontId="25" fillId="5" borderId="58" xfId="1" applyNumberFormat="1" applyFont="1" applyFill="1" applyBorder="1" applyAlignment="1" applyProtection="1">
      <alignment horizontal="center" vertical="center"/>
      <protection hidden="1"/>
    </xf>
    <xf numFmtId="49" fontId="25" fillId="5" borderId="75" xfId="1" applyNumberFormat="1" applyFont="1" applyFill="1" applyBorder="1" applyAlignment="1" applyProtection="1">
      <alignment horizontal="center" vertical="center"/>
      <protection hidden="1"/>
    </xf>
    <xf numFmtId="164" fontId="29" fillId="0" borderId="74" xfId="1" applyNumberFormat="1" applyFont="1" applyBorder="1" applyAlignment="1" applyProtection="1">
      <alignment horizontal="center" vertical="center"/>
      <protection hidden="1"/>
    </xf>
    <xf numFmtId="2" fontId="28" fillId="0" borderId="59" xfId="1" applyNumberFormat="1" applyFont="1" applyFill="1" applyBorder="1" applyAlignment="1" applyProtection="1">
      <alignment horizontal="center" vertical="center"/>
      <protection hidden="1"/>
    </xf>
    <xf numFmtId="2" fontId="28" fillId="0" borderId="57" xfId="1" applyNumberFormat="1" applyFont="1" applyFill="1" applyBorder="1" applyAlignment="1" applyProtection="1">
      <alignment horizontal="center" vertical="center"/>
      <protection hidden="1"/>
    </xf>
    <xf numFmtId="2" fontId="27" fillId="0" borderId="64" xfId="1" applyNumberFormat="1" applyFont="1" applyFill="1" applyBorder="1" applyAlignment="1" applyProtection="1">
      <alignment horizontal="center" vertical="center"/>
      <protection locked="0"/>
    </xf>
    <xf numFmtId="0" fontId="27" fillId="0" borderId="65" xfId="1" applyFont="1" applyFill="1" applyBorder="1" applyAlignment="1">
      <alignment horizontal="center" vertical="center"/>
    </xf>
    <xf numFmtId="0" fontId="27" fillId="0" borderId="66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67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68" xfId="1" applyFont="1" applyFill="1" applyBorder="1" applyAlignment="1">
      <alignment horizontal="center" vertical="center"/>
    </xf>
    <xf numFmtId="0" fontId="27" fillId="0" borderId="69" xfId="1" applyFont="1" applyFill="1" applyBorder="1" applyAlignment="1">
      <alignment horizontal="center" vertical="center"/>
    </xf>
    <xf numFmtId="2" fontId="27" fillId="0" borderId="51" xfId="1" applyNumberFormat="1" applyFont="1" applyFill="1" applyBorder="1" applyAlignment="1" applyProtection="1">
      <alignment horizontal="center" vertical="center"/>
      <protection locked="0"/>
    </xf>
    <xf numFmtId="0" fontId="27" fillId="0" borderId="63" xfId="1" applyFont="1" applyFill="1" applyBorder="1" applyAlignment="1">
      <alignment horizontal="center" vertical="center"/>
    </xf>
    <xf numFmtId="2" fontId="27" fillId="0" borderId="59" xfId="1" applyNumberFormat="1" applyFont="1" applyFill="1" applyBorder="1" applyAlignment="1" applyProtection="1">
      <alignment horizontal="center" vertical="center"/>
      <protection hidden="1"/>
    </xf>
    <xf numFmtId="2" fontId="27" fillId="0" borderId="57" xfId="1" applyNumberFormat="1" applyFont="1" applyFill="1" applyBorder="1" applyAlignment="1" applyProtection="1">
      <alignment horizontal="center" vertical="center"/>
      <protection hidden="1"/>
    </xf>
    <xf numFmtId="2" fontId="27" fillId="0" borderId="61" xfId="1" applyNumberFormat="1" applyFont="1" applyFill="1" applyBorder="1" applyAlignment="1" applyProtection="1">
      <alignment horizontal="center" vertical="center"/>
      <protection hidden="1"/>
    </xf>
    <xf numFmtId="2" fontId="27" fillId="0" borderId="62" xfId="1" applyNumberFormat="1" applyFont="1" applyFill="1" applyBorder="1" applyAlignment="1" applyProtection="1">
      <alignment horizontal="center" vertical="center"/>
      <protection hidden="1"/>
    </xf>
    <xf numFmtId="2" fontId="27" fillId="0" borderId="54" xfId="1" applyNumberFormat="1" applyFont="1" applyFill="1" applyBorder="1" applyAlignment="1" applyProtection="1">
      <alignment horizontal="center" vertical="center"/>
      <protection hidden="1"/>
    </xf>
    <xf numFmtId="2" fontId="27" fillId="0" borderId="56" xfId="1" applyNumberFormat="1" applyFont="1" applyFill="1" applyBorder="1" applyAlignment="1" applyProtection="1">
      <alignment horizontal="center" vertical="center"/>
      <protection hidden="1"/>
    </xf>
    <xf numFmtId="2" fontId="27" fillId="0" borderId="70" xfId="1" applyNumberFormat="1" applyFont="1" applyFill="1" applyBorder="1" applyAlignment="1" applyProtection="1">
      <alignment horizontal="center" vertical="center"/>
      <protection hidden="1"/>
    </xf>
    <xf numFmtId="0" fontId="27" fillId="0" borderId="71" xfId="1" applyFont="1" applyFill="1" applyBorder="1" applyAlignment="1">
      <alignment horizontal="center" vertical="center"/>
    </xf>
    <xf numFmtId="1" fontId="28" fillId="0" borderId="64" xfId="1" applyNumberFormat="1" applyFont="1" applyFill="1" applyBorder="1" applyAlignment="1" applyProtection="1">
      <alignment horizontal="center" vertical="center"/>
      <protection locked="0"/>
    </xf>
    <xf numFmtId="2" fontId="28" fillId="0" borderId="51" xfId="1" applyNumberFormat="1" applyFont="1" applyFill="1" applyBorder="1" applyAlignment="1" applyProtection="1">
      <alignment horizontal="center" vertical="center"/>
      <protection locked="0"/>
    </xf>
    <xf numFmtId="0" fontId="27" fillId="0" borderId="72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73" xfId="1" applyNumberFormat="1" applyFont="1" applyFill="1" applyBorder="1" applyAlignment="1" applyProtection="1">
      <alignment horizontal="center" vertical="center" wrapText="1"/>
      <protection locked="0"/>
    </xf>
    <xf numFmtId="2" fontId="27" fillId="0" borderId="51" xfId="1" applyNumberFormat="1" applyFont="1" applyFill="1" applyBorder="1" applyAlignment="1" applyProtection="1">
      <alignment horizontal="center" vertical="center" wrapText="1"/>
      <protection locked="0"/>
    </xf>
    <xf numFmtId="2" fontId="28" fillId="0" borderId="54" xfId="1" applyNumberFormat="1" applyFont="1" applyFill="1" applyBorder="1" applyAlignment="1" applyProtection="1">
      <alignment horizontal="center" vertical="center"/>
      <protection hidden="1"/>
    </xf>
    <xf numFmtId="2" fontId="28" fillId="0" borderId="56" xfId="1" applyNumberFormat="1" applyFont="1" applyFill="1" applyBorder="1" applyAlignment="1" applyProtection="1">
      <alignment horizontal="center" vertical="center"/>
      <protection hidden="1"/>
    </xf>
    <xf numFmtId="0" fontId="27" fillId="0" borderId="64" xfId="1" applyFont="1" applyFill="1" applyBorder="1" applyAlignment="1" applyProtection="1">
      <alignment horizontal="center" vertical="center"/>
      <protection locked="0"/>
    </xf>
    <xf numFmtId="0" fontId="27" fillId="0" borderId="51" xfId="1" applyFont="1" applyFill="1" applyBorder="1" applyAlignment="1" applyProtection="1">
      <alignment horizontal="center" vertical="center"/>
      <protection locked="0"/>
    </xf>
    <xf numFmtId="0" fontId="27" fillId="2" borderId="74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75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74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75" xfId="1" applyNumberFormat="1" applyFont="1" applyFill="1" applyBorder="1" applyAlignment="1" applyProtection="1">
      <alignment horizontal="center" vertical="center" wrapText="1"/>
      <protection locked="0"/>
    </xf>
    <xf numFmtId="166" fontId="0" fillId="2" borderId="0" xfId="0" applyNumberFormat="1" applyFill="1" applyBorder="1" applyAlignment="1">
      <alignment horizontal="center"/>
    </xf>
    <xf numFmtId="3" fontId="53" fillId="5" borderId="99" xfId="0" applyNumberFormat="1" applyFont="1" applyFill="1" applyBorder="1" applyAlignment="1">
      <alignment horizontal="center"/>
    </xf>
    <xf numFmtId="3" fontId="53" fillId="5" borderId="111" xfId="0" applyNumberFormat="1" applyFont="1" applyFill="1" applyBorder="1" applyAlignment="1">
      <alignment horizontal="center"/>
    </xf>
    <xf numFmtId="3" fontId="51" fillId="5" borderId="112" xfId="0" applyNumberFormat="1" applyFont="1" applyFill="1" applyBorder="1" applyAlignment="1">
      <alignment horizontal="center"/>
    </xf>
    <xf numFmtId="3" fontId="51" fillId="5" borderId="100" xfId="0" applyNumberFormat="1" applyFont="1" applyFill="1" applyBorder="1" applyAlignment="1">
      <alignment horizontal="center"/>
    </xf>
    <xf numFmtId="3" fontId="51" fillId="5" borderId="101" xfId="0" applyNumberFormat="1" applyFont="1" applyFill="1" applyBorder="1" applyAlignment="1">
      <alignment horizontal="center"/>
    </xf>
    <xf numFmtId="0" fontId="45" fillId="0" borderId="8" xfId="0" applyFont="1" applyBorder="1" applyAlignment="1">
      <alignment horizontal="center"/>
    </xf>
    <xf numFmtId="0" fontId="45" fillId="0" borderId="103" xfId="0" applyFont="1" applyBorder="1" applyAlignment="1">
      <alignment horizontal="center"/>
    </xf>
    <xf numFmtId="0" fontId="45" fillId="3" borderId="107" xfId="0" applyFont="1" applyFill="1" applyBorder="1" applyAlignment="1">
      <alignment horizontal="center"/>
    </xf>
    <xf numFmtId="0" fontId="45" fillId="3" borderId="108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22" fillId="0" borderId="78" xfId="0" applyFont="1" applyBorder="1" applyAlignment="1">
      <alignment horizontal="center" vertical="center" wrapText="1"/>
    </xf>
    <xf numFmtId="0" fontId="45" fillId="0" borderId="81" xfId="0" applyFont="1" applyBorder="1" applyAlignment="1">
      <alignment horizontal="center" vertical="center" wrapText="1"/>
    </xf>
    <xf numFmtId="0" fontId="45" fillId="0" borderId="83" xfId="0" applyFont="1" applyBorder="1" applyAlignment="1">
      <alignment horizontal="center" vertical="center" wrapText="1"/>
    </xf>
    <xf numFmtId="0" fontId="22" fillId="3" borderId="78" xfId="0" applyFont="1" applyFill="1" applyBorder="1" applyAlignment="1">
      <alignment horizontal="center" vertical="center" wrapText="1"/>
    </xf>
    <xf numFmtId="0" fontId="45" fillId="3" borderId="81" xfId="0" applyFont="1" applyFill="1" applyBorder="1" applyAlignment="1">
      <alignment horizontal="center" vertical="center" wrapText="1"/>
    </xf>
    <xf numFmtId="0" fontId="45" fillId="3" borderId="8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2" fillId="5" borderId="117" xfId="0" applyFont="1" applyFill="1" applyBorder="1" applyAlignment="1">
      <alignment horizontal="center" vertical="center" wrapText="1"/>
    </xf>
    <xf numFmtId="0" fontId="2" fillId="5" borderId="10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09" xfId="0" applyFont="1" applyFill="1" applyBorder="1" applyAlignment="1">
      <alignment horizontal="center" vertical="center"/>
    </xf>
    <xf numFmtId="2" fontId="0" fillId="0" borderId="107" xfId="0" applyNumberFormat="1" applyFont="1" applyBorder="1" applyAlignment="1">
      <alignment horizontal="center"/>
    </xf>
    <xf numFmtId="2" fontId="0" fillId="0" borderId="108" xfId="0" applyNumberFormat="1" applyFont="1" applyBorder="1" applyAlignment="1">
      <alignment horizontal="center"/>
    </xf>
    <xf numFmtId="0" fontId="45" fillId="3" borderId="81" xfId="0" applyFont="1" applyFill="1" applyBorder="1" applyAlignment="1">
      <alignment horizontal="right"/>
    </xf>
    <xf numFmtId="0" fontId="45" fillId="3" borderId="36" xfId="0" applyFont="1" applyFill="1" applyBorder="1" applyAlignment="1">
      <alignment horizontal="right"/>
    </xf>
    <xf numFmtId="0" fontId="45" fillId="0" borderId="81" xfId="0" applyFont="1" applyBorder="1" applyAlignment="1">
      <alignment horizontal="right" wrapText="1"/>
    </xf>
    <xf numFmtId="0" fontId="45" fillId="0" borderId="36" xfId="0" applyFont="1" applyBorder="1" applyAlignment="1">
      <alignment horizontal="right" wrapText="1"/>
    </xf>
    <xf numFmtId="0" fontId="45" fillId="3" borderId="83" xfId="0" applyFont="1" applyFill="1" applyBorder="1" applyAlignment="1">
      <alignment horizontal="right" wrapText="1"/>
    </xf>
    <xf numFmtId="0" fontId="45" fillId="3" borderId="86" xfId="0" applyFont="1" applyFill="1" applyBorder="1" applyAlignment="1">
      <alignment horizontal="right" wrapText="1"/>
    </xf>
    <xf numFmtId="2" fontId="0" fillId="2" borderId="0" xfId="0" applyNumberFormat="1" applyFill="1" applyAlignment="1">
      <alignment horizontal="center"/>
    </xf>
    <xf numFmtId="0" fontId="22" fillId="2" borderId="114" xfId="0" applyFont="1" applyFill="1" applyBorder="1" applyAlignment="1">
      <alignment horizontal="center" vertical="center" wrapText="1"/>
    </xf>
    <xf numFmtId="0" fontId="45" fillId="2" borderId="116" xfId="0" applyFont="1" applyFill="1" applyBorder="1" applyAlignment="1">
      <alignment horizontal="center" vertical="center" wrapText="1"/>
    </xf>
    <xf numFmtId="0" fontId="45" fillId="2" borderId="118" xfId="0" applyFont="1" applyFill="1" applyBorder="1" applyAlignment="1">
      <alignment horizontal="center" vertical="center" wrapText="1"/>
    </xf>
    <xf numFmtId="0" fontId="0" fillId="3" borderId="78" xfId="0" applyFont="1" applyFill="1" applyBorder="1" applyAlignment="1">
      <alignment horizontal="right"/>
    </xf>
    <xf numFmtId="0" fontId="0" fillId="3" borderId="93" xfId="0" applyFont="1" applyFill="1" applyBorder="1" applyAlignment="1">
      <alignment horizontal="right"/>
    </xf>
    <xf numFmtId="0" fontId="0" fillId="0" borderId="81" xfId="0" applyFont="1" applyBorder="1" applyAlignment="1">
      <alignment horizontal="right"/>
    </xf>
    <xf numFmtId="0" fontId="0" fillId="0" borderId="36" xfId="0" applyFont="1" applyBorder="1" applyAlignment="1">
      <alignment horizontal="right"/>
    </xf>
    <xf numFmtId="0" fontId="9" fillId="0" borderId="114" xfId="0" applyFont="1" applyBorder="1" applyAlignment="1">
      <alignment horizontal="center" vertical="center" wrapText="1"/>
    </xf>
    <xf numFmtId="0" fontId="9" fillId="0" borderId="116" xfId="0" applyFont="1" applyBorder="1" applyAlignment="1">
      <alignment horizontal="center" vertical="center" wrapText="1"/>
    </xf>
    <xf numFmtId="0" fontId="9" fillId="0" borderId="1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115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105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9" fillId="0" borderId="83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83" xfId="0" applyFont="1" applyBorder="1" applyAlignment="1">
      <alignment horizontal="center" vertical="top" wrapText="1"/>
    </xf>
    <xf numFmtId="0" fontId="9" fillId="0" borderId="86" xfId="0" applyFont="1" applyBorder="1" applyAlignment="1">
      <alignment horizontal="center" vertical="top" wrapText="1"/>
    </xf>
    <xf numFmtId="3" fontId="41" fillId="6" borderId="99" xfId="0" applyNumberFormat="1" applyFont="1" applyFill="1" applyBorder="1" applyAlignment="1">
      <alignment horizontal="center"/>
    </xf>
    <xf numFmtId="3" fontId="41" fillId="6" borderId="111" xfId="0" applyNumberFormat="1" applyFont="1" applyFill="1" applyBorder="1" applyAlignment="1">
      <alignment horizontal="center"/>
    </xf>
    <xf numFmtId="3" fontId="4" fillId="6" borderId="112" xfId="0" applyNumberFormat="1" applyFont="1" applyFill="1" applyBorder="1" applyAlignment="1">
      <alignment horizontal="center"/>
    </xf>
    <xf numFmtId="3" fontId="4" fillId="6" borderId="100" xfId="0" applyNumberFormat="1" applyFont="1" applyFill="1" applyBorder="1" applyAlignment="1">
      <alignment horizontal="center"/>
    </xf>
    <xf numFmtId="3" fontId="4" fillId="6" borderId="10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13" xfId="0" applyFont="1" applyBorder="1" applyAlignment="1">
      <alignment horizontal="center"/>
    </xf>
    <xf numFmtId="0" fontId="9" fillId="0" borderId="115" xfId="0" applyFont="1" applyBorder="1" applyAlignment="1">
      <alignment horizontal="center"/>
    </xf>
    <xf numFmtId="0" fontId="9" fillId="0" borderId="104" xfId="0" applyFont="1" applyBorder="1" applyAlignment="1">
      <alignment horizontal="center"/>
    </xf>
    <xf numFmtId="0" fontId="9" fillId="0" borderId="105" xfId="0" applyFont="1" applyBorder="1" applyAlignment="1">
      <alignment horizontal="center"/>
    </xf>
    <xf numFmtId="3" fontId="4" fillId="6" borderId="112" xfId="0" applyNumberFormat="1" applyFont="1" applyFill="1" applyBorder="1" applyAlignment="1">
      <alignment horizontal="center" vertical="center"/>
    </xf>
    <xf numFmtId="3" fontId="4" fillId="6" borderId="100" xfId="0" applyNumberFormat="1" applyFont="1" applyFill="1" applyBorder="1" applyAlignment="1">
      <alignment horizontal="center" vertical="center"/>
    </xf>
    <xf numFmtId="3" fontId="4" fillId="6" borderId="101" xfId="0" applyNumberFormat="1" applyFont="1" applyFill="1" applyBorder="1" applyAlignment="1">
      <alignment horizontal="center" vertical="center"/>
    </xf>
    <xf numFmtId="0" fontId="9" fillId="0" borderId="78" xfId="0" applyFont="1" applyBorder="1" applyAlignment="1">
      <alignment horizontal="center"/>
    </xf>
    <xf numFmtId="0" fontId="9" fillId="0" borderId="93" xfId="0" applyFon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36" xfId="0" applyBorder="1" applyAlignment="1">
      <alignment horizontal="center"/>
    </xf>
    <xf numFmtId="0" fontId="9" fillId="0" borderId="81" xfId="0" applyFont="1" applyBorder="1" applyAlignment="1">
      <alignment horizontal="center" vertical="top"/>
    </xf>
    <xf numFmtId="0" fontId="9" fillId="0" borderId="36" xfId="0" applyFont="1" applyBorder="1" applyAlignment="1">
      <alignment horizontal="center" vertical="top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2" fillId="6" borderId="1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2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09" xfId="0" applyFont="1" applyFill="1" applyBorder="1" applyAlignment="1">
      <alignment horizontal="center" vertical="center" wrapText="1"/>
    </xf>
    <xf numFmtId="0" fontId="2" fillId="6" borderId="103" xfId="0" applyFont="1" applyFill="1" applyBorder="1" applyAlignment="1">
      <alignment horizontal="center" vertical="center" wrapText="1"/>
    </xf>
    <xf numFmtId="0" fontId="0" fillId="0" borderId="10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3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top" wrapText="1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0" fontId="9" fillId="0" borderId="9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8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3" fontId="41" fillId="6" borderId="100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B97B6151-99DB-49A6-8D36-4AC03250C52F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Centro</a:t>
            </a:r>
            <a:r>
              <a:rPr lang="en-US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de Cargas</a:t>
            </a:r>
            <a:endParaRPr lang="en-US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BalançoCargas!$P$10</c:f>
              <c:strCache>
                <c:ptCount val="1"/>
                <c:pt idx="0">
                  <c:v>Eixo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BalançoCargas!$O$11:$O$35</c:f>
              <c:numCache>
                <c:formatCode>General</c:formatCode>
                <c:ptCount val="25"/>
                <c:pt idx="0">
                  <c:v>71.66</c:v>
                </c:pt>
                <c:pt idx="1">
                  <c:v>71.66</c:v>
                </c:pt>
                <c:pt idx="2">
                  <c:v>126.81</c:v>
                </c:pt>
                <c:pt idx="3">
                  <c:v>126.81</c:v>
                </c:pt>
                <c:pt idx="4">
                  <c:v>126.81</c:v>
                </c:pt>
                <c:pt idx="5">
                  <c:v>126.81</c:v>
                </c:pt>
                <c:pt idx="6">
                  <c:v>83.97</c:v>
                </c:pt>
                <c:pt idx="7">
                  <c:v>73.05</c:v>
                </c:pt>
                <c:pt idx="8">
                  <c:v>62.16</c:v>
                </c:pt>
                <c:pt idx="9">
                  <c:v>51.23</c:v>
                </c:pt>
                <c:pt idx="10">
                  <c:v>40.35</c:v>
                </c:pt>
                <c:pt idx="11">
                  <c:v>29.45</c:v>
                </c:pt>
                <c:pt idx="12">
                  <c:v>18.55</c:v>
                </c:pt>
                <c:pt idx="13">
                  <c:v>7.74</c:v>
                </c:pt>
                <c:pt idx="14">
                  <c:v>83.97</c:v>
                </c:pt>
                <c:pt idx="15">
                  <c:v>73.05</c:v>
                </c:pt>
                <c:pt idx="16">
                  <c:v>62.16</c:v>
                </c:pt>
                <c:pt idx="17">
                  <c:v>51.23</c:v>
                </c:pt>
                <c:pt idx="18">
                  <c:v>40.35</c:v>
                </c:pt>
                <c:pt idx="19">
                  <c:v>29.45</c:v>
                </c:pt>
                <c:pt idx="20">
                  <c:v>18.55</c:v>
                </c:pt>
                <c:pt idx="21">
                  <c:v>7.74</c:v>
                </c:pt>
                <c:pt idx="23">
                  <c:v>90.841103459420907</c:v>
                </c:pt>
              </c:numCache>
            </c:numRef>
          </c:xVal>
          <c:yVal>
            <c:numRef>
              <c:f>BalançoCargas!$P$11:$P$35</c:f>
              <c:numCache>
                <c:formatCode>General</c:formatCode>
                <c:ptCount val="25"/>
                <c:pt idx="0">
                  <c:v>54.49</c:v>
                </c:pt>
                <c:pt idx="1">
                  <c:v>19.489999999999998</c:v>
                </c:pt>
                <c:pt idx="2">
                  <c:v>19.489999999999998</c:v>
                </c:pt>
                <c:pt idx="3">
                  <c:v>54.49</c:v>
                </c:pt>
                <c:pt idx="4">
                  <c:v>89.49</c:v>
                </c:pt>
                <c:pt idx="5">
                  <c:v>124.89</c:v>
                </c:pt>
                <c:pt idx="6">
                  <c:v>135.62</c:v>
                </c:pt>
                <c:pt idx="7">
                  <c:v>135.62</c:v>
                </c:pt>
                <c:pt idx="8">
                  <c:v>135.62</c:v>
                </c:pt>
                <c:pt idx="9">
                  <c:v>135.62</c:v>
                </c:pt>
                <c:pt idx="10">
                  <c:v>135.62</c:v>
                </c:pt>
                <c:pt idx="11">
                  <c:v>135.62</c:v>
                </c:pt>
                <c:pt idx="12">
                  <c:v>135.62</c:v>
                </c:pt>
                <c:pt idx="13">
                  <c:v>135.62</c:v>
                </c:pt>
                <c:pt idx="14">
                  <c:v>94.65</c:v>
                </c:pt>
                <c:pt idx="15">
                  <c:v>94.65</c:v>
                </c:pt>
                <c:pt idx="16">
                  <c:v>94.65</c:v>
                </c:pt>
                <c:pt idx="17">
                  <c:v>94.65</c:v>
                </c:pt>
                <c:pt idx="18">
                  <c:v>94.65</c:v>
                </c:pt>
                <c:pt idx="19">
                  <c:v>94.65</c:v>
                </c:pt>
                <c:pt idx="20">
                  <c:v>94.65</c:v>
                </c:pt>
                <c:pt idx="21">
                  <c:v>94.65</c:v>
                </c:pt>
                <c:pt idx="23">
                  <c:v>76.151984928469801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F-4A89-AB62-3AC63502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90175"/>
        <c:axId val="1676691423"/>
      </c:scatterChart>
      <c:valAx>
        <c:axId val="16766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691423"/>
        <c:crosses val="autoZero"/>
        <c:crossBetween val="midCat"/>
      </c:valAx>
      <c:valAx>
        <c:axId val="16766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69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536840</xdr:colOff>
      <xdr:row>6</xdr:row>
      <xdr:rowOff>71104</xdr:rowOff>
    </xdr:from>
    <xdr:to>
      <xdr:col>10</xdr:col>
      <xdr:colOff>425583</xdr:colOff>
      <xdr:row>35</xdr:row>
      <xdr:rowOff>119743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F1E747D-0ECE-41B5-9D6C-F0F2E5E2D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840" y="1050818"/>
          <a:ext cx="5984743" cy="5480611"/>
        </a:xfrm>
        <a:prstGeom prst="rect">
          <a:avLst/>
        </a:prstGeom>
      </xdr:spPr>
    </xdr:pic>
    <xdr:clientData/>
  </xdr:twoCellAnchor>
  <xdr:twoCellAnchor>
    <xdr:from>
      <xdr:col>20</xdr:col>
      <xdr:colOff>6926</xdr:colOff>
      <xdr:row>6</xdr:row>
      <xdr:rowOff>145473</xdr:rowOff>
    </xdr:from>
    <xdr:to>
      <xdr:col>27</xdr:col>
      <xdr:colOff>13854</xdr:colOff>
      <xdr:row>35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C82EC58-9312-4ED0-941A-F289AFF5A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231913</xdr:colOff>
      <xdr:row>21</xdr:row>
      <xdr:rowOff>79512</xdr:rowOff>
    </xdr:from>
    <xdr:to>
      <xdr:col>24</xdr:col>
      <xdr:colOff>411913</xdr:colOff>
      <xdr:row>22</xdr:row>
      <xdr:rowOff>73982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8E1BA59-1F67-4AF8-BB3F-90B332A8DBB3}"/>
            </a:ext>
          </a:extLst>
        </xdr:cNvPr>
        <xdr:cNvSpPr>
          <a:spLocks noChangeAspect="1"/>
        </xdr:cNvSpPr>
      </xdr:nvSpPr>
      <xdr:spPr>
        <a:xfrm>
          <a:off x="18533165" y="3869634"/>
          <a:ext cx="180000" cy="180000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21</xdr:col>
      <xdr:colOff>41031</xdr:colOff>
      <xdr:row>20</xdr:row>
      <xdr:rowOff>119269</xdr:rowOff>
    </xdr:from>
    <xdr:to>
      <xdr:col>23</xdr:col>
      <xdr:colOff>139149</xdr:colOff>
      <xdr:row>23</xdr:row>
      <xdr:rowOff>35169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2BE1E2C1-27AB-4672-99F0-D41062492565}"/>
            </a:ext>
          </a:extLst>
        </xdr:cNvPr>
        <xdr:cNvSpPr/>
      </xdr:nvSpPr>
      <xdr:spPr>
        <a:xfrm>
          <a:off x="16517816" y="3665500"/>
          <a:ext cx="1317318" cy="461023"/>
        </a:xfrm>
        <a:prstGeom prst="roundRect">
          <a:avLst>
            <a:gd name="adj" fmla="val 41086"/>
          </a:avLst>
        </a:prstGeom>
        <a:solidFill>
          <a:schemeClr val="bg1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solidFill>
                <a:schemeClr val="tx1">
                  <a:lumMod val="65000"/>
                  <a:lumOff val="35000"/>
                </a:schemeClr>
              </a:solidFill>
            </a:rPr>
            <a:t>Centro De Carga</a:t>
          </a:r>
        </a:p>
      </xdr:txBody>
    </xdr:sp>
    <xdr:clientData/>
  </xdr:twoCellAnchor>
  <xdr:twoCellAnchor>
    <xdr:from>
      <xdr:col>23</xdr:col>
      <xdr:colOff>139149</xdr:colOff>
      <xdr:row>21</xdr:row>
      <xdr:rowOff>167601</xdr:rowOff>
    </xdr:from>
    <xdr:to>
      <xdr:col>24</xdr:col>
      <xdr:colOff>231913</xdr:colOff>
      <xdr:row>21</xdr:row>
      <xdr:rowOff>168074</xdr:rowOff>
    </xdr:to>
    <xdr:cxnSp macro="">
      <xdr:nvCxnSpPr>
        <xdr:cNvPr id="21" name="Conexão reta unidirecional 20">
          <a:extLst>
            <a:ext uri="{FF2B5EF4-FFF2-40B4-BE49-F238E27FC236}">
              <a16:creationId xmlns:a16="http://schemas.microsoft.com/office/drawing/2014/main" id="{6E17EB83-D1BE-47BD-B713-D16C8D5318AD}"/>
            </a:ext>
          </a:extLst>
        </xdr:cNvPr>
        <xdr:cNvCxnSpPr>
          <a:stCxn id="19" idx="3"/>
          <a:endCxn id="16" idx="2"/>
        </xdr:cNvCxnSpPr>
      </xdr:nvCxnSpPr>
      <xdr:spPr>
        <a:xfrm flipV="1">
          <a:off x="17835134" y="3895539"/>
          <a:ext cx="702364" cy="473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7</xdr:row>
      <xdr:rowOff>155147</xdr:rowOff>
    </xdr:from>
    <xdr:to>
      <xdr:col>16</xdr:col>
      <xdr:colOff>173712</xdr:colOff>
      <xdr:row>39</xdr:row>
      <xdr:rowOff>59032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6F6056-73A8-4C83-B1F3-CB713E6AE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9859" y="1458167"/>
          <a:ext cx="4557453" cy="5756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596967</xdr:colOff>
      <xdr:row>7</xdr:row>
      <xdr:rowOff>26893</xdr:rowOff>
    </xdr:from>
    <xdr:to>
      <xdr:col>23</xdr:col>
      <xdr:colOff>436947</xdr:colOff>
      <xdr:row>37</xdr:row>
      <xdr:rowOff>115970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224852E-EB9E-47AF-84D5-A6B1C5E5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67" y="1329913"/>
          <a:ext cx="4107180" cy="557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7</xdr:row>
      <xdr:rowOff>155147</xdr:rowOff>
    </xdr:from>
    <xdr:to>
      <xdr:col>16</xdr:col>
      <xdr:colOff>173712</xdr:colOff>
      <xdr:row>49</xdr:row>
      <xdr:rowOff>20932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8D444B-0E27-440E-8953-1CCAC890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9859" y="1458167"/>
          <a:ext cx="4557453" cy="7546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596967</xdr:colOff>
      <xdr:row>7</xdr:row>
      <xdr:rowOff>26893</xdr:rowOff>
    </xdr:from>
    <xdr:to>
      <xdr:col>23</xdr:col>
      <xdr:colOff>436947</xdr:colOff>
      <xdr:row>47</xdr:row>
      <xdr:rowOff>77870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6008B9-A02C-47B9-8D6B-16A83CD4E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67" y="1329913"/>
          <a:ext cx="4107180" cy="7366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581892</xdr:colOff>
      <xdr:row>5</xdr:row>
      <xdr:rowOff>96981</xdr:rowOff>
    </xdr:from>
    <xdr:to>
      <xdr:col>39</xdr:col>
      <xdr:colOff>513930</xdr:colOff>
      <xdr:row>40</xdr:row>
      <xdr:rowOff>166580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6C64FE-CC55-4E45-8B4B-ED94B8A35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2474" y="872836"/>
          <a:ext cx="10295238" cy="6358039"/>
        </a:xfrm>
        <a:prstGeom prst="rect">
          <a:avLst/>
        </a:prstGeom>
      </xdr:spPr>
    </xdr:pic>
    <xdr:clientData/>
  </xdr:twoCellAnchor>
  <xdr:twoCellAnchor>
    <xdr:from>
      <xdr:col>1</xdr:col>
      <xdr:colOff>12421</xdr:colOff>
      <xdr:row>7</xdr:row>
      <xdr:rowOff>984</xdr:rowOff>
    </xdr:from>
    <xdr:to>
      <xdr:col>2</xdr:col>
      <xdr:colOff>608167</xdr:colOff>
      <xdr:row>13</xdr:row>
      <xdr:rowOff>984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6AE4D6-67A0-4770-BB22-4F3708772A5B}"/>
            </a:ext>
          </a:extLst>
        </xdr:cNvPr>
        <xdr:cNvSpPr/>
      </xdr:nvSpPr>
      <xdr:spPr>
        <a:xfrm>
          <a:off x="622021" y="1148747"/>
          <a:ext cx="1205346" cy="1085850"/>
        </a:xfrm>
        <a:prstGeom prst="roundRect">
          <a:avLst/>
        </a:prstGeom>
        <a:solidFill>
          <a:schemeClr val="bg1">
            <a:lumMod val="8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5255</xdr:colOff>
      <xdr:row>7</xdr:row>
      <xdr:rowOff>0</xdr:rowOff>
    </xdr:from>
    <xdr:to>
      <xdr:col>4</xdr:col>
      <xdr:colOff>73572</xdr:colOff>
      <xdr:row>12</xdr:row>
      <xdr:rowOff>183931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8AD7BA2-0116-40A8-80DE-FF4CB487AB07}"/>
            </a:ext>
          </a:extLst>
        </xdr:cNvPr>
        <xdr:cNvSpPr/>
      </xdr:nvSpPr>
      <xdr:spPr>
        <a:xfrm>
          <a:off x="2443655" y="1166648"/>
          <a:ext cx="68317" cy="1103586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15766</xdr:colOff>
      <xdr:row>7</xdr:row>
      <xdr:rowOff>47297</xdr:rowOff>
    </xdr:from>
    <xdr:to>
      <xdr:col>6</xdr:col>
      <xdr:colOff>488731</xdr:colOff>
      <xdr:row>12</xdr:row>
      <xdr:rowOff>141890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A12CE02-5A49-47BB-AD63-A042A7945C7F}"/>
            </a:ext>
          </a:extLst>
        </xdr:cNvPr>
        <xdr:cNvSpPr/>
      </xdr:nvSpPr>
      <xdr:spPr>
        <a:xfrm>
          <a:off x="3063766" y="1213945"/>
          <a:ext cx="1082565" cy="1014248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120869</xdr:colOff>
      <xdr:row>7</xdr:row>
      <xdr:rowOff>43026</xdr:rowOff>
    </xdr:from>
    <xdr:to>
      <xdr:col>7</xdr:col>
      <xdr:colOff>593834</xdr:colOff>
      <xdr:row>12</xdr:row>
      <xdr:rowOff>137619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F774038-E39F-4749-9D91-B3D7B26F29E8}"/>
            </a:ext>
          </a:extLst>
        </xdr:cNvPr>
        <xdr:cNvSpPr/>
      </xdr:nvSpPr>
      <xdr:spPr>
        <a:xfrm>
          <a:off x="3778469" y="1190789"/>
          <a:ext cx="1082565" cy="999468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536027</xdr:colOff>
      <xdr:row>7</xdr:row>
      <xdr:rowOff>0</xdr:rowOff>
    </xdr:from>
    <xdr:to>
      <xdr:col>8</xdr:col>
      <xdr:colOff>604344</xdr:colOff>
      <xdr:row>12</xdr:row>
      <xdr:rowOff>183931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6C297E8-B744-41F6-B142-55F20BA0B669}"/>
            </a:ext>
          </a:extLst>
        </xdr:cNvPr>
        <xdr:cNvSpPr/>
      </xdr:nvSpPr>
      <xdr:spPr>
        <a:xfrm>
          <a:off x="5412827" y="1166648"/>
          <a:ext cx="68317" cy="1103586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593834</xdr:colOff>
      <xdr:row>9</xdr:row>
      <xdr:rowOff>180810</xdr:rowOff>
    </xdr:from>
    <xdr:to>
      <xdr:col>8</xdr:col>
      <xdr:colOff>536027</xdr:colOff>
      <xdr:row>10</xdr:row>
      <xdr:rowOff>1478</xdr:rowOff>
    </xdr:to>
    <xdr:cxnSp macro="">
      <xdr:nvCxnSpPr>
        <xdr:cNvPr id="10" name="Conexão reta 9">
          <a:extLst>
            <a:ext uri="{FF2B5EF4-FFF2-40B4-BE49-F238E27FC236}">
              <a16:creationId xmlns:a16="http://schemas.microsoft.com/office/drawing/2014/main" id="{CC4667D3-D3A8-4C89-AFA0-ECE7DD58C50B}"/>
            </a:ext>
          </a:extLst>
        </xdr:cNvPr>
        <xdr:cNvCxnSpPr>
          <a:stCxn id="6" idx="6"/>
          <a:endCxn id="7" idx="1"/>
        </xdr:cNvCxnSpPr>
      </xdr:nvCxnSpPr>
      <xdr:spPr>
        <a:xfrm>
          <a:off x="4861034" y="1690523"/>
          <a:ext cx="551793" cy="1643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73572</xdr:colOff>
      <xdr:row>10</xdr:row>
      <xdr:rowOff>1478</xdr:rowOff>
    </xdr:from>
    <xdr:to>
      <xdr:col>5</xdr:col>
      <xdr:colOff>15766</xdr:colOff>
      <xdr:row>10</xdr:row>
      <xdr:rowOff>4106</xdr:rowOff>
    </xdr:to>
    <xdr:cxnSp macro="">
      <xdr:nvCxnSpPr>
        <xdr:cNvPr id="12" name="Conexão reta 11">
          <a:extLst>
            <a:ext uri="{FF2B5EF4-FFF2-40B4-BE49-F238E27FC236}">
              <a16:creationId xmlns:a16="http://schemas.microsoft.com/office/drawing/2014/main" id="{DD3CA1CA-5088-414B-8E86-7DC0E8C42CF9}"/>
            </a:ext>
          </a:extLst>
        </xdr:cNvPr>
        <xdr:cNvCxnSpPr>
          <a:stCxn id="5" idx="2"/>
          <a:endCxn id="4" idx="3"/>
        </xdr:cNvCxnSpPr>
      </xdr:nvCxnSpPr>
      <xdr:spPr>
        <a:xfrm flipH="1" flipV="1">
          <a:off x="2511972" y="1692166"/>
          <a:ext cx="551794" cy="262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608167</xdr:colOff>
      <xdr:row>10</xdr:row>
      <xdr:rowOff>984</xdr:rowOff>
    </xdr:from>
    <xdr:to>
      <xdr:col>4</xdr:col>
      <xdr:colOff>5255</xdr:colOff>
      <xdr:row>10</xdr:row>
      <xdr:rowOff>1478</xdr:rowOff>
    </xdr:to>
    <xdr:cxnSp macro="">
      <xdr:nvCxnSpPr>
        <xdr:cNvPr id="14" name="Conexão reta 13">
          <a:extLst>
            <a:ext uri="{FF2B5EF4-FFF2-40B4-BE49-F238E27FC236}">
              <a16:creationId xmlns:a16="http://schemas.microsoft.com/office/drawing/2014/main" id="{A0815CFA-0F97-48F2-B9ED-3DCFF57E767C}"/>
            </a:ext>
          </a:extLst>
        </xdr:cNvPr>
        <xdr:cNvCxnSpPr>
          <a:stCxn id="4" idx="1"/>
          <a:endCxn id="3" idx="3"/>
        </xdr:cNvCxnSpPr>
      </xdr:nvCxnSpPr>
      <xdr:spPr>
        <a:xfrm flipH="1" flipV="1">
          <a:off x="1827367" y="1691672"/>
          <a:ext cx="616288" cy="49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604344</xdr:colOff>
      <xdr:row>10</xdr:row>
      <xdr:rowOff>1313</xdr:rowOff>
    </xdr:from>
    <xdr:to>
      <xdr:col>9</xdr:col>
      <xdr:colOff>550314</xdr:colOff>
      <xdr:row>10</xdr:row>
      <xdr:rowOff>1478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CE1AD8A7-0255-4976-BBF1-E89FA78098B8}"/>
            </a:ext>
          </a:extLst>
        </xdr:cNvPr>
        <xdr:cNvCxnSpPr>
          <a:cxnSpLocks/>
          <a:stCxn id="7" idx="3"/>
        </xdr:cNvCxnSpPr>
      </xdr:nvCxnSpPr>
      <xdr:spPr>
        <a:xfrm flipV="1">
          <a:off x="5481144" y="1692001"/>
          <a:ext cx="555570" cy="16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68991</xdr:colOff>
      <xdr:row>38</xdr:row>
      <xdr:rowOff>389</xdr:rowOff>
    </xdr:from>
    <xdr:to>
      <xdr:col>3</xdr:col>
      <xdr:colOff>236519</xdr:colOff>
      <xdr:row>41</xdr:row>
      <xdr:rowOff>17855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A1CE5EFC-07E2-4B10-985B-961FB9E7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591" y="6838511"/>
          <a:ext cx="1631893" cy="580683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17929</xdr:colOff>
      <xdr:row>53</xdr:row>
      <xdr:rowOff>17929</xdr:rowOff>
    </xdr:from>
    <xdr:to>
      <xdr:col>4</xdr:col>
      <xdr:colOff>99732</xdr:colOff>
      <xdr:row>56</xdr:row>
      <xdr:rowOff>118782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8A321B6-1D6A-4928-816A-28E5C6E3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29" y="9215717"/>
          <a:ext cx="2152650" cy="64770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</xdr:colOff>
      <xdr:row>7</xdr:row>
      <xdr:rowOff>21772</xdr:rowOff>
    </xdr:from>
    <xdr:to>
      <xdr:col>16</xdr:col>
      <xdr:colOff>301138</xdr:colOff>
      <xdr:row>38</xdr:row>
      <xdr:rowOff>138586</xdr:rowOff>
    </xdr:to>
    <xdr:pic>
      <xdr:nvPicPr>
        <xdr:cNvPr id="14" name="Imagem 1">
          <a:extLst>
            <a:ext uri="{FF2B5EF4-FFF2-40B4-BE49-F238E27FC236}">
              <a16:creationId xmlns:a16="http://schemas.microsoft.com/office/drawing/2014/main" id="{657F712E-252A-4D03-BD3E-7C9D766B7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0628" y="1186543"/>
          <a:ext cx="4557453" cy="5875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387422</xdr:colOff>
      <xdr:row>6</xdr:row>
      <xdr:rowOff>149332</xdr:rowOff>
    </xdr:from>
    <xdr:to>
      <xdr:col>24</xdr:col>
      <xdr:colOff>509944</xdr:colOff>
      <xdr:row>39</xdr:row>
      <xdr:rowOff>97972</xdr:rowOff>
    </xdr:to>
    <xdr:pic>
      <xdr:nvPicPr>
        <xdr:cNvPr id="15" name="Imagem 2">
          <a:extLst>
            <a:ext uri="{FF2B5EF4-FFF2-40B4-BE49-F238E27FC236}">
              <a16:creationId xmlns:a16="http://schemas.microsoft.com/office/drawing/2014/main" id="{A4ECFB98-AC1E-41DC-930D-848902FD5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3965" y="1118161"/>
          <a:ext cx="4389722" cy="6088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128254</xdr:rowOff>
    </xdr:from>
    <xdr:to>
      <xdr:col>15</xdr:col>
      <xdr:colOff>290253</xdr:colOff>
      <xdr:row>38</xdr:row>
      <xdr:rowOff>50191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36410B-94A1-4CE7-9C1A-3313706FB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1423654"/>
          <a:ext cx="4557453" cy="5766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103908</xdr:colOff>
      <xdr:row>7</xdr:row>
      <xdr:rowOff>0</xdr:rowOff>
    </xdr:from>
    <xdr:to>
      <xdr:col>22</xdr:col>
      <xdr:colOff>553488</xdr:colOff>
      <xdr:row>36</xdr:row>
      <xdr:rowOff>105988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CA713A-8B7A-4B6E-B186-8D34C53F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808" y="1295400"/>
          <a:ext cx="4107180" cy="5584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217715</xdr:colOff>
      <xdr:row>7</xdr:row>
      <xdr:rowOff>204454</xdr:rowOff>
    </xdr:from>
    <xdr:to>
      <xdr:col>15</xdr:col>
      <xdr:colOff>507968</xdr:colOff>
      <xdr:row>40</xdr:row>
      <xdr:rowOff>5285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83F14D-EE52-4060-8148-91B85A223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1029" y="1401883"/>
          <a:ext cx="4557453" cy="5894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321623</xdr:colOff>
      <xdr:row>7</xdr:row>
      <xdr:rowOff>76200</xdr:rowOff>
    </xdr:from>
    <xdr:to>
      <xdr:col>23</xdr:col>
      <xdr:colOff>161603</xdr:colOff>
      <xdr:row>38</xdr:row>
      <xdr:rowOff>78400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EEFFCE-7F14-4ECD-AFE8-F226F280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1737" y="1273629"/>
          <a:ext cx="4107180" cy="5708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128254</xdr:rowOff>
    </xdr:from>
    <xdr:to>
      <xdr:col>16</xdr:col>
      <xdr:colOff>290253</xdr:colOff>
      <xdr:row>38</xdr:row>
      <xdr:rowOff>117385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A5EAE3-8189-4A76-BA22-D53307FAE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4772"/>
          <a:ext cx="4557453" cy="573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103908</xdr:colOff>
      <xdr:row>7</xdr:row>
      <xdr:rowOff>0</xdr:rowOff>
    </xdr:from>
    <xdr:to>
      <xdr:col>23</xdr:col>
      <xdr:colOff>553488</xdr:colOff>
      <xdr:row>36</xdr:row>
      <xdr:rowOff>167640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59EB0C-29B6-45D6-B8FA-CDEF2C73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108" y="376518"/>
          <a:ext cx="4107180" cy="5555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128254</xdr:rowOff>
    </xdr:from>
    <xdr:to>
      <xdr:col>16</xdr:col>
      <xdr:colOff>290253</xdr:colOff>
      <xdr:row>35</xdr:row>
      <xdr:rowOff>119463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457253-37A3-4C9E-8241-69BE70DC1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9855" y="1416727"/>
          <a:ext cx="4557453" cy="5726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103908</xdr:colOff>
      <xdr:row>7</xdr:row>
      <xdr:rowOff>0</xdr:rowOff>
    </xdr:from>
    <xdr:to>
      <xdr:col>23</xdr:col>
      <xdr:colOff>553488</xdr:colOff>
      <xdr:row>33</xdr:row>
      <xdr:rowOff>175261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BA8E05-022D-4906-8183-F919A5FCB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0563" y="1288473"/>
          <a:ext cx="4107180" cy="5550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7</xdr:row>
      <xdr:rowOff>155147</xdr:rowOff>
    </xdr:from>
    <xdr:to>
      <xdr:col>16</xdr:col>
      <xdr:colOff>173712</xdr:colOff>
      <xdr:row>28</xdr:row>
      <xdr:rowOff>127612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829018-62F1-4F3E-BCD3-79734B10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9859" y="1437100"/>
          <a:ext cx="4557453" cy="5726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596967</xdr:colOff>
      <xdr:row>7</xdr:row>
      <xdr:rowOff>26893</xdr:rowOff>
    </xdr:from>
    <xdr:to>
      <xdr:col>23</xdr:col>
      <xdr:colOff>436947</xdr:colOff>
      <xdr:row>27</xdr:row>
      <xdr:rowOff>1670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71398F-AFEB-4853-957D-A06919B54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67" y="1308846"/>
          <a:ext cx="4107180" cy="5550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7</xdr:row>
      <xdr:rowOff>155147</xdr:rowOff>
    </xdr:from>
    <xdr:to>
      <xdr:col>16</xdr:col>
      <xdr:colOff>173712</xdr:colOff>
      <xdr:row>39</xdr:row>
      <xdr:rowOff>59032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C20FCD-8C9F-45E6-A78C-3353A7F8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9859" y="1458167"/>
          <a:ext cx="4557453" cy="5756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596967</xdr:colOff>
      <xdr:row>7</xdr:row>
      <xdr:rowOff>26893</xdr:rowOff>
    </xdr:from>
    <xdr:to>
      <xdr:col>23</xdr:col>
      <xdr:colOff>436947</xdr:colOff>
      <xdr:row>37</xdr:row>
      <xdr:rowOff>115970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747CF1-CFF9-4A35-830A-A28EF63F9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67" y="1329913"/>
          <a:ext cx="4107180" cy="557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ilizador\AppData\Roaming\Microsoft\Excel\Folha%20C&#225;lculo%20Dimensionamento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ência Total PT"/>
      <sheetName val="Potência Lote"/>
      <sheetName val="Canalizações Principais"/>
      <sheetName val="Ramais"/>
      <sheetName val="Iluminação Publica"/>
      <sheetName val="Terras"/>
    </sheetNames>
    <sheetDataSet>
      <sheetData sheetId="0" refreshError="1"/>
      <sheetData sheetId="1" refreshError="1"/>
      <sheetData sheetId="2">
        <row r="5">
          <cell r="L5">
            <v>13.8</v>
          </cell>
          <cell r="T5">
            <v>10.35</v>
          </cell>
        </row>
        <row r="12">
          <cell r="C12">
            <v>0.45689446275976331</v>
          </cell>
          <cell r="D12">
            <v>1.1305653121506589</v>
          </cell>
        </row>
        <row r="25">
          <cell r="C25">
            <v>16.344614702588707</v>
          </cell>
          <cell r="D25">
            <v>24.144377679455516</v>
          </cell>
        </row>
        <row r="37">
          <cell r="M37">
            <v>1.0158730158730159E-2</v>
          </cell>
        </row>
        <row r="40">
          <cell r="K40">
            <v>3.5280000000000001E-4</v>
          </cell>
        </row>
      </sheetData>
      <sheetData sheetId="3">
        <row r="26">
          <cell r="C26">
            <v>45.566717378510617</v>
          </cell>
          <cell r="D26">
            <v>95.011669877392563</v>
          </cell>
          <cell r="E26">
            <v>45.566717378510617</v>
          </cell>
          <cell r="F26">
            <v>95.011669877392563</v>
          </cell>
          <cell r="G26">
            <v>11.047868590394485</v>
          </cell>
        </row>
      </sheetData>
      <sheetData sheetId="4">
        <row r="26">
          <cell r="C26">
            <v>519.46057811502089</v>
          </cell>
          <cell r="D26">
            <v>426.30195591895489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125B-6784-48D7-8A0A-70D1655D91A8}">
  <dimension ref="A1:BA79"/>
  <sheetViews>
    <sheetView topLeftCell="A32" zoomScale="85" zoomScaleNormal="85" workbookViewId="0">
      <selection activeCell="I36" sqref="I36:O56"/>
    </sheetView>
  </sheetViews>
  <sheetFormatPr defaultRowHeight="14.4" x14ac:dyDescent="0.3"/>
  <cols>
    <col min="2" max="2" width="3.44140625" customWidth="1"/>
    <col min="3" max="3" width="38.33203125" customWidth="1"/>
    <col min="10" max="10" width="17.5546875" customWidth="1"/>
    <col min="11" max="11" width="13.5546875" customWidth="1"/>
    <col min="12" max="12" width="35.21875" customWidth="1"/>
    <col min="14" max="14" width="17.77734375" customWidth="1"/>
    <col min="15" max="15" width="35.6640625" customWidth="1"/>
  </cols>
  <sheetData>
    <row r="1" spans="1:5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4" customHeight="1" x14ac:dyDescent="0.3">
      <c r="A2" s="1"/>
      <c r="B2" s="435" t="s">
        <v>36</v>
      </c>
      <c r="C2" s="435"/>
      <c r="D2" s="435"/>
      <c r="E2" s="435"/>
      <c r="F2" s="435"/>
      <c r="G2" s="435"/>
      <c r="H2" s="435"/>
      <c r="I2" s="435"/>
      <c r="J2" s="435"/>
      <c r="K2" s="435"/>
      <c r="L2" s="11"/>
      <c r="M2" s="11"/>
      <c r="N2" s="11"/>
      <c r="O2" s="11"/>
      <c r="P2" s="11"/>
      <c r="Q2" s="11"/>
      <c r="R2" s="11"/>
      <c r="S2" s="11"/>
      <c r="T2" s="1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4" customHeight="1" x14ac:dyDescent="0.3">
      <c r="A3" s="1"/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11"/>
      <c r="M3" s="11"/>
      <c r="N3" s="11"/>
      <c r="O3" s="11"/>
      <c r="P3" s="11"/>
      <c r="Q3" s="11"/>
      <c r="R3" s="11"/>
      <c r="S3" s="11"/>
      <c r="T3" s="11"/>
      <c r="U3" s="1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4" customHeight="1" x14ac:dyDescent="0.3">
      <c r="A4" s="1"/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11"/>
      <c r="M4" s="11"/>
      <c r="N4" s="11"/>
      <c r="O4" s="11"/>
      <c r="P4" s="11"/>
      <c r="Q4" s="11"/>
      <c r="R4" s="11"/>
      <c r="S4" s="11"/>
      <c r="T4" s="11"/>
      <c r="U4" s="1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3.6" customHeight="1" x14ac:dyDescent="0.85">
      <c r="A5" s="1"/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39"/>
      <c r="N5" s="39"/>
      <c r="O5" s="39"/>
      <c r="P5" s="11"/>
      <c r="Q5" s="11"/>
      <c r="R5" s="11"/>
      <c r="S5" s="11"/>
      <c r="T5" s="11"/>
      <c r="U5" s="1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" thickBot="1" x14ac:dyDescent="0.35">
      <c r="A7" s="1"/>
      <c r="B7" s="1"/>
      <c r="C7" s="429" t="s">
        <v>34</v>
      </c>
      <c r="D7" s="430"/>
      <c r="E7" s="28">
        <v>10.35</v>
      </c>
      <c r="F7" s="29" t="s">
        <v>17</v>
      </c>
      <c r="G7" s="1"/>
      <c r="H7" s="1"/>
      <c r="I7" s="20" t="s">
        <v>0</v>
      </c>
      <c r="J7" s="19" t="s">
        <v>1</v>
      </c>
      <c r="K7" s="21" t="s">
        <v>2</v>
      </c>
      <c r="L7" s="19" t="s">
        <v>3</v>
      </c>
      <c r="M7" s="21" t="s">
        <v>6</v>
      </c>
      <c r="N7" s="19" t="s">
        <v>29</v>
      </c>
      <c r="O7" s="27" t="s">
        <v>30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3">
      <c r="A8" s="1"/>
      <c r="B8" s="1"/>
      <c r="C8" s="30"/>
      <c r="D8" s="30"/>
      <c r="E8" s="31"/>
      <c r="F8" s="32"/>
      <c r="G8" s="1"/>
      <c r="H8" s="1"/>
      <c r="I8" s="425" t="s">
        <v>7</v>
      </c>
      <c r="J8" s="398" t="s">
        <v>27</v>
      </c>
      <c r="K8" s="22" t="s">
        <v>4</v>
      </c>
      <c r="L8" s="14" t="s">
        <v>28</v>
      </c>
      <c r="M8" s="22">
        <v>1</v>
      </c>
      <c r="N8" s="14">
        <f>M8*(E9+E17)</f>
        <v>25.45</v>
      </c>
      <c r="O8" s="400">
        <f>N8+N9+N10</f>
        <v>132.39999999999998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3">
      <c r="A9" s="1"/>
      <c r="B9" s="1"/>
      <c r="C9" s="429" t="s">
        <v>23</v>
      </c>
      <c r="D9" s="430"/>
      <c r="E9" s="28">
        <v>3.45</v>
      </c>
      <c r="F9" s="29" t="s">
        <v>17</v>
      </c>
      <c r="G9" s="1"/>
      <c r="H9" s="1"/>
      <c r="I9" s="425"/>
      <c r="J9" s="398"/>
      <c r="K9" s="23" t="s">
        <v>5</v>
      </c>
      <c r="L9" s="15" t="s">
        <v>40</v>
      </c>
      <c r="M9" s="23">
        <v>2</v>
      </c>
      <c r="N9" s="15">
        <f>M9*(E11)</f>
        <v>13.8</v>
      </c>
      <c r="O9" s="40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3">
      <c r="A10" s="1"/>
      <c r="B10" s="1"/>
      <c r="C10" s="30"/>
      <c r="D10" s="33"/>
      <c r="E10" s="31"/>
      <c r="F10" s="32"/>
      <c r="G10" s="1"/>
      <c r="H10" s="1"/>
      <c r="I10" s="425"/>
      <c r="J10" s="398"/>
      <c r="K10" s="22" t="s">
        <v>26</v>
      </c>
      <c r="L10" s="14" t="s">
        <v>33</v>
      </c>
      <c r="M10" s="22">
        <v>9</v>
      </c>
      <c r="N10" s="14">
        <f>M10*E7</f>
        <v>93.149999999999991</v>
      </c>
      <c r="O10" s="40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3">
      <c r="A11" s="1"/>
      <c r="B11" s="1"/>
      <c r="C11" s="431" t="s">
        <v>39</v>
      </c>
      <c r="D11" s="432"/>
      <c r="E11" s="36">
        <v>6.9</v>
      </c>
      <c r="F11" s="37" t="s">
        <v>17</v>
      </c>
      <c r="G11" s="1"/>
      <c r="H11" s="1"/>
      <c r="I11" s="426" t="s">
        <v>8</v>
      </c>
      <c r="J11" s="419" t="s">
        <v>27</v>
      </c>
      <c r="K11" s="24" t="s">
        <v>4</v>
      </c>
      <c r="L11" s="17" t="s">
        <v>28</v>
      </c>
      <c r="M11" s="24">
        <v>1</v>
      </c>
      <c r="N11" s="17">
        <f>M11*(E9+E17)</f>
        <v>25.45</v>
      </c>
      <c r="O11" s="422">
        <f>N11+N12+N13</f>
        <v>132.39999999999998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3">
      <c r="A12" s="1"/>
      <c r="B12" s="1"/>
      <c r="C12" s="30"/>
      <c r="D12" s="30"/>
      <c r="E12" s="31"/>
      <c r="F12" s="32"/>
      <c r="G12" s="1"/>
      <c r="H12" s="1"/>
      <c r="I12" s="427"/>
      <c r="J12" s="420"/>
      <c r="K12" s="23" t="s">
        <v>5</v>
      </c>
      <c r="L12" s="15" t="s">
        <v>40</v>
      </c>
      <c r="M12" s="23">
        <v>2</v>
      </c>
      <c r="N12" s="15">
        <f>M12*E11</f>
        <v>13.8</v>
      </c>
      <c r="O12" s="4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3">
      <c r="A13" s="1"/>
      <c r="B13" s="1"/>
      <c r="C13" s="433" t="s">
        <v>41</v>
      </c>
      <c r="D13" s="434"/>
      <c r="E13" s="12">
        <v>10.35</v>
      </c>
      <c r="F13" s="13" t="s">
        <v>17</v>
      </c>
      <c r="G13" s="1"/>
      <c r="H13" s="1"/>
      <c r="I13" s="428"/>
      <c r="J13" s="421"/>
      <c r="K13" s="25" t="s">
        <v>26</v>
      </c>
      <c r="L13" s="18" t="s">
        <v>33</v>
      </c>
      <c r="M13" s="25">
        <v>9</v>
      </c>
      <c r="N13" s="18">
        <f>M13*E7</f>
        <v>93.149999999999991</v>
      </c>
      <c r="O13" s="42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3">
      <c r="A14" s="1"/>
      <c r="B14" s="1"/>
      <c r="C14" s="41"/>
      <c r="D14" s="41"/>
      <c r="E14" s="1"/>
      <c r="F14" s="1"/>
      <c r="G14" s="1"/>
      <c r="H14" s="1"/>
      <c r="I14" s="396" t="s">
        <v>9</v>
      </c>
      <c r="J14" s="398" t="s">
        <v>31</v>
      </c>
      <c r="K14" s="22" t="s">
        <v>4</v>
      </c>
      <c r="L14" s="17" t="s">
        <v>28</v>
      </c>
      <c r="M14" s="22">
        <v>1</v>
      </c>
      <c r="N14" s="14">
        <f>M14*(E17+E9)</f>
        <v>25.45</v>
      </c>
      <c r="O14" s="400">
        <f>N14+N15+N16</f>
        <v>180.7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3">
      <c r="A15" s="1"/>
      <c r="B15" s="1"/>
      <c r="C15" s="431" t="s">
        <v>24</v>
      </c>
      <c r="D15" s="432"/>
      <c r="E15" s="36">
        <v>7.2</v>
      </c>
      <c r="F15" s="37" t="s">
        <v>17</v>
      </c>
      <c r="G15" s="1"/>
      <c r="H15" s="1"/>
      <c r="I15" s="396"/>
      <c r="J15" s="398"/>
      <c r="K15" s="23" t="s">
        <v>5</v>
      </c>
      <c r="L15" s="15" t="s">
        <v>33</v>
      </c>
      <c r="M15" s="23">
        <v>3</v>
      </c>
      <c r="N15" s="15">
        <f>M15*E7</f>
        <v>31.049999999999997</v>
      </c>
      <c r="O15" s="40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3">
      <c r="A16" s="1"/>
      <c r="B16" s="1"/>
      <c r="C16" s="30"/>
      <c r="D16" s="30"/>
      <c r="E16" s="31"/>
      <c r="F16" s="32"/>
      <c r="G16" s="1"/>
      <c r="H16" s="1"/>
      <c r="I16" s="396"/>
      <c r="J16" s="398"/>
      <c r="K16" s="22" t="s">
        <v>32</v>
      </c>
      <c r="L16" s="14" t="s">
        <v>33</v>
      </c>
      <c r="M16" s="22">
        <v>12</v>
      </c>
      <c r="N16" s="14">
        <f>M16*E7</f>
        <v>124.19999999999999</v>
      </c>
      <c r="O16" s="40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4" customHeight="1" x14ac:dyDescent="0.3">
      <c r="A17" s="1"/>
      <c r="B17" s="1"/>
      <c r="C17" s="431" t="s">
        <v>25</v>
      </c>
      <c r="D17" s="432"/>
      <c r="E17" s="36">
        <v>22</v>
      </c>
      <c r="F17" s="37" t="s">
        <v>17</v>
      </c>
      <c r="G17" s="40"/>
      <c r="H17" s="1"/>
      <c r="I17" s="416" t="s">
        <v>10</v>
      </c>
      <c r="J17" s="419" t="s">
        <v>31</v>
      </c>
      <c r="K17" s="24" t="s">
        <v>4</v>
      </c>
      <c r="L17" s="17" t="s">
        <v>28</v>
      </c>
      <c r="M17" s="24">
        <v>1</v>
      </c>
      <c r="N17" s="17">
        <f>M17*(E9+E17*2)</f>
        <v>47.45</v>
      </c>
      <c r="O17" s="422">
        <f>N17+N18+N19</f>
        <v>202.7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4.4" customHeight="1" thickBot="1" x14ac:dyDescent="0.35">
      <c r="A18" s="1"/>
      <c r="B18" s="1"/>
      <c r="C18" s="1"/>
      <c r="D18" s="1"/>
      <c r="E18" s="1"/>
      <c r="F18" s="1"/>
      <c r="G18" s="40"/>
      <c r="H18" s="1"/>
      <c r="I18" s="417"/>
      <c r="J18" s="420"/>
      <c r="K18" s="23" t="s">
        <v>5</v>
      </c>
      <c r="L18" s="15" t="s">
        <v>33</v>
      </c>
      <c r="M18" s="23">
        <v>3</v>
      </c>
      <c r="N18" s="15">
        <f>M18*E7</f>
        <v>31.049999999999997</v>
      </c>
      <c r="O18" s="42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4.4" customHeight="1" x14ac:dyDescent="0.3">
      <c r="A19" s="1"/>
      <c r="B19" s="1"/>
      <c r="C19" s="404" t="s">
        <v>35</v>
      </c>
      <c r="D19" s="405"/>
      <c r="E19" s="410">
        <f>SUM(O8:O25)+(O26*16)</f>
        <v>1306.8</v>
      </c>
      <c r="F19" s="411"/>
      <c r="G19" s="40"/>
      <c r="H19" s="1"/>
      <c r="I19" s="418"/>
      <c r="J19" s="421"/>
      <c r="K19" s="25" t="s">
        <v>32</v>
      </c>
      <c r="L19" s="18" t="s">
        <v>33</v>
      </c>
      <c r="M19" s="25">
        <v>12</v>
      </c>
      <c r="N19" s="18">
        <f>M19*E7</f>
        <v>124.19999999999999</v>
      </c>
      <c r="O19" s="4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4" customHeight="1" x14ac:dyDescent="0.3">
      <c r="A20" s="1"/>
      <c r="B20" s="1"/>
      <c r="C20" s="406"/>
      <c r="D20" s="407"/>
      <c r="E20" s="412"/>
      <c r="F20" s="413"/>
      <c r="G20" s="40"/>
      <c r="H20" s="1"/>
      <c r="I20" s="396" t="s">
        <v>11</v>
      </c>
      <c r="J20" s="398" t="s">
        <v>27</v>
      </c>
      <c r="K20" s="22" t="s">
        <v>4</v>
      </c>
      <c r="L20" s="14" t="s">
        <v>38</v>
      </c>
      <c r="M20" s="22">
        <v>1</v>
      </c>
      <c r="N20" s="14">
        <f>M20*(E9+E17*2)</f>
        <v>47.45</v>
      </c>
      <c r="O20" s="400">
        <f>N20+N21+N22</f>
        <v>192.35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4" customHeight="1" x14ac:dyDescent="0.3">
      <c r="A21" s="1"/>
      <c r="B21" s="1"/>
      <c r="C21" s="406"/>
      <c r="D21" s="407"/>
      <c r="E21" s="412"/>
      <c r="F21" s="413"/>
      <c r="G21" s="40"/>
      <c r="H21" s="1"/>
      <c r="I21" s="396"/>
      <c r="J21" s="398"/>
      <c r="K21" s="23" t="s">
        <v>5</v>
      </c>
      <c r="L21" s="15" t="s">
        <v>41</v>
      </c>
      <c r="M21" s="23">
        <v>2</v>
      </c>
      <c r="N21" s="15">
        <f>M21*E13</f>
        <v>20.7</v>
      </c>
      <c r="O21" s="40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4" customHeight="1" x14ac:dyDescent="0.3">
      <c r="A22" s="1"/>
      <c r="B22" s="1"/>
      <c r="C22" s="406"/>
      <c r="D22" s="407"/>
      <c r="E22" s="412"/>
      <c r="F22" s="413"/>
      <c r="G22" s="40"/>
      <c r="H22" s="1"/>
      <c r="I22" s="396"/>
      <c r="J22" s="398"/>
      <c r="K22" s="22" t="s">
        <v>32</v>
      </c>
      <c r="L22" s="14" t="s">
        <v>33</v>
      </c>
      <c r="M22" s="22">
        <v>12</v>
      </c>
      <c r="N22" s="14">
        <f>M22*E7</f>
        <v>124.19999999999999</v>
      </c>
      <c r="O22" s="40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4" customHeight="1" x14ac:dyDescent="0.3">
      <c r="A23" s="1"/>
      <c r="B23" s="1"/>
      <c r="C23" s="406"/>
      <c r="D23" s="407"/>
      <c r="E23" s="412"/>
      <c r="F23" s="413"/>
      <c r="G23" s="40"/>
      <c r="H23" s="1"/>
      <c r="I23" s="416" t="s">
        <v>12</v>
      </c>
      <c r="J23" s="419" t="s">
        <v>27</v>
      </c>
      <c r="K23" s="24" t="s">
        <v>4</v>
      </c>
      <c r="L23" s="14" t="s">
        <v>38</v>
      </c>
      <c r="M23" s="24">
        <v>1</v>
      </c>
      <c r="N23" s="17">
        <f>M23*(E9+E17*2)</f>
        <v>47.45</v>
      </c>
      <c r="O23" s="422">
        <f>N23+N24+N25</f>
        <v>185.45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4" customHeight="1" x14ac:dyDescent="0.3">
      <c r="A24" s="1"/>
      <c r="B24" s="1"/>
      <c r="C24" s="406"/>
      <c r="D24" s="407"/>
      <c r="E24" s="412"/>
      <c r="F24" s="413"/>
      <c r="G24" s="40"/>
      <c r="H24" s="1"/>
      <c r="I24" s="417"/>
      <c r="J24" s="420"/>
      <c r="K24" s="23" t="s">
        <v>5</v>
      </c>
      <c r="L24" s="15" t="s">
        <v>41</v>
      </c>
      <c r="M24" s="23">
        <v>2</v>
      </c>
      <c r="N24" s="15">
        <f>M24*E11</f>
        <v>13.8</v>
      </c>
      <c r="O24" s="42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4" customHeight="1" x14ac:dyDescent="0.3">
      <c r="A25" s="1"/>
      <c r="B25" s="1"/>
      <c r="C25" s="406"/>
      <c r="D25" s="407"/>
      <c r="E25" s="412"/>
      <c r="F25" s="413"/>
      <c r="G25" s="1"/>
      <c r="H25" s="1"/>
      <c r="I25" s="418"/>
      <c r="J25" s="421"/>
      <c r="K25" s="25" t="s">
        <v>32</v>
      </c>
      <c r="L25" s="18" t="s">
        <v>33</v>
      </c>
      <c r="M25" s="25">
        <v>12</v>
      </c>
      <c r="N25" s="18">
        <f>M25*E7</f>
        <v>124.19999999999999</v>
      </c>
      <c r="O25" s="42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4" customHeight="1" x14ac:dyDescent="0.3">
      <c r="A26" s="1"/>
      <c r="B26" s="1"/>
      <c r="C26" s="406"/>
      <c r="D26" s="407"/>
      <c r="E26" s="412"/>
      <c r="F26" s="413"/>
      <c r="G26" s="40"/>
      <c r="H26" s="1"/>
      <c r="I26" s="396" t="s">
        <v>16</v>
      </c>
      <c r="J26" s="398" t="s">
        <v>13</v>
      </c>
      <c r="K26" s="22" t="s">
        <v>4</v>
      </c>
      <c r="L26" s="14" t="s">
        <v>14</v>
      </c>
      <c r="M26" s="22">
        <v>1</v>
      </c>
      <c r="N26" s="14">
        <f>M26*(E15)</f>
        <v>7.2</v>
      </c>
      <c r="O26" s="400">
        <f>N26+N27</f>
        <v>17.55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" customHeight="1" thickBot="1" x14ac:dyDescent="0.35">
      <c r="A27" s="1"/>
      <c r="B27" s="1"/>
      <c r="C27" s="408"/>
      <c r="D27" s="409"/>
      <c r="E27" s="414"/>
      <c r="F27" s="415"/>
      <c r="G27" s="40"/>
      <c r="H27" s="1"/>
      <c r="I27" s="397"/>
      <c r="J27" s="399"/>
      <c r="K27" s="26" t="s">
        <v>2</v>
      </c>
      <c r="L27" s="16" t="s">
        <v>15</v>
      </c>
      <c r="M27" s="26">
        <v>1</v>
      </c>
      <c r="N27" s="16">
        <f>M27*E7</f>
        <v>10.35</v>
      </c>
      <c r="O27" s="40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3">
      <c r="A28" s="1"/>
      <c r="B28" s="1"/>
      <c r="C28" s="40"/>
      <c r="D28" s="40"/>
      <c r="E28" s="40"/>
      <c r="F28" s="40"/>
      <c r="G28" s="4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3">
      <c r="A29" s="1"/>
      <c r="B29" s="1"/>
      <c r="C29" s="40"/>
      <c r="D29" s="40"/>
      <c r="E29" s="40"/>
      <c r="F29" s="40"/>
      <c r="G29" s="4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3">
      <c r="A30" s="1"/>
      <c r="B30" s="1"/>
      <c r="C30" s="40"/>
      <c r="D30" s="40"/>
      <c r="E30" s="40"/>
      <c r="F30" s="40"/>
      <c r="G30" s="4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3">
      <c r="A31" s="1"/>
      <c r="B31" s="1"/>
      <c r="C31" s="40"/>
      <c r="D31" s="40"/>
      <c r="E31" s="40"/>
      <c r="F31" s="40"/>
      <c r="G31" s="4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28.8" customHeight="1" x14ac:dyDescent="0.6">
      <c r="A34" s="1"/>
      <c r="B34" s="1"/>
      <c r="C34" s="436" t="s">
        <v>47</v>
      </c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40"/>
      <c r="K35" s="40"/>
      <c r="L35" s="40"/>
      <c r="M35" s="4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" thickBot="1" x14ac:dyDescent="0.35">
      <c r="A36" s="1"/>
      <c r="B36" s="1"/>
      <c r="C36" s="429" t="s">
        <v>34</v>
      </c>
      <c r="D36" s="430"/>
      <c r="E36" s="28">
        <v>10.35</v>
      </c>
      <c r="F36" s="29" t="s">
        <v>17</v>
      </c>
      <c r="G36" s="1"/>
      <c r="H36" s="1"/>
      <c r="I36" s="20" t="s">
        <v>0</v>
      </c>
      <c r="J36" s="19" t="s">
        <v>1</v>
      </c>
      <c r="K36" s="21" t="s">
        <v>2</v>
      </c>
      <c r="L36" s="19" t="s">
        <v>3</v>
      </c>
      <c r="M36" s="21" t="s">
        <v>6</v>
      </c>
      <c r="N36" s="19" t="s">
        <v>29</v>
      </c>
      <c r="O36" s="27" t="s">
        <v>30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3">
      <c r="A37" s="1"/>
      <c r="B37" s="1"/>
      <c r="C37" s="30"/>
      <c r="D37" s="30"/>
      <c r="E37" s="31"/>
      <c r="F37" s="32"/>
      <c r="G37" s="1"/>
      <c r="H37" s="1"/>
      <c r="I37" s="425" t="s">
        <v>7</v>
      </c>
      <c r="J37" s="398" t="s">
        <v>27</v>
      </c>
      <c r="K37" s="22" t="s">
        <v>4</v>
      </c>
      <c r="L37" s="14" t="s">
        <v>28</v>
      </c>
      <c r="M37" s="22">
        <v>1</v>
      </c>
      <c r="N37" s="14">
        <f>M37*(E40)</f>
        <v>20.7</v>
      </c>
      <c r="O37" s="400">
        <f>N37+N38+N39</f>
        <v>141.44999999999999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3">
      <c r="A38" s="1"/>
      <c r="B38" s="1"/>
      <c r="C38" s="429" t="s">
        <v>23</v>
      </c>
      <c r="D38" s="430"/>
      <c r="E38" s="28">
        <v>3.45</v>
      </c>
      <c r="F38" s="29" t="s">
        <v>17</v>
      </c>
      <c r="G38" s="1"/>
      <c r="H38" s="1"/>
      <c r="I38" s="425"/>
      <c r="J38" s="398"/>
      <c r="K38" s="23" t="s">
        <v>5</v>
      </c>
      <c r="L38" s="15" t="s">
        <v>69</v>
      </c>
      <c r="M38" s="23">
        <v>2</v>
      </c>
      <c r="N38" s="15">
        <f>M38*(E46)</f>
        <v>27.6</v>
      </c>
      <c r="O38" s="400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3">
      <c r="A39" s="1"/>
      <c r="B39" s="1"/>
      <c r="C39" s="30"/>
      <c r="D39" s="33"/>
      <c r="E39" s="31"/>
      <c r="F39" s="32"/>
      <c r="G39" s="1"/>
      <c r="H39" s="1"/>
      <c r="I39" s="425"/>
      <c r="J39" s="398"/>
      <c r="K39" s="22" t="s">
        <v>26</v>
      </c>
      <c r="L39" s="14" t="s">
        <v>33</v>
      </c>
      <c r="M39" s="22">
        <v>9</v>
      </c>
      <c r="N39" s="14">
        <f>9*E36</f>
        <v>93.149999999999991</v>
      </c>
      <c r="O39" s="40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3">
      <c r="A40" s="1"/>
      <c r="B40" s="1"/>
      <c r="C40" s="431" t="s">
        <v>48</v>
      </c>
      <c r="D40" s="432"/>
      <c r="E40" s="36">
        <v>20.7</v>
      </c>
      <c r="F40" s="37" t="s">
        <v>17</v>
      </c>
      <c r="G40" s="1"/>
      <c r="H40" s="1"/>
      <c r="I40" s="426" t="s">
        <v>8</v>
      </c>
      <c r="J40" s="419" t="s">
        <v>27</v>
      </c>
      <c r="K40" s="24" t="s">
        <v>4</v>
      </c>
      <c r="L40" s="17" t="s">
        <v>28</v>
      </c>
      <c r="M40" s="24">
        <v>1</v>
      </c>
      <c r="N40" s="17">
        <f>E40</f>
        <v>20.7</v>
      </c>
      <c r="O40" s="422">
        <f>N40+N41+N42</f>
        <v>141.44999999999999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3">
      <c r="A41" s="1"/>
      <c r="B41" s="1"/>
      <c r="C41" s="30"/>
      <c r="D41" s="30"/>
      <c r="E41" s="31"/>
      <c r="F41" s="32"/>
      <c r="G41" s="1"/>
      <c r="H41" s="1"/>
      <c r="I41" s="427"/>
      <c r="J41" s="420"/>
      <c r="K41" s="23" t="s">
        <v>5</v>
      </c>
      <c r="L41" s="15" t="s">
        <v>69</v>
      </c>
      <c r="M41" s="23">
        <v>2</v>
      </c>
      <c r="N41" s="15">
        <f>M41*E46</f>
        <v>27.6</v>
      </c>
      <c r="O41" s="42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3">
      <c r="A42" s="1"/>
      <c r="B42" s="1"/>
      <c r="C42" s="433" t="s">
        <v>68</v>
      </c>
      <c r="D42" s="434"/>
      <c r="E42" s="12">
        <f>20.7+22</f>
        <v>42.7</v>
      </c>
      <c r="F42" s="13" t="s">
        <v>17</v>
      </c>
      <c r="G42" s="1"/>
      <c r="H42" s="1"/>
      <c r="I42" s="428"/>
      <c r="J42" s="421"/>
      <c r="K42" s="25" t="s">
        <v>26</v>
      </c>
      <c r="L42" s="18" t="s">
        <v>33</v>
      </c>
      <c r="M42" s="25">
        <v>9</v>
      </c>
      <c r="N42" s="18">
        <f>M42*E36</f>
        <v>93.149999999999991</v>
      </c>
      <c r="O42" s="42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3">
      <c r="A43" s="1"/>
      <c r="B43" s="1"/>
      <c r="C43" s="41"/>
      <c r="D43" s="41"/>
      <c r="E43" s="1"/>
      <c r="F43" s="1"/>
      <c r="G43" s="1"/>
      <c r="H43" s="1"/>
      <c r="I43" s="396" t="s">
        <v>9</v>
      </c>
      <c r="J43" s="398" t="s">
        <v>31</v>
      </c>
      <c r="K43" s="22" t="s">
        <v>4</v>
      </c>
      <c r="L43" s="17" t="s">
        <v>70</v>
      </c>
      <c r="M43" s="22">
        <v>1</v>
      </c>
      <c r="N43" s="14">
        <f>E42</f>
        <v>42.7</v>
      </c>
      <c r="O43" s="400">
        <f>N43+N44+N45</f>
        <v>197.95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3">
      <c r="A44" s="1"/>
      <c r="B44" s="1"/>
      <c r="C44" s="433" t="s">
        <v>49</v>
      </c>
      <c r="D44" s="434"/>
      <c r="E44" s="12">
        <v>17.25</v>
      </c>
      <c r="F44" s="13" t="s">
        <v>17</v>
      </c>
      <c r="G44" s="1"/>
      <c r="H44" s="1"/>
      <c r="I44" s="396"/>
      <c r="J44" s="398"/>
      <c r="K44" s="23" t="s">
        <v>5</v>
      </c>
      <c r="L44" s="15" t="s">
        <v>33</v>
      </c>
      <c r="M44" s="23">
        <v>3</v>
      </c>
      <c r="N44" s="15">
        <f>M44*E36</f>
        <v>31.049999999999997</v>
      </c>
      <c r="O44" s="40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3">
      <c r="A45" s="1"/>
      <c r="B45" s="1"/>
      <c r="C45" s="41"/>
      <c r="D45" s="41"/>
      <c r="E45" s="1"/>
      <c r="F45" s="1"/>
      <c r="G45" s="1"/>
      <c r="H45" s="1"/>
      <c r="I45" s="396"/>
      <c r="J45" s="398"/>
      <c r="K45" s="22" t="s">
        <v>32</v>
      </c>
      <c r="L45" s="14" t="s">
        <v>33</v>
      </c>
      <c r="M45" s="22">
        <v>12</v>
      </c>
      <c r="N45" s="14">
        <f>M45*E36</f>
        <v>124.19999999999999</v>
      </c>
      <c r="O45" s="40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3">
      <c r="A46" s="1"/>
      <c r="B46" s="1"/>
      <c r="C46" s="34" t="s">
        <v>67</v>
      </c>
      <c r="D46" s="35"/>
      <c r="E46" s="36">
        <v>13.8</v>
      </c>
      <c r="F46" s="37" t="s">
        <v>17</v>
      </c>
      <c r="G46" s="1"/>
      <c r="H46" s="1"/>
      <c r="I46" s="416" t="s">
        <v>10</v>
      </c>
      <c r="J46" s="419" t="s">
        <v>31</v>
      </c>
      <c r="K46" s="24" t="s">
        <v>4</v>
      </c>
      <c r="L46" s="17" t="s">
        <v>70</v>
      </c>
      <c r="M46" s="24">
        <v>1</v>
      </c>
      <c r="N46" s="17">
        <f>E42</f>
        <v>42.7</v>
      </c>
      <c r="O46" s="422">
        <f>N46+N47+N48</f>
        <v>197.95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5" thickBot="1" x14ac:dyDescent="0.35">
      <c r="A47" s="1"/>
      <c r="B47" s="1"/>
      <c r="C47" s="1"/>
      <c r="D47" s="1"/>
      <c r="E47" s="1"/>
      <c r="F47" s="1"/>
      <c r="G47" s="1"/>
      <c r="H47" s="1"/>
      <c r="I47" s="417"/>
      <c r="J47" s="420"/>
      <c r="K47" s="23" t="s">
        <v>5</v>
      </c>
      <c r="L47" s="15" t="s">
        <v>33</v>
      </c>
      <c r="M47" s="23">
        <v>3</v>
      </c>
      <c r="N47" s="15">
        <f>M47*E36</f>
        <v>31.049999999999997</v>
      </c>
      <c r="O47" s="42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3">
      <c r="A48" s="1"/>
      <c r="B48" s="1"/>
      <c r="C48" s="404" t="s">
        <v>35</v>
      </c>
      <c r="D48" s="405"/>
      <c r="E48" s="410">
        <f>SUM(O37:O54)+(O55)</f>
        <v>1299.8</v>
      </c>
      <c r="F48" s="411"/>
      <c r="G48" s="1"/>
      <c r="H48" s="1"/>
      <c r="I48" s="418"/>
      <c r="J48" s="421"/>
      <c r="K48" s="25" t="s">
        <v>32</v>
      </c>
      <c r="L48" s="18" t="s">
        <v>33</v>
      </c>
      <c r="M48" s="25">
        <v>12</v>
      </c>
      <c r="N48" s="18">
        <f>M48*E36</f>
        <v>124.19999999999999</v>
      </c>
      <c r="O48" s="42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3">
      <c r="A49" s="1"/>
      <c r="B49" s="1"/>
      <c r="C49" s="406"/>
      <c r="D49" s="407"/>
      <c r="E49" s="412"/>
      <c r="F49" s="413"/>
      <c r="G49" s="1"/>
      <c r="H49" s="1"/>
      <c r="I49" s="396" t="s">
        <v>11</v>
      </c>
      <c r="J49" s="398" t="s">
        <v>27</v>
      </c>
      <c r="K49" s="22" t="s">
        <v>4</v>
      </c>
      <c r="L49" s="14" t="s">
        <v>28</v>
      </c>
      <c r="M49" s="22">
        <v>1</v>
      </c>
      <c r="N49" s="14">
        <f>E40</f>
        <v>20.7</v>
      </c>
      <c r="O49" s="400">
        <f>N49+N50+N51</f>
        <v>172.5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3">
      <c r="A50" s="1"/>
      <c r="B50" s="1"/>
      <c r="C50" s="406"/>
      <c r="D50" s="407"/>
      <c r="E50" s="412"/>
      <c r="F50" s="413"/>
      <c r="G50" s="1"/>
      <c r="H50" s="1"/>
      <c r="I50" s="396"/>
      <c r="J50" s="398"/>
      <c r="K50" s="23" t="s">
        <v>5</v>
      </c>
      <c r="L50" s="15" t="s">
        <v>69</v>
      </c>
      <c r="M50" s="23">
        <v>2</v>
      </c>
      <c r="N50" s="15">
        <f>M50*E46</f>
        <v>27.6</v>
      </c>
      <c r="O50" s="40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3">
      <c r="A51" s="1"/>
      <c r="B51" s="1"/>
      <c r="C51" s="406"/>
      <c r="D51" s="407"/>
      <c r="E51" s="412"/>
      <c r="F51" s="413"/>
      <c r="G51" s="1"/>
      <c r="H51" s="1"/>
      <c r="I51" s="396"/>
      <c r="J51" s="398"/>
      <c r="K51" s="22" t="s">
        <v>32</v>
      </c>
      <c r="L51" s="14" t="s">
        <v>33</v>
      </c>
      <c r="M51" s="22">
        <v>12</v>
      </c>
      <c r="N51" s="14">
        <f>M51*E36</f>
        <v>124.19999999999999</v>
      </c>
      <c r="O51" s="40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3">
      <c r="A52" s="1"/>
      <c r="B52" s="1"/>
      <c r="C52" s="406"/>
      <c r="D52" s="407"/>
      <c r="E52" s="412"/>
      <c r="F52" s="413"/>
      <c r="G52" s="1"/>
      <c r="H52" s="1"/>
      <c r="I52" s="416" t="s">
        <v>12</v>
      </c>
      <c r="J52" s="419" t="s">
        <v>27</v>
      </c>
      <c r="K52" s="24" t="s">
        <v>4</v>
      </c>
      <c r="L52" s="14" t="s">
        <v>28</v>
      </c>
      <c r="M52" s="24">
        <v>1</v>
      </c>
      <c r="N52" s="17">
        <f>E40</f>
        <v>20.7</v>
      </c>
      <c r="O52" s="422">
        <f>N52+N53+N54</f>
        <v>172.5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3">
      <c r="A53" s="1"/>
      <c r="B53" s="1"/>
      <c r="C53" s="406"/>
      <c r="D53" s="407"/>
      <c r="E53" s="412"/>
      <c r="F53" s="413"/>
      <c r="G53" s="1"/>
      <c r="H53" s="1"/>
      <c r="I53" s="417"/>
      <c r="J53" s="420"/>
      <c r="K53" s="23" t="s">
        <v>5</v>
      </c>
      <c r="L53" s="15" t="s">
        <v>69</v>
      </c>
      <c r="M53" s="23">
        <v>2</v>
      </c>
      <c r="N53" s="15">
        <f>M53*E46</f>
        <v>27.6</v>
      </c>
      <c r="O53" s="42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3">
      <c r="A54" s="1"/>
      <c r="B54" s="1"/>
      <c r="C54" s="406"/>
      <c r="D54" s="407"/>
      <c r="E54" s="412"/>
      <c r="F54" s="413"/>
      <c r="G54" s="1"/>
      <c r="H54" s="1"/>
      <c r="I54" s="418"/>
      <c r="J54" s="421"/>
      <c r="K54" s="25" t="s">
        <v>32</v>
      </c>
      <c r="L54" s="18" t="s">
        <v>33</v>
      </c>
      <c r="M54" s="25">
        <v>12</v>
      </c>
      <c r="N54" s="18">
        <f>M54*E36</f>
        <v>124.19999999999999</v>
      </c>
      <c r="O54" s="42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3">
      <c r="A55" s="1"/>
      <c r="B55" s="1"/>
      <c r="C55" s="406"/>
      <c r="D55" s="407"/>
      <c r="E55" s="412"/>
      <c r="F55" s="413"/>
      <c r="G55" s="1"/>
      <c r="H55" s="1"/>
      <c r="I55" s="396" t="s">
        <v>16</v>
      </c>
      <c r="J55" s="398" t="s">
        <v>13</v>
      </c>
      <c r="K55" s="22" t="s">
        <v>4</v>
      </c>
      <c r="L55" s="14" t="s">
        <v>14</v>
      </c>
      <c r="M55" s="22">
        <v>1</v>
      </c>
      <c r="N55" s="402">
        <f>M55*(E44)</f>
        <v>17.25</v>
      </c>
      <c r="O55" s="400">
        <f>(N55+N56)*16</f>
        <v>276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5" thickBot="1" x14ac:dyDescent="0.35">
      <c r="A56" s="1"/>
      <c r="B56" s="1"/>
      <c r="C56" s="408"/>
      <c r="D56" s="409"/>
      <c r="E56" s="414"/>
      <c r="F56" s="415"/>
      <c r="G56" s="1"/>
      <c r="H56" s="1"/>
      <c r="I56" s="397"/>
      <c r="J56" s="399"/>
      <c r="K56" s="26" t="s">
        <v>2</v>
      </c>
      <c r="L56" s="16" t="s">
        <v>15</v>
      </c>
      <c r="M56" s="26">
        <v>1</v>
      </c>
      <c r="N56" s="403"/>
      <c r="O56" s="40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</sheetData>
  <mergeCells count="60">
    <mergeCell ref="O20:O22"/>
    <mergeCell ref="O23:O25"/>
    <mergeCell ref="O26:O27"/>
    <mergeCell ref="O11:O13"/>
    <mergeCell ref="I20:I22"/>
    <mergeCell ref="I23:I25"/>
    <mergeCell ref="I26:I27"/>
    <mergeCell ref="J20:J22"/>
    <mergeCell ref="J23:J25"/>
    <mergeCell ref="J26:J27"/>
    <mergeCell ref="J17:J19"/>
    <mergeCell ref="C7:D7"/>
    <mergeCell ref="C11:D11"/>
    <mergeCell ref="C9:D9"/>
    <mergeCell ref="O17:O19"/>
    <mergeCell ref="B2:K4"/>
    <mergeCell ref="C34:O34"/>
    <mergeCell ref="C17:D17"/>
    <mergeCell ref="J8:J10"/>
    <mergeCell ref="I8:I10"/>
    <mergeCell ref="I17:I19"/>
    <mergeCell ref="C15:D15"/>
    <mergeCell ref="C13:D13"/>
    <mergeCell ref="C19:D27"/>
    <mergeCell ref="E19:F27"/>
    <mergeCell ref="O8:O10"/>
    <mergeCell ref="I11:I13"/>
    <mergeCell ref="J11:J13"/>
    <mergeCell ref="I14:I16"/>
    <mergeCell ref="O14:O16"/>
    <mergeCell ref="J14:J16"/>
    <mergeCell ref="C36:D36"/>
    <mergeCell ref="C38:D38"/>
    <mergeCell ref="C40:D40"/>
    <mergeCell ref="C42:D42"/>
    <mergeCell ref="C44:D44"/>
    <mergeCell ref="I43:I45"/>
    <mergeCell ref="J43:J45"/>
    <mergeCell ref="O43:O45"/>
    <mergeCell ref="I46:I48"/>
    <mergeCell ref="J46:J48"/>
    <mergeCell ref="O46:O48"/>
    <mergeCell ref="I37:I39"/>
    <mergeCell ref="J37:J39"/>
    <mergeCell ref="O37:O39"/>
    <mergeCell ref="I40:I42"/>
    <mergeCell ref="J40:J42"/>
    <mergeCell ref="O40:O42"/>
    <mergeCell ref="I55:I56"/>
    <mergeCell ref="J55:J56"/>
    <mergeCell ref="O55:O56"/>
    <mergeCell ref="N55:N56"/>
    <mergeCell ref="C48:D56"/>
    <mergeCell ref="E48:F56"/>
    <mergeCell ref="I49:I51"/>
    <mergeCell ref="J49:J51"/>
    <mergeCell ref="O49:O51"/>
    <mergeCell ref="I52:I54"/>
    <mergeCell ref="J52:J54"/>
    <mergeCell ref="O52:O5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C92E-75B5-4AB7-826B-BEE7E5B1E6C9}">
  <dimension ref="B6:AM43"/>
  <sheetViews>
    <sheetView zoomScale="55" zoomScaleNormal="55" workbookViewId="0">
      <selection activeCell="J7" sqref="J7"/>
    </sheetView>
  </sheetViews>
  <sheetFormatPr defaultRowHeight="14.4" x14ac:dyDescent="0.3"/>
  <cols>
    <col min="2" max="2" width="24.77734375" customWidth="1"/>
    <col min="3" max="3" width="27" customWidth="1"/>
  </cols>
  <sheetData>
    <row r="6" spans="2:37" ht="15" thickBot="1" x14ac:dyDescent="0.35"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156"/>
      <c r="X6" s="156"/>
      <c r="Y6" s="156"/>
      <c r="Z6" s="156"/>
    </row>
    <row r="7" spans="2:37" ht="15" x14ac:dyDescent="0.35"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B8" s="965" t="s">
        <v>267</v>
      </c>
      <c r="C8" s="966"/>
      <c r="D8" s="331">
        <v>1</v>
      </c>
      <c r="E8" s="331">
        <v>2</v>
      </c>
      <c r="F8" s="331">
        <v>3</v>
      </c>
      <c r="G8" s="332">
        <v>4</v>
      </c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B9" s="967" t="s">
        <v>278</v>
      </c>
      <c r="C9" s="938"/>
      <c r="D9" s="171" t="s">
        <v>305</v>
      </c>
      <c r="E9" s="171" t="s">
        <v>305</v>
      </c>
      <c r="F9" s="171" t="s">
        <v>305</v>
      </c>
      <c r="G9" s="171" t="s">
        <v>305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B10" s="967" t="s">
        <v>214</v>
      </c>
      <c r="C10" s="938"/>
      <c r="D10" s="171" t="s">
        <v>308</v>
      </c>
      <c r="E10" s="171" t="s">
        <v>309</v>
      </c>
      <c r="F10" s="171" t="s">
        <v>309</v>
      </c>
      <c r="G10" s="171" t="s">
        <v>159</v>
      </c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B11" s="968" t="s">
        <v>217</v>
      </c>
      <c r="C11" s="940"/>
      <c r="D11" s="169">
        <v>11.627000000000001</v>
      </c>
      <c r="E11" s="169">
        <v>13.97</v>
      </c>
      <c r="F11" s="169">
        <v>16.39</v>
      </c>
      <c r="G11" s="330" t="s">
        <v>300</v>
      </c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  <c r="AJ11" t="s">
        <v>258</v>
      </c>
      <c r="AK11">
        <v>1.9</v>
      </c>
    </row>
    <row r="12" spans="2:37" ht="15" x14ac:dyDescent="0.35">
      <c r="B12" s="968" t="s">
        <v>29</v>
      </c>
      <c r="C12" s="940"/>
      <c r="D12" s="171">
        <v>90.25</v>
      </c>
      <c r="E12" s="171">
        <f>'[1]Canalizações Principais'!L5</f>
        <v>13.8</v>
      </c>
      <c r="F12" s="171">
        <v>13.8</v>
      </c>
      <c r="G12" s="330" t="s">
        <v>300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B13" s="968" t="s">
        <v>218</v>
      </c>
      <c r="C13" s="940"/>
      <c r="D13" s="109">
        <f>D12*1000/(SQRT(3)*$AC$19)</f>
        <v>130.26465448590932</v>
      </c>
      <c r="E13" s="109">
        <f>E12*1000/(SQRT(3)*$AC$19)</f>
        <v>19.918584287042091</v>
      </c>
      <c r="F13" s="109">
        <f>F12*1000/(SQRT(3)*$AC$19)</f>
        <v>19.918584287042091</v>
      </c>
      <c r="G13" s="330" t="s">
        <v>300</v>
      </c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B14" s="968" t="s">
        <v>268</v>
      </c>
      <c r="C14" s="940"/>
      <c r="D14" s="174" t="s">
        <v>269</v>
      </c>
      <c r="E14" s="174" t="s">
        <v>270</v>
      </c>
      <c r="F14" s="174" t="s">
        <v>270</v>
      </c>
      <c r="G14" s="330" t="s">
        <v>300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957" t="s">
        <v>219</v>
      </c>
      <c r="C15" s="918"/>
      <c r="D15" s="179">
        <v>70</v>
      </c>
      <c r="E15" s="179">
        <v>16</v>
      </c>
      <c r="F15" s="179">
        <v>16</v>
      </c>
      <c r="G15" s="330" t="s">
        <v>300</v>
      </c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15" thickBot="1" x14ac:dyDescent="0.35">
      <c r="B16" s="958" t="s">
        <v>220</v>
      </c>
      <c r="C16" s="920"/>
      <c r="D16" s="183">
        <v>70</v>
      </c>
      <c r="E16" s="184">
        <v>16</v>
      </c>
      <c r="F16" s="184">
        <v>16</v>
      </c>
      <c r="G16" s="330" t="s">
        <v>300</v>
      </c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  <c r="AB16" s="132"/>
      <c r="AC16" s="132"/>
      <c r="AD16" s="132"/>
      <c r="AE16" s="132"/>
      <c r="AF16" s="132"/>
    </row>
    <row r="17" spans="2:39" ht="27" customHeight="1" thickBot="1" x14ac:dyDescent="0.35">
      <c r="B17" s="962" t="s">
        <v>221</v>
      </c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189">
        <f>'[1]Canalizações Principais'!$C$12</f>
        <v>0.45689446275976331</v>
      </c>
      <c r="G17" s="330" t="s">
        <v>300</v>
      </c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  <c r="AB17" s="132"/>
      <c r="AC17" s="132"/>
      <c r="AD17" s="132"/>
      <c r="AE17" s="132"/>
      <c r="AF17" s="132"/>
    </row>
    <row r="18" spans="2:39" ht="14.4" customHeight="1" x14ac:dyDescent="0.3">
      <c r="B18" s="963"/>
      <c r="C18" s="191" t="s">
        <v>222</v>
      </c>
      <c r="D18" s="115">
        <f>($AC$9*D11/D15)*D13</f>
        <v>0.76443376536016994</v>
      </c>
      <c r="E18" s="115">
        <f t="shared" ref="E18:F18" si="0">($AC$9*E11/E15)*E13</f>
        <v>0.6144386532856827</v>
      </c>
      <c r="F18" s="115">
        <f t="shared" si="0"/>
        <v>0.72087684519343875</v>
      </c>
      <c r="G18" s="330" t="s">
        <v>300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  <c r="AB18" s="140" t="s">
        <v>244</v>
      </c>
      <c r="AC18" s="141">
        <v>230</v>
      </c>
      <c r="AD18" s="132"/>
    </row>
    <row r="19" spans="2:39" ht="15" thickBot="1" x14ac:dyDescent="0.35">
      <c r="B19" s="963"/>
      <c r="C19" s="117" t="s">
        <v>223</v>
      </c>
      <c r="D19" s="115">
        <f t="shared" ref="D19:F19" si="1">D17+(D18/230)*100</f>
        <v>0.78925696943809809</v>
      </c>
      <c r="E19" s="115">
        <f t="shared" si="1"/>
        <v>0.72404170331875584</v>
      </c>
      <c r="F19" s="115">
        <f t="shared" si="1"/>
        <v>0.77031917806125838</v>
      </c>
      <c r="G19" s="330" t="s">
        <v>300</v>
      </c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  <c r="AB19" s="142" t="s">
        <v>246</v>
      </c>
      <c r="AC19" s="143">
        <v>400</v>
      </c>
      <c r="AD19" s="132"/>
    </row>
    <row r="20" spans="2:39" ht="15" thickBot="1" x14ac:dyDescent="0.35">
      <c r="B20" s="964"/>
      <c r="C20" s="118" t="s">
        <v>272</v>
      </c>
      <c r="D20" s="193" t="str">
        <f>IF(D19&lt;=8,"OK","NOK")</f>
        <v>OK</v>
      </c>
      <c r="E20" s="193" t="str">
        <f t="shared" ref="E20:F20" si="2">IF(E19&lt;=8,"OK","NOK")</f>
        <v>OK</v>
      </c>
      <c r="F20" s="193" t="str">
        <f t="shared" si="2"/>
        <v>OK</v>
      </c>
      <c r="G20" s="330" t="s">
        <v>300</v>
      </c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2:39" x14ac:dyDescent="0.3">
      <c r="B21" s="914" t="s">
        <v>225</v>
      </c>
      <c r="C21" s="121" t="s">
        <v>226</v>
      </c>
      <c r="D21" s="195">
        <v>195</v>
      </c>
      <c r="E21" s="196">
        <v>95</v>
      </c>
      <c r="F21" s="196">
        <v>95</v>
      </c>
      <c r="G21" s="330" t="s">
        <v>300</v>
      </c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2:39" x14ac:dyDescent="0.3">
      <c r="B22" s="915"/>
      <c r="C22" s="124" t="s">
        <v>229</v>
      </c>
      <c r="D22" s="111">
        <v>160</v>
      </c>
      <c r="E22" s="124">
        <v>20</v>
      </c>
      <c r="F22" s="124">
        <v>20</v>
      </c>
      <c r="G22" s="330" t="s">
        <v>300</v>
      </c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2:39" x14ac:dyDescent="0.3">
      <c r="B23" s="915"/>
      <c r="C23" s="124" t="s">
        <v>232</v>
      </c>
      <c r="D23" s="111">
        <f>$AK$10*D22</f>
        <v>256</v>
      </c>
      <c r="E23" s="111">
        <f t="shared" ref="E23:F23" si="3">$AK$10*E22</f>
        <v>32</v>
      </c>
      <c r="F23" s="111">
        <f t="shared" si="3"/>
        <v>32</v>
      </c>
      <c r="G23" s="330" t="s">
        <v>300</v>
      </c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2:39" x14ac:dyDescent="0.3">
      <c r="B24" s="915"/>
      <c r="C24" s="124" t="s">
        <v>234</v>
      </c>
      <c r="D24" s="124">
        <f>1.45*D21</f>
        <v>282.75</v>
      </c>
      <c r="E24" s="124">
        <f t="shared" ref="E24:F24" si="4">1.45*E21</f>
        <v>137.75</v>
      </c>
      <c r="F24" s="124">
        <f t="shared" si="4"/>
        <v>137.75</v>
      </c>
      <c r="G24" s="330" t="s">
        <v>300</v>
      </c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233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</row>
    <row r="25" spans="2:39" x14ac:dyDescent="0.3">
      <c r="B25" s="915"/>
      <c r="C25" s="133" t="s">
        <v>235</v>
      </c>
      <c r="D25" s="199" t="str">
        <f t="shared" ref="D25:F25" si="5">IF(D13&lt;=D22,"OK","NOK")</f>
        <v>OK</v>
      </c>
      <c r="E25" s="199" t="str">
        <f t="shared" si="5"/>
        <v>OK</v>
      </c>
      <c r="F25" s="199" t="str">
        <f t="shared" si="5"/>
        <v>OK</v>
      </c>
      <c r="G25" s="330" t="s">
        <v>300</v>
      </c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68"/>
      <c r="AA25" s="166"/>
      <c r="AB25" s="166"/>
      <c r="AC25" s="969"/>
      <c r="AD25" s="969"/>
      <c r="AE25" s="969"/>
      <c r="AF25" s="969"/>
      <c r="AG25" s="969"/>
      <c r="AH25" s="969"/>
      <c r="AI25" s="166"/>
      <c r="AJ25" s="166"/>
      <c r="AK25" s="166"/>
      <c r="AL25" s="166"/>
      <c r="AM25" s="166"/>
    </row>
    <row r="26" spans="2:39" x14ac:dyDescent="0.3">
      <c r="B26" s="915"/>
      <c r="C26" s="200" t="s">
        <v>236</v>
      </c>
      <c r="D26" s="199" t="str">
        <f t="shared" ref="D26:F26" si="6">IF(D22&lt;=D21,"OK","NOK")</f>
        <v>OK</v>
      </c>
      <c r="E26" s="199" t="str">
        <f t="shared" si="6"/>
        <v>OK</v>
      </c>
      <c r="F26" s="199" t="str">
        <f t="shared" si="6"/>
        <v>OK</v>
      </c>
      <c r="G26" s="330" t="s">
        <v>300</v>
      </c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68"/>
      <c r="AA26" s="166"/>
      <c r="AB26" s="166"/>
      <c r="AC26" s="969"/>
      <c r="AD26" s="969"/>
      <c r="AE26" s="969"/>
      <c r="AF26" s="969"/>
      <c r="AG26" s="969"/>
      <c r="AH26" s="969"/>
      <c r="AI26" s="166"/>
      <c r="AJ26" s="166"/>
      <c r="AK26" s="166"/>
      <c r="AL26" s="166"/>
      <c r="AM26" s="166"/>
    </row>
    <row r="27" spans="2:39" ht="15" thickBot="1" x14ac:dyDescent="0.35">
      <c r="B27" s="916"/>
      <c r="C27" s="201" t="s">
        <v>238</v>
      </c>
      <c r="D27" s="193" t="str">
        <f t="shared" ref="D27:F27" si="7">IF(D23&lt;=D24,"OK","NOK")</f>
        <v>OK</v>
      </c>
      <c r="E27" s="193" t="str">
        <f t="shared" si="7"/>
        <v>OK</v>
      </c>
      <c r="F27" s="193" t="str">
        <f t="shared" si="7"/>
        <v>OK</v>
      </c>
      <c r="G27" s="330" t="s">
        <v>300</v>
      </c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68"/>
      <c r="AA27" s="166"/>
      <c r="AB27" s="166"/>
      <c r="AC27" s="970"/>
      <c r="AD27" s="970"/>
      <c r="AE27" s="970"/>
      <c r="AF27" s="970"/>
      <c r="AG27" s="970"/>
      <c r="AH27" s="970"/>
      <c r="AI27" s="166"/>
      <c r="AJ27" s="166"/>
      <c r="AK27" s="166"/>
      <c r="AL27" s="166"/>
      <c r="AM27" s="166"/>
    </row>
    <row r="28" spans="2:39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 t="shared" ref="E28:F28" si="8">(1.05*1.05*$AC$18)/((E32))</f>
        <v>2.2771503283936405</v>
      </c>
      <c r="F28" s="115">
        <f t="shared" si="8"/>
        <v>4.0957768388481011</v>
      </c>
      <c r="G28" s="330" t="s">
        <v>300</v>
      </c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Z28" s="166"/>
      <c r="AA28" s="166"/>
      <c r="AB28" s="166"/>
      <c r="AC28" s="970"/>
      <c r="AD28" s="970"/>
      <c r="AE28" s="970"/>
      <c r="AF28" s="970"/>
      <c r="AG28" s="970"/>
      <c r="AH28" s="970"/>
      <c r="AI28" s="166"/>
      <c r="AJ28" s="166"/>
      <c r="AK28" s="166"/>
      <c r="AL28" s="166"/>
      <c r="AM28" s="166"/>
    </row>
    <row r="29" spans="2:39" x14ac:dyDescent="0.3">
      <c r="B29" s="906"/>
      <c r="C29" s="139" t="s">
        <v>242</v>
      </c>
      <c r="D29" s="139">
        <f>($AC$9*D11/D15)*1000</f>
        <v>5.8683129999999997</v>
      </c>
      <c r="E29" s="139">
        <f t="shared" ref="E29:F29" si="9">($AC$9*E11/E15)*1000</f>
        <v>30.847506249999999</v>
      </c>
      <c r="F29" s="139">
        <f t="shared" si="9"/>
        <v>36.191168750000003</v>
      </c>
      <c r="G29" s="330" t="s">
        <v>300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239"/>
      <c r="AA29" s="166"/>
      <c r="AB29" s="166"/>
      <c r="AC29" s="970"/>
      <c r="AD29" s="970"/>
      <c r="AE29" s="970"/>
      <c r="AF29" s="970"/>
      <c r="AG29" s="970"/>
      <c r="AH29" s="970"/>
      <c r="AI29" s="166"/>
      <c r="AJ29" s="166"/>
      <c r="AK29" s="166"/>
      <c r="AL29" s="166"/>
      <c r="AM29" s="166"/>
    </row>
    <row r="30" spans="2:39" x14ac:dyDescent="0.3">
      <c r="B30" s="906"/>
      <c r="C30" s="139" t="s">
        <v>243</v>
      </c>
      <c r="D30" s="139">
        <f>(0.08*D11)</f>
        <v>0.9301600000000001</v>
      </c>
      <c r="E30" s="139">
        <f t="shared" ref="E30:F30" si="10">(0.08*E11)</f>
        <v>1.1176000000000001</v>
      </c>
      <c r="F30" s="139">
        <f t="shared" si="10"/>
        <v>1.3112000000000001</v>
      </c>
      <c r="G30" s="330" t="s">
        <v>300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239"/>
      <c r="AA30" s="166"/>
      <c r="AB30" s="166"/>
      <c r="AC30" s="970"/>
      <c r="AD30" s="970"/>
      <c r="AE30" s="970"/>
      <c r="AF30" s="970"/>
      <c r="AG30" s="970"/>
      <c r="AH30" s="970"/>
      <c r="AI30" s="166"/>
      <c r="AJ30" s="166"/>
      <c r="AK30" s="166"/>
      <c r="AL30" s="166"/>
      <c r="AM30" s="166"/>
    </row>
    <row r="31" spans="2:39" x14ac:dyDescent="0.3">
      <c r="B31" s="906"/>
      <c r="C31" s="139" t="s">
        <v>245</v>
      </c>
      <c r="D31" s="139">
        <f>SQRT(D29*D29+D30*D30)</f>
        <v>5.9415734525097808</v>
      </c>
      <c r="E31" s="139">
        <f t="shared" ref="E31:F31" si="11">SQRT(E29*E29+E30*E30)</f>
        <v>30.867744841562185</v>
      </c>
      <c r="F31" s="139">
        <f t="shared" si="11"/>
        <v>36.21491323931312</v>
      </c>
      <c r="G31" s="330" t="s">
        <v>300</v>
      </c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239"/>
      <c r="AA31" s="166"/>
      <c r="AB31" s="166"/>
      <c r="AC31" s="970"/>
      <c r="AD31" s="970"/>
      <c r="AE31" s="970"/>
      <c r="AF31" s="970"/>
      <c r="AG31" s="970"/>
      <c r="AH31" s="970"/>
      <c r="AI31" s="166"/>
      <c r="AJ31" s="166"/>
      <c r="AK31" s="166"/>
      <c r="AL31" s="166"/>
      <c r="AM31" s="166"/>
    </row>
    <row r="32" spans="2:39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139">
        <f>'[1]Canalizações Principais'!$C$25+[1]Ramais!E26</f>
        <v>61.911332081099324</v>
      </c>
      <c r="G32" s="330" t="s">
        <v>300</v>
      </c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239"/>
      <c r="AA32" s="166"/>
      <c r="AB32" s="166"/>
      <c r="AC32" s="970"/>
      <c r="AD32" s="970"/>
      <c r="AE32" s="970"/>
      <c r="AF32" s="970"/>
      <c r="AG32" s="970"/>
      <c r="AH32" s="970"/>
      <c r="AI32" s="166"/>
      <c r="AJ32" s="166"/>
      <c r="AK32" s="166"/>
      <c r="AL32" s="166"/>
      <c r="AM32" s="166"/>
    </row>
    <row r="33" spans="2:39" x14ac:dyDescent="0.3">
      <c r="B33" s="906"/>
      <c r="C33" s="139" t="s">
        <v>248</v>
      </c>
      <c r="D33" s="144">
        <f>((0.95*1.05*$AC$18)/D32)*1000</f>
        <v>3705.7028541959003</v>
      </c>
      <c r="E33" s="144">
        <f t="shared" ref="E33:F33" si="12">((0.95*1.05*$AC$18)/E32)*1000</f>
        <v>2060.2788685466271</v>
      </c>
      <c r="F33" s="144">
        <f t="shared" si="12"/>
        <v>3705.7028541959003</v>
      </c>
      <c r="G33" s="330" t="s">
        <v>300</v>
      </c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239"/>
      <c r="AA33" s="166"/>
      <c r="AB33" s="166"/>
      <c r="AC33" s="970"/>
      <c r="AD33" s="970"/>
      <c r="AE33" s="970"/>
      <c r="AF33" s="970"/>
      <c r="AG33" s="970"/>
      <c r="AH33" s="970"/>
      <c r="AI33" s="166"/>
      <c r="AJ33" s="166"/>
      <c r="AK33" s="166"/>
      <c r="AL33" s="166"/>
      <c r="AM33" s="166"/>
    </row>
    <row r="34" spans="2:39" x14ac:dyDescent="0.3">
      <c r="B34" s="906"/>
      <c r="C34" s="139" t="s">
        <v>249</v>
      </c>
      <c r="D34" s="144">
        <f>((0.95*1.05*$AC$19)/D32)*1000</f>
        <v>6444.7006159928715</v>
      </c>
      <c r="E34" s="144">
        <f t="shared" ref="E34:F34" si="13">((0.95*1.05*$AC$19)/E32)*1000</f>
        <v>3583.0936844289167</v>
      </c>
      <c r="F34" s="144">
        <f t="shared" si="13"/>
        <v>6444.7006159928715</v>
      </c>
      <c r="G34" s="330" t="s">
        <v>300</v>
      </c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239"/>
      <c r="AA34" s="166"/>
      <c r="AB34" s="166"/>
      <c r="AC34" s="970"/>
      <c r="AD34" s="970"/>
      <c r="AE34" s="970"/>
      <c r="AF34" s="970"/>
      <c r="AG34" s="970"/>
      <c r="AH34" s="970"/>
      <c r="AI34" s="166"/>
      <c r="AJ34" s="166"/>
      <c r="AK34" s="166"/>
      <c r="AL34" s="166"/>
      <c r="AM34" s="166"/>
    </row>
    <row r="35" spans="2:39" x14ac:dyDescent="0.3">
      <c r="B35" s="906"/>
      <c r="C35" s="139" t="s">
        <v>251</v>
      </c>
      <c r="D35" s="147">
        <f>IF(D33&lt;D34,D33,D34)</f>
        <v>3705.7028541959003</v>
      </c>
      <c r="E35" s="147">
        <f t="shared" ref="E35:F35" si="14">IF(E33&lt;E34,E33,E34)</f>
        <v>2060.2788685466271</v>
      </c>
      <c r="F35" s="147">
        <f t="shared" si="14"/>
        <v>3705.7028541959003</v>
      </c>
      <c r="G35" s="330" t="s">
        <v>300</v>
      </c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239"/>
      <c r="AA35" s="166"/>
      <c r="AB35" s="166"/>
      <c r="AC35" s="970"/>
      <c r="AD35" s="970"/>
      <c r="AE35" s="970"/>
      <c r="AF35" s="970"/>
      <c r="AG35" s="970"/>
      <c r="AH35" s="970"/>
      <c r="AI35" s="166"/>
      <c r="AJ35" s="166"/>
      <c r="AK35" s="166"/>
      <c r="AL35" s="166"/>
      <c r="AM35" s="166"/>
    </row>
    <row r="36" spans="2:39" x14ac:dyDescent="0.3">
      <c r="B36" s="906"/>
      <c r="C36" s="139" t="s">
        <v>253</v>
      </c>
      <c r="D36" s="139">
        <f>D35/D22</f>
        <v>23.160642838724378</v>
      </c>
      <c r="E36" s="139">
        <f t="shared" ref="E36:F36" si="15">E35/E22</f>
        <v>103.01394342733136</v>
      </c>
      <c r="F36" s="139">
        <f t="shared" si="15"/>
        <v>185.28514270979502</v>
      </c>
      <c r="G36" s="330" t="s">
        <v>300</v>
      </c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239"/>
      <c r="AA36" s="166"/>
      <c r="AB36" s="166"/>
      <c r="AC36" s="970"/>
      <c r="AD36" s="970"/>
      <c r="AE36" s="970"/>
      <c r="AF36" s="970"/>
      <c r="AG36" s="970"/>
      <c r="AH36" s="970"/>
      <c r="AI36" s="166"/>
      <c r="AJ36" s="166"/>
      <c r="AK36" s="166"/>
      <c r="AL36" s="166"/>
      <c r="AM36" s="166"/>
    </row>
    <row r="37" spans="2:39" x14ac:dyDescent="0.3">
      <c r="B37" s="906"/>
      <c r="C37" s="139" t="s">
        <v>255</v>
      </c>
      <c r="D37" s="139">
        <v>76</v>
      </c>
      <c r="E37" s="139">
        <v>76</v>
      </c>
      <c r="F37" s="139">
        <v>76</v>
      </c>
      <c r="G37" s="330" t="s">
        <v>300</v>
      </c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239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</row>
    <row r="38" spans="2:39" x14ac:dyDescent="0.3">
      <c r="B38" s="906"/>
      <c r="C38" s="150" t="s">
        <v>257</v>
      </c>
      <c r="D38" s="158">
        <f>(D37*D16/D35)^2</f>
        <v>2.0610194040209548</v>
      </c>
      <c r="E38" s="158">
        <f t="shared" ref="E38:F38" si="16">(E37*E16/E35)^2</f>
        <v>0.34834945349272384</v>
      </c>
      <c r="F38" s="158">
        <f t="shared" si="16"/>
        <v>0.10767774845497236</v>
      </c>
      <c r="G38" s="330" t="s">
        <v>300</v>
      </c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</row>
    <row r="39" spans="2:39" x14ac:dyDescent="0.3">
      <c r="B39" s="906"/>
      <c r="C39" s="150" t="s">
        <v>259</v>
      </c>
      <c r="D39" s="150">
        <v>1.6E-2</v>
      </c>
      <c r="E39" s="150">
        <v>1E-3</v>
      </c>
      <c r="F39" s="150">
        <v>1.6E-2</v>
      </c>
      <c r="G39" s="330" t="s">
        <v>300</v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</row>
    <row r="40" spans="2:39" x14ac:dyDescent="0.3">
      <c r="B40" s="906"/>
      <c r="C40" s="206" t="s">
        <v>261</v>
      </c>
      <c r="D40" s="150">
        <v>120</v>
      </c>
      <c r="E40" s="150">
        <v>120</v>
      </c>
      <c r="F40" s="150">
        <v>120</v>
      </c>
      <c r="G40" s="330" t="s">
        <v>300</v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</row>
    <row r="41" spans="2:39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:F41" si="17">IF(E39&lt;5,"OK","NOK")</f>
        <v>OK</v>
      </c>
      <c r="F41" s="207" t="str">
        <f t="shared" si="17"/>
        <v>OK</v>
      </c>
      <c r="G41" s="330" t="s">
        <v>300</v>
      </c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</row>
    <row r="42" spans="2:39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:F42" si="18">IF(E39&lt;E38,"OK","NOK")</f>
        <v>OK</v>
      </c>
      <c r="F42" s="207" t="str">
        <f t="shared" si="18"/>
        <v>OK</v>
      </c>
      <c r="G42" s="330" t="s">
        <v>300</v>
      </c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</row>
    <row r="43" spans="2:39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:F43" si="19">IF(E28&lt;=E40,"OK","NOK")</f>
        <v>OK</v>
      </c>
      <c r="F43" s="208" t="str">
        <f t="shared" si="19"/>
        <v>OK</v>
      </c>
      <c r="G43" s="330" t="s">
        <v>300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239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</row>
  </sheetData>
  <mergeCells count="42">
    <mergeCell ref="B14:C14"/>
    <mergeCell ref="AG32:AH32"/>
    <mergeCell ref="AC33:AF33"/>
    <mergeCell ref="AG33:AH33"/>
    <mergeCell ref="AC34:AF34"/>
    <mergeCell ref="AG34:AH34"/>
    <mergeCell ref="B28:B43"/>
    <mergeCell ref="AC36:AF36"/>
    <mergeCell ref="AG36:AH36"/>
    <mergeCell ref="B17:B20"/>
    <mergeCell ref="B16:C16"/>
    <mergeCell ref="B15:C15"/>
    <mergeCell ref="AC35:AF35"/>
    <mergeCell ref="AG35:AH35"/>
    <mergeCell ref="AC31:AF31"/>
    <mergeCell ref="AG31:AH31"/>
    <mergeCell ref="AC32:AF32"/>
    <mergeCell ref="AD13:AF13"/>
    <mergeCell ref="AD14:AF14"/>
    <mergeCell ref="AC28:AF28"/>
    <mergeCell ref="AG28:AH28"/>
    <mergeCell ref="AC29:AF29"/>
    <mergeCell ref="AG29:AH29"/>
    <mergeCell ref="AC30:AF30"/>
    <mergeCell ref="AG30:AH30"/>
    <mergeCell ref="B21:B27"/>
    <mergeCell ref="AC25:AF26"/>
    <mergeCell ref="AG25:AH26"/>
    <mergeCell ref="AC27:AF27"/>
    <mergeCell ref="AG27:AH27"/>
    <mergeCell ref="B13:C13"/>
    <mergeCell ref="AB7:AC7"/>
    <mergeCell ref="AD7:AF7"/>
    <mergeCell ref="AD8:AF8"/>
    <mergeCell ref="AD9:AF9"/>
    <mergeCell ref="AB12:AC12"/>
    <mergeCell ref="AD12:AF12"/>
    <mergeCell ref="B12:C12"/>
    <mergeCell ref="B11:C11"/>
    <mergeCell ref="B10:C10"/>
    <mergeCell ref="B9:C9"/>
    <mergeCell ref="B8:C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37C4-F9B8-4897-80E9-45893D6B2B28}">
  <dimension ref="B5:AK43"/>
  <sheetViews>
    <sheetView zoomScale="55" zoomScaleNormal="55" workbookViewId="0">
      <selection sqref="A1:AL46"/>
    </sheetView>
  </sheetViews>
  <sheetFormatPr defaultRowHeight="14.4" x14ac:dyDescent="0.3"/>
  <sheetData>
    <row r="5" spans="2:37" ht="15" thickBot="1" x14ac:dyDescent="0.35"/>
    <row r="6" spans="2:37" ht="15" thickBot="1" x14ac:dyDescent="0.35">
      <c r="C6" s="941" t="s">
        <v>266</v>
      </c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3"/>
      <c r="W6" s="156"/>
      <c r="X6" s="156"/>
      <c r="Y6" s="156"/>
      <c r="Z6" s="156"/>
    </row>
    <row r="7" spans="2:37" ht="15" x14ac:dyDescent="0.35">
      <c r="C7" s="944"/>
      <c r="D7" s="945"/>
      <c r="E7" s="945"/>
      <c r="F7" s="945"/>
      <c r="G7" s="945"/>
      <c r="H7" s="945"/>
      <c r="I7" s="946"/>
      <c r="J7" s="946"/>
      <c r="K7" s="946"/>
      <c r="L7" s="946"/>
      <c r="M7" s="946"/>
      <c r="N7" s="946"/>
      <c r="O7" s="946"/>
      <c r="P7" s="946"/>
      <c r="Q7" s="946"/>
      <c r="R7" s="946"/>
      <c r="S7" s="946"/>
      <c r="T7" s="946"/>
      <c r="U7" s="946"/>
      <c r="V7" s="947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C8" s="105" t="s">
        <v>267</v>
      </c>
      <c r="D8" s="169">
        <v>1</v>
      </c>
      <c r="E8" s="169">
        <v>2</v>
      </c>
      <c r="F8" s="169">
        <v>3</v>
      </c>
      <c r="G8" s="170">
        <v>4</v>
      </c>
      <c r="H8" s="365">
        <v>5</v>
      </c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C9" s="106" t="s">
        <v>212</v>
      </c>
      <c r="D9" s="171" t="s">
        <v>215</v>
      </c>
      <c r="E9" s="171" t="s">
        <v>215</v>
      </c>
      <c r="F9" s="171" t="s">
        <v>215</v>
      </c>
      <c r="G9" s="171" t="s">
        <v>215</v>
      </c>
      <c r="H9" s="171" t="s">
        <v>215</v>
      </c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C10" s="106" t="s">
        <v>214</v>
      </c>
      <c r="D10" s="171" t="s">
        <v>310</v>
      </c>
      <c r="E10" s="171" t="s">
        <v>311</v>
      </c>
      <c r="F10" s="171" t="s">
        <v>312</v>
      </c>
      <c r="G10" s="112" t="s">
        <v>313</v>
      </c>
      <c r="H10" s="205" t="s">
        <v>314</v>
      </c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C11" s="172" t="s">
        <v>217</v>
      </c>
      <c r="D11" s="169">
        <v>9.1300000000000008</v>
      </c>
      <c r="E11" s="169">
        <v>8.5909999999999993</v>
      </c>
      <c r="F11" s="169">
        <v>20.536999999999999</v>
      </c>
      <c r="G11" s="170">
        <v>33.011000000000003</v>
      </c>
      <c r="H11" s="365">
        <v>36.167999999999999</v>
      </c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  <c r="AJ11" t="s">
        <v>258</v>
      </c>
      <c r="AK11">
        <v>1.9</v>
      </c>
    </row>
    <row r="12" spans="2:37" ht="15" x14ac:dyDescent="0.35">
      <c r="C12" s="172" t="s">
        <v>29</v>
      </c>
      <c r="D12" s="171">
        <v>17.25</v>
      </c>
      <c r="E12" s="171">
        <v>17.25</v>
      </c>
      <c r="F12" s="171">
        <v>17.25</v>
      </c>
      <c r="G12" s="112">
        <v>17.25</v>
      </c>
      <c r="H12" s="205">
        <f>'[1]Canalizações Principais'!T5</f>
        <v>10.35</v>
      </c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C13" s="172" t="s">
        <v>218</v>
      </c>
      <c r="D13" s="109">
        <f>D12*1000/(SQRT(3)*$AC$19)</f>
        <v>24.898230358802611</v>
      </c>
      <c r="E13" s="109">
        <f>E12*1000/(SQRT(3)*$AC$19)</f>
        <v>24.898230358802611</v>
      </c>
      <c r="F13" s="109">
        <f>F12*1000/(SQRT(3)*$AC$19)</f>
        <v>24.898230358802611</v>
      </c>
      <c r="G13" s="110">
        <f>G12*1000/(SQRT(3)*$AC$19)</f>
        <v>24.898230358802611</v>
      </c>
      <c r="H13" s="366">
        <v>41.4</v>
      </c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C14" s="172" t="s">
        <v>268</v>
      </c>
      <c r="D14" s="175" t="s">
        <v>269</v>
      </c>
      <c r="E14" s="175" t="s">
        <v>269</v>
      </c>
      <c r="F14" s="367" t="s">
        <v>269</v>
      </c>
      <c r="G14" s="175" t="s">
        <v>269</v>
      </c>
      <c r="H14" s="175" t="s">
        <v>269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157"/>
      <c r="C15" s="178" t="s">
        <v>219</v>
      </c>
      <c r="D15" s="179">
        <v>16</v>
      </c>
      <c r="E15" s="179">
        <v>16</v>
      </c>
      <c r="F15" s="179">
        <v>16</v>
      </c>
      <c r="G15" s="180">
        <v>16</v>
      </c>
      <c r="H15" s="368">
        <v>16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40.200000000000003" thickBot="1" x14ac:dyDescent="0.35">
      <c r="C16" s="182" t="s">
        <v>220</v>
      </c>
      <c r="D16" s="183">
        <v>16</v>
      </c>
      <c r="E16" s="184">
        <v>16</v>
      </c>
      <c r="F16" s="184">
        <v>16</v>
      </c>
      <c r="G16" s="185">
        <v>16</v>
      </c>
      <c r="H16" s="369">
        <v>16</v>
      </c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  <c r="AB16" s="132"/>
      <c r="AC16" s="132"/>
      <c r="AD16" s="132"/>
      <c r="AE16" s="132"/>
      <c r="AF16" s="132"/>
    </row>
    <row r="17" spans="2:36" ht="27" customHeight="1" thickBot="1" x14ac:dyDescent="0.35">
      <c r="B17" s="962" t="s">
        <v>221</v>
      </c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189">
        <f>'[1]Canalizações Principais'!$C$12</f>
        <v>0.45689446275976331</v>
      </c>
      <c r="G17" s="190">
        <f>'[1]Canalizações Principais'!$C$12</f>
        <v>0.45689446275976331</v>
      </c>
      <c r="H17" s="370">
        <f>'[1]Canalizações Principais'!$D$12</f>
        <v>1.1305653121506589</v>
      </c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  <c r="AB17" s="132"/>
      <c r="AC17" s="132"/>
      <c r="AD17" s="132"/>
      <c r="AE17" s="132"/>
      <c r="AF17" s="132"/>
    </row>
    <row r="18" spans="2:36" ht="14.4" customHeight="1" x14ac:dyDescent="0.3">
      <c r="B18" s="963"/>
      <c r="C18" s="191" t="s">
        <v>222</v>
      </c>
      <c r="D18" s="115">
        <f>($AC$9*D11/D15)*D13</f>
        <v>0.50195283683771319</v>
      </c>
      <c r="E18" s="115">
        <f>($AC$9*E11/E15)*E13</f>
        <v>0.47231947659066742</v>
      </c>
      <c r="F18" s="115">
        <f>($AC$9*F11/F15)*F13</f>
        <v>1.1290915016578438</v>
      </c>
      <c r="G18" s="138">
        <f>($AC$9*G11/G15)*G13</f>
        <v>1.8148921245180449</v>
      </c>
      <c r="H18" s="371">
        <f>($AC$9*H11/H15)*H13</f>
        <v>3.3063474509999997</v>
      </c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  <c r="AB18" s="140" t="s">
        <v>244</v>
      </c>
      <c r="AC18" s="141">
        <v>230</v>
      </c>
      <c r="AD18" s="132"/>
    </row>
    <row r="19" spans="2:36" ht="15" thickBot="1" x14ac:dyDescent="0.35">
      <c r="B19" s="963"/>
      <c r="C19" s="117" t="s">
        <v>223</v>
      </c>
      <c r="D19" s="115">
        <f t="shared" ref="D19:H19" si="0">D17+(D18/230)*100</f>
        <v>0.67513482660224722</v>
      </c>
      <c r="E19" s="115">
        <f t="shared" si="0"/>
        <v>0.66225075692961866</v>
      </c>
      <c r="F19" s="115">
        <f t="shared" si="0"/>
        <v>0.94780381130665192</v>
      </c>
      <c r="G19" s="138">
        <f t="shared" si="0"/>
        <v>1.2459779951589132</v>
      </c>
      <c r="H19" s="371">
        <f t="shared" si="0"/>
        <v>2.568107682150659</v>
      </c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  <c r="AB19" s="142" t="s">
        <v>246</v>
      </c>
      <c r="AC19" s="143">
        <v>400</v>
      </c>
      <c r="AD19" s="132"/>
    </row>
    <row r="20" spans="2:36" ht="40.200000000000003" thickBot="1" x14ac:dyDescent="0.35">
      <c r="B20" s="964"/>
      <c r="C20" s="118" t="s">
        <v>272</v>
      </c>
      <c r="D20" s="193" t="str">
        <f>IF(D19&lt;=8,"OK","NOK")</f>
        <v>OK</v>
      </c>
      <c r="E20" s="193" t="str">
        <f t="shared" ref="E20:H20" si="1">IF(E19&lt;=8,"OK","NOK")</f>
        <v>OK</v>
      </c>
      <c r="F20" s="193" t="str">
        <f t="shared" si="1"/>
        <v>OK</v>
      </c>
      <c r="G20" s="120" t="str">
        <f t="shared" si="1"/>
        <v>OK</v>
      </c>
      <c r="H20" s="372" t="str">
        <f t="shared" si="1"/>
        <v>OK</v>
      </c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2:36" x14ac:dyDescent="0.3">
      <c r="B21" s="914" t="s">
        <v>225</v>
      </c>
      <c r="C21" s="121" t="s">
        <v>226</v>
      </c>
      <c r="D21" s="195">
        <v>90</v>
      </c>
      <c r="E21" s="196">
        <v>90</v>
      </c>
      <c r="F21" s="196">
        <v>90</v>
      </c>
      <c r="G21" s="197">
        <v>90</v>
      </c>
      <c r="H21" s="373">
        <v>90</v>
      </c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2:36" x14ac:dyDescent="0.3">
      <c r="B22" s="915"/>
      <c r="C22" s="124" t="s">
        <v>229</v>
      </c>
      <c r="D22" s="111">
        <v>25</v>
      </c>
      <c r="E22" s="124">
        <v>25</v>
      </c>
      <c r="F22" s="124">
        <v>25</v>
      </c>
      <c r="G22" s="170">
        <v>25</v>
      </c>
      <c r="H22" s="365">
        <v>50</v>
      </c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2:36" x14ac:dyDescent="0.3">
      <c r="B23" s="915"/>
      <c r="C23" s="124" t="s">
        <v>232</v>
      </c>
      <c r="D23" s="111">
        <f>$AK$10*D22</f>
        <v>40</v>
      </c>
      <c r="E23" s="111">
        <f>$AK$10*E22</f>
        <v>40</v>
      </c>
      <c r="F23" s="111">
        <f>$AK$10*F22</f>
        <v>40</v>
      </c>
      <c r="G23" s="112">
        <f>$AK$10*G22</f>
        <v>40</v>
      </c>
      <c r="H23" s="150">
        <f>$AK$10*H22</f>
        <v>80</v>
      </c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2:36" x14ac:dyDescent="0.3">
      <c r="B24" s="915"/>
      <c r="C24" s="124" t="s">
        <v>234</v>
      </c>
      <c r="D24" s="124">
        <f>1.45*D21</f>
        <v>130.5</v>
      </c>
      <c r="E24" s="124">
        <f t="shared" ref="E24:H24" si="2">1.45*E21</f>
        <v>130.5</v>
      </c>
      <c r="F24" s="124">
        <f t="shared" si="2"/>
        <v>130.5</v>
      </c>
      <c r="G24" s="170">
        <f t="shared" si="2"/>
        <v>130.5</v>
      </c>
      <c r="H24" s="206">
        <f t="shared" si="2"/>
        <v>130.5</v>
      </c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132"/>
      <c r="AB24" s="166"/>
      <c r="AC24" s="166"/>
      <c r="AD24" s="166"/>
      <c r="AE24" s="166"/>
      <c r="AF24" s="166"/>
      <c r="AG24" s="166"/>
      <c r="AH24" s="166"/>
      <c r="AI24" s="166"/>
      <c r="AJ24" s="166"/>
    </row>
    <row r="25" spans="2:36" ht="40.200000000000003" x14ac:dyDescent="0.3">
      <c r="B25" s="915"/>
      <c r="C25" s="133" t="s">
        <v>235</v>
      </c>
      <c r="D25" s="199" t="str">
        <f t="shared" ref="D25:H25" si="3">IF(D13&lt;=D22,"OK","NOK")</f>
        <v>OK</v>
      </c>
      <c r="E25" s="199" t="str">
        <f t="shared" si="3"/>
        <v>OK</v>
      </c>
      <c r="F25" s="199" t="str">
        <f t="shared" si="3"/>
        <v>OK</v>
      </c>
      <c r="G25" s="135" t="str">
        <f t="shared" si="3"/>
        <v>OK</v>
      </c>
      <c r="H25" s="374" t="str">
        <f t="shared" si="3"/>
        <v>OK</v>
      </c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94"/>
      <c r="AB25" s="166"/>
      <c r="AC25" s="335"/>
      <c r="AD25" s="335"/>
      <c r="AE25" s="335"/>
      <c r="AF25" s="335"/>
      <c r="AG25" s="335"/>
      <c r="AH25" s="335"/>
      <c r="AI25" s="166"/>
      <c r="AJ25" s="166"/>
    </row>
    <row r="26" spans="2:36" ht="39.6" x14ac:dyDescent="0.3">
      <c r="B26" s="915"/>
      <c r="C26" s="200" t="s">
        <v>236</v>
      </c>
      <c r="D26" s="199" t="str">
        <f t="shared" ref="D26:H26" si="4">IF(D22&lt;=D21,"OK","NOK")</f>
        <v>OK</v>
      </c>
      <c r="E26" s="199" t="str">
        <f t="shared" si="4"/>
        <v>OK</v>
      </c>
      <c r="F26" s="199" t="str">
        <f t="shared" si="4"/>
        <v>OK</v>
      </c>
      <c r="G26" s="135" t="str">
        <f t="shared" si="4"/>
        <v>OK</v>
      </c>
      <c r="H26" s="374" t="str">
        <f t="shared" si="4"/>
        <v>OK</v>
      </c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94"/>
      <c r="AB26" s="166"/>
      <c r="AC26" s="335"/>
      <c r="AD26" s="335"/>
      <c r="AE26" s="335"/>
      <c r="AF26" s="335"/>
      <c r="AG26" s="335"/>
      <c r="AH26" s="335"/>
      <c r="AI26" s="166"/>
      <c r="AJ26" s="166"/>
    </row>
    <row r="27" spans="2:36" ht="40.200000000000003" thickBot="1" x14ac:dyDescent="0.35">
      <c r="B27" s="916"/>
      <c r="C27" s="201" t="s">
        <v>238</v>
      </c>
      <c r="D27" s="193" t="str">
        <f t="shared" ref="D27:H27" si="5">IF(D23&lt;=D24,"OK","NOK")</f>
        <v>OK</v>
      </c>
      <c r="E27" s="193" t="str">
        <f t="shared" si="5"/>
        <v>OK</v>
      </c>
      <c r="F27" s="193" t="str">
        <f t="shared" si="5"/>
        <v>OK</v>
      </c>
      <c r="G27" s="120" t="str">
        <f t="shared" si="5"/>
        <v>OK</v>
      </c>
      <c r="H27" s="372" t="str">
        <f t="shared" si="5"/>
        <v>OK</v>
      </c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94"/>
      <c r="AB27" s="166"/>
      <c r="AC27" s="334"/>
      <c r="AD27" s="334"/>
      <c r="AE27" s="334"/>
      <c r="AF27" s="334"/>
      <c r="AG27" s="334"/>
      <c r="AH27" s="334"/>
      <c r="AI27" s="166"/>
      <c r="AJ27" s="166"/>
    </row>
    <row r="28" spans="2:36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>(1.05*1.05*$AC$18)/((E32))</f>
        <v>2.2771503283936405</v>
      </c>
      <c r="F28" s="115">
        <f>(1.05*1.05*$AC$18)/((F32))</f>
        <v>4.0957768388481011</v>
      </c>
      <c r="G28" s="116">
        <f>(1.05*1.05*$AC$18)/((G32))</f>
        <v>2.2771503283936405</v>
      </c>
      <c r="H28" s="371">
        <f>(1.05*1.05*$AC$18)/((H32))</f>
        <v>7.2054224119602015</v>
      </c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AB28" s="166"/>
      <c r="AC28" s="334"/>
      <c r="AD28" s="334"/>
      <c r="AE28" s="334"/>
      <c r="AF28" s="334"/>
      <c r="AG28" s="334"/>
      <c r="AH28" s="334"/>
      <c r="AI28" s="166"/>
      <c r="AJ28" s="166"/>
    </row>
    <row r="29" spans="2:36" x14ac:dyDescent="0.3">
      <c r="B29" s="906"/>
      <c r="C29" s="139" t="s">
        <v>242</v>
      </c>
      <c r="D29" s="139">
        <f>($AC$9*D11/D15)*1000</f>
        <v>20.160181250000001</v>
      </c>
      <c r="E29" s="139">
        <f>($AC$9*E11/E15)*1000</f>
        <v>18.970001875000001</v>
      </c>
      <c r="F29" s="139">
        <f>($AC$9*F11/F15)*1000</f>
        <v>45.348263124999995</v>
      </c>
      <c r="G29" s="202">
        <f>($AC$9*G11/G15)*1000</f>
        <v>72.892414375000001</v>
      </c>
      <c r="H29" s="203">
        <f>($AC$9*H11/H15)*1000</f>
        <v>79.863464999999991</v>
      </c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155"/>
      <c r="AB29" s="166"/>
      <c r="AC29" s="334"/>
      <c r="AD29" s="334"/>
      <c r="AE29" s="334"/>
      <c r="AF29" s="334"/>
      <c r="AG29" s="334"/>
      <c r="AH29" s="334"/>
      <c r="AI29" s="166"/>
      <c r="AJ29" s="166"/>
    </row>
    <row r="30" spans="2:36" x14ac:dyDescent="0.3">
      <c r="B30" s="906"/>
      <c r="C30" s="139" t="s">
        <v>243</v>
      </c>
      <c r="D30" s="139">
        <f>(0.08*D11)</f>
        <v>0.73040000000000005</v>
      </c>
      <c r="E30" s="139">
        <f t="shared" ref="E30:H30" si="6">(0.08*E11)</f>
        <v>0.68728</v>
      </c>
      <c r="F30" s="139">
        <f t="shared" si="6"/>
        <v>1.64296</v>
      </c>
      <c r="G30" s="202">
        <f t="shared" si="6"/>
        <v>2.6408800000000001</v>
      </c>
      <c r="H30" s="203">
        <f t="shared" si="6"/>
        <v>2.89344</v>
      </c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155"/>
      <c r="AB30" s="166"/>
      <c r="AC30" s="334"/>
      <c r="AD30" s="334"/>
      <c r="AE30" s="334"/>
      <c r="AF30" s="334"/>
      <c r="AG30" s="334"/>
      <c r="AH30" s="334"/>
      <c r="AI30" s="166"/>
      <c r="AJ30" s="166"/>
    </row>
    <row r="31" spans="2:36" x14ac:dyDescent="0.3">
      <c r="B31" s="906"/>
      <c r="C31" s="139" t="s">
        <v>245</v>
      </c>
      <c r="D31" s="139">
        <f>SQRT(D29*D29+D30*D30)</f>
        <v>20.173408046060327</v>
      </c>
      <c r="E31" s="139">
        <f t="shared" ref="E31:H31" si="7">SQRT(E29*E29+E30*E30)</f>
        <v>18.982447812015803</v>
      </c>
      <c r="F31" s="139">
        <f t="shared" si="7"/>
        <v>45.378015448186297</v>
      </c>
      <c r="G31" s="202">
        <f t="shared" si="7"/>
        <v>72.940238007502472</v>
      </c>
      <c r="H31" s="203">
        <f t="shared" si="7"/>
        <v>79.915862235477533</v>
      </c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155"/>
      <c r="AB31" s="166"/>
      <c r="AC31" s="334"/>
      <c r="AD31" s="334"/>
      <c r="AE31" s="334"/>
      <c r="AF31" s="334"/>
      <c r="AG31" s="334"/>
      <c r="AH31" s="334"/>
      <c r="AI31" s="166"/>
      <c r="AJ31" s="166"/>
    </row>
    <row r="32" spans="2:36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139">
        <f>'[1]Canalizações Principais'!$C$25+[1]Ramais!E26</f>
        <v>61.911332081099324</v>
      </c>
      <c r="G32" s="202">
        <f>'[1]Canalizações Principais'!$C$25+[1]Ramais!F26</f>
        <v>111.35628457998126</v>
      </c>
      <c r="H32" s="203">
        <f>'[1]Canalizações Principais'!$D$25+[1]Ramais!G26</f>
        <v>35.192246269850003</v>
      </c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155"/>
      <c r="AB32" s="166"/>
      <c r="AC32" s="334"/>
      <c r="AD32" s="334"/>
      <c r="AE32" s="334"/>
      <c r="AF32" s="334"/>
      <c r="AG32" s="334"/>
      <c r="AH32" s="334"/>
      <c r="AI32" s="166"/>
      <c r="AJ32" s="166"/>
    </row>
    <row r="33" spans="2:36" x14ac:dyDescent="0.3">
      <c r="B33" s="906"/>
      <c r="C33" s="139" t="s">
        <v>248</v>
      </c>
      <c r="D33" s="144">
        <f>((0.95*1.05*$AC$18)/D32)*1000</f>
        <v>3705.7028541959003</v>
      </c>
      <c r="E33" s="144">
        <f>((0.95*1.05*$AC$18)/E32)*1000</f>
        <v>2060.2788685466271</v>
      </c>
      <c r="F33" s="144">
        <f>((0.95*1.05*$AC$18)/F32)*1000</f>
        <v>3705.7028541959003</v>
      </c>
      <c r="G33" s="145">
        <f>((0.95*1.05*$AC$18)/G32)*1000</f>
        <v>2060.2788685466271</v>
      </c>
      <c r="H33" s="375">
        <f>((0.95*1.05*$AC$18)/H32)*1000</f>
        <v>6519.1917060592286</v>
      </c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155"/>
      <c r="AB33" s="166"/>
      <c r="AC33" s="334"/>
      <c r="AD33" s="334"/>
      <c r="AE33" s="334"/>
      <c r="AF33" s="334"/>
      <c r="AG33" s="334"/>
      <c r="AH33" s="334"/>
      <c r="AI33" s="166"/>
      <c r="AJ33" s="166"/>
    </row>
    <row r="34" spans="2:36" x14ac:dyDescent="0.3">
      <c r="B34" s="906"/>
      <c r="C34" s="139" t="s">
        <v>249</v>
      </c>
      <c r="D34" s="144">
        <f>((0.95*1.05*$AC$19)/D32)*1000</f>
        <v>6444.7006159928715</v>
      </c>
      <c r="E34" s="144">
        <f>((0.95*1.05*$AC$19)/E32)*1000</f>
        <v>3583.0936844289167</v>
      </c>
      <c r="F34" s="144">
        <f>((0.95*1.05*$AC$19)/F32)*1000</f>
        <v>6444.7006159928715</v>
      </c>
      <c r="G34" s="145">
        <f>((0.95*1.05*$AC$19)/G32)*1000</f>
        <v>3583.0936844289167</v>
      </c>
      <c r="H34" s="375">
        <f>((0.95*1.05*$AC$19)/H32)*1000</f>
        <v>11337.724706189965</v>
      </c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155"/>
      <c r="AB34" s="166"/>
      <c r="AC34" s="334"/>
      <c r="AD34" s="334"/>
      <c r="AE34" s="334"/>
      <c r="AF34" s="334"/>
      <c r="AG34" s="334"/>
      <c r="AH34" s="334"/>
      <c r="AI34" s="166"/>
      <c r="AJ34" s="166"/>
    </row>
    <row r="35" spans="2:36" x14ac:dyDescent="0.3">
      <c r="B35" s="906"/>
      <c r="C35" s="139" t="s">
        <v>251</v>
      </c>
      <c r="D35" s="147">
        <f>IF(D33&lt;D34,D33,D34)</f>
        <v>3705.7028541959003</v>
      </c>
      <c r="E35" s="147">
        <f t="shared" ref="E35:H35" si="8">IF(E33&lt;E34,E33,E34)</f>
        <v>2060.2788685466271</v>
      </c>
      <c r="F35" s="147">
        <f t="shared" si="8"/>
        <v>3705.7028541959003</v>
      </c>
      <c r="G35" s="148">
        <f t="shared" si="8"/>
        <v>2060.2788685466271</v>
      </c>
      <c r="H35" s="376">
        <f t="shared" si="8"/>
        <v>6519.1917060592286</v>
      </c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155"/>
      <c r="AB35" s="166"/>
      <c r="AC35" s="334"/>
      <c r="AD35" s="334"/>
      <c r="AE35" s="334"/>
      <c r="AF35" s="334"/>
      <c r="AG35" s="334"/>
      <c r="AH35" s="334"/>
      <c r="AI35" s="166"/>
      <c r="AJ35" s="166"/>
    </row>
    <row r="36" spans="2:36" x14ac:dyDescent="0.3">
      <c r="B36" s="906"/>
      <c r="C36" s="139" t="s">
        <v>253</v>
      </c>
      <c r="D36" s="139">
        <f>D35/D22</f>
        <v>148.228114167836</v>
      </c>
      <c r="E36" s="139">
        <f t="shared" ref="E36:H36" si="9">E35/E22</f>
        <v>82.41115474186509</v>
      </c>
      <c r="F36" s="139">
        <f t="shared" si="9"/>
        <v>148.228114167836</v>
      </c>
      <c r="G36" s="202">
        <f t="shared" si="9"/>
        <v>82.41115474186509</v>
      </c>
      <c r="H36" s="203">
        <f t="shared" si="9"/>
        <v>130.38383412118458</v>
      </c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155"/>
      <c r="AB36" s="166"/>
      <c r="AC36" s="334"/>
      <c r="AD36" s="334"/>
      <c r="AE36" s="334"/>
      <c r="AF36" s="334"/>
      <c r="AG36" s="334"/>
      <c r="AH36" s="334"/>
      <c r="AI36" s="166"/>
      <c r="AJ36" s="166"/>
    </row>
    <row r="37" spans="2:36" x14ac:dyDescent="0.3">
      <c r="B37" s="906"/>
      <c r="C37" s="139" t="s">
        <v>255</v>
      </c>
      <c r="D37" s="139">
        <v>76</v>
      </c>
      <c r="E37" s="139">
        <v>76</v>
      </c>
      <c r="F37" s="139">
        <v>76</v>
      </c>
      <c r="G37" s="202">
        <v>76</v>
      </c>
      <c r="H37" s="203">
        <v>76</v>
      </c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155"/>
      <c r="AB37" s="166"/>
      <c r="AC37" s="166"/>
      <c r="AD37" s="166"/>
      <c r="AE37" s="166"/>
      <c r="AF37" s="166"/>
      <c r="AG37" s="166"/>
      <c r="AH37" s="166"/>
      <c r="AI37" s="166"/>
      <c r="AJ37" s="166"/>
    </row>
    <row r="38" spans="2:36" x14ac:dyDescent="0.3">
      <c r="B38" s="906"/>
      <c r="C38" s="150" t="s">
        <v>257</v>
      </c>
      <c r="D38" s="158">
        <f>(D37*D16/D35)^2</f>
        <v>0.10767774845497236</v>
      </c>
      <c r="E38" s="158">
        <f t="shared" ref="E38:H38" si="10">(E37*E16/E35)^2</f>
        <v>0.34834945349272384</v>
      </c>
      <c r="F38" s="158">
        <f t="shared" si="10"/>
        <v>0.10767774845497236</v>
      </c>
      <c r="G38" s="108">
        <f t="shared" si="10"/>
        <v>0.34834945349272384</v>
      </c>
      <c r="H38" s="204">
        <f t="shared" si="10"/>
        <v>3.4792020081754686E-2</v>
      </c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</row>
    <row r="39" spans="2:36" x14ac:dyDescent="0.3">
      <c r="B39" s="906"/>
      <c r="C39" s="150" t="s">
        <v>259</v>
      </c>
      <c r="D39" s="150">
        <v>1.6E-2</v>
      </c>
      <c r="E39" s="150">
        <v>1E-3</v>
      </c>
      <c r="F39" s="150">
        <v>1.6E-2</v>
      </c>
      <c r="G39" s="112">
        <v>1E-3</v>
      </c>
      <c r="H39" s="205">
        <v>4.0000000000000001E-3</v>
      </c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2:36" x14ac:dyDescent="0.3">
      <c r="B40" s="906"/>
      <c r="C40" s="206" t="s">
        <v>261</v>
      </c>
      <c r="D40" s="150">
        <v>120</v>
      </c>
      <c r="E40" s="150">
        <v>120</v>
      </c>
      <c r="F40" s="150">
        <v>120</v>
      </c>
      <c r="G40" s="112">
        <v>120</v>
      </c>
      <c r="H40" s="205">
        <v>120</v>
      </c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2:36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:H41" si="11">IF(E39&lt;5,"OK","NOK")</f>
        <v>OK</v>
      </c>
      <c r="F41" s="207" t="str">
        <f t="shared" si="11"/>
        <v>OK</v>
      </c>
      <c r="G41" s="207" t="str">
        <f t="shared" si="11"/>
        <v>OK</v>
      </c>
      <c r="H41" s="230" t="str">
        <f t="shared" si="11"/>
        <v>OK</v>
      </c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2:36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:H42" si="12">IF(E39&lt;E38,"OK","NOK")</f>
        <v>OK</v>
      </c>
      <c r="F42" s="207" t="str">
        <f t="shared" si="12"/>
        <v>OK</v>
      </c>
      <c r="G42" s="207" t="str">
        <f t="shared" si="12"/>
        <v>OK</v>
      </c>
      <c r="H42" s="230" t="str">
        <f t="shared" si="12"/>
        <v>OK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</row>
    <row r="43" spans="2:36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:H43" si="13">IF(E28&lt;=E40,"OK","NOK")</f>
        <v>OK</v>
      </c>
      <c r="F43" s="208" t="str">
        <f t="shared" si="13"/>
        <v>OK</v>
      </c>
      <c r="G43" s="208" t="str">
        <f t="shared" si="13"/>
        <v>OK</v>
      </c>
      <c r="H43" s="231" t="str">
        <f t="shared" si="13"/>
        <v>OK</v>
      </c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155"/>
    </row>
  </sheetData>
  <mergeCells count="12">
    <mergeCell ref="B17:B20"/>
    <mergeCell ref="B28:B43"/>
    <mergeCell ref="AD13:AF13"/>
    <mergeCell ref="AD14:AF14"/>
    <mergeCell ref="B21:B27"/>
    <mergeCell ref="AB12:AC12"/>
    <mergeCell ref="AD12:AF12"/>
    <mergeCell ref="C6:V7"/>
    <mergeCell ref="AB7:AC7"/>
    <mergeCell ref="AD7:AF7"/>
    <mergeCell ref="AD8:AF8"/>
    <mergeCell ref="AD9:AF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7ADA-2CD8-47BA-A757-DD04BA2D1865}">
  <dimension ref="B5:AK43"/>
  <sheetViews>
    <sheetView zoomScale="40" zoomScaleNormal="40" workbookViewId="0">
      <selection activeCell="AT46" sqref="AT46"/>
    </sheetView>
  </sheetViews>
  <sheetFormatPr defaultRowHeight="14.4" x14ac:dyDescent="0.3"/>
  <sheetData>
    <row r="5" spans="2:37" ht="15" thickBot="1" x14ac:dyDescent="0.35"/>
    <row r="6" spans="2:37" ht="15" thickBot="1" x14ac:dyDescent="0.35">
      <c r="C6" s="941" t="s">
        <v>266</v>
      </c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3"/>
      <c r="W6" s="156"/>
      <c r="X6" s="156"/>
      <c r="Y6" s="156"/>
      <c r="Z6" s="156"/>
    </row>
    <row r="7" spans="2:37" ht="15" x14ac:dyDescent="0.35">
      <c r="C7" s="944"/>
      <c r="D7" s="945"/>
      <c r="E7" s="945"/>
      <c r="F7" s="945"/>
      <c r="G7" s="945"/>
      <c r="H7" s="945"/>
      <c r="I7" s="946"/>
      <c r="J7" s="946"/>
      <c r="K7" s="946"/>
      <c r="L7" s="946"/>
      <c r="M7" s="946"/>
      <c r="N7" s="946"/>
      <c r="O7" s="946"/>
      <c r="P7" s="946"/>
      <c r="Q7" s="946"/>
      <c r="R7" s="946"/>
      <c r="S7" s="946"/>
      <c r="T7" s="946"/>
      <c r="U7" s="946"/>
      <c r="V7" s="947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C8" s="105" t="s">
        <v>267</v>
      </c>
      <c r="D8" s="169">
        <v>1</v>
      </c>
      <c r="E8" s="169">
        <v>2</v>
      </c>
      <c r="F8" s="169">
        <v>3</v>
      </c>
      <c r="G8" s="170">
        <v>4</v>
      </c>
      <c r="H8" s="365">
        <v>5</v>
      </c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C9" s="106" t="s">
        <v>212</v>
      </c>
      <c r="D9" s="171" t="s">
        <v>215</v>
      </c>
      <c r="E9" s="171" t="s">
        <v>215</v>
      </c>
      <c r="F9" s="171" t="s">
        <v>215</v>
      </c>
      <c r="G9" s="171" t="s">
        <v>215</v>
      </c>
      <c r="H9" s="171" t="s">
        <v>215</v>
      </c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C10" s="106" t="s">
        <v>214</v>
      </c>
      <c r="D10" s="171" t="s">
        <v>315</v>
      </c>
      <c r="E10" s="171" t="s">
        <v>316</v>
      </c>
      <c r="F10" s="171" t="s">
        <v>317</v>
      </c>
      <c r="G10" s="112" t="s">
        <v>318</v>
      </c>
      <c r="H10" s="171" t="s">
        <v>159</v>
      </c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C11" s="172" t="s">
        <v>217</v>
      </c>
      <c r="D11" s="169">
        <v>8.4920000000000009</v>
      </c>
      <c r="E11" s="169">
        <v>20.954999999999998</v>
      </c>
      <c r="F11" s="169">
        <v>32.911999999999999</v>
      </c>
      <c r="G11" s="170">
        <v>45.375</v>
      </c>
      <c r="H11" s="330" t="s">
        <v>300</v>
      </c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  <c r="AJ11" t="s">
        <v>258</v>
      </c>
      <c r="AK11">
        <v>1.9</v>
      </c>
    </row>
    <row r="12" spans="2:37" ht="15" x14ac:dyDescent="0.35">
      <c r="C12" s="172" t="s">
        <v>29</v>
      </c>
      <c r="D12" s="171">
        <v>17.25</v>
      </c>
      <c r="E12" s="171">
        <v>17.25</v>
      </c>
      <c r="F12" s="171">
        <v>17.25</v>
      </c>
      <c r="G12" s="112">
        <v>17.25</v>
      </c>
      <c r="H12" s="330" t="s">
        <v>300</v>
      </c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C13" s="172" t="s">
        <v>218</v>
      </c>
      <c r="D13" s="109">
        <f>D12*1000/(SQRT(3)*$AC$19)</f>
        <v>24.898230358802611</v>
      </c>
      <c r="E13" s="109">
        <f>E12*1000/(SQRT(3)*$AC$19)</f>
        <v>24.898230358802611</v>
      </c>
      <c r="F13" s="109">
        <f>F12*1000/(SQRT(3)*$AC$19)</f>
        <v>24.898230358802611</v>
      </c>
      <c r="G13" s="110">
        <f>G12*1000/(SQRT(3)*$AC$19)</f>
        <v>24.898230358802611</v>
      </c>
      <c r="H13" s="330" t="s">
        <v>300</v>
      </c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C14" s="172" t="s">
        <v>268</v>
      </c>
      <c r="D14" s="175" t="s">
        <v>269</v>
      </c>
      <c r="E14" s="175" t="s">
        <v>269</v>
      </c>
      <c r="F14" s="367" t="s">
        <v>269</v>
      </c>
      <c r="G14" s="175" t="s">
        <v>269</v>
      </c>
      <c r="H14" s="330" t="s">
        <v>300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157"/>
      <c r="C15" s="178" t="s">
        <v>219</v>
      </c>
      <c r="D15" s="179">
        <v>16</v>
      </c>
      <c r="E15" s="179">
        <v>16</v>
      </c>
      <c r="F15" s="179">
        <v>16</v>
      </c>
      <c r="G15" s="180">
        <v>16</v>
      </c>
      <c r="H15" s="330" t="s">
        <v>300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40.200000000000003" thickBot="1" x14ac:dyDescent="0.35">
      <c r="C16" s="182" t="s">
        <v>220</v>
      </c>
      <c r="D16" s="183">
        <v>16</v>
      </c>
      <c r="E16" s="184">
        <v>16</v>
      </c>
      <c r="F16" s="184">
        <v>16</v>
      </c>
      <c r="G16" s="185">
        <v>16</v>
      </c>
      <c r="H16" s="330" t="s">
        <v>300</v>
      </c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  <c r="AB16" s="132"/>
      <c r="AC16" s="132"/>
      <c r="AD16" s="132"/>
      <c r="AE16" s="132"/>
      <c r="AF16" s="132"/>
    </row>
    <row r="17" spans="2:36" ht="15" thickBot="1" x14ac:dyDescent="0.35">
      <c r="B17" s="962" t="s">
        <v>221</v>
      </c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189">
        <f>'[1]Canalizações Principais'!$C$12</f>
        <v>0.45689446275976331</v>
      </c>
      <c r="G17" s="190">
        <f>'[1]Canalizações Principais'!$C$12</f>
        <v>0.45689446275976331</v>
      </c>
      <c r="H17" s="330" t="s">
        <v>300</v>
      </c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  <c r="AB17" s="132"/>
      <c r="AC17" s="132"/>
      <c r="AD17" s="132"/>
      <c r="AE17" s="132"/>
      <c r="AF17" s="132"/>
    </row>
    <row r="18" spans="2:36" x14ac:dyDescent="0.3">
      <c r="B18" s="963"/>
      <c r="C18" s="191" t="s">
        <v>222</v>
      </c>
      <c r="D18" s="115">
        <f>($AC$9*D11/D15)*D13</f>
        <v>0.46687661450447543</v>
      </c>
      <c r="E18" s="115">
        <f>($AC$9*E11/E15)*E13</f>
        <v>1.1520724749106548</v>
      </c>
      <c r="F18" s="115">
        <f>($AC$9*F11/F15)*F13</f>
        <v>1.8094492624318528</v>
      </c>
      <c r="G18" s="138">
        <f>($AC$9*G11/G15)*G13</f>
        <v>2.4946451228380324</v>
      </c>
      <c r="H18" s="330" t="s">
        <v>300</v>
      </c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  <c r="AB18" s="140" t="s">
        <v>244</v>
      </c>
      <c r="AC18" s="141">
        <v>230</v>
      </c>
      <c r="AD18" s="132"/>
    </row>
    <row r="19" spans="2:36" ht="15" thickBot="1" x14ac:dyDescent="0.35">
      <c r="B19" s="963"/>
      <c r="C19" s="117" t="s">
        <v>223</v>
      </c>
      <c r="D19" s="115">
        <f t="shared" ref="D19:G19" si="0">D17+(D18/230)*100</f>
        <v>0.6598842951530135</v>
      </c>
      <c r="E19" s="115">
        <f t="shared" si="0"/>
        <v>0.95779553880787416</v>
      </c>
      <c r="F19" s="115">
        <f t="shared" si="0"/>
        <v>1.2436115333823081</v>
      </c>
      <c r="G19" s="138">
        <f t="shared" si="0"/>
        <v>1.5415227770371687</v>
      </c>
      <c r="H19" s="330" t="s">
        <v>300</v>
      </c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  <c r="AB19" s="142" t="s">
        <v>246</v>
      </c>
      <c r="AC19" s="143">
        <v>400</v>
      </c>
      <c r="AD19" s="132"/>
    </row>
    <row r="20" spans="2:36" ht="40.200000000000003" thickBot="1" x14ac:dyDescent="0.35">
      <c r="B20" s="964"/>
      <c r="C20" s="118" t="s">
        <v>272</v>
      </c>
      <c r="D20" s="193" t="str">
        <f>IF(D19&lt;=8,"OK","NOK")</f>
        <v>OK</v>
      </c>
      <c r="E20" s="193" t="str">
        <f t="shared" ref="E20:G20" si="1">IF(E19&lt;=8,"OK","NOK")</f>
        <v>OK</v>
      </c>
      <c r="F20" s="193" t="str">
        <f t="shared" si="1"/>
        <v>OK</v>
      </c>
      <c r="G20" s="120" t="str">
        <f t="shared" si="1"/>
        <v>OK</v>
      </c>
      <c r="H20" s="330" t="s">
        <v>300</v>
      </c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2:36" x14ac:dyDescent="0.3">
      <c r="B21" s="914" t="s">
        <v>225</v>
      </c>
      <c r="C21" s="121" t="s">
        <v>226</v>
      </c>
      <c r="D21" s="195">
        <v>90</v>
      </c>
      <c r="E21" s="196">
        <v>90</v>
      </c>
      <c r="F21" s="196">
        <v>90</v>
      </c>
      <c r="G21" s="197">
        <v>90</v>
      </c>
      <c r="H21" s="330" t="s">
        <v>300</v>
      </c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2:36" x14ac:dyDescent="0.3">
      <c r="B22" s="915"/>
      <c r="C22" s="124" t="s">
        <v>229</v>
      </c>
      <c r="D22" s="111">
        <v>25</v>
      </c>
      <c r="E22" s="124">
        <v>25</v>
      </c>
      <c r="F22" s="124">
        <v>25</v>
      </c>
      <c r="G22" s="170">
        <v>25</v>
      </c>
      <c r="H22" s="330" t="s">
        <v>300</v>
      </c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2:36" x14ac:dyDescent="0.3">
      <c r="B23" s="915"/>
      <c r="C23" s="124" t="s">
        <v>232</v>
      </c>
      <c r="D23" s="111">
        <f>$AK$10*D22</f>
        <v>40</v>
      </c>
      <c r="E23" s="111">
        <f>$AK$10*E22</f>
        <v>40</v>
      </c>
      <c r="F23" s="111">
        <f>$AK$10*F22</f>
        <v>40</v>
      </c>
      <c r="G23" s="112">
        <f>$AK$10*G22</f>
        <v>40</v>
      </c>
      <c r="H23" s="330" t="s">
        <v>300</v>
      </c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2:36" x14ac:dyDescent="0.3">
      <c r="B24" s="915"/>
      <c r="C24" s="124" t="s">
        <v>234</v>
      </c>
      <c r="D24" s="124">
        <f>1.45*D21</f>
        <v>130.5</v>
      </c>
      <c r="E24" s="124">
        <f t="shared" ref="E24:G24" si="2">1.45*E21</f>
        <v>130.5</v>
      </c>
      <c r="F24" s="124">
        <f t="shared" si="2"/>
        <v>130.5</v>
      </c>
      <c r="G24" s="170">
        <f t="shared" si="2"/>
        <v>130.5</v>
      </c>
      <c r="H24" s="330" t="s">
        <v>300</v>
      </c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132"/>
      <c r="AB24" s="166"/>
      <c r="AC24" s="166"/>
      <c r="AD24" s="166"/>
      <c r="AE24" s="166"/>
      <c r="AF24" s="166"/>
      <c r="AG24" s="166"/>
      <c r="AH24" s="166"/>
      <c r="AI24" s="166"/>
      <c r="AJ24" s="166"/>
    </row>
    <row r="25" spans="2:36" ht="40.200000000000003" x14ac:dyDescent="0.3">
      <c r="B25" s="915"/>
      <c r="C25" s="133" t="s">
        <v>235</v>
      </c>
      <c r="D25" s="199" t="str">
        <f t="shared" ref="D25:G25" si="3">IF(D13&lt;=D22,"OK","NOK")</f>
        <v>OK</v>
      </c>
      <c r="E25" s="199" t="str">
        <f t="shared" si="3"/>
        <v>OK</v>
      </c>
      <c r="F25" s="199" t="str">
        <f t="shared" si="3"/>
        <v>OK</v>
      </c>
      <c r="G25" s="135" t="str">
        <f t="shared" si="3"/>
        <v>OK</v>
      </c>
      <c r="H25" s="330" t="s">
        <v>300</v>
      </c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94"/>
      <c r="AB25" s="166"/>
      <c r="AC25" s="335"/>
      <c r="AD25" s="335"/>
      <c r="AE25" s="335"/>
      <c r="AF25" s="335"/>
      <c r="AG25" s="335"/>
      <c r="AH25" s="335"/>
      <c r="AI25" s="166"/>
      <c r="AJ25" s="166"/>
    </row>
    <row r="26" spans="2:36" ht="39.6" x14ac:dyDescent="0.3">
      <c r="B26" s="915"/>
      <c r="C26" s="200" t="s">
        <v>236</v>
      </c>
      <c r="D26" s="199" t="str">
        <f t="shared" ref="D26:G26" si="4">IF(D22&lt;=D21,"OK","NOK")</f>
        <v>OK</v>
      </c>
      <c r="E26" s="199" t="str">
        <f t="shared" si="4"/>
        <v>OK</v>
      </c>
      <c r="F26" s="199" t="str">
        <f t="shared" si="4"/>
        <v>OK</v>
      </c>
      <c r="G26" s="135" t="str">
        <f t="shared" si="4"/>
        <v>OK</v>
      </c>
      <c r="H26" s="330" t="s">
        <v>300</v>
      </c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94"/>
      <c r="AB26" s="166"/>
      <c r="AC26" s="335"/>
      <c r="AD26" s="335"/>
      <c r="AE26" s="335"/>
      <c r="AF26" s="335"/>
      <c r="AG26" s="335"/>
      <c r="AH26" s="335"/>
      <c r="AI26" s="166"/>
      <c r="AJ26" s="166"/>
    </row>
    <row r="27" spans="2:36" ht="40.200000000000003" thickBot="1" x14ac:dyDescent="0.35">
      <c r="B27" s="916"/>
      <c r="C27" s="201" t="s">
        <v>238</v>
      </c>
      <c r="D27" s="193" t="str">
        <f t="shared" ref="D27:G27" si="5">IF(D23&lt;=D24,"OK","NOK")</f>
        <v>OK</v>
      </c>
      <c r="E27" s="193" t="str">
        <f t="shared" si="5"/>
        <v>OK</v>
      </c>
      <c r="F27" s="193" t="str">
        <f t="shared" si="5"/>
        <v>OK</v>
      </c>
      <c r="G27" s="120" t="str">
        <f t="shared" si="5"/>
        <v>OK</v>
      </c>
      <c r="H27" s="330" t="s">
        <v>300</v>
      </c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94"/>
      <c r="AB27" s="166"/>
      <c r="AC27" s="334"/>
      <c r="AD27" s="334"/>
      <c r="AE27" s="334"/>
      <c r="AF27" s="334"/>
      <c r="AG27" s="334"/>
      <c r="AH27" s="334"/>
      <c r="AI27" s="166"/>
      <c r="AJ27" s="166"/>
    </row>
    <row r="28" spans="2:36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>(1.05*1.05*$AC$18)/((E32))</f>
        <v>2.2771503283936405</v>
      </c>
      <c r="F28" s="115">
        <f>(1.05*1.05*$AC$18)/((F32))</f>
        <v>4.0957768388481011</v>
      </c>
      <c r="G28" s="116">
        <f>(1.05*1.05*$AC$18)/((G32))</f>
        <v>2.2771503283936405</v>
      </c>
      <c r="H28" s="330" t="s">
        <v>300</v>
      </c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AB28" s="166"/>
      <c r="AC28" s="334"/>
      <c r="AD28" s="334"/>
      <c r="AE28" s="334"/>
      <c r="AF28" s="334"/>
      <c r="AG28" s="334"/>
      <c r="AH28" s="334"/>
      <c r="AI28" s="166"/>
      <c r="AJ28" s="166"/>
    </row>
    <row r="29" spans="2:36" x14ac:dyDescent="0.3">
      <c r="B29" s="906"/>
      <c r="C29" s="139" t="s">
        <v>242</v>
      </c>
      <c r="D29" s="139">
        <f>($AC$9*D11/D15)*1000</f>
        <v>18.751397500000003</v>
      </c>
      <c r="E29" s="139">
        <f>($AC$9*E11/E15)*1000</f>
        <v>46.271259375</v>
      </c>
      <c r="F29" s="139">
        <f>($AC$9*F11/F15)*1000</f>
        <v>72.673810000000003</v>
      </c>
      <c r="G29" s="202">
        <f>($AC$9*G11/G15)*1000</f>
        <v>100.19367187500001</v>
      </c>
      <c r="H29" s="330" t="s">
        <v>300</v>
      </c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155"/>
      <c r="AB29" s="166"/>
      <c r="AC29" s="334"/>
      <c r="AD29" s="334"/>
      <c r="AE29" s="334"/>
      <c r="AF29" s="334"/>
      <c r="AG29" s="334"/>
      <c r="AH29" s="334"/>
      <c r="AI29" s="166"/>
      <c r="AJ29" s="166"/>
    </row>
    <row r="30" spans="2:36" x14ac:dyDescent="0.3">
      <c r="B30" s="906"/>
      <c r="C30" s="139" t="s">
        <v>243</v>
      </c>
      <c r="D30" s="139">
        <f>(0.08*D11)</f>
        <v>0.67936000000000007</v>
      </c>
      <c r="E30" s="139">
        <f t="shared" ref="E30:G30" si="6">(0.08*E11)</f>
        <v>1.6763999999999999</v>
      </c>
      <c r="F30" s="139">
        <f t="shared" si="6"/>
        <v>2.6329600000000002</v>
      </c>
      <c r="G30" s="202">
        <f t="shared" si="6"/>
        <v>3.63</v>
      </c>
      <c r="H30" s="330" t="s">
        <v>300</v>
      </c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155"/>
      <c r="AB30" s="166"/>
      <c r="AC30" s="334"/>
      <c r="AD30" s="334"/>
      <c r="AE30" s="334"/>
      <c r="AF30" s="334"/>
      <c r="AG30" s="334"/>
      <c r="AH30" s="334"/>
      <c r="AI30" s="166"/>
      <c r="AJ30" s="166"/>
    </row>
    <row r="31" spans="2:36" x14ac:dyDescent="0.3">
      <c r="B31" s="906"/>
      <c r="C31" s="139" t="s">
        <v>245</v>
      </c>
      <c r="D31" s="139">
        <f>SQRT(D29*D29+D30*D30)</f>
        <v>18.763700013925995</v>
      </c>
      <c r="E31" s="139">
        <f t="shared" ref="E31:G31" si="7">SQRT(E29*E29+E30*E30)</f>
        <v>46.301617262343278</v>
      </c>
      <c r="F31" s="139">
        <f t="shared" si="7"/>
        <v>72.72149020941265</v>
      </c>
      <c r="G31" s="202">
        <f t="shared" si="7"/>
        <v>100.25940745782995</v>
      </c>
      <c r="H31" s="330" t="s">
        <v>300</v>
      </c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155"/>
      <c r="AB31" s="166"/>
      <c r="AC31" s="334"/>
      <c r="AD31" s="334"/>
      <c r="AE31" s="334"/>
      <c r="AF31" s="334"/>
      <c r="AG31" s="334"/>
      <c r="AH31" s="334"/>
      <c r="AI31" s="166"/>
      <c r="AJ31" s="166"/>
    </row>
    <row r="32" spans="2:36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139">
        <f>'[1]Canalizações Principais'!$C$25+[1]Ramais!E26</f>
        <v>61.911332081099324</v>
      </c>
      <c r="G32" s="202">
        <f>'[1]Canalizações Principais'!$C$25+[1]Ramais!F26</f>
        <v>111.35628457998126</v>
      </c>
      <c r="H32" s="330" t="s">
        <v>300</v>
      </c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155"/>
      <c r="AB32" s="166"/>
      <c r="AC32" s="334"/>
      <c r="AD32" s="334"/>
      <c r="AE32" s="334"/>
      <c r="AF32" s="334"/>
      <c r="AG32" s="334"/>
      <c r="AH32" s="334"/>
      <c r="AI32" s="166"/>
      <c r="AJ32" s="166"/>
    </row>
    <row r="33" spans="2:36" x14ac:dyDescent="0.3">
      <c r="B33" s="906"/>
      <c r="C33" s="139" t="s">
        <v>248</v>
      </c>
      <c r="D33" s="144">
        <f>((0.95*1.05*$AC$18)/D32)*1000</f>
        <v>3705.7028541959003</v>
      </c>
      <c r="E33" s="144">
        <f>((0.95*1.05*$AC$18)/E32)*1000</f>
        <v>2060.2788685466271</v>
      </c>
      <c r="F33" s="144">
        <f>((0.95*1.05*$AC$18)/F32)*1000</f>
        <v>3705.7028541959003</v>
      </c>
      <c r="G33" s="145">
        <f>((0.95*1.05*$AC$18)/G32)*1000</f>
        <v>2060.2788685466271</v>
      </c>
      <c r="H33" s="330" t="s">
        <v>300</v>
      </c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155"/>
      <c r="AB33" s="166"/>
      <c r="AC33" s="334"/>
      <c r="AD33" s="334"/>
      <c r="AE33" s="334"/>
      <c r="AF33" s="334"/>
      <c r="AG33" s="334"/>
      <c r="AH33" s="334"/>
      <c r="AI33" s="166"/>
      <c r="AJ33" s="166"/>
    </row>
    <row r="34" spans="2:36" x14ac:dyDescent="0.3">
      <c r="B34" s="906"/>
      <c r="C34" s="139" t="s">
        <v>249</v>
      </c>
      <c r="D34" s="144">
        <f>((0.95*1.05*$AC$19)/D32)*1000</f>
        <v>6444.7006159928715</v>
      </c>
      <c r="E34" s="144">
        <f>((0.95*1.05*$AC$19)/E32)*1000</f>
        <v>3583.0936844289167</v>
      </c>
      <c r="F34" s="144">
        <f>((0.95*1.05*$AC$19)/F32)*1000</f>
        <v>6444.7006159928715</v>
      </c>
      <c r="G34" s="145">
        <f>((0.95*1.05*$AC$19)/G32)*1000</f>
        <v>3583.0936844289167</v>
      </c>
      <c r="H34" s="330" t="s">
        <v>300</v>
      </c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155"/>
      <c r="AB34" s="166"/>
      <c r="AC34" s="334"/>
      <c r="AD34" s="334"/>
      <c r="AE34" s="334"/>
      <c r="AF34" s="334"/>
      <c r="AG34" s="334"/>
      <c r="AH34" s="334"/>
      <c r="AI34" s="166"/>
      <c r="AJ34" s="166"/>
    </row>
    <row r="35" spans="2:36" x14ac:dyDescent="0.3">
      <c r="B35" s="906"/>
      <c r="C35" s="139" t="s">
        <v>251</v>
      </c>
      <c r="D35" s="147">
        <f>IF(D33&lt;D34,D33,D34)</f>
        <v>3705.7028541959003</v>
      </c>
      <c r="E35" s="147">
        <f t="shared" ref="E35:G35" si="8">IF(E33&lt;E34,E33,E34)</f>
        <v>2060.2788685466271</v>
      </c>
      <c r="F35" s="147">
        <f t="shared" si="8"/>
        <v>3705.7028541959003</v>
      </c>
      <c r="G35" s="148">
        <f t="shared" si="8"/>
        <v>2060.2788685466271</v>
      </c>
      <c r="H35" s="330" t="s">
        <v>300</v>
      </c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155"/>
      <c r="AB35" s="166"/>
      <c r="AC35" s="334"/>
      <c r="AD35" s="334"/>
      <c r="AE35" s="334"/>
      <c r="AF35" s="334"/>
      <c r="AG35" s="334"/>
      <c r="AH35" s="334"/>
      <c r="AI35" s="166"/>
      <c r="AJ35" s="166"/>
    </row>
    <row r="36" spans="2:36" x14ac:dyDescent="0.3">
      <c r="B36" s="906"/>
      <c r="C36" s="139" t="s">
        <v>253</v>
      </c>
      <c r="D36" s="139">
        <f>D35/D22</f>
        <v>148.228114167836</v>
      </c>
      <c r="E36" s="139">
        <f t="shared" ref="E36:G36" si="9">E35/E22</f>
        <v>82.41115474186509</v>
      </c>
      <c r="F36" s="139">
        <f t="shared" si="9"/>
        <v>148.228114167836</v>
      </c>
      <c r="G36" s="202">
        <f t="shared" si="9"/>
        <v>82.41115474186509</v>
      </c>
      <c r="H36" s="330" t="s">
        <v>300</v>
      </c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155"/>
      <c r="AB36" s="166"/>
      <c r="AC36" s="334"/>
      <c r="AD36" s="334"/>
      <c r="AE36" s="334"/>
      <c r="AF36" s="334"/>
      <c r="AG36" s="334"/>
      <c r="AH36" s="334"/>
      <c r="AI36" s="166"/>
      <c r="AJ36" s="166"/>
    </row>
    <row r="37" spans="2:36" x14ac:dyDescent="0.3">
      <c r="B37" s="906"/>
      <c r="C37" s="139" t="s">
        <v>255</v>
      </c>
      <c r="D37" s="139">
        <v>76</v>
      </c>
      <c r="E37" s="139">
        <v>76</v>
      </c>
      <c r="F37" s="139">
        <v>76</v>
      </c>
      <c r="G37" s="202">
        <v>76</v>
      </c>
      <c r="H37" s="330" t="s">
        <v>300</v>
      </c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155"/>
      <c r="AB37" s="166"/>
      <c r="AC37" s="166"/>
      <c r="AD37" s="166"/>
      <c r="AE37" s="166"/>
      <c r="AF37" s="166"/>
      <c r="AG37" s="166"/>
      <c r="AH37" s="166"/>
      <c r="AI37" s="166"/>
      <c r="AJ37" s="166"/>
    </row>
    <row r="38" spans="2:36" x14ac:dyDescent="0.3">
      <c r="B38" s="906"/>
      <c r="C38" s="150" t="s">
        <v>257</v>
      </c>
      <c r="D38" s="158">
        <f>(D37*D16/D35)^2</f>
        <v>0.10767774845497236</v>
      </c>
      <c r="E38" s="158">
        <f t="shared" ref="E38:G38" si="10">(E37*E16/E35)^2</f>
        <v>0.34834945349272384</v>
      </c>
      <c r="F38" s="158">
        <f t="shared" si="10"/>
        <v>0.10767774845497236</v>
      </c>
      <c r="G38" s="108">
        <f t="shared" si="10"/>
        <v>0.34834945349272384</v>
      </c>
      <c r="H38" s="330" t="s">
        <v>300</v>
      </c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</row>
    <row r="39" spans="2:36" x14ac:dyDescent="0.3">
      <c r="B39" s="906"/>
      <c r="C39" s="150" t="s">
        <v>259</v>
      </c>
      <c r="D39" s="150">
        <v>1.6E-2</v>
      </c>
      <c r="E39" s="150">
        <v>1E-3</v>
      </c>
      <c r="F39" s="150">
        <v>1.6E-2</v>
      </c>
      <c r="G39" s="112">
        <v>1E-3</v>
      </c>
      <c r="H39" s="330" t="s">
        <v>300</v>
      </c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2:36" x14ac:dyDescent="0.3">
      <c r="B40" s="906"/>
      <c r="C40" s="206" t="s">
        <v>261</v>
      </c>
      <c r="D40" s="150">
        <v>120</v>
      </c>
      <c r="E40" s="150">
        <v>120</v>
      </c>
      <c r="F40" s="150">
        <v>120</v>
      </c>
      <c r="G40" s="112">
        <v>120</v>
      </c>
      <c r="H40" s="330" t="s">
        <v>300</v>
      </c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2:36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:G41" si="11">IF(E39&lt;5,"OK","NOK")</f>
        <v>OK</v>
      </c>
      <c r="F41" s="207" t="str">
        <f t="shared" si="11"/>
        <v>OK</v>
      </c>
      <c r="G41" s="207" t="str">
        <f t="shared" si="11"/>
        <v>OK</v>
      </c>
      <c r="H41" s="330" t="s">
        <v>300</v>
      </c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2:36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:G42" si="12">IF(E39&lt;E38,"OK","NOK")</f>
        <v>OK</v>
      </c>
      <c r="F42" s="207" t="str">
        <f t="shared" si="12"/>
        <v>OK</v>
      </c>
      <c r="G42" s="207" t="str">
        <f t="shared" si="12"/>
        <v>OK</v>
      </c>
      <c r="H42" s="330" t="s">
        <v>300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</row>
    <row r="43" spans="2:36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:G43" si="13">IF(E28&lt;=E40,"OK","NOK")</f>
        <v>OK</v>
      </c>
      <c r="F43" s="208" t="str">
        <f t="shared" si="13"/>
        <v>OK</v>
      </c>
      <c r="G43" s="208" t="str">
        <f t="shared" si="13"/>
        <v>OK</v>
      </c>
      <c r="H43" s="330" t="s">
        <v>300</v>
      </c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155"/>
    </row>
  </sheetData>
  <mergeCells count="12">
    <mergeCell ref="AD13:AF13"/>
    <mergeCell ref="AD14:AF14"/>
    <mergeCell ref="B17:B20"/>
    <mergeCell ref="B21:B27"/>
    <mergeCell ref="B28:B43"/>
    <mergeCell ref="AB12:AC12"/>
    <mergeCell ref="AD12:AF12"/>
    <mergeCell ref="C6:V7"/>
    <mergeCell ref="AB7:AC7"/>
    <mergeCell ref="AD7:AF7"/>
    <mergeCell ref="AD8:AF8"/>
    <mergeCell ref="AD9:AF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FB23-E553-46B1-88AF-ADBA73271F31}">
  <dimension ref="B5:AK43"/>
  <sheetViews>
    <sheetView zoomScale="70" zoomScaleNormal="70" workbookViewId="0">
      <selection activeCell="D12" sqref="D12"/>
    </sheetView>
  </sheetViews>
  <sheetFormatPr defaultRowHeight="14.4" x14ac:dyDescent="0.3"/>
  <sheetData>
    <row r="5" spans="2:37" ht="15" thickBot="1" x14ac:dyDescent="0.35"/>
    <row r="6" spans="2:37" ht="15" thickBot="1" x14ac:dyDescent="0.35">
      <c r="C6" s="941" t="s">
        <v>266</v>
      </c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3"/>
      <c r="W6" s="156"/>
      <c r="X6" s="156"/>
      <c r="Y6" s="156"/>
      <c r="Z6" s="156"/>
    </row>
    <row r="7" spans="2:37" ht="15" x14ac:dyDescent="0.35">
      <c r="C7" s="944"/>
      <c r="D7" s="945"/>
      <c r="E7" s="945"/>
      <c r="F7" s="945"/>
      <c r="G7" s="945"/>
      <c r="H7" s="945"/>
      <c r="I7" s="946"/>
      <c r="J7" s="946"/>
      <c r="K7" s="946"/>
      <c r="L7" s="946"/>
      <c r="M7" s="946"/>
      <c r="N7" s="946"/>
      <c r="O7" s="946"/>
      <c r="P7" s="946"/>
      <c r="Q7" s="946"/>
      <c r="R7" s="946"/>
      <c r="S7" s="946"/>
      <c r="T7" s="946"/>
      <c r="U7" s="946"/>
      <c r="V7" s="947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C8" s="105" t="s">
        <v>267</v>
      </c>
      <c r="D8" s="169">
        <v>1</v>
      </c>
      <c r="E8" s="169">
        <v>2</v>
      </c>
      <c r="F8" s="169">
        <v>3</v>
      </c>
      <c r="G8" s="170">
        <v>4</v>
      </c>
      <c r="H8" s="365">
        <v>5</v>
      </c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C9" s="106" t="s">
        <v>212</v>
      </c>
      <c r="D9" s="171" t="s">
        <v>216</v>
      </c>
      <c r="E9" s="171" t="s">
        <v>216</v>
      </c>
      <c r="F9" s="171" t="s">
        <v>216</v>
      </c>
      <c r="G9" s="171" t="s">
        <v>216</v>
      </c>
      <c r="H9" s="171" t="s">
        <v>216</v>
      </c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C10" s="106" t="s">
        <v>214</v>
      </c>
      <c r="D10" s="171" t="s">
        <v>310</v>
      </c>
      <c r="E10" s="171" t="s">
        <v>311</v>
      </c>
      <c r="F10" s="171" t="s">
        <v>312</v>
      </c>
      <c r="G10" s="112" t="s">
        <v>313</v>
      </c>
      <c r="H10" s="171" t="s">
        <v>319</v>
      </c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C11" s="172" t="s">
        <v>217</v>
      </c>
      <c r="D11" s="169">
        <v>9.141</v>
      </c>
      <c r="E11" s="169">
        <v>8.6020000000000003</v>
      </c>
      <c r="F11" s="169">
        <v>20.547999999999998</v>
      </c>
      <c r="G11" s="170">
        <v>33.021999999999998</v>
      </c>
      <c r="H11" s="365">
        <v>36.167999999999999</v>
      </c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  <c r="AJ11" t="s">
        <v>258</v>
      </c>
      <c r="AK11">
        <v>1.9</v>
      </c>
    </row>
    <row r="12" spans="2:37" ht="15" x14ac:dyDescent="0.35">
      <c r="C12" s="172" t="s">
        <v>29</v>
      </c>
      <c r="D12" s="171">
        <v>17.25</v>
      </c>
      <c r="E12" s="171">
        <v>17.25</v>
      </c>
      <c r="F12" s="171">
        <v>17.25</v>
      </c>
      <c r="G12" s="112">
        <v>17.25</v>
      </c>
      <c r="H12" s="205">
        <f>'[1]Canalizações Principais'!T5</f>
        <v>10.35</v>
      </c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C13" s="172" t="s">
        <v>218</v>
      </c>
      <c r="D13" s="109">
        <f>D12*1000/(SQRT(3)*$AC$19)</f>
        <v>24.898230358802611</v>
      </c>
      <c r="E13" s="109">
        <f>E12*1000/(SQRT(3)*$AC$19)</f>
        <v>24.898230358802611</v>
      </c>
      <c r="F13" s="109">
        <f>F12*1000/(SQRT(3)*$AC$19)</f>
        <v>24.898230358802611</v>
      </c>
      <c r="G13" s="110">
        <f>G12*1000/(SQRT(3)*$AC$19)</f>
        <v>24.898230358802611</v>
      </c>
      <c r="H13" s="366">
        <v>41.4</v>
      </c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C14" s="172" t="s">
        <v>268</v>
      </c>
      <c r="D14" s="175" t="s">
        <v>269</v>
      </c>
      <c r="E14" s="175" t="s">
        <v>269</v>
      </c>
      <c r="F14" s="367" t="s">
        <v>269</v>
      </c>
      <c r="G14" s="175" t="s">
        <v>269</v>
      </c>
      <c r="H14" s="175" t="s">
        <v>269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157"/>
      <c r="C15" s="178" t="s">
        <v>219</v>
      </c>
      <c r="D15" s="179">
        <v>16</v>
      </c>
      <c r="E15" s="179">
        <v>16</v>
      </c>
      <c r="F15" s="179">
        <v>16</v>
      </c>
      <c r="G15" s="180">
        <v>16</v>
      </c>
      <c r="H15" s="368">
        <v>16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40.200000000000003" thickBot="1" x14ac:dyDescent="0.35">
      <c r="C16" s="182" t="s">
        <v>220</v>
      </c>
      <c r="D16" s="183">
        <v>16</v>
      </c>
      <c r="E16" s="184">
        <v>16</v>
      </c>
      <c r="F16" s="184">
        <v>16</v>
      </c>
      <c r="G16" s="185">
        <v>16</v>
      </c>
      <c r="H16" s="369">
        <v>16</v>
      </c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  <c r="AB16" s="132"/>
      <c r="AC16" s="132"/>
      <c r="AD16" s="132"/>
      <c r="AE16" s="132"/>
      <c r="AF16" s="132"/>
    </row>
    <row r="17" spans="2:36" ht="15" thickBot="1" x14ac:dyDescent="0.35">
      <c r="B17" s="962" t="s">
        <v>221</v>
      </c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189">
        <f>'[1]Canalizações Principais'!$C$12</f>
        <v>0.45689446275976331</v>
      </c>
      <c r="G17" s="190">
        <f>'[1]Canalizações Principais'!$C$12</f>
        <v>0.45689446275976331</v>
      </c>
      <c r="H17" s="370">
        <f>'[1]Canalizações Principais'!$D$12</f>
        <v>1.1305653121506589</v>
      </c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  <c r="AB17" s="132"/>
      <c r="AC17" s="132"/>
      <c r="AD17" s="132"/>
      <c r="AE17" s="132"/>
      <c r="AF17" s="132"/>
    </row>
    <row r="18" spans="2:36" x14ac:dyDescent="0.3">
      <c r="B18" s="963"/>
      <c r="C18" s="191" t="s">
        <v>222</v>
      </c>
      <c r="D18" s="115">
        <f>($AC$9*D11/D15)*D13</f>
        <v>0.50255759929173449</v>
      </c>
      <c r="E18" s="115">
        <f>($AC$9*E11/E15)*E13</f>
        <v>0.47292423904468878</v>
      </c>
      <c r="F18" s="115">
        <f>($AC$9*F11/F15)*F13</f>
        <v>1.1296962641118653</v>
      </c>
      <c r="G18" s="138">
        <f>($AC$9*G11/G15)*G13</f>
        <v>1.815496886972066</v>
      </c>
      <c r="H18" s="371">
        <f>($AC$9*H11/H15)*H13</f>
        <v>3.3063474509999997</v>
      </c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  <c r="AB18" s="140" t="s">
        <v>244</v>
      </c>
      <c r="AC18" s="141">
        <v>230</v>
      </c>
      <c r="AD18" s="132"/>
    </row>
    <row r="19" spans="2:36" ht="15" thickBot="1" x14ac:dyDescent="0.35">
      <c r="B19" s="963"/>
      <c r="C19" s="117" t="s">
        <v>223</v>
      </c>
      <c r="D19" s="115">
        <f t="shared" ref="D19:H19" si="0">D17+(D18/230)*100</f>
        <v>0.6753977667996478</v>
      </c>
      <c r="E19" s="115">
        <f t="shared" si="0"/>
        <v>0.66251369712701924</v>
      </c>
      <c r="F19" s="115">
        <f t="shared" si="0"/>
        <v>0.94806675150405262</v>
      </c>
      <c r="G19" s="138">
        <f t="shared" si="0"/>
        <v>1.2462409353563138</v>
      </c>
      <c r="H19" s="371">
        <f t="shared" si="0"/>
        <v>2.568107682150659</v>
      </c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  <c r="AB19" s="142" t="s">
        <v>246</v>
      </c>
      <c r="AC19" s="143">
        <v>400</v>
      </c>
      <c r="AD19" s="132"/>
    </row>
    <row r="20" spans="2:36" ht="40.200000000000003" thickBot="1" x14ac:dyDescent="0.35">
      <c r="B20" s="964"/>
      <c r="C20" s="118" t="s">
        <v>272</v>
      </c>
      <c r="D20" s="193" t="str">
        <f>IF(D19&lt;=8,"OK","NOK")</f>
        <v>OK</v>
      </c>
      <c r="E20" s="193" t="str">
        <f t="shared" ref="E20:H20" si="1">IF(E19&lt;=8,"OK","NOK")</f>
        <v>OK</v>
      </c>
      <c r="F20" s="193" t="str">
        <f t="shared" si="1"/>
        <v>OK</v>
      </c>
      <c r="G20" s="120" t="str">
        <f t="shared" si="1"/>
        <v>OK</v>
      </c>
      <c r="H20" s="372" t="str">
        <f t="shared" si="1"/>
        <v>OK</v>
      </c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2:36" x14ac:dyDescent="0.3">
      <c r="B21" s="914" t="s">
        <v>225</v>
      </c>
      <c r="C21" s="121" t="s">
        <v>226</v>
      </c>
      <c r="D21" s="195">
        <v>90</v>
      </c>
      <c r="E21" s="196">
        <v>90</v>
      </c>
      <c r="F21" s="196">
        <v>90</v>
      </c>
      <c r="G21" s="197">
        <v>90</v>
      </c>
      <c r="H21" s="373">
        <v>90</v>
      </c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2:36" x14ac:dyDescent="0.3">
      <c r="B22" s="915"/>
      <c r="C22" s="124" t="s">
        <v>229</v>
      </c>
      <c r="D22" s="111">
        <v>25</v>
      </c>
      <c r="E22" s="124">
        <v>25</v>
      </c>
      <c r="F22" s="124">
        <v>25</v>
      </c>
      <c r="G22" s="170">
        <v>25</v>
      </c>
      <c r="H22" s="365">
        <v>50</v>
      </c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2:36" x14ac:dyDescent="0.3">
      <c r="B23" s="915"/>
      <c r="C23" s="124" t="s">
        <v>232</v>
      </c>
      <c r="D23" s="111">
        <f>$AK$10*D22</f>
        <v>40</v>
      </c>
      <c r="E23" s="111">
        <f>$AK$10*E22</f>
        <v>40</v>
      </c>
      <c r="F23" s="111">
        <f>$AK$10*F22</f>
        <v>40</v>
      </c>
      <c r="G23" s="112">
        <f>$AK$10*G22</f>
        <v>40</v>
      </c>
      <c r="H23" s="150">
        <f>$AK$10*H22</f>
        <v>80</v>
      </c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2:36" x14ac:dyDescent="0.3">
      <c r="B24" s="915"/>
      <c r="C24" s="124" t="s">
        <v>234</v>
      </c>
      <c r="D24" s="124">
        <f>1.45*D21</f>
        <v>130.5</v>
      </c>
      <c r="E24" s="124">
        <f t="shared" ref="E24:H24" si="2">1.45*E21</f>
        <v>130.5</v>
      </c>
      <c r="F24" s="124">
        <f t="shared" si="2"/>
        <v>130.5</v>
      </c>
      <c r="G24" s="170">
        <f t="shared" si="2"/>
        <v>130.5</v>
      </c>
      <c r="H24" s="206">
        <f t="shared" si="2"/>
        <v>130.5</v>
      </c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132"/>
      <c r="AB24" s="166"/>
      <c r="AC24" s="166"/>
      <c r="AD24" s="166"/>
      <c r="AE24" s="166"/>
      <c r="AF24" s="166"/>
      <c r="AG24" s="166"/>
      <c r="AH24" s="166"/>
      <c r="AI24" s="166"/>
      <c r="AJ24" s="166"/>
    </row>
    <row r="25" spans="2:36" ht="40.200000000000003" x14ac:dyDescent="0.3">
      <c r="B25" s="915"/>
      <c r="C25" s="133" t="s">
        <v>235</v>
      </c>
      <c r="D25" s="199" t="str">
        <f t="shared" ref="D25:H25" si="3">IF(D13&lt;=D22,"OK","NOK")</f>
        <v>OK</v>
      </c>
      <c r="E25" s="199" t="str">
        <f t="shared" si="3"/>
        <v>OK</v>
      </c>
      <c r="F25" s="199" t="str">
        <f t="shared" si="3"/>
        <v>OK</v>
      </c>
      <c r="G25" s="135" t="str">
        <f t="shared" si="3"/>
        <v>OK</v>
      </c>
      <c r="H25" s="374" t="str">
        <f t="shared" si="3"/>
        <v>OK</v>
      </c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94"/>
      <c r="AB25" s="166"/>
      <c r="AC25" s="335"/>
      <c r="AD25" s="335"/>
      <c r="AE25" s="335"/>
      <c r="AF25" s="335"/>
      <c r="AG25" s="335"/>
      <c r="AH25" s="335"/>
      <c r="AI25" s="166"/>
      <c r="AJ25" s="166"/>
    </row>
    <row r="26" spans="2:36" ht="39.6" x14ac:dyDescent="0.3">
      <c r="B26" s="915"/>
      <c r="C26" s="200" t="s">
        <v>236</v>
      </c>
      <c r="D26" s="199" t="str">
        <f t="shared" ref="D26:H26" si="4">IF(D22&lt;=D21,"OK","NOK")</f>
        <v>OK</v>
      </c>
      <c r="E26" s="199" t="str">
        <f t="shared" si="4"/>
        <v>OK</v>
      </c>
      <c r="F26" s="199" t="str">
        <f t="shared" si="4"/>
        <v>OK</v>
      </c>
      <c r="G26" s="135" t="str">
        <f t="shared" si="4"/>
        <v>OK</v>
      </c>
      <c r="H26" s="374" t="str">
        <f t="shared" si="4"/>
        <v>OK</v>
      </c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94"/>
      <c r="AB26" s="166"/>
      <c r="AC26" s="335"/>
      <c r="AD26" s="335"/>
      <c r="AE26" s="335"/>
      <c r="AF26" s="335"/>
      <c r="AG26" s="335"/>
      <c r="AH26" s="335"/>
      <c r="AI26" s="166"/>
      <c r="AJ26" s="166"/>
    </row>
    <row r="27" spans="2:36" ht="40.200000000000003" thickBot="1" x14ac:dyDescent="0.35">
      <c r="B27" s="916"/>
      <c r="C27" s="201" t="s">
        <v>238</v>
      </c>
      <c r="D27" s="193" t="str">
        <f t="shared" ref="D27:H27" si="5">IF(D23&lt;=D24,"OK","NOK")</f>
        <v>OK</v>
      </c>
      <c r="E27" s="193" t="str">
        <f t="shared" si="5"/>
        <v>OK</v>
      </c>
      <c r="F27" s="193" t="str">
        <f t="shared" si="5"/>
        <v>OK</v>
      </c>
      <c r="G27" s="120" t="str">
        <f t="shared" si="5"/>
        <v>OK</v>
      </c>
      <c r="H27" s="372" t="str">
        <f t="shared" si="5"/>
        <v>OK</v>
      </c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94"/>
      <c r="AB27" s="166"/>
      <c r="AC27" s="334"/>
      <c r="AD27" s="334"/>
      <c r="AE27" s="334"/>
      <c r="AF27" s="334"/>
      <c r="AG27" s="334"/>
      <c r="AH27" s="334"/>
      <c r="AI27" s="166"/>
      <c r="AJ27" s="166"/>
    </row>
    <row r="28" spans="2:36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>(1.05*1.05*$AC$18)/((E32))</f>
        <v>2.2771503283936405</v>
      </c>
      <c r="F28" s="115">
        <f>(1.05*1.05*$AC$18)/((F32))</f>
        <v>4.0957768388481011</v>
      </c>
      <c r="G28" s="116">
        <f>(1.05*1.05*$AC$18)/((G32))</f>
        <v>2.2771503283936405</v>
      </c>
      <c r="H28" s="371">
        <f>(1.05*1.05*$AC$18)/((H32))</f>
        <v>7.2054224119602015</v>
      </c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AB28" s="166"/>
      <c r="AC28" s="334"/>
      <c r="AD28" s="334"/>
      <c r="AE28" s="334"/>
      <c r="AF28" s="334"/>
      <c r="AG28" s="334"/>
      <c r="AH28" s="334"/>
      <c r="AI28" s="166"/>
      <c r="AJ28" s="166"/>
    </row>
    <row r="29" spans="2:36" x14ac:dyDescent="0.3">
      <c r="B29" s="906"/>
      <c r="C29" s="139" t="s">
        <v>242</v>
      </c>
      <c r="D29" s="139">
        <f>($AC$9*D11/D15)*1000</f>
        <v>20.184470624999999</v>
      </c>
      <c r="E29" s="139">
        <f>($AC$9*E11/E15)*1000</f>
        <v>18.99429125</v>
      </c>
      <c r="F29" s="139">
        <f>($AC$9*F11/F15)*1000</f>
        <v>45.372552499999998</v>
      </c>
      <c r="G29" s="202">
        <f>($AC$9*G11/G15)*1000</f>
        <v>72.916703749999996</v>
      </c>
      <c r="H29" s="203">
        <f>($AC$9*H11/H15)*1000</f>
        <v>79.863464999999991</v>
      </c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155"/>
      <c r="AB29" s="166"/>
      <c r="AC29" s="334"/>
      <c r="AD29" s="334"/>
      <c r="AE29" s="334"/>
      <c r="AF29" s="334"/>
      <c r="AG29" s="334"/>
      <c r="AH29" s="334"/>
      <c r="AI29" s="166"/>
      <c r="AJ29" s="166"/>
    </row>
    <row r="30" spans="2:36" x14ac:dyDescent="0.3">
      <c r="B30" s="906"/>
      <c r="C30" s="139" t="s">
        <v>243</v>
      </c>
      <c r="D30" s="139">
        <f>(0.08*D11)</f>
        <v>0.73128000000000004</v>
      </c>
      <c r="E30" s="139">
        <f t="shared" ref="E30:H30" si="6">(0.08*E11)</f>
        <v>0.68815999999999999</v>
      </c>
      <c r="F30" s="139">
        <f t="shared" si="6"/>
        <v>1.64384</v>
      </c>
      <c r="G30" s="202">
        <f t="shared" si="6"/>
        <v>2.6417600000000001</v>
      </c>
      <c r="H30" s="203">
        <f t="shared" si="6"/>
        <v>2.89344</v>
      </c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155"/>
      <c r="AB30" s="166"/>
      <c r="AC30" s="334"/>
      <c r="AD30" s="334"/>
      <c r="AE30" s="334"/>
      <c r="AF30" s="334"/>
      <c r="AG30" s="334"/>
      <c r="AH30" s="334"/>
      <c r="AI30" s="166"/>
      <c r="AJ30" s="166"/>
    </row>
    <row r="31" spans="2:36" x14ac:dyDescent="0.3">
      <c r="B31" s="906"/>
      <c r="C31" s="139" t="s">
        <v>245</v>
      </c>
      <c r="D31" s="139">
        <f>SQRT(D29*D29+D30*D30)</f>
        <v>20.197713356959195</v>
      </c>
      <c r="E31" s="139">
        <f t="shared" ref="E31:H31" si="7">SQRT(E29*E29+E30*E30)</f>
        <v>19.00675312291467</v>
      </c>
      <c r="F31" s="139">
        <f t="shared" si="7"/>
        <v>45.402320759085164</v>
      </c>
      <c r="G31" s="202">
        <f t="shared" si="7"/>
        <v>72.964543318401326</v>
      </c>
      <c r="H31" s="203">
        <f t="shared" si="7"/>
        <v>79.915862235477533</v>
      </c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155"/>
      <c r="AB31" s="166"/>
      <c r="AC31" s="334"/>
      <c r="AD31" s="334"/>
      <c r="AE31" s="334"/>
      <c r="AF31" s="334"/>
      <c r="AG31" s="334"/>
      <c r="AH31" s="334"/>
      <c r="AI31" s="166"/>
      <c r="AJ31" s="166"/>
    </row>
    <row r="32" spans="2:36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139">
        <f>'[1]Canalizações Principais'!$C$25+[1]Ramais!E26</f>
        <v>61.911332081099324</v>
      </c>
      <c r="G32" s="202">
        <f>'[1]Canalizações Principais'!$C$25+[1]Ramais!F26</f>
        <v>111.35628457998126</v>
      </c>
      <c r="H32" s="203">
        <f>'[1]Canalizações Principais'!$D$25+[1]Ramais!G26</f>
        <v>35.192246269850003</v>
      </c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155"/>
      <c r="AB32" s="166"/>
      <c r="AC32" s="334"/>
      <c r="AD32" s="334"/>
      <c r="AE32" s="334"/>
      <c r="AF32" s="334"/>
      <c r="AG32" s="334"/>
      <c r="AH32" s="334"/>
      <c r="AI32" s="166"/>
      <c r="AJ32" s="166"/>
    </row>
    <row r="33" spans="2:36" x14ac:dyDescent="0.3">
      <c r="B33" s="906"/>
      <c r="C33" s="139" t="s">
        <v>248</v>
      </c>
      <c r="D33" s="144">
        <f>((0.95*1.05*$AC$18)/D32)*1000</f>
        <v>3705.7028541959003</v>
      </c>
      <c r="E33" s="144">
        <f>((0.95*1.05*$AC$18)/E32)*1000</f>
        <v>2060.2788685466271</v>
      </c>
      <c r="F33" s="144">
        <f>((0.95*1.05*$AC$18)/F32)*1000</f>
        <v>3705.7028541959003</v>
      </c>
      <c r="G33" s="145">
        <f>((0.95*1.05*$AC$18)/G32)*1000</f>
        <v>2060.2788685466271</v>
      </c>
      <c r="H33" s="375">
        <f>((0.95*1.05*$AC$18)/H32)*1000</f>
        <v>6519.1917060592286</v>
      </c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155"/>
      <c r="AB33" s="166"/>
      <c r="AC33" s="334"/>
      <c r="AD33" s="334"/>
      <c r="AE33" s="334"/>
      <c r="AF33" s="334"/>
      <c r="AG33" s="334"/>
      <c r="AH33" s="334"/>
      <c r="AI33" s="166"/>
      <c r="AJ33" s="166"/>
    </row>
    <row r="34" spans="2:36" x14ac:dyDescent="0.3">
      <c r="B34" s="906"/>
      <c r="C34" s="139" t="s">
        <v>249</v>
      </c>
      <c r="D34" s="144">
        <f>((0.95*1.05*$AC$19)/D32)*1000</f>
        <v>6444.7006159928715</v>
      </c>
      <c r="E34" s="144">
        <f>((0.95*1.05*$AC$19)/E32)*1000</f>
        <v>3583.0936844289167</v>
      </c>
      <c r="F34" s="144">
        <f>((0.95*1.05*$AC$19)/F32)*1000</f>
        <v>6444.7006159928715</v>
      </c>
      <c r="G34" s="145">
        <f>((0.95*1.05*$AC$19)/G32)*1000</f>
        <v>3583.0936844289167</v>
      </c>
      <c r="H34" s="375">
        <f>((0.95*1.05*$AC$19)/H32)*1000</f>
        <v>11337.724706189965</v>
      </c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155"/>
      <c r="AB34" s="166"/>
      <c r="AC34" s="334"/>
      <c r="AD34" s="334"/>
      <c r="AE34" s="334"/>
      <c r="AF34" s="334"/>
      <c r="AG34" s="334"/>
      <c r="AH34" s="334"/>
      <c r="AI34" s="166"/>
      <c r="AJ34" s="166"/>
    </row>
    <row r="35" spans="2:36" x14ac:dyDescent="0.3">
      <c r="B35" s="906"/>
      <c r="C35" s="139" t="s">
        <v>251</v>
      </c>
      <c r="D35" s="147">
        <f>IF(D33&lt;D34,D33,D34)</f>
        <v>3705.7028541959003</v>
      </c>
      <c r="E35" s="147">
        <f t="shared" ref="E35:H35" si="8">IF(E33&lt;E34,E33,E34)</f>
        <v>2060.2788685466271</v>
      </c>
      <c r="F35" s="147">
        <f t="shared" si="8"/>
        <v>3705.7028541959003</v>
      </c>
      <c r="G35" s="148">
        <f t="shared" si="8"/>
        <v>2060.2788685466271</v>
      </c>
      <c r="H35" s="376">
        <f t="shared" si="8"/>
        <v>6519.1917060592286</v>
      </c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155"/>
      <c r="AB35" s="166"/>
      <c r="AC35" s="334"/>
      <c r="AD35" s="334"/>
      <c r="AE35" s="334"/>
      <c r="AF35" s="334"/>
      <c r="AG35" s="334"/>
      <c r="AH35" s="334"/>
      <c r="AI35" s="166"/>
      <c r="AJ35" s="166"/>
    </row>
    <row r="36" spans="2:36" x14ac:dyDescent="0.3">
      <c r="B36" s="906"/>
      <c r="C36" s="139" t="s">
        <v>253</v>
      </c>
      <c r="D36" s="139">
        <f>D35/D22</f>
        <v>148.228114167836</v>
      </c>
      <c r="E36" s="139">
        <f t="shared" ref="E36:H36" si="9">E35/E22</f>
        <v>82.41115474186509</v>
      </c>
      <c r="F36" s="139">
        <f t="shared" si="9"/>
        <v>148.228114167836</v>
      </c>
      <c r="G36" s="202">
        <f t="shared" si="9"/>
        <v>82.41115474186509</v>
      </c>
      <c r="H36" s="203">
        <f t="shared" si="9"/>
        <v>130.38383412118458</v>
      </c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155"/>
      <c r="AB36" s="166"/>
      <c r="AC36" s="334"/>
      <c r="AD36" s="334"/>
      <c r="AE36" s="334"/>
      <c r="AF36" s="334"/>
      <c r="AG36" s="334"/>
      <c r="AH36" s="334"/>
      <c r="AI36" s="166"/>
      <c r="AJ36" s="166"/>
    </row>
    <row r="37" spans="2:36" x14ac:dyDescent="0.3">
      <c r="B37" s="906"/>
      <c r="C37" s="139" t="s">
        <v>255</v>
      </c>
      <c r="D37" s="139">
        <v>76</v>
      </c>
      <c r="E37" s="139">
        <v>76</v>
      </c>
      <c r="F37" s="139">
        <v>76</v>
      </c>
      <c r="G37" s="202">
        <v>76</v>
      </c>
      <c r="H37" s="203">
        <v>76</v>
      </c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155"/>
      <c r="AB37" s="166"/>
      <c r="AC37" s="166"/>
      <c r="AD37" s="166"/>
      <c r="AE37" s="166"/>
      <c r="AF37" s="166"/>
      <c r="AG37" s="166"/>
      <c r="AH37" s="166"/>
      <c r="AI37" s="166"/>
      <c r="AJ37" s="166"/>
    </row>
    <row r="38" spans="2:36" x14ac:dyDescent="0.3">
      <c r="B38" s="906"/>
      <c r="C38" s="150" t="s">
        <v>257</v>
      </c>
      <c r="D38" s="158">
        <f>(D37*D16/D35)^2</f>
        <v>0.10767774845497236</v>
      </c>
      <c r="E38" s="158">
        <f t="shared" ref="E38:H38" si="10">(E37*E16/E35)^2</f>
        <v>0.34834945349272384</v>
      </c>
      <c r="F38" s="158">
        <f t="shared" si="10"/>
        <v>0.10767774845497236</v>
      </c>
      <c r="G38" s="108">
        <f t="shared" si="10"/>
        <v>0.34834945349272384</v>
      </c>
      <c r="H38" s="204">
        <f t="shared" si="10"/>
        <v>3.4792020081754686E-2</v>
      </c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</row>
    <row r="39" spans="2:36" x14ac:dyDescent="0.3">
      <c r="B39" s="906"/>
      <c r="C39" s="150" t="s">
        <v>259</v>
      </c>
      <c r="D39" s="150">
        <v>1.6E-2</v>
      </c>
      <c r="E39" s="150">
        <v>1E-3</v>
      </c>
      <c r="F39" s="150">
        <v>1.6E-2</v>
      </c>
      <c r="G39" s="112">
        <v>1E-3</v>
      </c>
      <c r="H39" s="205">
        <v>4.0000000000000001E-3</v>
      </c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2:36" x14ac:dyDescent="0.3">
      <c r="B40" s="906"/>
      <c r="C40" s="206" t="s">
        <v>261</v>
      </c>
      <c r="D40" s="150">
        <v>120</v>
      </c>
      <c r="E40" s="150">
        <v>120</v>
      </c>
      <c r="F40" s="150">
        <v>120</v>
      </c>
      <c r="G40" s="112">
        <v>120</v>
      </c>
      <c r="H40" s="205">
        <v>120</v>
      </c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2:36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:H41" si="11">IF(E39&lt;5,"OK","NOK")</f>
        <v>OK</v>
      </c>
      <c r="F41" s="207" t="str">
        <f t="shared" si="11"/>
        <v>OK</v>
      </c>
      <c r="G41" s="207" t="str">
        <f t="shared" si="11"/>
        <v>OK</v>
      </c>
      <c r="H41" s="230" t="str">
        <f t="shared" si="11"/>
        <v>OK</v>
      </c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2:36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:H42" si="12">IF(E39&lt;E38,"OK","NOK")</f>
        <v>OK</v>
      </c>
      <c r="F42" s="207" t="str">
        <f t="shared" si="12"/>
        <v>OK</v>
      </c>
      <c r="G42" s="207" t="str">
        <f t="shared" si="12"/>
        <v>OK</v>
      </c>
      <c r="H42" s="230" t="str">
        <f t="shared" si="12"/>
        <v>OK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</row>
    <row r="43" spans="2:36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:H43" si="13">IF(E28&lt;=E40,"OK","NOK")</f>
        <v>OK</v>
      </c>
      <c r="F43" s="208" t="str">
        <f t="shared" si="13"/>
        <v>OK</v>
      </c>
      <c r="G43" s="208" t="str">
        <f t="shared" si="13"/>
        <v>OK</v>
      </c>
      <c r="H43" s="231" t="str">
        <f t="shared" si="13"/>
        <v>OK</v>
      </c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155"/>
    </row>
  </sheetData>
  <mergeCells count="12">
    <mergeCell ref="AD14:AF14"/>
    <mergeCell ref="B17:B20"/>
    <mergeCell ref="B21:B27"/>
    <mergeCell ref="B28:B43"/>
    <mergeCell ref="AD7:AF7"/>
    <mergeCell ref="AD8:AF8"/>
    <mergeCell ref="AD9:AF9"/>
    <mergeCell ref="AB12:AC12"/>
    <mergeCell ref="AD12:AF12"/>
    <mergeCell ref="AD13:AF13"/>
    <mergeCell ref="C6:V7"/>
    <mergeCell ref="AB7:AC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7CA-BA14-4E9A-A53C-E3A170F3E0A5}">
  <dimension ref="B5:AK43"/>
  <sheetViews>
    <sheetView topLeftCell="A9" zoomScale="55" zoomScaleNormal="55" workbookViewId="0">
      <selection activeCell="G12" sqref="G12"/>
    </sheetView>
  </sheetViews>
  <sheetFormatPr defaultRowHeight="14.4" x14ac:dyDescent="0.3"/>
  <sheetData>
    <row r="5" spans="2:37" ht="15" thickBot="1" x14ac:dyDescent="0.35"/>
    <row r="6" spans="2:37" ht="15" thickBot="1" x14ac:dyDescent="0.35">
      <c r="C6" s="941" t="s">
        <v>266</v>
      </c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3"/>
      <c r="W6" s="156"/>
      <c r="X6" s="156"/>
      <c r="Y6" s="156"/>
      <c r="Z6" s="156"/>
    </row>
    <row r="7" spans="2:37" ht="15" x14ac:dyDescent="0.35">
      <c r="C7" s="944"/>
      <c r="D7" s="945"/>
      <c r="E7" s="945"/>
      <c r="F7" s="945"/>
      <c r="G7" s="945"/>
      <c r="H7" s="945"/>
      <c r="I7" s="946"/>
      <c r="J7" s="946"/>
      <c r="K7" s="946"/>
      <c r="L7" s="946"/>
      <c r="M7" s="946"/>
      <c r="N7" s="946"/>
      <c r="O7" s="946"/>
      <c r="P7" s="946"/>
      <c r="Q7" s="946"/>
      <c r="R7" s="946"/>
      <c r="S7" s="946"/>
      <c r="T7" s="946"/>
      <c r="U7" s="946"/>
      <c r="V7" s="947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C8" s="105" t="s">
        <v>267</v>
      </c>
      <c r="D8" s="169">
        <v>1</v>
      </c>
      <c r="E8" s="169">
        <v>2</v>
      </c>
      <c r="F8" s="169">
        <v>3</v>
      </c>
      <c r="G8" s="170">
        <v>4</v>
      </c>
      <c r="H8" s="365">
        <v>5</v>
      </c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C9" s="106" t="s">
        <v>212</v>
      </c>
      <c r="D9" s="171" t="s">
        <v>215</v>
      </c>
      <c r="E9" s="171" t="s">
        <v>215</v>
      </c>
      <c r="F9" s="171" t="s">
        <v>215</v>
      </c>
      <c r="G9" s="171" t="s">
        <v>215</v>
      </c>
      <c r="H9" s="171" t="s">
        <v>215</v>
      </c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C10" s="106" t="s">
        <v>214</v>
      </c>
      <c r="D10" s="171" t="s">
        <v>320</v>
      </c>
      <c r="E10" s="171" t="s">
        <v>321</v>
      </c>
      <c r="F10" s="171" t="s">
        <v>322</v>
      </c>
      <c r="G10" s="112" t="s">
        <v>323</v>
      </c>
      <c r="H10" s="171" t="s">
        <v>159</v>
      </c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C11" s="172" t="s">
        <v>217</v>
      </c>
      <c r="D11" s="169">
        <v>8.4920000000000009</v>
      </c>
      <c r="E11" s="169">
        <v>20.966000000000001</v>
      </c>
      <c r="F11" s="169">
        <v>32.911999999999999</v>
      </c>
      <c r="G11" s="170">
        <v>45.386000000000003</v>
      </c>
      <c r="H11" s="330" t="s">
        <v>300</v>
      </c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  <c r="AJ11" t="s">
        <v>258</v>
      </c>
      <c r="AK11">
        <v>1.9</v>
      </c>
    </row>
    <row r="12" spans="2:37" ht="15" x14ac:dyDescent="0.35">
      <c r="C12" s="172" t="s">
        <v>29</v>
      </c>
      <c r="D12" s="171">
        <v>17.25</v>
      </c>
      <c r="E12" s="171">
        <v>17.25</v>
      </c>
      <c r="F12" s="171">
        <v>17.25</v>
      </c>
      <c r="G12" s="112">
        <v>17.25</v>
      </c>
      <c r="H12" s="330" t="s">
        <v>300</v>
      </c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C13" s="172" t="s">
        <v>218</v>
      </c>
      <c r="D13" s="109">
        <f>D12*1000/(SQRT(3)*$AC$19)</f>
        <v>24.898230358802611</v>
      </c>
      <c r="E13" s="109">
        <f>E12*1000/(SQRT(3)*$AC$19)</f>
        <v>24.898230358802611</v>
      </c>
      <c r="F13" s="109">
        <f>F12*1000/(SQRT(3)*$AC$19)</f>
        <v>24.898230358802611</v>
      </c>
      <c r="G13" s="110">
        <f>G12*1000/(SQRT(3)*$AC$19)</f>
        <v>24.898230358802611</v>
      </c>
      <c r="H13" s="330" t="s">
        <v>300</v>
      </c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C14" s="172" t="s">
        <v>268</v>
      </c>
      <c r="D14" s="175" t="s">
        <v>269</v>
      </c>
      <c r="E14" s="175" t="s">
        <v>269</v>
      </c>
      <c r="F14" s="367" t="s">
        <v>269</v>
      </c>
      <c r="G14" s="175" t="s">
        <v>269</v>
      </c>
      <c r="H14" s="330" t="s">
        <v>300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157"/>
      <c r="C15" s="178" t="s">
        <v>219</v>
      </c>
      <c r="D15" s="179">
        <v>16</v>
      </c>
      <c r="E15" s="179">
        <v>16</v>
      </c>
      <c r="F15" s="179">
        <v>16</v>
      </c>
      <c r="G15" s="180">
        <v>16</v>
      </c>
      <c r="H15" s="330" t="s">
        <v>300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40.200000000000003" thickBot="1" x14ac:dyDescent="0.35">
      <c r="C16" s="182" t="s">
        <v>220</v>
      </c>
      <c r="D16" s="183">
        <v>16</v>
      </c>
      <c r="E16" s="184">
        <v>16</v>
      </c>
      <c r="F16" s="184">
        <v>16</v>
      </c>
      <c r="G16" s="185">
        <v>16</v>
      </c>
      <c r="H16" s="330" t="s">
        <v>300</v>
      </c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  <c r="AB16" s="132"/>
      <c r="AC16" s="132"/>
      <c r="AD16" s="132"/>
      <c r="AE16" s="132"/>
      <c r="AF16" s="132"/>
    </row>
    <row r="17" spans="2:36" ht="15" thickBot="1" x14ac:dyDescent="0.35">
      <c r="B17" s="962" t="s">
        <v>221</v>
      </c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189">
        <f>'[1]Canalizações Principais'!$C$12</f>
        <v>0.45689446275976331</v>
      </c>
      <c r="G17" s="190">
        <f>'[1]Canalizações Principais'!$C$12</f>
        <v>0.45689446275976331</v>
      </c>
      <c r="H17" s="330" t="s">
        <v>300</v>
      </c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  <c r="AB17" s="132"/>
      <c r="AC17" s="132"/>
      <c r="AD17" s="132"/>
      <c r="AE17" s="132"/>
      <c r="AF17" s="132"/>
    </row>
    <row r="18" spans="2:36" x14ac:dyDescent="0.3">
      <c r="B18" s="963"/>
      <c r="C18" s="191" t="s">
        <v>222</v>
      </c>
      <c r="D18" s="115">
        <f>($AC$9*D11/D15)*D13</f>
        <v>0.46687661450447543</v>
      </c>
      <c r="E18" s="115">
        <f>($AC$9*E11/E15)*E13</f>
        <v>1.1526772373646763</v>
      </c>
      <c r="F18" s="115">
        <f>($AC$9*F11/F15)*F13</f>
        <v>1.8094492624318528</v>
      </c>
      <c r="G18" s="138">
        <f>($AC$9*G11/G15)*G13</f>
        <v>2.4952498852920537</v>
      </c>
      <c r="H18" s="330" t="s">
        <v>300</v>
      </c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  <c r="AB18" s="140" t="s">
        <v>244</v>
      </c>
      <c r="AC18" s="141">
        <v>230</v>
      </c>
      <c r="AD18" s="132"/>
    </row>
    <row r="19" spans="2:36" ht="15" thickBot="1" x14ac:dyDescent="0.35">
      <c r="B19" s="963"/>
      <c r="C19" s="117" t="s">
        <v>223</v>
      </c>
      <c r="D19" s="115">
        <f t="shared" ref="D19:G19" si="0">D17+(D18/230)*100</f>
        <v>0.6598842951530135</v>
      </c>
      <c r="E19" s="115">
        <f t="shared" si="0"/>
        <v>0.95805847900527474</v>
      </c>
      <c r="F19" s="115">
        <f t="shared" si="0"/>
        <v>1.2436115333823081</v>
      </c>
      <c r="G19" s="138">
        <f t="shared" si="0"/>
        <v>1.5417857172345693</v>
      </c>
      <c r="H19" s="330" t="s">
        <v>300</v>
      </c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  <c r="AB19" s="142" t="s">
        <v>246</v>
      </c>
      <c r="AC19" s="143">
        <v>400</v>
      </c>
      <c r="AD19" s="132"/>
    </row>
    <row r="20" spans="2:36" ht="40.200000000000003" thickBot="1" x14ac:dyDescent="0.35">
      <c r="B20" s="964"/>
      <c r="C20" s="118" t="s">
        <v>272</v>
      </c>
      <c r="D20" s="193" t="str">
        <f>IF(D19&lt;=8,"OK","NOK")</f>
        <v>OK</v>
      </c>
      <c r="E20" s="193" t="str">
        <f t="shared" ref="E20:G20" si="1">IF(E19&lt;=8,"OK","NOK")</f>
        <v>OK</v>
      </c>
      <c r="F20" s="193" t="str">
        <f t="shared" si="1"/>
        <v>OK</v>
      </c>
      <c r="G20" s="120" t="str">
        <f t="shared" si="1"/>
        <v>OK</v>
      </c>
      <c r="H20" s="330" t="s">
        <v>300</v>
      </c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2:36" x14ac:dyDescent="0.3">
      <c r="B21" s="914" t="s">
        <v>225</v>
      </c>
      <c r="C21" s="121" t="s">
        <v>226</v>
      </c>
      <c r="D21" s="195">
        <v>90</v>
      </c>
      <c r="E21" s="196">
        <v>90</v>
      </c>
      <c r="F21" s="196">
        <v>90</v>
      </c>
      <c r="G21" s="197">
        <v>90</v>
      </c>
      <c r="H21" s="330" t="s">
        <v>300</v>
      </c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2:36" x14ac:dyDescent="0.3">
      <c r="B22" s="915"/>
      <c r="C22" s="124" t="s">
        <v>229</v>
      </c>
      <c r="D22" s="111">
        <v>25</v>
      </c>
      <c r="E22" s="124">
        <v>25</v>
      </c>
      <c r="F22" s="124">
        <v>25</v>
      </c>
      <c r="G22" s="170">
        <v>25</v>
      </c>
      <c r="H22" s="330" t="s">
        <v>300</v>
      </c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2:36" x14ac:dyDescent="0.3">
      <c r="B23" s="915"/>
      <c r="C23" s="124" t="s">
        <v>232</v>
      </c>
      <c r="D23" s="111">
        <f>$AK$10*D22</f>
        <v>40</v>
      </c>
      <c r="E23" s="111">
        <f>$AK$10*E22</f>
        <v>40</v>
      </c>
      <c r="F23" s="111">
        <f>$AK$10*F22</f>
        <v>40</v>
      </c>
      <c r="G23" s="112">
        <f>$AK$10*G22</f>
        <v>40</v>
      </c>
      <c r="H23" s="330" t="s">
        <v>300</v>
      </c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2:36" x14ac:dyDescent="0.3">
      <c r="B24" s="915"/>
      <c r="C24" s="124" t="s">
        <v>234</v>
      </c>
      <c r="D24" s="124">
        <f>1.45*D21</f>
        <v>130.5</v>
      </c>
      <c r="E24" s="124">
        <f t="shared" ref="E24:G24" si="2">1.45*E21</f>
        <v>130.5</v>
      </c>
      <c r="F24" s="124">
        <f t="shared" si="2"/>
        <v>130.5</v>
      </c>
      <c r="G24" s="170">
        <f t="shared" si="2"/>
        <v>130.5</v>
      </c>
      <c r="H24" s="330" t="s">
        <v>300</v>
      </c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132"/>
      <c r="AB24" s="166"/>
      <c r="AC24" s="166"/>
      <c r="AD24" s="166"/>
      <c r="AE24" s="166"/>
      <c r="AF24" s="166"/>
      <c r="AG24" s="166"/>
      <c r="AH24" s="166"/>
      <c r="AI24" s="166"/>
      <c r="AJ24" s="166"/>
    </row>
    <row r="25" spans="2:36" ht="40.200000000000003" x14ac:dyDescent="0.3">
      <c r="B25" s="915"/>
      <c r="C25" s="133" t="s">
        <v>235</v>
      </c>
      <c r="D25" s="199" t="str">
        <f t="shared" ref="D25:G25" si="3">IF(D13&lt;=D22,"OK","NOK")</f>
        <v>OK</v>
      </c>
      <c r="E25" s="199" t="str">
        <f t="shared" si="3"/>
        <v>OK</v>
      </c>
      <c r="F25" s="199" t="str">
        <f t="shared" si="3"/>
        <v>OK</v>
      </c>
      <c r="G25" s="135" t="str">
        <f t="shared" si="3"/>
        <v>OK</v>
      </c>
      <c r="H25" s="330" t="s">
        <v>300</v>
      </c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94"/>
      <c r="AB25" s="166"/>
      <c r="AC25" s="335"/>
      <c r="AD25" s="335"/>
      <c r="AE25" s="335"/>
      <c r="AF25" s="335"/>
      <c r="AG25" s="335"/>
      <c r="AH25" s="335"/>
      <c r="AI25" s="166"/>
      <c r="AJ25" s="166"/>
    </row>
    <row r="26" spans="2:36" ht="39.6" x14ac:dyDescent="0.3">
      <c r="B26" s="915"/>
      <c r="C26" s="200" t="s">
        <v>236</v>
      </c>
      <c r="D26" s="199" t="str">
        <f t="shared" ref="D26:G26" si="4">IF(D22&lt;=D21,"OK","NOK")</f>
        <v>OK</v>
      </c>
      <c r="E26" s="199" t="str">
        <f t="shared" si="4"/>
        <v>OK</v>
      </c>
      <c r="F26" s="199" t="str">
        <f t="shared" si="4"/>
        <v>OK</v>
      </c>
      <c r="G26" s="135" t="str">
        <f t="shared" si="4"/>
        <v>OK</v>
      </c>
      <c r="H26" s="330" t="s">
        <v>300</v>
      </c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94"/>
      <c r="AB26" s="166"/>
      <c r="AC26" s="335"/>
      <c r="AD26" s="335"/>
      <c r="AE26" s="335"/>
      <c r="AF26" s="335"/>
      <c r="AG26" s="335"/>
      <c r="AH26" s="335"/>
      <c r="AI26" s="166"/>
      <c r="AJ26" s="166"/>
    </row>
    <row r="27" spans="2:36" ht="40.200000000000003" thickBot="1" x14ac:dyDescent="0.35">
      <c r="B27" s="916"/>
      <c r="C27" s="201" t="s">
        <v>238</v>
      </c>
      <c r="D27" s="193" t="str">
        <f t="shared" ref="D27:G27" si="5">IF(D23&lt;=D24,"OK","NOK")</f>
        <v>OK</v>
      </c>
      <c r="E27" s="193" t="str">
        <f t="shared" si="5"/>
        <v>OK</v>
      </c>
      <c r="F27" s="193" t="str">
        <f t="shared" si="5"/>
        <v>OK</v>
      </c>
      <c r="G27" s="120" t="str">
        <f t="shared" si="5"/>
        <v>OK</v>
      </c>
      <c r="H27" s="330" t="s">
        <v>300</v>
      </c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94"/>
      <c r="AB27" s="166"/>
      <c r="AC27" s="334"/>
      <c r="AD27" s="334"/>
      <c r="AE27" s="334"/>
      <c r="AF27" s="334"/>
      <c r="AG27" s="334"/>
      <c r="AH27" s="334"/>
      <c r="AI27" s="166"/>
      <c r="AJ27" s="166"/>
    </row>
    <row r="28" spans="2:36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>(1.05*1.05*$AC$18)/((E32))</f>
        <v>2.2771503283936405</v>
      </c>
      <c r="F28" s="115">
        <f>(1.05*1.05*$AC$18)/((F32))</f>
        <v>4.0957768388481011</v>
      </c>
      <c r="G28" s="116">
        <f>(1.05*1.05*$AC$18)/((G32))</f>
        <v>2.2771503283936405</v>
      </c>
      <c r="H28" s="330" t="s">
        <v>300</v>
      </c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AB28" s="166"/>
      <c r="AC28" s="334"/>
      <c r="AD28" s="334"/>
      <c r="AE28" s="334"/>
      <c r="AF28" s="334"/>
      <c r="AG28" s="334"/>
      <c r="AH28" s="334"/>
      <c r="AI28" s="166"/>
      <c r="AJ28" s="166"/>
    </row>
    <row r="29" spans="2:36" x14ac:dyDescent="0.3">
      <c r="B29" s="906"/>
      <c r="C29" s="139" t="s">
        <v>242</v>
      </c>
      <c r="D29" s="139">
        <f>($AC$9*D11/D15)*1000</f>
        <v>18.751397500000003</v>
      </c>
      <c r="E29" s="139">
        <f>($AC$9*E11/E15)*1000</f>
        <v>46.295548750000009</v>
      </c>
      <c r="F29" s="139">
        <f>($AC$9*F11/F15)*1000</f>
        <v>72.673810000000003</v>
      </c>
      <c r="G29" s="202">
        <f>($AC$9*G11/G15)*1000</f>
        <v>100.21796125</v>
      </c>
      <c r="H29" s="330" t="s">
        <v>300</v>
      </c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155"/>
      <c r="AB29" s="166"/>
      <c r="AC29" s="334"/>
      <c r="AD29" s="334"/>
      <c r="AE29" s="334"/>
      <c r="AF29" s="334"/>
      <c r="AG29" s="334"/>
      <c r="AH29" s="334"/>
      <c r="AI29" s="166"/>
      <c r="AJ29" s="166"/>
    </row>
    <row r="30" spans="2:36" x14ac:dyDescent="0.3">
      <c r="B30" s="906"/>
      <c r="C30" s="139" t="s">
        <v>243</v>
      </c>
      <c r="D30" s="139">
        <f>(0.08*D11)</f>
        <v>0.67936000000000007</v>
      </c>
      <c r="E30" s="139">
        <f t="shared" ref="E30:G30" si="6">(0.08*E11)</f>
        <v>1.6772800000000001</v>
      </c>
      <c r="F30" s="139">
        <f t="shared" si="6"/>
        <v>2.6329600000000002</v>
      </c>
      <c r="G30" s="202">
        <f t="shared" si="6"/>
        <v>3.6308800000000003</v>
      </c>
      <c r="H30" s="330" t="s">
        <v>300</v>
      </c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155"/>
      <c r="AB30" s="166"/>
      <c r="AC30" s="334"/>
      <c r="AD30" s="334"/>
      <c r="AE30" s="334"/>
      <c r="AF30" s="334"/>
      <c r="AG30" s="334"/>
      <c r="AH30" s="334"/>
      <c r="AI30" s="166"/>
      <c r="AJ30" s="166"/>
    </row>
    <row r="31" spans="2:36" x14ac:dyDescent="0.3">
      <c r="B31" s="906"/>
      <c r="C31" s="139" t="s">
        <v>245</v>
      </c>
      <c r="D31" s="139">
        <f>SQRT(D29*D29+D30*D30)</f>
        <v>18.763700013925995</v>
      </c>
      <c r="E31" s="139">
        <f t="shared" ref="E31:G31" si="7">SQRT(E29*E29+E30*E30)</f>
        <v>46.325922573242153</v>
      </c>
      <c r="F31" s="139">
        <f t="shared" si="7"/>
        <v>72.72149020941265</v>
      </c>
      <c r="G31" s="202">
        <f t="shared" si="7"/>
        <v>100.2837127687288</v>
      </c>
      <c r="H31" s="330" t="s">
        <v>300</v>
      </c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155"/>
      <c r="AB31" s="166"/>
      <c r="AC31" s="334"/>
      <c r="AD31" s="334"/>
      <c r="AE31" s="334"/>
      <c r="AF31" s="334"/>
      <c r="AG31" s="334"/>
      <c r="AH31" s="334"/>
      <c r="AI31" s="166"/>
      <c r="AJ31" s="166"/>
    </row>
    <row r="32" spans="2:36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139">
        <f>'[1]Canalizações Principais'!$C$25+[1]Ramais!E26</f>
        <v>61.911332081099324</v>
      </c>
      <c r="G32" s="202">
        <f>'[1]Canalizações Principais'!$C$25+[1]Ramais!F26</f>
        <v>111.35628457998126</v>
      </c>
      <c r="H32" s="330" t="s">
        <v>300</v>
      </c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155"/>
      <c r="AB32" s="166"/>
      <c r="AC32" s="334"/>
      <c r="AD32" s="334"/>
      <c r="AE32" s="334"/>
      <c r="AF32" s="334"/>
      <c r="AG32" s="334"/>
      <c r="AH32" s="334"/>
      <c r="AI32" s="166"/>
      <c r="AJ32" s="166"/>
    </row>
    <row r="33" spans="2:36" x14ac:dyDescent="0.3">
      <c r="B33" s="906"/>
      <c r="C33" s="139" t="s">
        <v>248</v>
      </c>
      <c r="D33" s="144">
        <f>((0.95*1.05*$AC$18)/D32)*1000</f>
        <v>3705.7028541959003</v>
      </c>
      <c r="E33" s="144">
        <f>((0.95*1.05*$AC$18)/E32)*1000</f>
        <v>2060.2788685466271</v>
      </c>
      <c r="F33" s="144">
        <f>((0.95*1.05*$AC$18)/F32)*1000</f>
        <v>3705.7028541959003</v>
      </c>
      <c r="G33" s="145">
        <f>((0.95*1.05*$AC$18)/G32)*1000</f>
        <v>2060.2788685466271</v>
      </c>
      <c r="H33" s="330" t="s">
        <v>300</v>
      </c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155"/>
      <c r="AB33" s="166"/>
      <c r="AC33" s="334"/>
      <c r="AD33" s="334"/>
      <c r="AE33" s="334"/>
      <c r="AF33" s="334"/>
      <c r="AG33" s="334"/>
      <c r="AH33" s="334"/>
      <c r="AI33" s="166"/>
      <c r="AJ33" s="166"/>
    </row>
    <row r="34" spans="2:36" x14ac:dyDescent="0.3">
      <c r="B34" s="906"/>
      <c r="C34" s="139" t="s">
        <v>249</v>
      </c>
      <c r="D34" s="144">
        <f>((0.95*1.05*$AC$19)/D32)*1000</f>
        <v>6444.7006159928715</v>
      </c>
      <c r="E34" s="144">
        <f>((0.95*1.05*$AC$19)/E32)*1000</f>
        <v>3583.0936844289167</v>
      </c>
      <c r="F34" s="144">
        <f>((0.95*1.05*$AC$19)/F32)*1000</f>
        <v>6444.7006159928715</v>
      </c>
      <c r="G34" s="145">
        <f>((0.95*1.05*$AC$19)/G32)*1000</f>
        <v>3583.0936844289167</v>
      </c>
      <c r="H34" s="330" t="s">
        <v>300</v>
      </c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155"/>
      <c r="AB34" s="166"/>
      <c r="AC34" s="334"/>
      <c r="AD34" s="334"/>
      <c r="AE34" s="334"/>
      <c r="AF34" s="334"/>
      <c r="AG34" s="334"/>
      <c r="AH34" s="334"/>
      <c r="AI34" s="166"/>
      <c r="AJ34" s="166"/>
    </row>
    <row r="35" spans="2:36" x14ac:dyDescent="0.3">
      <c r="B35" s="906"/>
      <c r="C35" s="139" t="s">
        <v>251</v>
      </c>
      <c r="D35" s="147">
        <f>IF(D33&lt;D34,D33,D34)</f>
        <v>3705.7028541959003</v>
      </c>
      <c r="E35" s="147">
        <f t="shared" ref="E35:G35" si="8">IF(E33&lt;E34,E33,E34)</f>
        <v>2060.2788685466271</v>
      </c>
      <c r="F35" s="147">
        <f t="shared" si="8"/>
        <v>3705.7028541959003</v>
      </c>
      <c r="G35" s="148">
        <f t="shared" si="8"/>
        <v>2060.2788685466271</v>
      </c>
      <c r="H35" s="330" t="s">
        <v>300</v>
      </c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155"/>
      <c r="AB35" s="166"/>
      <c r="AC35" s="334"/>
      <c r="AD35" s="334"/>
      <c r="AE35" s="334"/>
      <c r="AF35" s="334"/>
      <c r="AG35" s="334"/>
      <c r="AH35" s="334"/>
      <c r="AI35" s="166"/>
      <c r="AJ35" s="166"/>
    </row>
    <row r="36" spans="2:36" x14ac:dyDescent="0.3">
      <c r="B36" s="906"/>
      <c r="C36" s="139" t="s">
        <v>253</v>
      </c>
      <c r="D36" s="139">
        <f>D35/D22</f>
        <v>148.228114167836</v>
      </c>
      <c r="E36" s="139">
        <f t="shared" ref="E36:G36" si="9">E35/E22</f>
        <v>82.41115474186509</v>
      </c>
      <c r="F36" s="139">
        <f t="shared" si="9"/>
        <v>148.228114167836</v>
      </c>
      <c r="G36" s="202">
        <f t="shared" si="9"/>
        <v>82.41115474186509</v>
      </c>
      <c r="H36" s="330" t="s">
        <v>300</v>
      </c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155"/>
      <c r="AB36" s="166"/>
      <c r="AC36" s="334"/>
      <c r="AD36" s="334"/>
      <c r="AE36" s="334"/>
      <c r="AF36" s="334"/>
      <c r="AG36" s="334"/>
      <c r="AH36" s="334"/>
      <c r="AI36" s="166"/>
      <c r="AJ36" s="166"/>
    </row>
    <row r="37" spans="2:36" x14ac:dyDescent="0.3">
      <c r="B37" s="906"/>
      <c r="C37" s="139" t="s">
        <v>255</v>
      </c>
      <c r="D37" s="139">
        <v>76</v>
      </c>
      <c r="E37" s="139">
        <v>76</v>
      </c>
      <c r="F37" s="139">
        <v>76</v>
      </c>
      <c r="G37" s="202">
        <v>76</v>
      </c>
      <c r="H37" s="330" t="s">
        <v>300</v>
      </c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155"/>
      <c r="AB37" s="166"/>
      <c r="AC37" s="166"/>
      <c r="AD37" s="166"/>
      <c r="AE37" s="166"/>
      <c r="AF37" s="166"/>
      <c r="AG37" s="166"/>
      <c r="AH37" s="166"/>
      <c r="AI37" s="166"/>
      <c r="AJ37" s="166"/>
    </row>
    <row r="38" spans="2:36" x14ac:dyDescent="0.3">
      <c r="B38" s="906"/>
      <c r="C38" s="150" t="s">
        <v>257</v>
      </c>
      <c r="D38" s="158">
        <f>(D37*D16/D35)^2</f>
        <v>0.10767774845497236</v>
      </c>
      <c r="E38" s="158">
        <f t="shared" ref="E38:G38" si="10">(E37*E16/E35)^2</f>
        <v>0.34834945349272384</v>
      </c>
      <c r="F38" s="158">
        <f t="shared" si="10"/>
        <v>0.10767774845497236</v>
      </c>
      <c r="G38" s="108">
        <f t="shared" si="10"/>
        <v>0.34834945349272384</v>
      </c>
      <c r="H38" s="330" t="s">
        <v>300</v>
      </c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</row>
    <row r="39" spans="2:36" x14ac:dyDescent="0.3">
      <c r="B39" s="906"/>
      <c r="C39" s="150" t="s">
        <v>259</v>
      </c>
      <c r="D39" s="150">
        <v>1.6E-2</v>
      </c>
      <c r="E39" s="150">
        <v>1E-3</v>
      </c>
      <c r="F39" s="150">
        <v>1.6E-2</v>
      </c>
      <c r="G39" s="112">
        <v>1E-3</v>
      </c>
      <c r="H39" s="330" t="s">
        <v>300</v>
      </c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2:36" x14ac:dyDescent="0.3">
      <c r="B40" s="906"/>
      <c r="C40" s="206" t="s">
        <v>261</v>
      </c>
      <c r="D40" s="150">
        <v>120</v>
      </c>
      <c r="E40" s="150">
        <v>120</v>
      </c>
      <c r="F40" s="150">
        <v>120</v>
      </c>
      <c r="G40" s="112">
        <v>120</v>
      </c>
      <c r="H40" s="330" t="s">
        <v>300</v>
      </c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2:36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:G41" si="11">IF(E39&lt;5,"OK","NOK")</f>
        <v>OK</v>
      </c>
      <c r="F41" s="207" t="str">
        <f t="shared" si="11"/>
        <v>OK</v>
      </c>
      <c r="G41" s="207" t="str">
        <f t="shared" si="11"/>
        <v>OK</v>
      </c>
      <c r="H41" s="330" t="s">
        <v>300</v>
      </c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2:36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:G42" si="12">IF(E39&lt;E38,"OK","NOK")</f>
        <v>OK</v>
      </c>
      <c r="F42" s="207" t="str">
        <f t="shared" si="12"/>
        <v>OK</v>
      </c>
      <c r="G42" s="207" t="str">
        <f t="shared" si="12"/>
        <v>OK</v>
      </c>
      <c r="H42" s="330" t="s">
        <v>300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</row>
    <row r="43" spans="2:36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:G43" si="13">IF(E28&lt;=E40,"OK","NOK")</f>
        <v>OK</v>
      </c>
      <c r="F43" s="208" t="str">
        <f t="shared" si="13"/>
        <v>OK</v>
      </c>
      <c r="G43" s="208" t="str">
        <f t="shared" si="13"/>
        <v>OK</v>
      </c>
      <c r="H43" s="330" t="s">
        <v>300</v>
      </c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155"/>
    </row>
  </sheetData>
  <mergeCells count="12">
    <mergeCell ref="AD13:AF13"/>
    <mergeCell ref="AD14:AF14"/>
    <mergeCell ref="B17:B20"/>
    <mergeCell ref="B21:B27"/>
    <mergeCell ref="B28:B43"/>
    <mergeCell ref="AB12:AC12"/>
    <mergeCell ref="AD12:AF12"/>
    <mergeCell ref="C6:V7"/>
    <mergeCell ref="AB7:AC7"/>
    <mergeCell ref="AD7:AF7"/>
    <mergeCell ref="AD8:AF8"/>
    <mergeCell ref="AD9:AF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8525-0806-4D46-BF44-EE01BC73551D}">
  <dimension ref="B5:I46"/>
  <sheetViews>
    <sheetView tabSelected="1" topLeftCell="A16" workbookViewId="0">
      <selection activeCell="F23" sqref="F23"/>
    </sheetView>
  </sheetViews>
  <sheetFormatPr defaultRowHeight="14.4" x14ac:dyDescent="0.3"/>
  <sheetData>
    <row r="5" spans="3:8" ht="15" thickBot="1" x14ac:dyDescent="0.35"/>
    <row r="6" spans="3:8" ht="15" thickBot="1" x14ac:dyDescent="0.35">
      <c r="D6" s="377" t="s">
        <v>324</v>
      </c>
      <c r="E6" s="378" t="s">
        <v>325</v>
      </c>
    </row>
    <row r="7" spans="3:8" x14ac:dyDescent="0.3">
      <c r="C7" s="379" t="s">
        <v>326</v>
      </c>
      <c r="D7" s="122">
        <v>10</v>
      </c>
      <c r="E7" s="123">
        <v>12</v>
      </c>
    </row>
    <row r="8" spans="3:8" x14ac:dyDescent="0.3">
      <c r="C8" s="105" t="s">
        <v>327</v>
      </c>
      <c r="D8" s="111">
        <v>172</v>
      </c>
      <c r="E8" s="112">
        <v>172</v>
      </c>
    </row>
    <row r="9" spans="3:8" x14ac:dyDescent="0.3">
      <c r="C9" s="380" t="s">
        <v>328</v>
      </c>
      <c r="D9" s="381">
        <v>229.02796269999999</v>
      </c>
      <c r="E9" s="382">
        <v>229.02796269999999</v>
      </c>
    </row>
    <row r="10" spans="3:8" x14ac:dyDescent="0.3">
      <c r="C10" s="383" t="s">
        <v>329</v>
      </c>
      <c r="D10" s="111">
        <f>D8/D9</f>
        <v>0.75100000005370526</v>
      </c>
      <c r="E10" s="112">
        <f>E8/E9</f>
        <v>0.75100000005370526</v>
      </c>
    </row>
    <row r="11" spans="3:8" x14ac:dyDescent="0.3">
      <c r="C11" s="105" t="s">
        <v>330</v>
      </c>
      <c r="D11" s="111">
        <f>H26*D16</f>
        <v>2489.4343771739127</v>
      </c>
      <c r="E11" s="112">
        <f>H26*E16</f>
        <v>2987.321252608695</v>
      </c>
    </row>
    <row r="12" spans="3:8" x14ac:dyDescent="0.3">
      <c r="C12" s="105" t="s">
        <v>278</v>
      </c>
      <c r="D12" s="384" t="s">
        <v>213</v>
      </c>
      <c r="E12" s="385" t="s">
        <v>213</v>
      </c>
    </row>
    <row r="13" spans="3:8" x14ac:dyDescent="0.3">
      <c r="C13" s="105" t="s">
        <v>214</v>
      </c>
      <c r="D13" s="384" t="s">
        <v>331</v>
      </c>
      <c r="E13" s="385" t="s">
        <v>332</v>
      </c>
    </row>
    <row r="14" spans="3:8" x14ac:dyDescent="0.3">
      <c r="C14" s="105" t="s">
        <v>333</v>
      </c>
      <c r="D14" s="111">
        <v>250.01900000000001</v>
      </c>
      <c r="E14" s="112">
        <f>30+25+9+21+32+32+26+21+25+19+16+22+33+29+18+32+31</f>
        <v>421</v>
      </c>
      <c r="H14" s="386"/>
    </row>
    <row r="15" spans="3:8" x14ac:dyDescent="0.3">
      <c r="C15" s="105" t="s">
        <v>334</v>
      </c>
      <c r="D15" s="111">
        <v>16</v>
      </c>
      <c r="E15" s="112">
        <v>35</v>
      </c>
    </row>
    <row r="16" spans="3:8" x14ac:dyDescent="0.3">
      <c r="C16" s="105" t="s">
        <v>218</v>
      </c>
      <c r="D16" s="107">
        <f>D7*((D8/D10)/(H26*D17))</f>
        <v>10.8236277268431</v>
      </c>
      <c r="E16" s="107">
        <f>E7*((E8/E10)/(H26*E17))</f>
        <v>12.988353272211718</v>
      </c>
    </row>
    <row r="17" spans="2:9" ht="15" thickBot="1" x14ac:dyDescent="0.35">
      <c r="C17" s="387" t="s">
        <v>335</v>
      </c>
      <c r="D17" s="113">
        <v>0.92</v>
      </c>
      <c r="E17" s="114">
        <v>0.92</v>
      </c>
    </row>
    <row r="18" spans="2:9" x14ac:dyDescent="0.3">
      <c r="B18" s="914" t="s">
        <v>221</v>
      </c>
      <c r="C18" s="191" t="s">
        <v>222</v>
      </c>
      <c r="D18" s="115">
        <f>($F$46*D14/D15)*D16</f>
        <v>5.975434842120368</v>
      </c>
      <c r="E18" s="138">
        <f>($F$46*E14/E15)*E16</f>
        <v>5.5196530681756579</v>
      </c>
    </row>
    <row r="19" spans="2:9" x14ac:dyDescent="0.3">
      <c r="B19" s="915"/>
      <c r="C19" s="117" t="s">
        <v>223</v>
      </c>
      <c r="D19" s="107">
        <f>(D18/230)*100</f>
        <v>2.5980151487479861</v>
      </c>
      <c r="E19" s="108">
        <f>(E18/230)*100</f>
        <v>2.3998491600763732</v>
      </c>
    </row>
    <row r="20" spans="2:9" ht="40.200000000000003" thickBot="1" x14ac:dyDescent="0.35">
      <c r="B20" s="916"/>
      <c r="C20" s="118" t="s">
        <v>336</v>
      </c>
      <c r="D20" s="119" t="str">
        <f>IF(D19&lt;=3,"OK","NOK")</f>
        <v>OK</v>
      </c>
      <c r="E20" s="120" t="str">
        <f>IF(E19&lt;=3,"OK","NOK")</f>
        <v>OK</v>
      </c>
    </row>
    <row r="21" spans="2:9" x14ac:dyDescent="0.3">
      <c r="B21" s="914" t="s">
        <v>225</v>
      </c>
      <c r="C21" s="121" t="s">
        <v>226</v>
      </c>
      <c r="D21" s="122">
        <v>130</v>
      </c>
      <c r="E21" s="122">
        <v>130</v>
      </c>
    </row>
    <row r="22" spans="2:9" x14ac:dyDescent="0.3">
      <c r="B22" s="915"/>
      <c r="C22" s="124" t="s">
        <v>229</v>
      </c>
      <c r="D22" s="111">
        <v>25</v>
      </c>
      <c r="E22" s="112">
        <v>25</v>
      </c>
      <c r="F22" t="s">
        <v>338</v>
      </c>
    </row>
    <row r="23" spans="2:9" x14ac:dyDescent="0.3">
      <c r="B23" s="915"/>
      <c r="C23" s="124" t="s">
        <v>232</v>
      </c>
      <c r="D23" s="111">
        <f>$H$33*D22</f>
        <v>40</v>
      </c>
      <c r="E23" s="112">
        <f>$H$33*E22</f>
        <v>40</v>
      </c>
    </row>
    <row r="24" spans="2:9" x14ac:dyDescent="0.3">
      <c r="B24" s="915"/>
      <c r="C24" s="124" t="s">
        <v>234</v>
      </c>
      <c r="D24" s="111">
        <f>1.45*D21</f>
        <v>188.5</v>
      </c>
      <c r="E24" s="112">
        <f>1.45*E21</f>
        <v>188.5</v>
      </c>
    </row>
    <row r="25" spans="2:9" ht="40.799999999999997" thickBot="1" x14ac:dyDescent="0.35">
      <c r="B25" s="915"/>
      <c r="C25" s="133" t="s">
        <v>235</v>
      </c>
      <c r="D25" s="134" t="str">
        <f>IF(D16&lt;=D22,"OK","NOK")</f>
        <v>OK</v>
      </c>
      <c r="E25" s="135" t="str">
        <f>IF(E16&lt;=E22,"OK","NOK")</f>
        <v>OK</v>
      </c>
    </row>
    <row r="26" spans="2:9" ht="40.200000000000003" x14ac:dyDescent="0.3">
      <c r="B26" s="915"/>
      <c r="C26" s="133" t="s">
        <v>236</v>
      </c>
      <c r="D26" s="134" t="str">
        <f>IF(D22&lt;=D21,"OK","NOK")</f>
        <v>OK</v>
      </c>
      <c r="E26" s="135" t="str">
        <f>IF(E22&lt;=E21,"OK","NOK")</f>
        <v>OK</v>
      </c>
      <c r="G26" s="140" t="s">
        <v>244</v>
      </c>
      <c r="H26" s="141">
        <v>230</v>
      </c>
      <c r="I26" s="388"/>
    </row>
    <row r="27" spans="2:9" ht="40.799999999999997" thickBot="1" x14ac:dyDescent="0.35">
      <c r="B27" s="916"/>
      <c r="C27" s="136" t="s">
        <v>238</v>
      </c>
      <c r="D27" s="119" t="str">
        <f>IF(D23&lt;=D24,"OK","NOK")</f>
        <v>OK</v>
      </c>
      <c r="E27" s="120" t="str">
        <f>IF(E23&lt;=E24,"OK","NOK")</f>
        <v>OK</v>
      </c>
      <c r="G27" s="142" t="s">
        <v>246</v>
      </c>
      <c r="H27" s="143">
        <v>400</v>
      </c>
      <c r="I27" s="388"/>
    </row>
    <row r="28" spans="2:9" x14ac:dyDescent="0.3">
      <c r="B28" s="905" t="s">
        <v>240</v>
      </c>
      <c r="C28" s="389" t="s">
        <v>275</v>
      </c>
      <c r="D28" s="115">
        <f>(1.05*1.05*$H$26)/((D32))</f>
        <v>0.48814073594201807</v>
      </c>
      <c r="E28" s="138">
        <f>(1.05*1.05*$H$26)/((E32))</f>
        <v>0.59481019055645556</v>
      </c>
    </row>
    <row r="29" spans="2:9" x14ac:dyDescent="0.3">
      <c r="B29" s="906"/>
      <c r="C29" s="390" t="s">
        <v>242</v>
      </c>
      <c r="D29" s="107">
        <f>(F46*D14/D15)*1000</f>
        <v>552.07320437500005</v>
      </c>
      <c r="E29" s="108">
        <f>(F46*E14/E15)*1000</f>
        <v>424.96942857142858</v>
      </c>
    </row>
    <row r="30" spans="2:9" x14ac:dyDescent="0.3">
      <c r="B30" s="906"/>
      <c r="C30" s="390" t="s">
        <v>243</v>
      </c>
      <c r="D30" s="107">
        <f>(0.08*D14)</f>
        <v>20.001519999999999</v>
      </c>
      <c r="E30" s="108">
        <f>(0.08*E14)</f>
        <v>33.68</v>
      </c>
      <c r="H30" s="146" t="s">
        <v>250</v>
      </c>
    </row>
    <row r="31" spans="2:9" x14ac:dyDescent="0.3">
      <c r="B31" s="906"/>
      <c r="C31" s="390" t="s">
        <v>245</v>
      </c>
      <c r="D31" s="107">
        <f>SQRT(D29*D29+D30*D30)</f>
        <v>552.4354114203677</v>
      </c>
      <c r="E31" s="108">
        <f>SQRT(E29*E29+E30*E30)</f>
        <v>426.30195591895489</v>
      </c>
      <c r="G31" t="s">
        <v>252</v>
      </c>
      <c r="H31">
        <v>1.45</v>
      </c>
    </row>
    <row r="32" spans="2:9" x14ac:dyDescent="0.3">
      <c r="B32" s="906"/>
      <c r="C32" s="390" t="s">
        <v>247</v>
      </c>
      <c r="D32" s="107">
        <f>'[1]Canalizações Principais'!$M$37+'[1]Canalizações Principais'!$K$40+'[1]Iluminação Publica'!C26</f>
        <v>519.47108964517963</v>
      </c>
      <c r="E32" s="108">
        <f>'[1]Canalizações Principais'!$M$37+'[1]Canalizações Principais'!$K$40+'[1]Iluminação Publica'!D26</f>
        <v>426.31246744911363</v>
      </c>
      <c r="G32" t="s">
        <v>254</v>
      </c>
      <c r="H32" s="149">
        <v>1.3</v>
      </c>
      <c r="I32" s="149"/>
    </row>
    <row r="33" spans="2:9" x14ac:dyDescent="0.3">
      <c r="B33" s="906"/>
      <c r="C33" s="390" t="s">
        <v>248</v>
      </c>
      <c r="D33" s="144">
        <f>((0.95*1.05*$H$26)/D32)*1000</f>
        <v>441.65114204277819</v>
      </c>
      <c r="E33" s="145">
        <f>((0.95*1.05*$H$26)/E32)*1000</f>
        <v>538.16160097965019</v>
      </c>
      <c r="G33" t="s">
        <v>256</v>
      </c>
      <c r="H33">
        <v>1.6</v>
      </c>
    </row>
    <row r="34" spans="2:9" x14ac:dyDescent="0.3">
      <c r="B34" s="906"/>
      <c r="C34" s="390" t="s">
        <v>249</v>
      </c>
      <c r="D34" s="144">
        <f>((0.95*1.05*$H$27)/D32)*1000</f>
        <v>768.08894268309257</v>
      </c>
      <c r="E34" s="145">
        <f>((0.95*1.05*$H$27)/E32)*1000</f>
        <v>935.9332190950438</v>
      </c>
      <c r="G34" t="s">
        <v>258</v>
      </c>
      <c r="H34">
        <v>1.9</v>
      </c>
    </row>
    <row r="35" spans="2:9" x14ac:dyDescent="0.3">
      <c r="B35" s="906"/>
      <c r="C35" s="390" t="s">
        <v>251</v>
      </c>
      <c r="D35" s="147">
        <f>IF(D33&lt;D34,D33,D34)</f>
        <v>441.65114204277819</v>
      </c>
      <c r="E35" s="148">
        <f>IF(E33&lt;E34,E33,E34)</f>
        <v>538.16160097965019</v>
      </c>
      <c r="G35" t="s">
        <v>260</v>
      </c>
      <c r="H35" s="151">
        <v>2.1</v>
      </c>
      <c r="I35" s="151"/>
    </row>
    <row r="36" spans="2:9" x14ac:dyDescent="0.3">
      <c r="B36" s="906"/>
      <c r="C36" s="390" t="s">
        <v>255</v>
      </c>
      <c r="D36" s="107">
        <v>76</v>
      </c>
      <c r="E36" s="108">
        <v>76</v>
      </c>
    </row>
    <row r="37" spans="2:9" x14ac:dyDescent="0.3">
      <c r="B37" s="906"/>
      <c r="C37" s="111" t="s">
        <v>257</v>
      </c>
      <c r="D37" s="107">
        <f>(D36*D15)/D35</f>
        <v>2.7533043260696894</v>
      </c>
      <c r="E37" s="108">
        <f>(E36*E15)/E35</f>
        <v>4.9427532457868244</v>
      </c>
    </row>
    <row r="38" spans="2:9" x14ac:dyDescent="0.3">
      <c r="B38" s="906"/>
      <c r="C38" s="111" t="s">
        <v>259</v>
      </c>
      <c r="D38" s="111">
        <v>1E-3</v>
      </c>
      <c r="E38" s="112">
        <v>1E-3</v>
      </c>
    </row>
    <row r="39" spans="2:9" x14ac:dyDescent="0.3">
      <c r="B39" s="906"/>
      <c r="C39" s="111" t="s">
        <v>337</v>
      </c>
      <c r="D39" s="111">
        <v>120</v>
      </c>
      <c r="E39" s="112">
        <v>120</v>
      </c>
    </row>
    <row r="40" spans="2:9" x14ac:dyDescent="0.3">
      <c r="B40" s="906"/>
      <c r="C40" s="153" t="s">
        <v>262</v>
      </c>
      <c r="D40" s="207" t="str">
        <f>IF(D38&lt;5,"OK","NOK")</f>
        <v>OK</v>
      </c>
      <c r="E40" s="391" t="str">
        <f>IF(E38&lt;5,"OK","NOK")</f>
        <v>OK</v>
      </c>
    </row>
    <row r="41" spans="2:9" x14ac:dyDescent="0.3">
      <c r="B41" s="906"/>
      <c r="C41" s="153" t="s">
        <v>263</v>
      </c>
      <c r="D41" s="207" t="str">
        <f>IF(D38&lt;D37,"OK","NOK")</f>
        <v>OK</v>
      </c>
      <c r="E41" s="391" t="str">
        <f>IF(E38&lt;E37,"OK","NOK")</f>
        <v>OK</v>
      </c>
    </row>
    <row r="42" spans="2:9" ht="15" thickBot="1" x14ac:dyDescent="0.35">
      <c r="B42" s="907"/>
      <c r="C42" s="154" t="s">
        <v>264</v>
      </c>
      <c r="D42" s="208" t="str">
        <f>IF(D28&lt;=D39,"OK","NOK")</f>
        <v>OK</v>
      </c>
      <c r="E42" s="392" t="str">
        <f>IF(E28&lt;=E39,"OK","NOK")</f>
        <v>OK</v>
      </c>
    </row>
    <row r="43" spans="2:9" ht="15" thickBot="1" x14ac:dyDescent="0.35">
      <c r="B43" s="393"/>
      <c r="C43" s="155"/>
    </row>
    <row r="44" spans="2:9" ht="15" x14ac:dyDescent="0.35">
      <c r="E44" s="921" t="s">
        <v>227</v>
      </c>
      <c r="F44" s="971"/>
      <c r="G44" s="923" t="s">
        <v>228</v>
      </c>
      <c r="H44" s="925"/>
    </row>
    <row r="45" spans="2:9" ht="16.2" x14ac:dyDescent="0.45">
      <c r="E45" s="125" t="s">
        <v>230</v>
      </c>
      <c r="F45" s="394">
        <v>2.1551250000000001E-2</v>
      </c>
      <c r="G45" s="926" t="s">
        <v>231</v>
      </c>
      <c r="H45" s="928"/>
    </row>
    <row r="46" spans="2:9" ht="16.8" thickBot="1" x14ac:dyDescent="0.5">
      <c r="E46" s="127" t="s">
        <v>233</v>
      </c>
      <c r="F46" s="395">
        <v>3.533E-2</v>
      </c>
      <c r="G46" s="929" t="s">
        <v>231</v>
      </c>
      <c r="H46" s="931"/>
    </row>
  </sheetData>
  <mergeCells count="7">
    <mergeCell ref="G46:H46"/>
    <mergeCell ref="B18:B20"/>
    <mergeCell ref="B21:B27"/>
    <mergeCell ref="B28:B42"/>
    <mergeCell ref="E44:F44"/>
    <mergeCell ref="G44:H44"/>
    <mergeCell ref="G45:H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0B5E-C062-4147-9EDB-6CFC9953EE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1BD8-7D38-45FC-A5B6-24529AABB572}">
  <dimension ref="A1:BA72"/>
  <sheetViews>
    <sheetView zoomScale="70" zoomScaleNormal="70" workbookViewId="0">
      <selection activeCell="L35" sqref="L35"/>
    </sheetView>
  </sheetViews>
  <sheetFormatPr defaultRowHeight="14.4" x14ac:dyDescent="0.3"/>
  <cols>
    <col min="17" max="17" width="18.109375" customWidth="1"/>
    <col min="18" max="18" width="17.6640625" customWidth="1"/>
    <col min="19" max="19" width="44.44140625" customWidth="1"/>
  </cols>
  <sheetData>
    <row r="1" spans="1:5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3">
      <c r="A2" s="1"/>
      <c r="B2" s="435" t="s">
        <v>43</v>
      </c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3">
      <c r="A3" s="1"/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3">
      <c r="A4" s="1"/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4.2" customHeight="1" x14ac:dyDescent="0.3">
      <c r="A5" s="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445" t="s">
        <v>18</v>
      </c>
      <c r="O8" s="446"/>
      <c r="P8" s="446"/>
      <c r="Q8" s="446"/>
      <c r="R8" s="446"/>
      <c r="S8" s="447"/>
      <c r="T8" s="2"/>
      <c r="U8" s="1"/>
      <c r="V8" s="1"/>
      <c r="W8" s="2"/>
      <c r="X8" s="2"/>
      <c r="Y8" s="2"/>
      <c r="Z8" s="2"/>
      <c r="AA8" s="2"/>
      <c r="AB8" s="2"/>
      <c r="AC8" s="2"/>
      <c r="AD8" s="2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48"/>
      <c r="O9" s="449"/>
      <c r="P9" s="449"/>
      <c r="Q9" s="449"/>
      <c r="R9" s="449"/>
      <c r="S9" s="450"/>
      <c r="T9" s="44"/>
      <c r="U9" s="40"/>
      <c r="V9" s="40"/>
      <c r="W9" s="44"/>
      <c r="X9" s="2"/>
      <c r="Y9" s="2"/>
      <c r="Z9" s="2"/>
      <c r="AA9" s="2"/>
      <c r="AB9" s="2"/>
      <c r="AC9" s="2"/>
      <c r="AD9" s="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90" t="s">
        <v>19</v>
      </c>
      <c r="O10" s="91" t="s">
        <v>44</v>
      </c>
      <c r="P10" s="91" t="s">
        <v>45</v>
      </c>
      <c r="Q10" s="91" t="s">
        <v>20</v>
      </c>
      <c r="R10" s="91" t="s">
        <v>21</v>
      </c>
      <c r="S10" s="92" t="s">
        <v>22</v>
      </c>
      <c r="T10" s="44"/>
      <c r="U10" s="40"/>
      <c r="V10" s="40"/>
      <c r="W10" s="44"/>
      <c r="X10" s="2"/>
      <c r="Y10" s="2"/>
      <c r="Z10" s="2"/>
      <c r="AA10" s="2"/>
      <c r="AB10" s="2"/>
      <c r="AC10" s="2"/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5">
        <v>1</v>
      </c>
      <c r="O11" s="3">
        <v>71.66</v>
      </c>
      <c r="P11" s="3">
        <v>54.49</v>
      </c>
      <c r="Q11" s="43">
        <v>138.86249999999998</v>
      </c>
      <c r="R11" s="3" t="str">
        <f>COMPLEX(O11,P11)</f>
        <v>71,66+54,49i</v>
      </c>
      <c r="S11" s="46" t="str">
        <f>IMPRODUCT(R11,COMPLEX(Q11,0))</f>
        <v>9950,88675+7566,617625i</v>
      </c>
      <c r="T11" s="44"/>
      <c r="U11" s="451"/>
      <c r="V11" s="451"/>
      <c r="W11" s="44"/>
      <c r="X11" s="1"/>
      <c r="Y11" s="2"/>
      <c r="Z11" s="2"/>
      <c r="AA11" s="2"/>
      <c r="AB11" s="2"/>
      <c r="AC11" s="2"/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93">
        <v>2</v>
      </c>
      <c r="O12" s="94">
        <v>71.66</v>
      </c>
      <c r="P12" s="94">
        <v>19.489999999999998</v>
      </c>
      <c r="Q12" s="95">
        <v>138.86249999999998</v>
      </c>
      <c r="R12" s="94" t="str">
        <f t="shared" ref="R12:R32" si="0">COMPLEX(O12,P12)</f>
        <v>71,66+19,49i</v>
      </c>
      <c r="S12" s="96" t="str">
        <f t="shared" ref="S12:S32" si="1">IMPRODUCT(R12,COMPLEX(Q12,0))</f>
        <v>9950,88675+2706,430125i</v>
      </c>
      <c r="T12" s="44"/>
      <c r="U12" s="44"/>
      <c r="V12" s="47"/>
      <c r="W12" s="44"/>
      <c r="X12" s="2"/>
      <c r="Y12" s="2"/>
      <c r="Z12" s="2"/>
      <c r="AA12" s="2"/>
      <c r="AB12" s="2"/>
      <c r="AC12" s="2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45">
        <v>3</v>
      </c>
      <c r="O13" s="3">
        <v>126.81</v>
      </c>
      <c r="P13" s="3">
        <v>19.489999999999998</v>
      </c>
      <c r="Q13" s="43">
        <v>110.952</v>
      </c>
      <c r="R13" s="3" t="str">
        <f t="shared" si="0"/>
        <v>126,81+19,49i</v>
      </c>
      <c r="S13" s="46" t="str">
        <f t="shared" si="1"/>
        <v>14069,82312+2162,45448i</v>
      </c>
      <c r="T13" s="44"/>
      <c r="U13" s="44"/>
      <c r="V13" s="47"/>
      <c r="W13" s="44"/>
      <c r="X13" s="1"/>
      <c r="Y13" s="2"/>
      <c r="Z13" s="2"/>
      <c r="AA13" s="2"/>
      <c r="AB13" s="2"/>
      <c r="AC13" s="437"/>
      <c r="AD13" s="43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93">
        <v>4</v>
      </c>
      <c r="O14" s="94">
        <v>126.81</v>
      </c>
      <c r="P14" s="94">
        <v>54.49</v>
      </c>
      <c r="Q14" s="95">
        <v>110.952</v>
      </c>
      <c r="R14" s="94" t="str">
        <f t="shared" si="0"/>
        <v>126,81+54,49i</v>
      </c>
      <c r="S14" s="96" t="str">
        <f t="shared" si="1"/>
        <v>14069,82312+6045,77448i</v>
      </c>
      <c r="T14" s="44"/>
      <c r="U14" s="48"/>
      <c r="V14" s="44"/>
      <c r="W14" s="40"/>
      <c r="X14" s="1"/>
      <c r="Y14" s="2"/>
      <c r="Z14" s="2"/>
      <c r="AA14" s="2"/>
      <c r="AB14" s="2"/>
      <c r="AC14" s="2"/>
      <c r="AD14" s="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5">
        <v>5</v>
      </c>
      <c r="O15" s="3">
        <v>126.81</v>
      </c>
      <c r="P15" s="3">
        <v>89.49</v>
      </c>
      <c r="Q15" s="43">
        <v>138.86249999999998</v>
      </c>
      <c r="R15" s="3" t="str">
        <f t="shared" si="0"/>
        <v>126,81+89,49i</v>
      </c>
      <c r="S15" s="46" t="str">
        <f t="shared" si="1"/>
        <v>17609,153625+12426,805125i</v>
      </c>
      <c r="T15" s="2"/>
      <c r="U15" s="4"/>
      <c r="V15" s="2"/>
      <c r="W15" s="1"/>
      <c r="X15" s="1"/>
      <c r="Y15" s="2"/>
      <c r="Z15" s="2"/>
      <c r="AA15" s="2"/>
      <c r="AB15" s="2"/>
      <c r="AC15" s="2"/>
      <c r="AD15" s="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93">
        <v>6</v>
      </c>
      <c r="O16" s="94">
        <v>126.81</v>
      </c>
      <c r="P16" s="94">
        <v>124.89</v>
      </c>
      <c r="Q16" s="95">
        <v>138.86249999999998</v>
      </c>
      <c r="R16" s="94" t="str">
        <f t="shared" si="0"/>
        <v>126,81+124,89i</v>
      </c>
      <c r="S16" s="96" t="str">
        <f t="shared" si="1"/>
        <v>17609,153625+17342,537625i</v>
      </c>
      <c r="T16" s="1"/>
      <c r="U16" s="1"/>
      <c r="V16" s="1"/>
      <c r="W16" s="1"/>
      <c r="X16" s="2"/>
      <c r="Y16" s="2"/>
      <c r="Z16" s="2"/>
      <c r="AA16" s="2"/>
      <c r="AB16" s="2"/>
      <c r="AC16" s="2"/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5">
        <v>7</v>
      </c>
      <c r="O17" s="3">
        <v>83.97</v>
      </c>
      <c r="P17" s="3">
        <v>135.62</v>
      </c>
      <c r="Q17" s="43">
        <v>17.55</v>
      </c>
      <c r="R17" s="3" t="str">
        <f t="shared" si="0"/>
        <v>83,97+135,62i</v>
      </c>
      <c r="S17" s="46" t="str">
        <f t="shared" si="1"/>
        <v>1473,6735+2380,131i</v>
      </c>
      <c r="T17" s="1"/>
      <c r="U17" s="1"/>
      <c r="V17" s="1"/>
      <c r="W17" s="1"/>
      <c r="X17" s="2"/>
      <c r="Y17" s="2"/>
      <c r="Z17" s="2"/>
      <c r="AA17" s="2"/>
      <c r="AB17" s="2"/>
      <c r="AC17" s="2"/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93">
        <v>8</v>
      </c>
      <c r="O18" s="94">
        <v>73.05</v>
      </c>
      <c r="P18" s="94">
        <v>135.62</v>
      </c>
      <c r="Q18" s="95">
        <v>17.55</v>
      </c>
      <c r="R18" s="94" t="str">
        <f t="shared" si="0"/>
        <v>73,05+135,62i</v>
      </c>
      <c r="S18" s="96" t="str">
        <f t="shared" si="1"/>
        <v>1282,0275+2380,131i</v>
      </c>
      <c r="T18" s="1"/>
      <c r="U18" s="1"/>
      <c r="V18" s="1"/>
      <c r="W18" s="1"/>
      <c r="X18" s="2"/>
      <c r="Y18" s="2"/>
      <c r="Z18" s="2"/>
      <c r="AA18" s="2"/>
      <c r="AB18" s="2"/>
      <c r="AC18" s="2"/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5">
        <v>9</v>
      </c>
      <c r="O19" s="3">
        <v>62.16</v>
      </c>
      <c r="P19" s="3">
        <v>135.62</v>
      </c>
      <c r="Q19" s="43">
        <v>17.55</v>
      </c>
      <c r="R19" s="3" t="str">
        <f t="shared" si="0"/>
        <v>62,16+135,62i</v>
      </c>
      <c r="S19" s="46" t="str">
        <f t="shared" si="1"/>
        <v>1090,908+2380,131i</v>
      </c>
      <c r="T19" s="1"/>
      <c r="U19" s="1"/>
      <c r="V19" s="1"/>
      <c r="W19" s="1"/>
      <c r="X19" s="2"/>
      <c r="Y19" s="2"/>
      <c r="Z19" s="2"/>
      <c r="AA19" s="2"/>
      <c r="AB19" s="2"/>
      <c r="AC19" s="2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93">
        <v>10</v>
      </c>
      <c r="O20" s="94">
        <v>51.23</v>
      </c>
      <c r="P20" s="94">
        <v>135.62</v>
      </c>
      <c r="Q20" s="95">
        <v>17.55</v>
      </c>
      <c r="R20" s="94" t="str">
        <f t="shared" si="0"/>
        <v>51,23+135,62i</v>
      </c>
      <c r="S20" s="96" t="str">
        <f t="shared" si="1"/>
        <v>899,0865+2380,131i</v>
      </c>
      <c r="T20" s="1"/>
      <c r="U20" s="1"/>
      <c r="V20" s="1"/>
      <c r="W20" s="1"/>
      <c r="X20" s="2"/>
      <c r="Y20" s="2"/>
      <c r="Z20" s="2"/>
      <c r="AA20" s="2"/>
      <c r="AB20" s="2"/>
      <c r="AC20" s="2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5">
        <v>11</v>
      </c>
      <c r="O21" s="3">
        <v>40.35</v>
      </c>
      <c r="P21" s="3">
        <v>135.62</v>
      </c>
      <c r="Q21" s="43">
        <v>17.55</v>
      </c>
      <c r="R21" s="3" t="str">
        <f t="shared" si="0"/>
        <v>40,35+135,62i</v>
      </c>
      <c r="S21" s="46" t="str">
        <f t="shared" si="1"/>
        <v>708,1425+2380,131i</v>
      </c>
      <c r="T21" s="1"/>
      <c r="U21" s="1"/>
      <c r="V21" s="1"/>
      <c r="W21" s="1"/>
      <c r="X21" s="2"/>
      <c r="Y21" s="2"/>
      <c r="Z21" s="2"/>
      <c r="AA21" s="2"/>
      <c r="AB21" s="2"/>
      <c r="AC21" s="2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93">
        <v>12</v>
      </c>
      <c r="O22" s="94">
        <v>29.45</v>
      </c>
      <c r="P22" s="94">
        <v>135.62</v>
      </c>
      <c r="Q22" s="95">
        <v>17.55</v>
      </c>
      <c r="R22" s="94" t="str">
        <f t="shared" si="0"/>
        <v>29,45+135,62i</v>
      </c>
      <c r="S22" s="96" t="str">
        <f t="shared" si="1"/>
        <v>516,8475+2380,131i</v>
      </c>
      <c r="T22" s="1"/>
      <c r="U22" s="1"/>
      <c r="V22" s="1"/>
      <c r="W22" s="1"/>
      <c r="X22" s="2"/>
      <c r="Y22" s="2"/>
      <c r="Z22" s="2"/>
      <c r="AA22" s="2"/>
      <c r="AB22" s="2"/>
      <c r="AC22" s="2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5">
        <v>13</v>
      </c>
      <c r="O23" s="3">
        <v>18.55</v>
      </c>
      <c r="P23" s="3">
        <v>135.62</v>
      </c>
      <c r="Q23" s="43">
        <v>17.55</v>
      </c>
      <c r="R23" s="3" t="str">
        <f t="shared" si="0"/>
        <v>18,55+135,62i</v>
      </c>
      <c r="S23" s="46" t="str">
        <f t="shared" si="1"/>
        <v>325,5525+2380,131i</v>
      </c>
      <c r="T23" s="1"/>
      <c r="U23" s="1"/>
      <c r="V23" s="1"/>
      <c r="W23" s="1"/>
      <c r="X23" s="2"/>
      <c r="Y23" s="2"/>
      <c r="Z23" s="2"/>
      <c r="AA23" s="2"/>
      <c r="AB23" s="2"/>
      <c r="AC23" s="2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93">
        <v>14</v>
      </c>
      <c r="O24" s="94">
        <v>7.74</v>
      </c>
      <c r="P24" s="94">
        <v>135.62</v>
      </c>
      <c r="Q24" s="95">
        <v>17.55</v>
      </c>
      <c r="R24" s="94" t="str">
        <f t="shared" si="0"/>
        <v>7,74+135,62i</v>
      </c>
      <c r="S24" s="96" t="str">
        <f t="shared" si="1"/>
        <v>135,837+2380,131i</v>
      </c>
      <c r="T24" s="1"/>
      <c r="U24" s="1"/>
      <c r="V24" s="1"/>
      <c r="W24" s="1"/>
      <c r="X24" s="2"/>
      <c r="Y24" s="2"/>
      <c r="Z24" s="2"/>
      <c r="AA24" s="2"/>
      <c r="AB24" s="2"/>
      <c r="AC24" s="2"/>
      <c r="AD24" s="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5">
        <v>15</v>
      </c>
      <c r="O25" s="3">
        <v>83.97</v>
      </c>
      <c r="P25" s="3">
        <v>94.65</v>
      </c>
      <c r="Q25" s="43">
        <v>17.55</v>
      </c>
      <c r="R25" s="3" t="str">
        <f t="shared" si="0"/>
        <v>83,97+94,65i</v>
      </c>
      <c r="S25" s="46" t="str">
        <f t="shared" si="1"/>
        <v>1473,6735+1661,1075i</v>
      </c>
      <c r="T25" s="1"/>
      <c r="U25" s="1"/>
      <c r="V25" s="1"/>
      <c r="W25" s="1"/>
      <c r="X25" s="2"/>
      <c r="Y25" s="2"/>
      <c r="Z25" s="2"/>
      <c r="AA25" s="2"/>
      <c r="AB25" s="2"/>
      <c r="AC25" s="2"/>
      <c r="AD25" s="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93">
        <v>16</v>
      </c>
      <c r="O26" s="94">
        <v>73.05</v>
      </c>
      <c r="P26" s="94">
        <v>94.65</v>
      </c>
      <c r="Q26" s="95">
        <v>17.55</v>
      </c>
      <c r="R26" s="94" t="str">
        <f t="shared" si="0"/>
        <v>73,05+94,65i</v>
      </c>
      <c r="S26" s="96" t="str">
        <f t="shared" si="1"/>
        <v>1282,0275+1661,1075i</v>
      </c>
      <c r="T26" s="1"/>
      <c r="U26" s="1"/>
      <c r="V26" s="1"/>
      <c r="W26" s="1"/>
      <c r="X26" s="2"/>
      <c r="Y26" s="2"/>
      <c r="Z26" s="2"/>
      <c r="AA26" s="2"/>
      <c r="AB26" s="2"/>
      <c r="AC26" s="2"/>
      <c r="AD26" s="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5">
        <v>17</v>
      </c>
      <c r="O27" s="3">
        <v>62.16</v>
      </c>
      <c r="P27" s="3">
        <v>94.65</v>
      </c>
      <c r="Q27" s="43">
        <v>17.55</v>
      </c>
      <c r="R27" s="3" t="str">
        <f t="shared" si="0"/>
        <v>62,16+94,65i</v>
      </c>
      <c r="S27" s="46" t="str">
        <f t="shared" si="1"/>
        <v>1090,908+1661,1075i</v>
      </c>
      <c r="T27" s="1"/>
      <c r="U27" s="1"/>
      <c r="V27" s="1"/>
      <c r="W27" s="1"/>
      <c r="X27" s="2"/>
      <c r="Y27" s="2"/>
      <c r="Z27" s="2"/>
      <c r="AA27" s="2"/>
      <c r="AB27" s="2"/>
      <c r="AC27" s="2"/>
      <c r="AD27" s="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93">
        <v>18</v>
      </c>
      <c r="O28" s="94">
        <v>51.23</v>
      </c>
      <c r="P28" s="94">
        <v>94.65</v>
      </c>
      <c r="Q28" s="95">
        <v>17.55</v>
      </c>
      <c r="R28" s="94" t="str">
        <f t="shared" si="0"/>
        <v>51,23+94,65i</v>
      </c>
      <c r="S28" s="96" t="str">
        <f t="shared" si="1"/>
        <v>899,0865+1661,1075i</v>
      </c>
      <c r="T28" s="2"/>
      <c r="U28" s="4"/>
      <c r="V28" s="2"/>
      <c r="W28" s="2"/>
      <c r="X28" s="2"/>
      <c r="Y28" s="2"/>
      <c r="Z28" s="2"/>
      <c r="AA28" s="2"/>
      <c r="AB28" s="2"/>
      <c r="AC28" s="2"/>
      <c r="AD28" s="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5">
        <v>19</v>
      </c>
      <c r="O29" s="3">
        <v>40.35</v>
      </c>
      <c r="P29" s="3">
        <v>94.65</v>
      </c>
      <c r="Q29" s="43">
        <v>17.55</v>
      </c>
      <c r="R29" s="3" t="str">
        <f>COMPLEX(O29,P29)</f>
        <v>40,35+94,65i</v>
      </c>
      <c r="S29" s="46" t="str">
        <f>IMPRODUCT(R29,COMPLEX(Q29,0))</f>
        <v>708,1425+1661,1075i</v>
      </c>
      <c r="T29" s="2"/>
      <c r="U29" s="4"/>
      <c r="V29" s="2"/>
      <c r="W29" s="2"/>
      <c r="X29" s="2"/>
      <c r="Y29" s="2"/>
      <c r="Z29" s="2"/>
      <c r="AA29" s="2"/>
      <c r="AB29" s="2"/>
      <c r="AC29" s="2"/>
      <c r="AD29" s="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93">
        <v>20</v>
      </c>
      <c r="O30" s="94">
        <v>29.45</v>
      </c>
      <c r="P30" s="94">
        <v>94.65</v>
      </c>
      <c r="Q30" s="95">
        <v>17.55</v>
      </c>
      <c r="R30" s="94" t="str">
        <f>COMPLEX(O30,P30)</f>
        <v>29,45+94,65i</v>
      </c>
      <c r="S30" s="96" t="str">
        <f>IMPRODUCT(R30,COMPLEX(Q30,0))</f>
        <v>516,8475+1661,1075i</v>
      </c>
      <c r="T30" s="2"/>
      <c r="U30" s="4"/>
      <c r="V30" s="2"/>
      <c r="W30" s="2"/>
      <c r="X30" s="2"/>
      <c r="Y30" s="2"/>
      <c r="Z30" s="2"/>
      <c r="AA30" s="2"/>
      <c r="AB30" s="2"/>
      <c r="AC30" s="2"/>
      <c r="AD30" s="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5">
        <v>21</v>
      </c>
      <c r="O31" s="3">
        <v>18.55</v>
      </c>
      <c r="P31" s="3">
        <v>94.65</v>
      </c>
      <c r="Q31" s="43">
        <v>17.55</v>
      </c>
      <c r="R31" s="3" t="str">
        <f>COMPLEX(O31,P31)</f>
        <v>18,55+94,65i</v>
      </c>
      <c r="S31" s="46" t="str">
        <f>IMPRODUCT(R31,COMPLEX(Q31,0))</f>
        <v>325,5525+1661,1075i</v>
      </c>
      <c r="T31" s="2"/>
      <c r="U31" s="4"/>
      <c r="V31" s="2"/>
      <c r="W31" s="2"/>
      <c r="X31" s="2"/>
      <c r="Y31" s="2"/>
      <c r="Z31" s="2"/>
      <c r="AA31" s="2"/>
      <c r="AB31" s="2"/>
      <c r="AC31" s="2"/>
      <c r="AD31" s="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97">
        <v>22</v>
      </c>
      <c r="O32" s="98">
        <v>7.74</v>
      </c>
      <c r="P32" s="98">
        <v>94.65</v>
      </c>
      <c r="Q32" s="99">
        <v>17.55</v>
      </c>
      <c r="R32" s="98" t="str">
        <f t="shared" si="0"/>
        <v>7,74+94,65i</v>
      </c>
      <c r="S32" s="100" t="str">
        <f t="shared" si="1"/>
        <v>135,837+1661,1075i</v>
      </c>
      <c r="T32" s="2"/>
      <c r="U32" s="4"/>
      <c r="V32" s="2"/>
      <c r="W32" s="2"/>
      <c r="X32" s="2"/>
      <c r="Y32" s="2"/>
      <c r="Z32" s="2"/>
      <c r="AA32" s="2"/>
      <c r="AB32" s="2"/>
      <c r="AC32" s="2"/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5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8"/>
      <c r="O33" s="44"/>
      <c r="P33" s="44"/>
      <c r="Q33" s="44"/>
      <c r="R33" s="44"/>
      <c r="S33" s="44"/>
      <c r="T33" s="2"/>
      <c r="U33" s="4"/>
      <c r="V33" s="2"/>
      <c r="W33" s="2"/>
      <c r="X33" s="2"/>
      <c r="Y33" s="2"/>
      <c r="Z33" s="2"/>
      <c r="AA33" s="2"/>
      <c r="AB33" s="2"/>
      <c r="AC33" s="2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01"/>
      <c r="O34" s="438">
        <f>IMREAL(IMDIV(IMSUM(S11:S32),COMPLEX(SUM(Q11:Q32),0)))</f>
        <v>90.841103459420907</v>
      </c>
      <c r="P34" s="438">
        <f>IMAGINARY(IMDIV(IMSUM(S11:S32),COMPLEX(SUM(Q11:Q32),0)))</f>
        <v>76.151984928469801</v>
      </c>
      <c r="Q34" s="440" t="s">
        <v>46</v>
      </c>
      <c r="R34" s="441"/>
      <c r="S34" s="442"/>
      <c r="T34" s="2"/>
      <c r="U34" s="4"/>
      <c r="V34" s="2"/>
      <c r="W34" s="2"/>
      <c r="X34" s="2"/>
      <c r="Y34" s="2"/>
      <c r="Z34" s="2"/>
      <c r="AA34" s="2"/>
      <c r="AB34" s="2"/>
      <c r="AC34" s="2"/>
      <c r="AD34" s="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02"/>
      <c r="O35" s="439"/>
      <c r="P35" s="439"/>
      <c r="Q35" s="443"/>
      <c r="R35" s="443"/>
      <c r="S35" s="444"/>
      <c r="T35" s="2"/>
      <c r="U35" s="4"/>
      <c r="V35" s="2"/>
      <c r="W35" s="2"/>
      <c r="X35" s="2"/>
      <c r="Y35" s="2"/>
      <c r="Z35" s="2"/>
      <c r="AA35" s="2"/>
      <c r="AB35" s="2"/>
      <c r="AC35" s="2"/>
      <c r="AD35" s="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"/>
      <c r="P36" s="6"/>
      <c r="Q36" s="1"/>
      <c r="R36" s="1"/>
      <c r="S36" s="1"/>
      <c r="T36" s="2"/>
      <c r="U36" s="4"/>
      <c r="V36" s="2"/>
      <c r="W36" s="2"/>
      <c r="X36" s="2"/>
      <c r="Y36" s="2"/>
      <c r="Z36" s="2"/>
      <c r="AA36" s="2"/>
      <c r="AB36" s="2"/>
      <c r="AC36" s="2"/>
      <c r="AD36" s="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4"/>
      <c r="V37" s="2"/>
      <c r="W37" s="2"/>
      <c r="X37" s="2"/>
      <c r="Y37" s="2"/>
      <c r="Z37" s="2"/>
      <c r="AA37" s="2"/>
      <c r="AB37" s="2"/>
      <c r="AC37" s="2"/>
      <c r="AD37" s="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4"/>
      <c r="V38" s="2"/>
      <c r="W38" s="2"/>
      <c r="X38" s="2"/>
      <c r="Y38" s="2"/>
      <c r="Z38" s="2"/>
      <c r="AA38" s="2"/>
      <c r="AB38" s="2"/>
      <c r="AC38" s="2"/>
      <c r="AD38" s="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  <c r="Q40" s="7"/>
      <c r="R40" s="7"/>
      <c r="S40" s="8"/>
      <c r="T40" s="2"/>
      <c r="U40" s="2"/>
      <c r="V40" s="2"/>
      <c r="W40" s="2"/>
      <c r="X40" s="1"/>
      <c r="Y40" s="2"/>
      <c r="Z40" s="2"/>
      <c r="AA40" s="2"/>
      <c r="AB40" s="2"/>
      <c r="AC40" s="2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1"/>
      <c r="Y41" s="2"/>
      <c r="Z41" s="2"/>
      <c r="AA41" s="2"/>
      <c r="AB41" s="2"/>
      <c r="AC41" s="2"/>
      <c r="AD41" s="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7"/>
      <c r="N42" s="1"/>
      <c r="O42" s="1"/>
      <c r="P42" s="1"/>
      <c r="Q42" s="1"/>
      <c r="R42" s="1"/>
      <c r="S42" s="1"/>
      <c r="T42" s="9"/>
      <c r="U42" s="8"/>
      <c r="V42" s="8"/>
      <c r="W42" s="8"/>
      <c r="X42" s="8"/>
      <c r="Y42" s="8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9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0"/>
      <c r="S44" s="1"/>
      <c r="T44" s="9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9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</sheetData>
  <mergeCells count="7">
    <mergeCell ref="AC13:AD13"/>
    <mergeCell ref="B2:O4"/>
    <mergeCell ref="O34:O35"/>
    <mergeCell ref="P34:P35"/>
    <mergeCell ref="Q34:S35"/>
    <mergeCell ref="N8:S9"/>
    <mergeCell ref="U11:V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5577-B4F6-4C22-88F0-6CE9B3C943FD}">
  <dimension ref="A1:CB390"/>
  <sheetViews>
    <sheetView topLeftCell="A12" zoomScale="40" zoomScaleNormal="40" workbookViewId="0">
      <selection activeCell="B7" sqref="B7:V72"/>
    </sheetView>
  </sheetViews>
  <sheetFormatPr defaultRowHeight="14.4" x14ac:dyDescent="0.3"/>
  <cols>
    <col min="3" max="3" width="13.5546875" customWidth="1"/>
    <col min="4" max="4" width="13" customWidth="1"/>
    <col min="5" max="5" width="11.21875" customWidth="1"/>
    <col min="6" max="6" width="17.88671875" customWidth="1"/>
    <col min="7" max="7" width="11" customWidth="1"/>
    <col min="8" max="8" width="13.33203125" customWidth="1"/>
    <col min="11" max="11" width="17.44140625" customWidth="1"/>
    <col min="12" max="12" width="12.5546875" customWidth="1"/>
    <col min="13" max="13" width="13.21875" customWidth="1"/>
    <col min="14" max="14" width="11.5546875" customWidth="1"/>
    <col min="15" max="15" width="17.88671875" customWidth="1"/>
    <col min="16" max="16" width="14.33203125" customWidth="1"/>
    <col min="17" max="17" width="11.5546875" customWidth="1"/>
    <col min="19" max="19" width="12.5546875" customWidth="1"/>
    <col min="20" max="20" width="10.109375" customWidth="1"/>
    <col min="21" max="21" width="11.5546875" customWidth="1"/>
    <col min="22" max="22" width="17.6640625" customWidth="1"/>
    <col min="30" max="30" width="17.6640625" customWidth="1"/>
  </cols>
  <sheetData>
    <row r="1" spans="1:8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3">
      <c r="A2" s="1"/>
      <c r="B2" s="435" t="s">
        <v>42</v>
      </c>
      <c r="C2" s="435"/>
      <c r="D2" s="435"/>
      <c r="E2" s="435"/>
      <c r="F2" s="435"/>
      <c r="G2" s="435"/>
      <c r="H2" s="435"/>
      <c r="I2" s="435"/>
      <c r="J2" s="435"/>
      <c r="K2" s="435"/>
      <c r="L2" s="11"/>
      <c r="M2" s="11"/>
      <c r="N2" s="11"/>
      <c r="O2" s="11"/>
      <c r="P2" s="1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x14ac:dyDescent="0.3">
      <c r="A3" s="1"/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11"/>
      <c r="M3" s="11"/>
      <c r="N3" s="11"/>
      <c r="O3" s="11"/>
      <c r="P3" s="1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x14ac:dyDescent="0.3">
      <c r="A4" s="1"/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11"/>
      <c r="M4" s="11"/>
      <c r="N4" s="11"/>
      <c r="O4" s="11"/>
      <c r="P4" s="1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.4" customHeight="1" x14ac:dyDescent="0.3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x14ac:dyDescent="0.3">
      <c r="A7" s="1"/>
      <c r="B7" s="615" t="s">
        <v>50</v>
      </c>
      <c r="C7" s="617" t="s">
        <v>15</v>
      </c>
      <c r="D7" s="645"/>
      <c r="E7" s="645"/>
      <c r="F7" s="645"/>
      <c r="G7" s="646"/>
      <c r="H7" s="645" t="s">
        <v>51</v>
      </c>
      <c r="I7" s="645"/>
      <c r="J7" s="645"/>
      <c r="K7" s="645"/>
      <c r="L7" s="646"/>
      <c r="M7" s="624" t="s">
        <v>23</v>
      </c>
      <c r="N7" s="625"/>
      <c r="O7" s="625"/>
      <c r="P7" s="626"/>
      <c r="Q7" s="624" t="s">
        <v>52</v>
      </c>
      <c r="R7" s="625"/>
      <c r="S7" s="625"/>
      <c r="T7" s="625"/>
      <c r="U7" s="626"/>
      <c r="V7" s="649" t="s">
        <v>87</v>
      </c>
      <c r="W7" s="1"/>
      <c r="X7" s="1"/>
      <c r="Y7" s="515" t="s">
        <v>71</v>
      </c>
      <c r="Z7" s="516"/>
      <c r="AA7" s="516"/>
      <c r="AB7" s="516"/>
      <c r="AC7" s="516"/>
      <c r="AD7" s="517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x14ac:dyDescent="0.3">
      <c r="A8" s="1"/>
      <c r="B8" s="616"/>
      <c r="C8" s="617" t="s">
        <v>53</v>
      </c>
      <c r="D8" s="51" t="s">
        <v>54</v>
      </c>
      <c r="E8" s="52" t="s">
        <v>55</v>
      </c>
      <c r="F8" s="619" t="s">
        <v>56</v>
      </c>
      <c r="G8" s="54" t="s">
        <v>55</v>
      </c>
      <c r="H8" s="617" t="s">
        <v>53</v>
      </c>
      <c r="I8" s="51" t="s">
        <v>54</v>
      </c>
      <c r="J8" s="52" t="s">
        <v>55</v>
      </c>
      <c r="K8" s="621" t="s">
        <v>56</v>
      </c>
      <c r="L8" s="52" t="s">
        <v>55</v>
      </c>
      <c r="M8" s="617" t="s">
        <v>53</v>
      </c>
      <c r="N8" s="51" t="s">
        <v>54</v>
      </c>
      <c r="O8" s="621" t="s">
        <v>56</v>
      </c>
      <c r="P8" s="54" t="s">
        <v>55</v>
      </c>
      <c r="Q8" s="55"/>
      <c r="R8" s="652" t="s">
        <v>57</v>
      </c>
      <c r="S8" s="653"/>
      <c r="T8" s="51" t="s">
        <v>54</v>
      </c>
      <c r="U8" s="54" t="s">
        <v>55</v>
      </c>
      <c r="V8" s="650"/>
      <c r="W8" s="1"/>
      <c r="X8" s="1"/>
      <c r="Y8" s="518"/>
      <c r="Z8" s="519"/>
      <c r="AA8" s="519"/>
      <c r="AB8" s="519"/>
      <c r="AC8" s="519"/>
      <c r="AD8" s="520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x14ac:dyDescent="0.3">
      <c r="A9" s="1"/>
      <c r="B9" s="616"/>
      <c r="C9" s="618"/>
      <c r="D9" s="56" t="s">
        <v>58</v>
      </c>
      <c r="E9" s="57" t="s">
        <v>37</v>
      </c>
      <c r="F9" s="620"/>
      <c r="G9" s="59" t="s">
        <v>15</v>
      </c>
      <c r="H9" s="618"/>
      <c r="I9" s="56" t="s">
        <v>58</v>
      </c>
      <c r="J9" s="57" t="s">
        <v>37</v>
      </c>
      <c r="K9" s="622"/>
      <c r="L9" s="57" t="s">
        <v>59</v>
      </c>
      <c r="M9" s="618"/>
      <c r="N9" s="56" t="s">
        <v>58</v>
      </c>
      <c r="O9" s="622"/>
      <c r="P9" s="59" t="s">
        <v>60</v>
      </c>
      <c r="Q9" s="60" t="s">
        <v>53</v>
      </c>
      <c r="R9" s="654"/>
      <c r="S9" s="655"/>
      <c r="T9" s="56" t="s">
        <v>58</v>
      </c>
      <c r="U9" s="59" t="s">
        <v>61</v>
      </c>
      <c r="V9" s="650"/>
      <c r="W9" s="1"/>
      <c r="X9" s="1"/>
      <c r="Y9" s="521" t="s">
        <v>73</v>
      </c>
      <c r="Z9" s="522"/>
      <c r="AA9" s="523"/>
      <c r="AB9" s="522" t="s">
        <v>72</v>
      </c>
      <c r="AC9" s="522"/>
      <c r="AD9" s="527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5" x14ac:dyDescent="0.3">
      <c r="A10" s="1"/>
      <c r="B10" s="616"/>
      <c r="C10" s="618"/>
      <c r="D10" s="56" t="s">
        <v>62</v>
      </c>
      <c r="E10" s="57" t="s">
        <v>63</v>
      </c>
      <c r="F10" s="620"/>
      <c r="G10" s="59" t="s">
        <v>63</v>
      </c>
      <c r="H10" s="618"/>
      <c r="I10" s="56" t="s">
        <v>62</v>
      </c>
      <c r="J10" s="57" t="s">
        <v>63</v>
      </c>
      <c r="K10" s="623"/>
      <c r="L10" s="57" t="s">
        <v>63</v>
      </c>
      <c r="M10" s="618"/>
      <c r="N10" s="56" t="s">
        <v>63</v>
      </c>
      <c r="O10" s="623"/>
      <c r="P10" s="59" t="s">
        <v>63</v>
      </c>
      <c r="Q10" s="60" t="s">
        <v>88</v>
      </c>
      <c r="R10" s="654"/>
      <c r="S10" s="655"/>
      <c r="T10" s="61" t="s">
        <v>89</v>
      </c>
      <c r="U10" s="59" t="s">
        <v>63</v>
      </c>
      <c r="V10" s="651"/>
      <c r="W10" s="1"/>
      <c r="X10" s="1"/>
      <c r="Y10" s="524"/>
      <c r="Z10" s="525"/>
      <c r="AA10" s="526"/>
      <c r="AB10" s="525"/>
      <c r="AC10" s="525"/>
      <c r="AD10" s="528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x14ac:dyDescent="0.3">
      <c r="A11" s="1"/>
      <c r="B11" s="585">
        <v>1</v>
      </c>
      <c r="C11" s="584">
        <v>9</v>
      </c>
      <c r="D11" s="502">
        <v>10.35</v>
      </c>
      <c r="E11" s="504">
        <f>D11*C11</f>
        <v>93.149999999999991</v>
      </c>
      <c r="F11" s="506">
        <v>0.75</v>
      </c>
      <c r="G11" s="508">
        <f>F11*E11</f>
        <v>69.862499999999997</v>
      </c>
      <c r="H11" s="510">
        <v>2</v>
      </c>
      <c r="I11" s="512">
        <v>13.8</v>
      </c>
      <c r="J11" s="504">
        <v>27.6</v>
      </c>
      <c r="K11" s="553">
        <v>1</v>
      </c>
      <c r="L11" s="582">
        <f>K11*J11</f>
        <v>27.6</v>
      </c>
      <c r="M11" s="584">
        <v>1</v>
      </c>
      <c r="N11" s="514">
        <v>20.7</v>
      </c>
      <c r="O11" s="514">
        <v>1</v>
      </c>
      <c r="P11" s="508">
        <f>O11*N11</f>
        <v>20.7</v>
      </c>
      <c r="Q11" s="548"/>
      <c r="R11" s="549"/>
      <c r="S11" s="550"/>
      <c r="T11" s="553"/>
      <c r="U11" s="554">
        <v>0</v>
      </c>
      <c r="V11" s="556">
        <f>U11+P11+L11+G11</f>
        <v>118.16249999999999</v>
      </c>
      <c r="W11" s="1"/>
      <c r="X11" s="1"/>
      <c r="Y11" s="529" t="s">
        <v>74</v>
      </c>
      <c r="Z11" s="530"/>
      <c r="AA11" s="531"/>
      <c r="AB11" s="535"/>
      <c r="AC11" s="535"/>
      <c r="AD11" s="536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x14ac:dyDescent="0.3">
      <c r="A12" s="1"/>
      <c r="B12" s="586"/>
      <c r="C12" s="511"/>
      <c r="D12" s="513"/>
      <c r="E12" s="505"/>
      <c r="F12" s="507"/>
      <c r="G12" s="509"/>
      <c r="H12" s="511"/>
      <c r="I12" s="513"/>
      <c r="J12" s="505"/>
      <c r="K12" s="513"/>
      <c r="L12" s="583"/>
      <c r="M12" s="511"/>
      <c r="N12" s="513"/>
      <c r="O12" s="513"/>
      <c r="P12" s="509"/>
      <c r="Q12" s="511"/>
      <c r="R12" s="551"/>
      <c r="S12" s="552"/>
      <c r="T12" s="513"/>
      <c r="U12" s="555"/>
      <c r="V12" s="557"/>
      <c r="W12" s="1"/>
      <c r="X12" s="1"/>
      <c r="Y12" s="532"/>
      <c r="Z12" s="533"/>
      <c r="AA12" s="534"/>
      <c r="AB12" s="537"/>
      <c r="AC12" s="537"/>
      <c r="AD12" s="53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3">
      <c r="A13" s="1"/>
      <c r="B13" s="558">
        <v>2</v>
      </c>
      <c r="C13" s="560">
        <v>9</v>
      </c>
      <c r="D13" s="562">
        <v>10.35</v>
      </c>
      <c r="E13" s="563">
        <f>D13*C13</f>
        <v>93.149999999999991</v>
      </c>
      <c r="F13" s="565">
        <v>0.75</v>
      </c>
      <c r="G13" s="567">
        <f>F13*E13</f>
        <v>69.862499999999997</v>
      </c>
      <c r="H13" s="569">
        <v>2</v>
      </c>
      <c r="I13" s="570">
        <v>13.8</v>
      </c>
      <c r="J13" s="563">
        <v>27.6</v>
      </c>
      <c r="K13" s="490">
        <v>1</v>
      </c>
      <c r="L13" s="571">
        <f>K13*J13</f>
        <v>27.6</v>
      </c>
      <c r="M13" s="560">
        <v>1</v>
      </c>
      <c r="N13" s="577">
        <v>20.7</v>
      </c>
      <c r="O13" s="577">
        <v>1</v>
      </c>
      <c r="P13" s="567">
        <f>O13*N13</f>
        <v>20.7</v>
      </c>
      <c r="Q13" s="578"/>
      <c r="R13" s="494"/>
      <c r="S13" s="495"/>
      <c r="T13" s="490"/>
      <c r="U13" s="573">
        <v>0</v>
      </c>
      <c r="V13" s="575">
        <f>U13+P13+L13+G13</f>
        <v>118.16249999999999</v>
      </c>
      <c r="W13" s="1"/>
      <c r="X13" s="1"/>
      <c r="Y13" s="539" t="s">
        <v>75</v>
      </c>
      <c r="Z13" s="540"/>
      <c r="AA13" s="541"/>
      <c r="AB13" s="467">
        <v>1</v>
      </c>
      <c r="AC13" s="467"/>
      <c r="AD13" s="468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3">
      <c r="A14" s="1"/>
      <c r="B14" s="559"/>
      <c r="C14" s="561"/>
      <c r="D14" s="491"/>
      <c r="E14" s="564"/>
      <c r="F14" s="566"/>
      <c r="G14" s="568"/>
      <c r="H14" s="561"/>
      <c r="I14" s="491"/>
      <c r="J14" s="564"/>
      <c r="K14" s="491"/>
      <c r="L14" s="572"/>
      <c r="M14" s="561"/>
      <c r="N14" s="491"/>
      <c r="O14" s="491"/>
      <c r="P14" s="568"/>
      <c r="Q14" s="561"/>
      <c r="R14" s="496"/>
      <c r="S14" s="497"/>
      <c r="T14" s="491"/>
      <c r="U14" s="574"/>
      <c r="V14" s="576"/>
      <c r="W14" s="1"/>
      <c r="X14" s="1"/>
      <c r="Y14" s="539"/>
      <c r="Z14" s="540"/>
      <c r="AA14" s="541"/>
      <c r="AB14" s="467"/>
      <c r="AC14" s="467"/>
      <c r="AD14" s="46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3">
      <c r="A15" s="1"/>
      <c r="B15" s="585">
        <v>3</v>
      </c>
      <c r="C15" s="584">
        <v>15</v>
      </c>
      <c r="D15" s="502">
        <v>10.35</v>
      </c>
      <c r="E15" s="504">
        <f>D15*C15</f>
        <v>155.25</v>
      </c>
      <c r="F15" s="506">
        <v>0.48</v>
      </c>
      <c r="G15" s="508">
        <f>F15*E15</f>
        <v>74.52</v>
      </c>
      <c r="H15" s="510"/>
      <c r="I15" s="512"/>
      <c r="J15" s="504">
        <v>0</v>
      </c>
      <c r="K15" s="553">
        <v>1</v>
      </c>
      <c r="L15" s="582">
        <f>K15*J15</f>
        <v>0</v>
      </c>
      <c r="M15" s="584">
        <v>1</v>
      </c>
      <c r="N15" s="514">
        <v>42.7</v>
      </c>
      <c r="O15" s="514">
        <v>1</v>
      </c>
      <c r="P15" s="508">
        <f>O15*N15</f>
        <v>42.7</v>
      </c>
      <c r="Q15" s="548"/>
      <c r="R15" s="549"/>
      <c r="S15" s="550"/>
      <c r="T15" s="553"/>
      <c r="U15" s="554">
        <v>0</v>
      </c>
      <c r="V15" s="556">
        <f>U15+P15+L15+G15</f>
        <v>117.22</v>
      </c>
      <c r="W15" s="1"/>
      <c r="X15" s="1"/>
      <c r="Y15" s="542" t="s">
        <v>76</v>
      </c>
      <c r="Z15" s="543"/>
      <c r="AA15" s="544"/>
      <c r="AB15" s="469">
        <v>0.75</v>
      </c>
      <c r="AC15" s="469"/>
      <c r="AD15" s="47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3">
      <c r="A16" s="1"/>
      <c r="B16" s="586"/>
      <c r="C16" s="511"/>
      <c r="D16" s="513"/>
      <c r="E16" s="505"/>
      <c r="F16" s="507"/>
      <c r="G16" s="509"/>
      <c r="H16" s="511"/>
      <c r="I16" s="513"/>
      <c r="J16" s="505"/>
      <c r="K16" s="513"/>
      <c r="L16" s="583"/>
      <c r="M16" s="511"/>
      <c r="N16" s="513"/>
      <c r="O16" s="513"/>
      <c r="P16" s="509"/>
      <c r="Q16" s="511"/>
      <c r="R16" s="551"/>
      <c r="S16" s="552"/>
      <c r="T16" s="513"/>
      <c r="U16" s="555"/>
      <c r="V16" s="557"/>
      <c r="W16" s="1"/>
      <c r="X16" s="1"/>
      <c r="Y16" s="542"/>
      <c r="Z16" s="543"/>
      <c r="AA16" s="544"/>
      <c r="AB16" s="469"/>
      <c r="AC16" s="469"/>
      <c r="AD16" s="470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x14ac:dyDescent="0.3">
      <c r="A17" s="1"/>
      <c r="B17" s="558">
        <v>4</v>
      </c>
      <c r="C17" s="560">
        <v>15</v>
      </c>
      <c r="D17" s="562">
        <v>10.35</v>
      </c>
      <c r="E17" s="563">
        <f>D17*C17</f>
        <v>155.25</v>
      </c>
      <c r="F17" s="565">
        <v>0.48</v>
      </c>
      <c r="G17" s="567">
        <f>F17*E17</f>
        <v>74.52</v>
      </c>
      <c r="H17" s="569"/>
      <c r="I17" s="570"/>
      <c r="J17" s="563">
        <v>0</v>
      </c>
      <c r="K17" s="490">
        <v>1</v>
      </c>
      <c r="L17" s="571">
        <f>K17*J17</f>
        <v>0</v>
      </c>
      <c r="M17" s="560">
        <v>1</v>
      </c>
      <c r="N17" s="577">
        <v>42.7</v>
      </c>
      <c r="O17" s="577">
        <v>1</v>
      </c>
      <c r="P17" s="567">
        <f>O17*N17</f>
        <v>42.7</v>
      </c>
      <c r="Q17" s="578"/>
      <c r="R17" s="494"/>
      <c r="S17" s="495"/>
      <c r="T17" s="490"/>
      <c r="U17" s="573">
        <v>0</v>
      </c>
      <c r="V17" s="575">
        <f>U17+P17+L17+G17</f>
        <v>117.22</v>
      </c>
      <c r="W17" s="1"/>
      <c r="X17" s="1"/>
      <c r="Y17" s="539" t="s">
        <v>77</v>
      </c>
      <c r="Z17" s="540"/>
      <c r="AA17" s="541"/>
      <c r="AB17" s="467">
        <v>0.56000000000000005</v>
      </c>
      <c r="AC17" s="467"/>
      <c r="AD17" s="46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x14ac:dyDescent="0.3">
      <c r="A18" s="1"/>
      <c r="B18" s="559"/>
      <c r="C18" s="561"/>
      <c r="D18" s="491"/>
      <c r="E18" s="564"/>
      <c r="F18" s="566"/>
      <c r="G18" s="568"/>
      <c r="H18" s="561"/>
      <c r="I18" s="491"/>
      <c r="J18" s="564"/>
      <c r="K18" s="491"/>
      <c r="L18" s="572"/>
      <c r="M18" s="561"/>
      <c r="N18" s="491"/>
      <c r="O18" s="491"/>
      <c r="P18" s="568"/>
      <c r="Q18" s="561"/>
      <c r="R18" s="496"/>
      <c r="S18" s="497"/>
      <c r="T18" s="491"/>
      <c r="U18" s="574"/>
      <c r="V18" s="576"/>
      <c r="W18" s="1"/>
      <c r="X18" s="1"/>
      <c r="Y18" s="539"/>
      <c r="Z18" s="540"/>
      <c r="AA18" s="541"/>
      <c r="AB18" s="467"/>
      <c r="AC18" s="467"/>
      <c r="AD18" s="46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x14ac:dyDescent="0.3">
      <c r="A19" s="1"/>
      <c r="B19" s="585">
        <v>5</v>
      </c>
      <c r="C19" s="584">
        <v>12</v>
      </c>
      <c r="D19" s="502">
        <v>10.35</v>
      </c>
      <c r="E19" s="504">
        <f>D19*C19</f>
        <v>124.19999999999999</v>
      </c>
      <c r="F19" s="506">
        <v>0.56000000000000005</v>
      </c>
      <c r="G19" s="508">
        <f>F19*E19</f>
        <v>69.552000000000007</v>
      </c>
      <c r="H19" s="510">
        <v>2</v>
      </c>
      <c r="I19" s="512">
        <v>13.8</v>
      </c>
      <c r="J19" s="504">
        <f>I19*H19</f>
        <v>27.6</v>
      </c>
      <c r="K19" s="553">
        <v>1</v>
      </c>
      <c r="L19" s="582">
        <f>K19*J19</f>
        <v>27.6</v>
      </c>
      <c r="M19" s="584">
        <v>1</v>
      </c>
      <c r="N19" s="514">
        <v>20.7</v>
      </c>
      <c r="O19" s="514">
        <v>1</v>
      </c>
      <c r="P19" s="508">
        <f>O19*N19</f>
        <v>20.7</v>
      </c>
      <c r="Q19" s="548"/>
      <c r="R19" s="549"/>
      <c r="S19" s="550"/>
      <c r="T19" s="553"/>
      <c r="U19" s="554">
        <v>0</v>
      </c>
      <c r="V19" s="556">
        <f>U19+P19+L19+G19</f>
        <v>117.852</v>
      </c>
      <c r="W19" s="1"/>
      <c r="X19" s="1"/>
      <c r="Y19" s="542" t="s">
        <v>78</v>
      </c>
      <c r="Z19" s="543"/>
      <c r="AA19" s="544"/>
      <c r="AB19" s="469">
        <v>0.48</v>
      </c>
      <c r="AC19" s="469"/>
      <c r="AD19" s="470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x14ac:dyDescent="0.3">
      <c r="A20" s="1"/>
      <c r="B20" s="586"/>
      <c r="C20" s="511"/>
      <c r="D20" s="513"/>
      <c r="E20" s="505"/>
      <c r="F20" s="507"/>
      <c r="G20" s="509"/>
      <c r="H20" s="511"/>
      <c r="I20" s="513"/>
      <c r="J20" s="505"/>
      <c r="K20" s="513"/>
      <c r="L20" s="583"/>
      <c r="M20" s="511"/>
      <c r="N20" s="513"/>
      <c r="O20" s="513"/>
      <c r="P20" s="509"/>
      <c r="Q20" s="511"/>
      <c r="R20" s="551"/>
      <c r="S20" s="552"/>
      <c r="T20" s="513"/>
      <c r="U20" s="555"/>
      <c r="V20" s="557"/>
      <c r="W20" s="1"/>
      <c r="X20" s="1"/>
      <c r="Y20" s="542"/>
      <c r="Z20" s="543"/>
      <c r="AA20" s="544"/>
      <c r="AB20" s="469"/>
      <c r="AC20" s="469"/>
      <c r="AD20" s="470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x14ac:dyDescent="0.3">
      <c r="A21" s="1"/>
      <c r="B21" s="558">
        <v>6</v>
      </c>
      <c r="C21" s="560">
        <v>12</v>
      </c>
      <c r="D21" s="562">
        <v>10.35</v>
      </c>
      <c r="E21" s="563">
        <f>D21*C21</f>
        <v>124.19999999999999</v>
      </c>
      <c r="F21" s="565">
        <v>0.56000000000000005</v>
      </c>
      <c r="G21" s="508">
        <f>F21*E21</f>
        <v>69.552000000000007</v>
      </c>
      <c r="H21" s="569">
        <v>2</v>
      </c>
      <c r="I21" s="570">
        <v>13.8</v>
      </c>
      <c r="J21" s="563">
        <f>27.6</f>
        <v>27.6</v>
      </c>
      <c r="K21" s="490">
        <v>1</v>
      </c>
      <c r="L21" s="582">
        <f>K21*J21</f>
        <v>27.6</v>
      </c>
      <c r="M21" s="560">
        <v>1</v>
      </c>
      <c r="N21" s="577">
        <v>20.7</v>
      </c>
      <c r="O21" s="577">
        <v>1</v>
      </c>
      <c r="P21" s="508">
        <f>O21*N21</f>
        <v>20.7</v>
      </c>
      <c r="Q21" s="578"/>
      <c r="R21" s="494"/>
      <c r="S21" s="495"/>
      <c r="T21" s="490"/>
      <c r="U21" s="573">
        <v>0</v>
      </c>
      <c r="V21" s="556">
        <f>U21+P21+L21+G21</f>
        <v>117.852</v>
      </c>
      <c r="W21" s="1"/>
      <c r="X21" s="1"/>
      <c r="Y21" s="539" t="s">
        <v>79</v>
      </c>
      <c r="Z21" s="540"/>
      <c r="AA21" s="541"/>
      <c r="AB21" s="467">
        <v>0.43</v>
      </c>
      <c r="AC21" s="467"/>
      <c r="AD21" s="468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x14ac:dyDescent="0.3">
      <c r="A22" s="1"/>
      <c r="B22" s="559"/>
      <c r="C22" s="561"/>
      <c r="D22" s="491"/>
      <c r="E22" s="564"/>
      <c r="F22" s="566"/>
      <c r="G22" s="509"/>
      <c r="H22" s="561"/>
      <c r="I22" s="491"/>
      <c r="J22" s="564"/>
      <c r="K22" s="491"/>
      <c r="L22" s="583"/>
      <c r="M22" s="561"/>
      <c r="N22" s="491"/>
      <c r="O22" s="491"/>
      <c r="P22" s="509"/>
      <c r="Q22" s="561"/>
      <c r="R22" s="496"/>
      <c r="S22" s="497"/>
      <c r="T22" s="491"/>
      <c r="U22" s="574"/>
      <c r="V22" s="557"/>
      <c r="W22" s="1"/>
      <c r="X22" s="1"/>
      <c r="Y22" s="539"/>
      <c r="Z22" s="540"/>
      <c r="AA22" s="541"/>
      <c r="AB22" s="467"/>
      <c r="AC22" s="467"/>
      <c r="AD22" s="468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x14ac:dyDescent="0.3">
      <c r="A23" s="1"/>
      <c r="B23" s="585">
        <v>7</v>
      </c>
      <c r="C23" s="584">
        <v>1</v>
      </c>
      <c r="D23" s="502">
        <v>17.25</v>
      </c>
      <c r="E23" s="504">
        <f>D23*C23</f>
        <v>17.25</v>
      </c>
      <c r="F23" s="506">
        <v>1</v>
      </c>
      <c r="G23" s="508">
        <f>F23*E23</f>
        <v>17.25</v>
      </c>
      <c r="H23" s="510"/>
      <c r="I23" s="512"/>
      <c r="J23" s="504">
        <v>0</v>
      </c>
      <c r="K23" s="553">
        <v>1</v>
      </c>
      <c r="L23" s="582">
        <f>K23*J23</f>
        <v>0</v>
      </c>
      <c r="M23" s="584"/>
      <c r="N23" s="514"/>
      <c r="O23" s="514">
        <v>1</v>
      </c>
      <c r="P23" s="508">
        <f>O23*N23</f>
        <v>0</v>
      </c>
      <c r="Q23" s="548"/>
      <c r="R23" s="549"/>
      <c r="S23" s="550"/>
      <c r="T23" s="553"/>
      <c r="U23" s="554">
        <v>0</v>
      </c>
      <c r="V23" s="556">
        <f>U23+P23+L23+G23</f>
        <v>17.25</v>
      </c>
      <c r="W23" s="1"/>
      <c r="X23" s="1"/>
      <c r="Y23" s="542" t="s">
        <v>80</v>
      </c>
      <c r="Z23" s="543"/>
      <c r="AA23" s="544"/>
      <c r="AB23" s="469">
        <v>0.4</v>
      </c>
      <c r="AC23" s="469"/>
      <c r="AD23" s="470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x14ac:dyDescent="0.3">
      <c r="A24" s="1"/>
      <c r="B24" s="586"/>
      <c r="C24" s="511"/>
      <c r="D24" s="503"/>
      <c r="E24" s="505"/>
      <c r="F24" s="507"/>
      <c r="G24" s="509"/>
      <c r="H24" s="511"/>
      <c r="I24" s="513"/>
      <c r="J24" s="505"/>
      <c r="K24" s="513"/>
      <c r="L24" s="583"/>
      <c r="M24" s="511"/>
      <c r="N24" s="513"/>
      <c r="O24" s="513"/>
      <c r="P24" s="509"/>
      <c r="Q24" s="511"/>
      <c r="R24" s="551"/>
      <c r="S24" s="552"/>
      <c r="T24" s="513"/>
      <c r="U24" s="555"/>
      <c r="V24" s="557"/>
      <c r="W24" s="1"/>
      <c r="X24" s="1"/>
      <c r="Y24" s="542"/>
      <c r="Z24" s="543"/>
      <c r="AA24" s="544"/>
      <c r="AB24" s="469"/>
      <c r="AC24" s="469"/>
      <c r="AD24" s="470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x14ac:dyDescent="0.3">
      <c r="A25" s="1"/>
      <c r="B25" s="579">
        <v>8</v>
      </c>
      <c r="C25" s="560">
        <v>1</v>
      </c>
      <c r="D25" s="562">
        <v>17.25</v>
      </c>
      <c r="E25" s="563">
        <f>D25*C25</f>
        <v>17.25</v>
      </c>
      <c r="F25" s="565">
        <v>1</v>
      </c>
      <c r="G25" s="567">
        <f>F25*E25</f>
        <v>17.25</v>
      </c>
      <c r="H25" s="569"/>
      <c r="I25" s="570"/>
      <c r="J25" s="563">
        <v>0</v>
      </c>
      <c r="K25" s="490">
        <v>1</v>
      </c>
      <c r="L25" s="571">
        <f>K25*J25</f>
        <v>0</v>
      </c>
      <c r="M25" s="560"/>
      <c r="N25" s="577"/>
      <c r="O25" s="577">
        <v>1</v>
      </c>
      <c r="P25" s="567">
        <f>O25*N25</f>
        <v>0</v>
      </c>
      <c r="Q25" s="578"/>
      <c r="R25" s="494"/>
      <c r="S25" s="495"/>
      <c r="T25" s="490"/>
      <c r="U25" s="573">
        <v>0</v>
      </c>
      <c r="V25" s="575">
        <f>U25+P25+L25+G25</f>
        <v>17.25</v>
      </c>
      <c r="W25" s="1"/>
      <c r="X25" s="1"/>
      <c r="Y25" s="539" t="s">
        <v>81</v>
      </c>
      <c r="Z25" s="540"/>
      <c r="AA25" s="541"/>
      <c r="AB25" s="467">
        <v>0.38</v>
      </c>
      <c r="AC25" s="467"/>
      <c r="AD25" s="468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x14ac:dyDescent="0.3">
      <c r="A26" s="1"/>
      <c r="B26" s="580"/>
      <c r="C26" s="561"/>
      <c r="D26" s="581"/>
      <c r="E26" s="564"/>
      <c r="F26" s="566"/>
      <c r="G26" s="568"/>
      <c r="H26" s="561"/>
      <c r="I26" s="491"/>
      <c r="J26" s="564"/>
      <c r="K26" s="491"/>
      <c r="L26" s="572"/>
      <c r="M26" s="561"/>
      <c r="N26" s="491"/>
      <c r="O26" s="491"/>
      <c r="P26" s="568"/>
      <c r="Q26" s="561"/>
      <c r="R26" s="496"/>
      <c r="S26" s="497"/>
      <c r="T26" s="491"/>
      <c r="U26" s="574"/>
      <c r="V26" s="576"/>
      <c r="W26" s="1"/>
      <c r="X26" s="1"/>
      <c r="Y26" s="539"/>
      <c r="Z26" s="540"/>
      <c r="AA26" s="541"/>
      <c r="AB26" s="467"/>
      <c r="AC26" s="467"/>
      <c r="AD26" s="46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x14ac:dyDescent="0.3">
      <c r="A27" s="1"/>
      <c r="B27" s="498">
        <v>9</v>
      </c>
      <c r="C27" s="500">
        <v>1</v>
      </c>
      <c r="D27" s="502">
        <v>17.25</v>
      </c>
      <c r="E27" s="504">
        <f>D27*C27</f>
        <v>17.25</v>
      </c>
      <c r="F27" s="506">
        <v>1</v>
      </c>
      <c r="G27" s="508">
        <f>F27*E27</f>
        <v>17.25</v>
      </c>
      <c r="H27" s="510"/>
      <c r="I27" s="512"/>
      <c r="J27" s="504">
        <v>0</v>
      </c>
      <c r="K27" s="553">
        <v>1</v>
      </c>
      <c r="L27" s="582">
        <f>K27*J27</f>
        <v>0</v>
      </c>
      <c r="M27" s="584"/>
      <c r="N27" s="514"/>
      <c r="O27" s="514">
        <v>1</v>
      </c>
      <c r="P27" s="508">
        <f>O27*N27</f>
        <v>0</v>
      </c>
      <c r="Q27" s="548"/>
      <c r="R27" s="549"/>
      <c r="S27" s="550"/>
      <c r="T27" s="553"/>
      <c r="U27" s="554">
        <v>0</v>
      </c>
      <c r="V27" s="556">
        <f>U27+P27+L27+G27</f>
        <v>17.25</v>
      </c>
      <c r="W27" s="1"/>
      <c r="X27" s="1"/>
      <c r="Y27" s="542" t="s">
        <v>82</v>
      </c>
      <c r="Z27" s="543"/>
      <c r="AA27" s="544"/>
      <c r="AB27" s="469">
        <v>0.37</v>
      </c>
      <c r="AC27" s="469"/>
      <c r="AD27" s="470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x14ac:dyDescent="0.3">
      <c r="A28" s="1"/>
      <c r="B28" s="499"/>
      <c r="C28" s="501"/>
      <c r="D28" s="503"/>
      <c r="E28" s="505"/>
      <c r="F28" s="507"/>
      <c r="G28" s="509"/>
      <c r="H28" s="511"/>
      <c r="I28" s="513"/>
      <c r="J28" s="505"/>
      <c r="K28" s="513"/>
      <c r="L28" s="583"/>
      <c r="M28" s="511"/>
      <c r="N28" s="513"/>
      <c r="O28" s="513"/>
      <c r="P28" s="509"/>
      <c r="Q28" s="511"/>
      <c r="R28" s="551"/>
      <c r="S28" s="552"/>
      <c r="T28" s="513"/>
      <c r="U28" s="555"/>
      <c r="V28" s="557"/>
      <c r="W28" s="1"/>
      <c r="X28" s="1"/>
      <c r="Y28" s="542"/>
      <c r="Z28" s="543"/>
      <c r="AA28" s="544"/>
      <c r="AB28" s="469"/>
      <c r="AC28" s="469"/>
      <c r="AD28" s="470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x14ac:dyDescent="0.3">
      <c r="A29" s="1"/>
      <c r="B29" s="579">
        <v>10</v>
      </c>
      <c r="C29" s="612">
        <v>1</v>
      </c>
      <c r="D29" s="562">
        <v>17.25</v>
      </c>
      <c r="E29" s="563">
        <f>D29*C29</f>
        <v>17.25</v>
      </c>
      <c r="F29" s="565">
        <v>1</v>
      </c>
      <c r="G29" s="567">
        <f>F29*E29</f>
        <v>17.25</v>
      </c>
      <c r="H29" s="569"/>
      <c r="I29" s="570"/>
      <c r="J29" s="563">
        <v>0</v>
      </c>
      <c r="K29" s="490">
        <v>1</v>
      </c>
      <c r="L29" s="571">
        <f>K29*J29</f>
        <v>0</v>
      </c>
      <c r="M29" s="560"/>
      <c r="N29" s="577"/>
      <c r="O29" s="577">
        <v>1</v>
      </c>
      <c r="P29" s="567">
        <f>O29*N29</f>
        <v>0</v>
      </c>
      <c r="Q29" s="578"/>
      <c r="R29" s="494"/>
      <c r="S29" s="495"/>
      <c r="T29" s="490"/>
      <c r="U29" s="573">
        <v>0</v>
      </c>
      <c r="V29" s="575">
        <f>U29+P29+L29+G29</f>
        <v>17.25</v>
      </c>
      <c r="W29" s="1"/>
      <c r="X29" s="1"/>
      <c r="Y29" s="539" t="s">
        <v>83</v>
      </c>
      <c r="Z29" s="540"/>
      <c r="AA29" s="541"/>
      <c r="AB29" s="467">
        <v>0.36</v>
      </c>
      <c r="AC29" s="467"/>
      <c r="AD29" s="468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x14ac:dyDescent="0.3">
      <c r="A30" s="1"/>
      <c r="B30" s="580"/>
      <c r="C30" s="613"/>
      <c r="D30" s="581"/>
      <c r="E30" s="564"/>
      <c r="F30" s="566"/>
      <c r="G30" s="568"/>
      <c r="H30" s="561"/>
      <c r="I30" s="491"/>
      <c r="J30" s="564"/>
      <c r="K30" s="491"/>
      <c r="L30" s="572"/>
      <c r="M30" s="561"/>
      <c r="N30" s="491"/>
      <c r="O30" s="491"/>
      <c r="P30" s="568"/>
      <c r="Q30" s="561"/>
      <c r="R30" s="496"/>
      <c r="S30" s="497"/>
      <c r="T30" s="491"/>
      <c r="U30" s="574"/>
      <c r="V30" s="576"/>
      <c r="W30" s="1"/>
      <c r="X30" s="1"/>
      <c r="Y30" s="539"/>
      <c r="Z30" s="540"/>
      <c r="AA30" s="541"/>
      <c r="AB30" s="467"/>
      <c r="AC30" s="467"/>
      <c r="AD30" s="468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x14ac:dyDescent="0.3">
      <c r="A31" s="1"/>
      <c r="B31" s="498">
        <v>11</v>
      </c>
      <c r="C31" s="500">
        <v>1</v>
      </c>
      <c r="D31" s="502">
        <v>17.25</v>
      </c>
      <c r="E31" s="504">
        <f>D31*C31</f>
        <v>17.25</v>
      </c>
      <c r="F31" s="506">
        <v>1</v>
      </c>
      <c r="G31" s="508">
        <f>F31*E31</f>
        <v>17.25</v>
      </c>
      <c r="H31" s="510"/>
      <c r="I31" s="512"/>
      <c r="J31" s="504">
        <v>0</v>
      </c>
      <c r="K31" s="553">
        <v>1</v>
      </c>
      <c r="L31" s="582">
        <f>K31*J31</f>
        <v>0</v>
      </c>
      <c r="M31" s="584"/>
      <c r="N31" s="514"/>
      <c r="O31" s="514">
        <v>1</v>
      </c>
      <c r="P31" s="508">
        <f>O31*N31</f>
        <v>0</v>
      </c>
      <c r="Q31" s="548"/>
      <c r="R31" s="549"/>
      <c r="S31" s="550"/>
      <c r="T31" s="553"/>
      <c r="U31" s="554">
        <v>0</v>
      </c>
      <c r="V31" s="556">
        <f>U31+P31+L31+G31</f>
        <v>17.25</v>
      </c>
      <c r="W31" s="1"/>
      <c r="X31" s="1"/>
      <c r="Y31" s="542" t="s">
        <v>84</v>
      </c>
      <c r="Z31" s="543"/>
      <c r="AA31" s="544"/>
      <c r="AB31" s="469">
        <v>0.34</v>
      </c>
      <c r="AC31" s="469"/>
      <c r="AD31" s="470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x14ac:dyDescent="0.3">
      <c r="A32" s="1"/>
      <c r="B32" s="499"/>
      <c r="C32" s="501"/>
      <c r="D32" s="503"/>
      <c r="E32" s="505"/>
      <c r="F32" s="507"/>
      <c r="G32" s="509"/>
      <c r="H32" s="511"/>
      <c r="I32" s="513"/>
      <c r="J32" s="505"/>
      <c r="K32" s="513"/>
      <c r="L32" s="583"/>
      <c r="M32" s="511"/>
      <c r="N32" s="513"/>
      <c r="O32" s="513"/>
      <c r="P32" s="509"/>
      <c r="Q32" s="511"/>
      <c r="R32" s="551"/>
      <c r="S32" s="552"/>
      <c r="T32" s="513"/>
      <c r="U32" s="555"/>
      <c r="V32" s="557"/>
      <c r="W32" s="1"/>
      <c r="X32" s="1"/>
      <c r="Y32" s="542"/>
      <c r="Z32" s="543"/>
      <c r="AA32" s="544"/>
      <c r="AB32" s="469"/>
      <c r="AC32" s="469"/>
      <c r="AD32" s="470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x14ac:dyDescent="0.3">
      <c r="A33" s="1"/>
      <c r="B33" s="579">
        <v>12</v>
      </c>
      <c r="C33" s="612">
        <v>1</v>
      </c>
      <c r="D33" s="562">
        <v>17.25</v>
      </c>
      <c r="E33" s="563">
        <f>D33*C33</f>
        <v>17.25</v>
      </c>
      <c r="F33" s="565">
        <v>1</v>
      </c>
      <c r="G33" s="567">
        <f>F33*E33</f>
        <v>17.25</v>
      </c>
      <c r="H33" s="569"/>
      <c r="I33" s="570"/>
      <c r="J33" s="563">
        <v>0</v>
      </c>
      <c r="K33" s="490">
        <v>1</v>
      </c>
      <c r="L33" s="571">
        <f>K33*J33</f>
        <v>0</v>
      </c>
      <c r="M33" s="560"/>
      <c r="N33" s="577"/>
      <c r="O33" s="577">
        <v>1</v>
      </c>
      <c r="P33" s="567">
        <f>O33*N33</f>
        <v>0</v>
      </c>
      <c r="Q33" s="578"/>
      <c r="R33" s="494"/>
      <c r="S33" s="495"/>
      <c r="T33" s="490"/>
      <c r="U33" s="573">
        <v>0</v>
      </c>
      <c r="V33" s="575">
        <f>U33+P33+L33+G33</f>
        <v>17.25</v>
      </c>
      <c r="W33" s="1"/>
      <c r="X33" s="1"/>
      <c r="Y33" s="521" t="s">
        <v>85</v>
      </c>
      <c r="Z33" s="522"/>
      <c r="AA33" s="523"/>
      <c r="AB33" s="471"/>
      <c r="AC33" s="471"/>
      <c r="AD33" s="47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x14ac:dyDescent="0.3">
      <c r="A34" s="1"/>
      <c r="B34" s="580"/>
      <c r="C34" s="613"/>
      <c r="D34" s="581"/>
      <c r="E34" s="564"/>
      <c r="F34" s="566"/>
      <c r="G34" s="568"/>
      <c r="H34" s="561"/>
      <c r="I34" s="491"/>
      <c r="J34" s="564"/>
      <c r="K34" s="491"/>
      <c r="L34" s="572"/>
      <c r="M34" s="561"/>
      <c r="N34" s="491"/>
      <c r="O34" s="491"/>
      <c r="P34" s="568"/>
      <c r="Q34" s="561"/>
      <c r="R34" s="496"/>
      <c r="S34" s="497"/>
      <c r="T34" s="491"/>
      <c r="U34" s="574"/>
      <c r="V34" s="576"/>
      <c r="W34" s="1"/>
      <c r="X34" s="1"/>
      <c r="Y34" s="524"/>
      <c r="Z34" s="525"/>
      <c r="AA34" s="526"/>
      <c r="AB34" s="473"/>
      <c r="AC34" s="473"/>
      <c r="AD34" s="47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x14ac:dyDescent="0.3">
      <c r="A35" s="1"/>
      <c r="B35" s="498">
        <v>13</v>
      </c>
      <c r="C35" s="500">
        <v>1</v>
      </c>
      <c r="D35" s="502">
        <v>17.25</v>
      </c>
      <c r="E35" s="504">
        <f>D35*C35</f>
        <v>17.25</v>
      </c>
      <c r="F35" s="506">
        <v>1</v>
      </c>
      <c r="G35" s="508">
        <f>F35*E35</f>
        <v>17.25</v>
      </c>
      <c r="H35" s="510"/>
      <c r="I35" s="512"/>
      <c r="J35" s="504">
        <v>0</v>
      </c>
      <c r="K35" s="553">
        <v>1</v>
      </c>
      <c r="L35" s="582">
        <f>K35*J35</f>
        <v>0</v>
      </c>
      <c r="M35" s="584"/>
      <c r="N35" s="514"/>
      <c r="O35" s="514">
        <v>1</v>
      </c>
      <c r="P35" s="508">
        <f>O35*N35</f>
        <v>0</v>
      </c>
      <c r="Q35" s="548"/>
      <c r="R35" s="549"/>
      <c r="S35" s="550"/>
      <c r="T35" s="553"/>
      <c r="U35" s="554">
        <v>0</v>
      </c>
      <c r="V35" s="556">
        <f>U35+P35+L35+G35</f>
        <v>17.25</v>
      </c>
      <c r="W35" s="1"/>
      <c r="X35" s="1"/>
      <c r="Y35" s="542" t="s">
        <v>86</v>
      </c>
      <c r="Z35" s="543"/>
      <c r="AA35" s="544"/>
      <c r="AB35" s="469">
        <v>1</v>
      </c>
      <c r="AC35" s="469"/>
      <c r="AD35" s="47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15" thickBot="1" x14ac:dyDescent="0.35">
      <c r="A36" s="1"/>
      <c r="B36" s="499"/>
      <c r="C36" s="501"/>
      <c r="D36" s="503"/>
      <c r="E36" s="505"/>
      <c r="F36" s="507"/>
      <c r="G36" s="509"/>
      <c r="H36" s="511"/>
      <c r="I36" s="513"/>
      <c r="J36" s="505"/>
      <c r="K36" s="513"/>
      <c r="L36" s="583"/>
      <c r="M36" s="511"/>
      <c r="N36" s="513"/>
      <c r="O36" s="513"/>
      <c r="P36" s="509"/>
      <c r="Q36" s="511"/>
      <c r="R36" s="551"/>
      <c r="S36" s="552"/>
      <c r="T36" s="513"/>
      <c r="U36" s="555"/>
      <c r="V36" s="557"/>
      <c r="W36" s="1"/>
      <c r="X36" s="1"/>
      <c r="Y36" s="545"/>
      <c r="Z36" s="546"/>
      <c r="AA36" s="547"/>
      <c r="AB36" s="492"/>
      <c r="AC36" s="492"/>
      <c r="AD36" s="49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x14ac:dyDescent="0.3">
      <c r="A37" s="1"/>
      <c r="B37" s="579">
        <v>14</v>
      </c>
      <c r="C37" s="612">
        <v>1</v>
      </c>
      <c r="D37" s="562">
        <v>17.25</v>
      </c>
      <c r="E37" s="563">
        <f>D37*C37</f>
        <v>17.25</v>
      </c>
      <c r="F37" s="565">
        <v>1</v>
      </c>
      <c r="G37" s="567">
        <f>F37*E37</f>
        <v>17.25</v>
      </c>
      <c r="H37" s="569"/>
      <c r="I37" s="570"/>
      <c r="J37" s="563">
        <v>0</v>
      </c>
      <c r="K37" s="490">
        <v>1</v>
      </c>
      <c r="L37" s="571">
        <f>K37*J37</f>
        <v>0</v>
      </c>
      <c r="M37" s="560"/>
      <c r="N37" s="577"/>
      <c r="O37" s="577">
        <v>1</v>
      </c>
      <c r="P37" s="567">
        <f>O37*N37</f>
        <v>0</v>
      </c>
      <c r="Q37" s="578"/>
      <c r="R37" s="494"/>
      <c r="S37" s="495"/>
      <c r="T37" s="490"/>
      <c r="U37" s="573">
        <v>0</v>
      </c>
      <c r="V37" s="575">
        <f>U37+P37+L37+G37</f>
        <v>17.25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15" thickBot="1" x14ac:dyDescent="0.35">
      <c r="A38" s="1"/>
      <c r="B38" s="580"/>
      <c r="C38" s="613"/>
      <c r="D38" s="581"/>
      <c r="E38" s="564"/>
      <c r="F38" s="566"/>
      <c r="G38" s="568"/>
      <c r="H38" s="561"/>
      <c r="I38" s="491"/>
      <c r="J38" s="564"/>
      <c r="K38" s="491"/>
      <c r="L38" s="572"/>
      <c r="M38" s="561"/>
      <c r="N38" s="491"/>
      <c r="O38" s="491"/>
      <c r="P38" s="568"/>
      <c r="Q38" s="561"/>
      <c r="R38" s="496"/>
      <c r="S38" s="497"/>
      <c r="T38" s="491"/>
      <c r="U38" s="574"/>
      <c r="V38" s="57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14.4" customHeight="1" x14ac:dyDescent="0.3">
      <c r="A39" s="1"/>
      <c r="B39" s="498">
        <v>15</v>
      </c>
      <c r="C39" s="500">
        <v>1</v>
      </c>
      <c r="D39" s="502">
        <v>17.25</v>
      </c>
      <c r="E39" s="504">
        <f>D39*C39</f>
        <v>17.25</v>
      </c>
      <c r="F39" s="506">
        <v>1</v>
      </c>
      <c r="G39" s="508">
        <f>F39*E39</f>
        <v>17.25</v>
      </c>
      <c r="H39" s="510"/>
      <c r="I39" s="512"/>
      <c r="J39" s="504">
        <v>0</v>
      </c>
      <c r="K39" s="553">
        <v>1</v>
      </c>
      <c r="L39" s="582">
        <f>K39*J39</f>
        <v>0</v>
      </c>
      <c r="M39" s="584"/>
      <c r="N39" s="514"/>
      <c r="O39" s="514">
        <v>1</v>
      </c>
      <c r="P39" s="508">
        <f>O39*N39</f>
        <v>0</v>
      </c>
      <c r="Q39" s="548"/>
      <c r="R39" s="549"/>
      <c r="S39" s="550"/>
      <c r="T39" s="553"/>
      <c r="U39" s="554">
        <v>0</v>
      </c>
      <c r="V39" s="556">
        <f>U39+P39+L39+G39</f>
        <v>17.25</v>
      </c>
      <c r="W39" s="1"/>
      <c r="X39" s="1"/>
      <c r="Y39" s="477" t="s">
        <v>116</v>
      </c>
      <c r="Z39" s="478"/>
      <c r="AA39" s="478"/>
      <c r="AB39" s="478"/>
      <c r="AC39" s="478"/>
      <c r="AD39" s="47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4.4" customHeight="1" x14ac:dyDescent="0.3">
      <c r="A40" s="1"/>
      <c r="B40" s="499"/>
      <c r="C40" s="501"/>
      <c r="D40" s="503"/>
      <c r="E40" s="505"/>
      <c r="F40" s="507"/>
      <c r="G40" s="509"/>
      <c r="H40" s="511"/>
      <c r="I40" s="513"/>
      <c r="J40" s="505"/>
      <c r="K40" s="513"/>
      <c r="L40" s="583"/>
      <c r="M40" s="511"/>
      <c r="N40" s="513"/>
      <c r="O40" s="513"/>
      <c r="P40" s="509"/>
      <c r="Q40" s="511"/>
      <c r="R40" s="551"/>
      <c r="S40" s="552"/>
      <c r="T40" s="513"/>
      <c r="U40" s="555"/>
      <c r="V40" s="557"/>
      <c r="W40" s="1"/>
      <c r="X40" s="1"/>
      <c r="Y40" s="480"/>
      <c r="Z40" s="481"/>
      <c r="AA40" s="481"/>
      <c r="AB40" s="481"/>
      <c r="AC40" s="481"/>
      <c r="AD40" s="48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4.4" customHeight="1" x14ac:dyDescent="0.3">
      <c r="A41" s="1"/>
      <c r="B41" s="579">
        <v>16</v>
      </c>
      <c r="C41" s="612">
        <v>1</v>
      </c>
      <c r="D41" s="562">
        <v>17.25</v>
      </c>
      <c r="E41" s="563">
        <f>D41*C41</f>
        <v>17.25</v>
      </c>
      <c r="F41" s="565">
        <v>1</v>
      </c>
      <c r="G41" s="567">
        <f>F41*E41</f>
        <v>17.25</v>
      </c>
      <c r="H41" s="569"/>
      <c r="I41" s="570"/>
      <c r="J41" s="563">
        <v>0</v>
      </c>
      <c r="K41" s="490">
        <v>1</v>
      </c>
      <c r="L41" s="571">
        <f>K41*J41</f>
        <v>0</v>
      </c>
      <c r="M41" s="560"/>
      <c r="N41" s="577"/>
      <c r="O41" s="577">
        <v>1</v>
      </c>
      <c r="P41" s="567">
        <f>O41*N41</f>
        <v>0</v>
      </c>
      <c r="Q41" s="578"/>
      <c r="R41" s="494"/>
      <c r="S41" s="495"/>
      <c r="T41" s="490"/>
      <c r="U41" s="573">
        <v>0</v>
      </c>
      <c r="V41" s="575">
        <f>U41+P41+L41+G41</f>
        <v>17.25</v>
      </c>
      <c r="W41" s="1"/>
      <c r="X41" s="1"/>
      <c r="Y41" s="480"/>
      <c r="Z41" s="481"/>
      <c r="AA41" s="481"/>
      <c r="AB41" s="481"/>
      <c r="AC41" s="481"/>
      <c r="AD41" s="48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4.4" customHeight="1" x14ac:dyDescent="0.3">
      <c r="A42" s="1"/>
      <c r="B42" s="580"/>
      <c r="C42" s="613"/>
      <c r="D42" s="581"/>
      <c r="E42" s="564"/>
      <c r="F42" s="566"/>
      <c r="G42" s="568"/>
      <c r="H42" s="561"/>
      <c r="I42" s="491"/>
      <c r="J42" s="564"/>
      <c r="K42" s="491"/>
      <c r="L42" s="572"/>
      <c r="M42" s="561"/>
      <c r="N42" s="491"/>
      <c r="O42" s="491"/>
      <c r="P42" s="568"/>
      <c r="Q42" s="561"/>
      <c r="R42" s="496"/>
      <c r="S42" s="497"/>
      <c r="T42" s="491"/>
      <c r="U42" s="574"/>
      <c r="V42" s="576"/>
      <c r="W42" s="1"/>
      <c r="X42" s="1"/>
      <c r="Y42" s="480"/>
      <c r="Z42" s="481"/>
      <c r="AA42" s="481"/>
      <c r="AB42" s="481"/>
      <c r="AC42" s="481"/>
      <c r="AD42" s="48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4.4" customHeight="1" x14ac:dyDescent="0.3">
      <c r="A43" s="1"/>
      <c r="B43" s="498">
        <v>17</v>
      </c>
      <c r="C43" s="500">
        <v>1</v>
      </c>
      <c r="D43" s="502">
        <v>17.25</v>
      </c>
      <c r="E43" s="504">
        <f>D43*C43</f>
        <v>17.25</v>
      </c>
      <c r="F43" s="506">
        <v>1</v>
      </c>
      <c r="G43" s="508">
        <f>F43*E43</f>
        <v>17.25</v>
      </c>
      <c r="H43" s="510"/>
      <c r="I43" s="512"/>
      <c r="J43" s="504">
        <v>0</v>
      </c>
      <c r="K43" s="553">
        <v>1</v>
      </c>
      <c r="L43" s="582">
        <f>K43*J43</f>
        <v>0</v>
      </c>
      <c r="M43" s="584"/>
      <c r="N43" s="514"/>
      <c r="O43" s="514">
        <v>1</v>
      </c>
      <c r="P43" s="508">
        <f>O43*N43</f>
        <v>0</v>
      </c>
      <c r="Q43" s="548"/>
      <c r="R43" s="549"/>
      <c r="S43" s="550"/>
      <c r="T43" s="553"/>
      <c r="U43" s="554">
        <v>0</v>
      </c>
      <c r="V43" s="556">
        <f>U43+P43+L43+G43</f>
        <v>17.25</v>
      </c>
      <c r="W43" s="1"/>
      <c r="X43" s="1"/>
      <c r="Y43" s="480"/>
      <c r="Z43" s="481"/>
      <c r="AA43" s="481"/>
      <c r="AB43" s="481"/>
      <c r="AC43" s="481"/>
      <c r="AD43" s="48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4.4" customHeight="1" x14ac:dyDescent="0.3">
      <c r="A44" s="1"/>
      <c r="B44" s="499"/>
      <c r="C44" s="501"/>
      <c r="D44" s="503"/>
      <c r="E44" s="505"/>
      <c r="F44" s="507"/>
      <c r="G44" s="509"/>
      <c r="H44" s="511"/>
      <c r="I44" s="513"/>
      <c r="J44" s="505"/>
      <c r="K44" s="513"/>
      <c r="L44" s="583"/>
      <c r="M44" s="511"/>
      <c r="N44" s="513"/>
      <c r="O44" s="513"/>
      <c r="P44" s="509"/>
      <c r="Q44" s="511"/>
      <c r="R44" s="551"/>
      <c r="S44" s="552"/>
      <c r="T44" s="513"/>
      <c r="U44" s="555"/>
      <c r="V44" s="557"/>
      <c r="W44" s="1"/>
      <c r="X44" s="1"/>
      <c r="Y44" s="480"/>
      <c r="Z44" s="481"/>
      <c r="AA44" s="481"/>
      <c r="AB44" s="481"/>
      <c r="AC44" s="481"/>
      <c r="AD44" s="48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14.4" customHeight="1" x14ac:dyDescent="0.3">
      <c r="A45" s="1"/>
      <c r="B45" s="579">
        <v>18</v>
      </c>
      <c r="C45" s="612">
        <v>1</v>
      </c>
      <c r="D45" s="562">
        <v>17.25</v>
      </c>
      <c r="E45" s="563">
        <f>D45*C45</f>
        <v>17.25</v>
      </c>
      <c r="F45" s="565">
        <v>1</v>
      </c>
      <c r="G45" s="567">
        <f>F45*E45</f>
        <v>17.25</v>
      </c>
      <c r="H45" s="569"/>
      <c r="I45" s="570"/>
      <c r="J45" s="563">
        <v>0</v>
      </c>
      <c r="K45" s="490">
        <v>1</v>
      </c>
      <c r="L45" s="571">
        <f>K45*J45</f>
        <v>0</v>
      </c>
      <c r="M45" s="560"/>
      <c r="N45" s="577"/>
      <c r="O45" s="577">
        <v>1</v>
      </c>
      <c r="P45" s="567">
        <f>O45*N45</f>
        <v>0</v>
      </c>
      <c r="Q45" s="578"/>
      <c r="R45" s="494"/>
      <c r="S45" s="495"/>
      <c r="T45" s="490"/>
      <c r="U45" s="573">
        <v>0</v>
      </c>
      <c r="V45" s="575">
        <f>U45+P45+L45+G45</f>
        <v>17.25</v>
      </c>
      <c r="W45" s="1"/>
      <c r="X45" s="1"/>
      <c r="Y45" s="480"/>
      <c r="Z45" s="481"/>
      <c r="AA45" s="481"/>
      <c r="AB45" s="481"/>
      <c r="AC45" s="481"/>
      <c r="AD45" s="48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ht="14.4" customHeight="1" x14ac:dyDescent="0.3">
      <c r="A46" s="1"/>
      <c r="B46" s="580"/>
      <c r="C46" s="613"/>
      <c r="D46" s="581"/>
      <c r="E46" s="564"/>
      <c r="F46" s="566"/>
      <c r="G46" s="568"/>
      <c r="H46" s="561"/>
      <c r="I46" s="491"/>
      <c r="J46" s="564"/>
      <c r="K46" s="491"/>
      <c r="L46" s="572"/>
      <c r="M46" s="561"/>
      <c r="N46" s="491"/>
      <c r="O46" s="491"/>
      <c r="P46" s="568"/>
      <c r="Q46" s="561"/>
      <c r="R46" s="496"/>
      <c r="S46" s="497"/>
      <c r="T46" s="491"/>
      <c r="U46" s="574"/>
      <c r="V46" s="576"/>
      <c r="W46" s="1"/>
      <c r="X46" s="1"/>
      <c r="Y46" s="480"/>
      <c r="Z46" s="481"/>
      <c r="AA46" s="481"/>
      <c r="AB46" s="481"/>
      <c r="AC46" s="481"/>
      <c r="AD46" s="48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ht="14.4" customHeight="1" x14ac:dyDescent="0.3">
      <c r="A47" s="1"/>
      <c r="B47" s="498">
        <v>19</v>
      </c>
      <c r="C47" s="500">
        <v>1</v>
      </c>
      <c r="D47" s="502">
        <v>17.25</v>
      </c>
      <c r="E47" s="504">
        <f>D47*C47</f>
        <v>17.25</v>
      </c>
      <c r="F47" s="506">
        <v>1</v>
      </c>
      <c r="G47" s="508">
        <f>F47*E47</f>
        <v>17.25</v>
      </c>
      <c r="H47" s="510"/>
      <c r="I47" s="512"/>
      <c r="J47" s="504">
        <v>0</v>
      </c>
      <c r="K47" s="553">
        <v>1</v>
      </c>
      <c r="L47" s="582">
        <f>K47*J47</f>
        <v>0</v>
      </c>
      <c r="M47" s="584"/>
      <c r="N47" s="514"/>
      <c r="O47" s="514">
        <v>1</v>
      </c>
      <c r="P47" s="508">
        <f>O47*N47</f>
        <v>0</v>
      </c>
      <c r="Q47" s="548"/>
      <c r="R47" s="549"/>
      <c r="S47" s="550"/>
      <c r="T47" s="553"/>
      <c r="U47" s="554">
        <v>0</v>
      </c>
      <c r="V47" s="556">
        <f>U47+P47+L47+G47</f>
        <v>17.25</v>
      </c>
      <c r="W47" s="1"/>
      <c r="X47" s="1"/>
      <c r="Y47" s="480"/>
      <c r="Z47" s="481"/>
      <c r="AA47" s="481"/>
      <c r="AB47" s="481"/>
      <c r="AC47" s="481"/>
      <c r="AD47" s="48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ht="14.4" customHeight="1" x14ac:dyDescent="0.3">
      <c r="A48" s="1"/>
      <c r="B48" s="499"/>
      <c r="C48" s="501"/>
      <c r="D48" s="503"/>
      <c r="E48" s="505"/>
      <c r="F48" s="507"/>
      <c r="G48" s="509"/>
      <c r="H48" s="511"/>
      <c r="I48" s="513"/>
      <c r="J48" s="505"/>
      <c r="K48" s="513"/>
      <c r="L48" s="583"/>
      <c r="M48" s="511"/>
      <c r="N48" s="513"/>
      <c r="O48" s="513"/>
      <c r="P48" s="509"/>
      <c r="Q48" s="511"/>
      <c r="R48" s="551"/>
      <c r="S48" s="552"/>
      <c r="T48" s="513"/>
      <c r="U48" s="555"/>
      <c r="V48" s="557"/>
      <c r="W48" s="1"/>
      <c r="X48" s="1"/>
      <c r="Y48" s="480"/>
      <c r="Z48" s="481"/>
      <c r="AA48" s="481"/>
      <c r="AB48" s="481"/>
      <c r="AC48" s="481"/>
      <c r="AD48" s="48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ht="14.4" customHeight="1" x14ac:dyDescent="0.3">
      <c r="A49" s="1"/>
      <c r="B49" s="579">
        <v>20</v>
      </c>
      <c r="C49" s="612">
        <v>1</v>
      </c>
      <c r="D49" s="562">
        <v>17.25</v>
      </c>
      <c r="E49" s="563">
        <f>D49*C49</f>
        <v>17.25</v>
      </c>
      <c r="F49" s="565">
        <v>1</v>
      </c>
      <c r="G49" s="567">
        <f>F49*E49</f>
        <v>17.25</v>
      </c>
      <c r="H49" s="569"/>
      <c r="I49" s="570"/>
      <c r="J49" s="563">
        <v>0</v>
      </c>
      <c r="K49" s="490">
        <v>1</v>
      </c>
      <c r="L49" s="571">
        <f>K49*J49</f>
        <v>0</v>
      </c>
      <c r="M49" s="560"/>
      <c r="N49" s="577"/>
      <c r="O49" s="577">
        <v>1</v>
      </c>
      <c r="P49" s="567">
        <f>O49*N49</f>
        <v>0</v>
      </c>
      <c r="Q49" s="578"/>
      <c r="R49" s="494"/>
      <c r="S49" s="495"/>
      <c r="T49" s="490"/>
      <c r="U49" s="573">
        <v>0</v>
      </c>
      <c r="V49" s="575">
        <f>U49+P49+L49+G49</f>
        <v>17.25</v>
      </c>
      <c r="W49" s="1"/>
      <c r="X49" s="1"/>
      <c r="Y49" s="480"/>
      <c r="Z49" s="481"/>
      <c r="AA49" s="481"/>
      <c r="AB49" s="481"/>
      <c r="AC49" s="481"/>
      <c r="AD49" s="48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ht="14.4" customHeight="1" x14ac:dyDescent="0.3">
      <c r="A50" s="1"/>
      <c r="B50" s="580"/>
      <c r="C50" s="613"/>
      <c r="D50" s="581"/>
      <c r="E50" s="564"/>
      <c r="F50" s="566"/>
      <c r="G50" s="568"/>
      <c r="H50" s="561"/>
      <c r="I50" s="491"/>
      <c r="J50" s="564"/>
      <c r="K50" s="491"/>
      <c r="L50" s="572"/>
      <c r="M50" s="561"/>
      <c r="N50" s="491"/>
      <c r="O50" s="491"/>
      <c r="P50" s="568"/>
      <c r="Q50" s="561"/>
      <c r="R50" s="496"/>
      <c r="S50" s="497"/>
      <c r="T50" s="491"/>
      <c r="U50" s="574"/>
      <c r="V50" s="576"/>
      <c r="W50" s="1"/>
      <c r="X50" s="1"/>
      <c r="Y50" s="480"/>
      <c r="Z50" s="481"/>
      <c r="AA50" s="481"/>
      <c r="AB50" s="481"/>
      <c r="AC50" s="481"/>
      <c r="AD50" s="48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ht="14.4" customHeight="1" x14ac:dyDescent="0.3">
      <c r="A51" s="1"/>
      <c r="B51" s="498">
        <v>21</v>
      </c>
      <c r="C51" s="500">
        <v>1</v>
      </c>
      <c r="D51" s="502">
        <v>17.25</v>
      </c>
      <c r="E51" s="504">
        <f>D51*C51</f>
        <v>17.25</v>
      </c>
      <c r="F51" s="506">
        <v>1</v>
      </c>
      <c r="G51" s="508">
        <f>F51*E51</f>
        <v>17.25</v>
      </c>
      <c r="H51" s="510"/>
      <c r="I51" s="512"/>
      <c r="J51" s="504">
        <v>0</v>
      </c>
      <c r="K51" s="553">
        <v>1</v>
      </c>
      <c r="L51" s="582">
        <f>K51*J51</f>
        <v>0</v>
      </c>
      <c r="M51" s="584"/>
      <c r="N51" s="514"/>
      <c r="O51" s="514">
        <v>1</v>
      </c>
      <c r="P51" s="508">
        <f>O51*N51</f>
        <v>0</v>
      </c>
      <c r="Q51" s="548"/>
      <c r="R51" s="549"/>
      <c r="S51" s="550"/>
      <c r="T51" s="553"/>
      <c r="U51" s="554">
        <v>0</v>
      </c>
      <c r="V51" s="556">
        <f>U51+P51+L51+G51</f>
        <v>17.25</v>
      </c>
      <c r="W51" s="1"/>
      <c r="X51" s="1"/>
      <c r="Y51" s="480"/>
      <c r="Z51" s="481"/>
      <c r="AA51" s="481"/>
      <c r="AB51" s="481"/>
      <c r="AC51" s="481"/>
      <c r="AD51" s="48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ht="14.4" customHeight="1" x14ac:dyDescent="0.3">
      <c r="A52" s="1"/>
      <c r="B52" s="499"/>
      <c r="C52" s="501"/>
      <c r="D52" s="503"/>
      <c r="E52" s="505"/>
      <c r="F52" s="507"/>
      <c r="G52" s="509"/>
      <c r="H52" s="511"/>
      <c r="I52" s="513"/>
      <c r="J52" s="505"/>
      <c r="K52" s="513"/>
      <c r="L52" s="583"/>
      <c r="M52" s="511"/>
      <c r="N52" s="513"/>
      <c r="O52" s="513"/>
      <c r="P52" s="509"/>
      <c r="Q52" s="511"/>
      <c r="R52" s="551"/>
      <c r="S52" s="552"/>
      <c r="T52" s="513"/>
      <c r="U52" s="555"/>
      <c r="V52" s="557"/>
      <c r="W52" s="1"/>
      <c r="X52" s="1"/>
      <c r="Y52" s="480"/>
      <c r="Z52" s="481"/>
      <c r="AA52" s="481"/>
      <c r="AB52" s="481"/>
      <c r="AC52" s="481"/>
      <c r="AD52" s="48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ht="14.4" customHeight="1" x14ac:dyDescent="0.3">
      <c r="A53" s="1"/>
      <c r="B53" s="579">
        <v>22</v>
      </c>
      <c r="C53" s="612">
        <v>1</v>
      </c>
      <c r="D53" s="562">
        <v>17.25</v>
      </c>
      <c r="E53" s="563">
        <f>D53*C53</f>
        <v>17.25</v>
      </c>
      <c r="F53" s="565">
        <v>1</v>
      </c>
      <c r="G53" s="567">
        <f>F53*E53</f>
        <v>17.25</v>
      </c>
      <c r="H53" s="569"/>
      <c r="I53" s="570"/>
      <c r="J53" s="563">
        <v>0</v>
      </c>
      <c r="K53" s="490">
        <v>1</v>
      </c>
      <c r="L53" s="571">
        <f>K53*J53</f>
        <v>0</v>
      </c>
      <c r="M53" s="560"/>
      <c r="N53" s="577"/>
      <c r="O53" s="577">
        <v>1</v>
      </c>
      <c r="P53" s="567">
        <f>O53*N53</f>
        <v>0</v>
      </c>
      <c r="Q53" s="578"/>
      <c r="R53" s="494"/>
      <c r="S53" s="495"/>
      <c r="T53" s="490"/>
      <c r="U53" s="573">
        <v>0</v>
      </c>
      <c r="V53" s="575">
        <f>U53+P53+L53+G53</f>
        <v>17.25</v>
      </c>
      <c r="W53" s="1"/>
      <c r="X53" s="1"/>
      <c r="Y53" s="480"/>
      <c r="Z53" s="481"/>
      <c r="AA53" s="481"/>
      <c r="AB53" s="481"/>
      <c r="AC53" s="481"/>
      <c r="AD53" s="48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ht="14.4" customHeight="1" x14ac:dyDescent="0.3">
      <c r="A54" s="1"/>
      <c r="B54" s="580"/>
      <c r="C54" s="613"/>
      <c r="D54" s="581"/>
      <c r="E54" s="564"/>
      <c r="F54" s="566"/>
      <c r="G54" s="568"/>
      <c r="H54" s="561"/>
      <c r="I54" s="491"/>
      <c r="J54" s="564"/>
      <c r="K54" s="491"/>
      <c r="L54" s="572"/>
      <c r="M54" s="561"/>
      <c r="N54" s="491"/>
      <c r="O54" s="491"/>
      <c r="P54" s="568"/>
      <c r="Q54" s="561"/>
      <c r="R54" s="496"/>
      <c r="S54" s="497"/>
      <c r="T54" s="491"/>
      <c r="U54" s="574"/>
      <c r="V54" s="576"/>
      <c r="W54" s="1"/>
      <c r="X54" s="1"/>
      <c r="Y54" s="480"/>
      <c r="Z54" s="481"/>
      <c r="AA54" s="481"/>
      <c r="AB54" s="481"/>
      <c r="AC54" s="481"/>
      <c r="AD54" s="482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:80" ht="14.4" customHeight="1" x14ac:dyDescent="0.3">
      <c r="A55" s="1"/>
      <c r="B55" s="585"/>
      <c r="C55" s="584"/>
      <c r="D55" s="502"/>
      <c r="E55" s="504">
        <f>D55*C55</f>
        <v>0</v>
      </c>
      <c r="F55" s="506"/>
      <c r="G55" s="508">
        <f>F55*E55</f>
        <v>0</v>
      </c>
      <c r="H55" s="510"/>
      <c r="I55" s="512"/>
      <c r="J55" s="504">
        <v>0</v>
      </c>
      <c r="K55" s="553"/>
      <c r="L55" s="582">
        <f>K55*J55</f>
        <v>0</v>
      </c>
      <c r="M55" s="584"/>
      <c r="N55" s="514"/>
      <c r="O55" s="514"/>
      <c r="P55" s="508">
        <f>O55*N55</f>
        <v>0</v>
      </c>
      <c r="Q55" s="548"/>
      <c r="R55" s="549"/>
      <c r="S55" s="550"/>
      <c r="T55" s="553"/>
      <c r="U55" s="554">
        <v>0</v>
      </c>
      <c r="V55" s="556">
        <f>U55+P55+L55+G55</f>
        <v>0</v>
      </c>
      <c r="W55" s="1"/>
      <c r="X55" s="1"/>
      <c r="Y55" s="480"/>
      <c r="Z55" s="481"/>
      <c r="AA55" s="481"/>
      <c r="AB55" s="481"/>
      <c r="AC55" s="481"/>
      <c r="AD55" s="48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:80" ht="14.4" customHeight="1" x14ac:dyDescent="0.3">
      <c r="A56" s="1"/>
      <c r="B56" s="586"/>
      <c r="C56" s="511"/>
      <c r="D56" s="513"/>
      <c r="E56" s="505"/>
      <c r="F56" s="507"/>
      <c r="G56" s="509"/>
      <c r="H56" s="511"/>
      <c r="I56" s="513"/>
      <c r="J56" s="505"/>
      <c r="K56" s="513"/>
      <c r="L56" s="583"/>
      <c r="M56" s="511"/>
      <c r="N56" s="513"/>
      <c r="O56" s="513"/>
      <c r="P56" s="509"/>
      <c r="Q56" s="511"/>
      <c r="R56" s="551"/>
      <c r="S56" s="552"/>
      <c r="T56" s="513"/>
      <c r="U56" s="555"/>
      <c r="V56" s="557"/>
      <c r="W56" s="1"/>
      <c r="X56" s="1"/>
      <c r="Y56" s="480"/>
      <c r="Z56" s="481"/>
      <c r="AA56" s="481"/>
      <c r="AB56" s="481"/>
      <c r="AC56" s="481"/>
      <c r="AD56" s="48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ht="14.4" customHeight="1" x14ac:dyDescent="0.3">
      <c r="A57" s="1"/>
      <c r="B57" s="558"/>
      <c r="C57" s="560"/>
      <c r="D57" s="562"/>
      <c r="E57" s="563">
        <f>D57*C57</f>
        <v>0</v>
      </c>
      <c r="F57" s="565"/>
      <c r="G57" s="567">
        <f>F57*E57</f>
        <v>0</v>
      </c>
      <c r="H57" s="569"/>
      <c r="I57" s="570"/>
      <c r="J57" s="563">
        <v>0</v>
      </c>
      <c r="K57" s="490"/>
      <c r="L57" s="571">
        <f>K57*J57</f>
        <v>0</v>
      </c>
      <c r="M57" s="560"/>
      <c r="N57" s="577"/>
      <c r="O57" s="577"/>
      <c r="P57" s="567">
        <f>O57*N57</f>
        <v>0</v>
      </c>
      <c r="Q57" s="578"/>
      <c r="R57" s="494"/>
      <c r="S57" s="495"/>
      <c r="T57" s="490"/>
      <c r="U57" s="573">
        <v>0</v>
      </c>
      <c r="V57" s="575">
        <f>U57+P57+L57+G57</f>
        <v>0</v>
      </c>
      <c r="W57" s="1"/>
      <c r="X57" s="1"/>
      <c r="Y57" s="480"/>
      <c r="Z57" s="481"/>
      <c r="AA57" s="481"/>
      <c r="AB57" s="481"/>
      <c r="AC57" s="481"/>
      <c r="AD57" s="48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ht="14.4" customHeight="1" x14ac:dyDescent="0.3">
      <c r="A58" s="1"/>
      <c r="B58" s="559"/>
      <c r="C58" s="561"/>
      <c r="D58" s="491"/>
      <c r="E58" s="564"/>
      <c r="F58" s="566"/>
      <c r="G58" s="568"/>
      <c r="H58" s="561"/>
      <c r="I58" s="491"/>
      <c r="J58" s="564"/>
      <c r="K58" s="491"/>
      <c r="L58" s="572"/>
      <c r="M58" s="561"/>
      <c r="N58" s="491"/>
      <c r="O58" s="491"/>
      <c r="P58" s="568"/>
      <c r="Q58" s="561"/>
      <c r="R58" s="496"/>
      <c r="S58" s="497"/>
      <c r="T58" s="491"/>
      <c r="U58" s="574"/>
      <c r="V58" s="576"/>
      <c r="W58" s="1"/>
      <c r="X58" s="1"/>
      <c r="Y58" s="480"/>
      <c r="Z58" s="481"/>
      <c r="AA58" s="481"/>
      <c r="AB58" s="481"/>
      <c r="AC58" s="481"/>
      <c r="AD58" s="48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ht="14.4" customHeight="1" x14ac:dyDescent="0.3">
      <c r="A59" s="1"/>
      <c r="B59" s="69" t="s">
        <v>64</v>
      </c>
      <c r="C59" s="62">
        <f>SUM(C11:C58)</f>
        <v>88</v>
      </c>
      <c r="D59" s="600"/>
      <c r="E59" s="63">
        <f>SUM(E11:E58)</f>
        <v>1021.2</v>
      </c>
      <c r="F59" s="600"/>
      <c r="G59" s="606">
        <f>SUM(G11:G58)</f>
        <v>703.86900000000003</v>
      </c>
      <c r="H59" s="62">
        <f>SUM(H11:H58)</f>
        <v>8</v>
      </c>
      <c r="I59" s="600"/>
      <c r="J59" s="63">
        <f>SUM(J11:J58)</f>
        <v>110.4</v>
      </c>
      <c r="K59" s="600"/>
      <c r="L59" s="606">
        <f>SUM(L11:L58)</f>
        <v>110.4</v>
      </c>
      <c r="M59" s="62">
        <f>SUM(M11:M58)</f>
        <v>6</v>
      </c>
      <c r="N59" s="608"/>
      <c r="O59" s="609"/>
      <c r="P59" s="64">
        <f>SUM(P11:P58)</f>
        <v>168.2</v>
      </c>
      <c r="Q59" s="630">
        <v>0</v>
      </c>
      <c r="R59" s="632"/>
      <c r="S59" s="633"/>
      <c r="T59" s="634"/>
      <c r="U59" s="64">
        <v>0</v>
      </c>
      <c r="V59" s="627">
        <f>SUM(V11:V58)</f>
        <v>982.46899999999994</v>
      </c>
      <c r="W59" s="1"/>
      <c r="X59" s="1"/>
      <c r="Y59" s="480"/>
      <c r="Z59" s="481"/>
      <c r="AA59" s="481"/>
      <c r="AB59" s="481"/>
      <c r="AC59" s="481"/>
      <c r="AD59" s="48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5" customHeight="1" x14ac:dyDescent="0.3">
      <c r="A60" s="1"/>
      <c r="B60" s="70" t="s">
        <v>65</v>
      </c>
      <c r="C60" s="65" t="s">
        <v>90</v>
      </c>
      <c r="D60" s="601"/>
      <c r="E60" s="66" t="s">
        <v>91</v>
      </c>
      <c r="F60" s="601"/>
      <c r="G60" s="607"/>
      <c r="H60" s="65" t="s">
        <v>92</v>
      </c>
      <c r="I60" s="601"/>
      <c r="J60" s="66" t="s">
        <v>93</v>
      </c>
      <c r="K60" s="601"/>
      <c r="L60" s="607"/>
      <c r="M60" s="65" t="s">
        <v>94</v>
      </c>
      <c r="N60" s="610"/>
      <c r="O60" s="611"/>
      <c r="P60" s="67" t="s">
        <v>95</v>
      </c>
      <c r="Q60" s="631"/>
      <c r="R60" s="635"/>
      <c r="S60" s="636"/>
      <c r="T60" s="637"/>
      <c r="U60" s="68" t="s">
        <v>96</v>
      </c>
      <c r="V60" s="628"/>
      <c r="W60" s="1"/>
      <c r="X60" s="1"/>
      <c r="Y60" s="480"/>
      <c r="Z60" s="481"/>
      <c r="AA60" s="481"/>
      <c r="AB60" s="481"/>
      <c r="AC60" s="481"/>
      <c r="AD60" s="48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ht="15" customHeight="1" thickBot="1" x14ac:dyDescent="0.35">
      <c r="A61" s="1"/>
      <c r="B61" s="648"/>
      <c r="C61" s="648"/>
      <c r="D61" s="648"/>
      <c r="E61" s="648"/>
      <c r="F61" s="648"/>
      <c r="G61" s="648"/>
      <c r="H61" s="648"/>
      <c r="I61" s="648"/>
      <c r="J61" s="648"/>
      <c r="K61" s="648"/>
      <c r="L61" s="648"/>
      <c r="M61" s="648"/>
      <c r="N61" s="648"/>
      <c r="O61" s="648"/>
      <c r="P61" s="648"/>
      <c r="Q61" s="648"/>
      <c r="R61" s="648"/>
      <c r="S61" s="648"/>
      <c r="T61" s="648"/>
      <c r="U61" s="648"/>
      <c r="V61" s="648"/>
      <c r="W61" s="1"/>
      <c r="X61" s="1"/>
      <c r="Y61" s="480"/>
      <c r="Z61" s="481"/>
      <c r="AA61" s="481"/>
      <c r="AB61" s="481"/>
      <c r="AC61" s="481"/>
      <c r="AD61" s="48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ht="15.6" customHeight="1" x14ac:dyDescent="0.3">
      <c r="A62" s="1"/>
      <c r="B62" s="614" t="s">
        <v>97</v>
      </c>
      <c r="C62" s="591"/>
      <c r="D62" s="592"/>
      <c r="E62" s="590" t="s">
        <v>98</v>
      </c>
      <c r="F62" s="591"/>
      <c r="G62" s="592"/>
      <c r="H62" s="590" t="s">
        <v>99</v>
      </c>
      <c r="I62" s="591"/>
      <c r="J62" s="592"/>
      <c r="K62" s="590" t="s">
        <v>100</v>
      </c>
      <c r="L62" s="591"/>
      <c r="M62" s="592"/>
      <c r="N62" s="590" t="s">
        <v>101</v>
      </c>
      <c r="O62" s="591"/>
      <c r="P62" s="592"/>
      <c r="Q62" s="590" t="s">
        <v>102</v>
      </c>
      <c r="R62" s="591"/>
      <c r="S62" s="629"/>
      <c r="T62" s="642" t="s">
        <v>66</v>
      </c>
      <c r="U62" s="643"/>
      <c r="V62" s="644"/>
      <c r="W62" s="1"/>
      <c r="X62" s="1"/>
      <c r="Y62" s="78"/>
      <c r="Z62" s="79"/>
      <c r="AA62" s="79"/>
      <c r="AB62" s="79"/>
      <c r="AC62" s="79"/>
      <c r="AD62" s="8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ht="16.2" customHeight="1" x14ac:dyDescent="0.3">
      <c r="A63" s="1"/>
      <c r="B63" s="605" t="s">
        <v>103</v>
      </c>
      <c r="C63" s="594"/>
      <c r="D63" s="595"/>
      <c r="E63" s="593" t="s">
        <v>104</v>
      </c>
      <c r="F63" s="594"/>
      <c r="G63" s="595"/>
      <c r="H63" s="593" t="s">
        <v>105</v>
      </c>
      <c r="I63" s="594"/>
      <c r="J63" s="595"/>
      <c r="K63" s="593" t="s">
        <v>106</v>
      </c>
      <c r="L63" s="594"/>
      <c r="M63" s="595"/>
      <c r="N63" s="593" t="s">
        <v>107</v>
      </c>
      <c r="O63" s="594"/>
      <c r="P63" s="595"/>
      <c r="Q63" s="593" t="s">
        <v>108</v>
      </c>
      <c r="R63" s="594"/>
      <c r="S63" s="641"/>
      <c r="T63" s="587" t="s">
        <v>109</v>
      </c>
      <c r="U63" s="588"/>
      <c r="V63" s="589"/>
      <c r="W63" s="1"/>
      <c r="X63" s="1"/>
      <c r="Y63" s="483">
        <f>T64+M72</f>
        <v>416.23461268995851</v>
      </c>
      <c r="Z63" s="484"/>
      <c r="AA63" s="484"/>
      <c r="AB63" s="484"/>
      <c r="AC63" s="484"/>
      <c r="AD63" s="488" t="s">
        <v>17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:80" ht="15" customHeight="1" thickBot="1" x14ac:dyDescent="0.35">
      <c r="A64" s="1"/>
      <c r="B64" s="602">
        <f>IF((AND(C59=0,M59=0)),0,0.2+(0.8/(C59+M59)^(1/2)))</f>
        <v>0.2825136997007035</v>
      </c>
      <c r="C64" s="603"/>
      <c r="D64" s="604"/>
      <c r="E64" s="596">
        <f>B64*E59</f>
        <v>288.50299013435841</v>
      </c>
      <c r="F64" s="597"/>
      <c r="G64" s="599"/>
      <c r="H64" s="647">
        <f>IF(J59=0,0,0.5+0.5/((H59)^(1/2)))</f>
        <v>0.67677669529663687</v>
      </c>
      <c r="I64" s="603"/>
      <c r="J64" s="604"/>
      <c r="K64" s="596">
        <f>L59*H64</f>
        <v>74.716147160748719</v>
      </c>
      <c r="L64" s="597"/>
      <c r="M64" s="599"/>
      <c r="N64" s="596">
        <f>B64*P59</f>
        <v>47.518804289658327</v>
      </c>
      <c r="O64" s="597"/>
      <c r="P64" s="599"/>
      <c r="Q64" s="596">
        <f>U59</f>
        <v>0</v>
      </c>
      <c r="R64" s="597"/>
      <c r="S64" s="598"/>
      <c r="T64" s="638">
        <f>E64+K64+N64+Q64</f>
        <v>410.73794158476545</v>
      </c>
      <c r="U64" s="639"/>
      <c r="V64" s="640"/>
      <c r="W64" s="1"/>
      <c r="X64" s="1"/>
      <c r="Y64" s="485"/>
      <c r="Z64" s="484"/>
      <c r="AA64" s="484"/>
      <c r="AB64" s="484"/>
      <c r="AC64" s="484"/>
      <c r="AD64" s="48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1:8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85"/>
      <c r="Z65" s="484"/>
      <c r="AA65" s="484"/>
      <c r="AB65" s="484"/>
      <c r="AC65" s="484"/>
      <c r="AD65" s="48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x14ac:dyDescent="0.3">
      <c r="A66" s="1"/>
      <c r="B66" s="475" t="s">
        <v>110</v>
      </c>
      <c r="C66" s="476"/>
      <c r="D66" s="476"/>
      <c r="E66" s="476"/>
      <c r="F66" s="476"/>
      <c r="G66" s="476"/>
      <c r="H66" s="476"/>
      <c r="I66" s="476"/>
      <c r="J66" s="476"/>
      <c r="K66" s="476"/>
      <c r="L66" s="476"/>
      <c r="M66" s="476"/>
      <c r="N66" s="476"/>
      <c r="O66" s="476"/>
      <c r="P66" s="476"/>
      <c r="Q66" s="476"/>
      <c r="R66" s="476"/>
      <c r="S66" s="476"/>
      <c r="T66" s="476"/>
      <c r="U66" s="476"/>
      <c r="V66" s="476"/>
      <c r="W66" s="1"/>
      <c r="X66" s="1"/>
      <c r="Y66" s="485"/>
      <c r="Z66" s="484"/>
      <c r="AA66" s="484"/>
      <c r="AB66" s="484"/>
      <c r="AC66" s="484"/>
      <c r="AD66" s="48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x14ac:dyDescent="0.3">
      <c r="A67" s="1"/>
      <c r="B67" s="476"/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  <c r="N67" s="476"/>
      <c r="O67" s="476"/>
      <c r="P67" s="476"/>
      <c r="Q67" s="476"/>
      <c r="R67" s="476"/>
      <c r="S67" s="476"/>
      <c r="T67" s="476"/>
      <c r="U67" s="476"/>
      <c r="V67" s="476"/>
      <c r="W67" s="1"/>
      <c r="X67" s="1"/>
      <c r="Y67" s="485"/>
      <c r="Z67" s="484"/>
      <c r="AA67" s="484"/>
      <c r="AB67" s="484"/>
      <c r="AC67" s="484"/>
      <c r="AD67" s="48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1:80" ht="3.6" customHeight="1" x14ac:dyDescent="0.3">
      <c r="A68" s="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1"/>
      <c r="X68" s="1"/>
      <c r="Y68" s="485"/>
      <c r="Z68" s="484"/>
      <c r="AA68" s="484"/>
      <c r="AB68" s="484"/>
      <c r="AC68" s="484"/>
      <c r="AD68" s="48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1:80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85"/>
      <c r="Z69" s="484"/>
      <c r="AA69" s="484"/>
      <c r="AB69" s="484"/>
      <c r="AC69" s="484"/>
      <c r="AD69" s="48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1:80" x14ac:dyDescent="0.3">
      <c r="A70" s="1"/>
      <c r="B70" s="452" t="s">
        <v>111</v>
      </c>
      <c r="C70" s="453"/>
      <c r="D70" s="453"/>
      <c r="E70" s="453" t="s">
        <v>113</v>
      </c>
      <c r="F70" s="453"/>
      <c r="G70" s="453" t="s">
        <v>112</v>
      </c>
      <c r="H70" s="453"/>
      <c r="I70" s="453"/>
      <c r="J70" s="453" t="s">
        <v>114</v>
      </c>
      <c r="K70" s="453"/>
      <c r="L70" s="453"/>
      <c r="M70" s="456" t="s">
        <v>115</v>
      </c>
      <c r="N70" s="457"/>
      <c r="O70" s="457"/>
      <c r="P70" s="457"/>
      <c r="Q70" s="457"/>
      <c r="R70" s="457"/>
      <c r="S70" s="457"/>
      <c r="T70" s="457"/>
      <c r="U70" s="457"/>
      <c r="V70" s="458"/>
      <c r="W70" s="1"/>
      <c r="X70" s="1"/>
      <c r="Y70" s="485"/>
      <c r="Z70" s="484"/>
      <c r="AA70" s="484"/>
      <c r="AB70" s="484"/>
      <c r="AC70" s="484"/>
      <c r="AD70" s="48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1:80" x14ac:dyDescent="0.3">
      <c r="A71" s="1"/>
      <c r="B71" s="454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9"/>
      <c r="N71" s="460"/>
      <c r="O71" s="460"/>
      <c r="P71" s="460"/>
      <c r="Q71" s="460"/>
      <c r="R71" s="460"/>
      <c r="S71" s="460"/>
      <c r="T71" s="460"/>
      <c r="U71" s="460"/>
      <c r="V71" s="461"/>
      <c r="W71" s="1"/>
      <c r="X71" s="1"/>
      <c r="Y71" s="485"/>
      <c r="Z71" s="484"/>
      <c r="AA71" s="484"/>
      <c r="AB71" s="484"/>
      <c r="AC71" s="484"/>
      <c r="AD71" s="48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 ht="15" thickBot="1" x14ac:dyDescent="0.35">
      <c r="A72" s="1"/>
      <c r="B72" s="466">
        <v>172</v>
      </c>
      <c r="C72" s="465"/>
      <c r="D72" s="465"/>
      <c r="E72" s="465">
        <v>75.099999999999994</v>
      </c>
      <c r="F72" s="465"/>
      <c r="G72" s="465">
        <f>(100*B72)/E72</f>
        <v>229.02796271637817</v>
      </c>
      <c r="H72" s="465"/>
      <c r="I72" s="465"/>
      <c r="J72" s="465">
        <v>24</v>
      </c>
      <c r="K72" s="465"/>
      <c r="L72" s="465"/>
      <c r="M72" s="462">
        <f>(J72*G72)/1000</f>
        <v>5.4966711051930757</v>
      </c>
      <c r="N72" s="463"/>
      <c r="O72" s="463"/>
      <c r="P72" s="463"/>
      <c r="Q72" s="463"/>
      <c r="R72" s="463"/>
      <c r="S72" s="463"/>
      <c r="T72" s="463"/>
      <c r="U72" s="463"/>
      <c r="V72" s="464"/>
      <c r="W72" s="1"/>
      <c r="X72" s="1"/>
      <c r="Y72" s="486"/>
      <c r="Z72" s="487"/>
      <c r="AA72" s="487"/>
      <c r="AB72" s="487"/>
      <c r="AC72" s="487"/>
      <c r="AD72" s="48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1:8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1:8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1:8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1:8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1:8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1:8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1:8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 spans="1:8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 spans="1:8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 spans="1:8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 spans="1:8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8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 spans="1:8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8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 spans="1:8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 spans="1:8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 spans="1:8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 spans="1:8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 spans="1:8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 spans="1:8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</row>
    <row r="108" spans="1:8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 spans="1:8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 spans="1:8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 spans="1:8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 spans="1:8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</row>
    <row r="114" spans="1:8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 spans="1:8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</row>
    <row r="116" spans="1:8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 spans="1:8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 spans="1:8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 spans="1:8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 spans="1:8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 spans="1:8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</row>
    <row r="122" spans="1:8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 spans="1:8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</row>
    <row r="124" spans="1:8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</row>
    <row r="125" spans="1:8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 spans="1:8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 spans="1:8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 spans="1:8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 spans="1:8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 spans="1:8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 spans="1:8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 spans="1:8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 spans="1:8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 spans="1:8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 spans="1:8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 spans="1:8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 spans="1:8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 spans="1:8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 spans="1:8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 spans="1:8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 spans="1:8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 spans="1:8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 spans="1:8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 spans="1:8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 spans="1:8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 spans="1:8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 spans="1:8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 spans="1:8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 spans="1:8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 spans="1:8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 spans="1:8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 spans="1:8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 spans="1:8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 spans="1:8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spans="1:8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spans="1:8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 spans="1:8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 spans="1:8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</row>
    <row r="167" spans="1:8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</row>
    <row r="168" spans="1:8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</row>
    <row r="169" spans="1:8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</row>
    <row r="170" spans="1:8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</row>
    <row r="171" spans="1:8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</row>
    <row r="172" spans="1:8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</row>
    <row r="173" spans="1:8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</row>
    <row r="174" spans="1:8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</row>
    <row r="175" spans="1:8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</row>
    <row r="176" spans="1:8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</row>
    <row r="177" spans="1:8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</row>
    <row r="178" spans="1:8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</row>
    <row r="179" spans="1:8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</row>
    <row r="180" spans="1:8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</row>
    <row r="181" spans="1:8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</row>
    <row r="182" spans="1:8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</row>
    <row r="183" spans="1:8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</row>
    <row r="184" spans="1:8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</row>
    <row r="185" spans="1:8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</row>
    <row r="186" spans="1:8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</row>
    <row r="187" spans="1:8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</row>
    <row r="188" spans="1:8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</row>
    <row r="189" spans="1:8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</row>
    <row r="190" spans="1:8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</row>
    <row r="191" spans="1:8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</row>
    <row r="192" spans="1:8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</row>
    <row r="193" spans="1:8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</row>
    <row r="194" spans="1:8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</row>
    <row r="195" spans="1:8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</row>
    <row r="196" spans="1:8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</row>
    <row r="197" spans="1:8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</row>
    <row r="198" spans="1:8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</row>
    <row r="199" spans="1:8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</row>
    <row r="200" spans="1:8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</row>
    <row r="201" spans="1:8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</row>
    <row r="202" spans="1:8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</row>
    <row r="203" spans="1:8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</row>
    <row r="204" spans="1:8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</row>
    <row r="205" spans="1:8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</row>
    <row r="206" spans="1:8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 spans="1:8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 spans="1:8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 spans="1:8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 spans="1:8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 spans="1:8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 spans="1:8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 spans="1:8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</row>
    <row r="214" spans="1:8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</row>
    <row r="215" spans="1:8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</row>
    <row r="216" spans="1:8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</row>
    <row r="217" spans="1:8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</row>
    <row r="218" spans="1:8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</row>
    <row r="219" spans="1:8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</row>
    <row r="220" spans="1:8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</row>
    <row r="221" spans="1:8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</row>
    <row r="222" spans="1:8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</row>
    <row r="223" spans="1:8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</row>
    <row r="224" spans="1:8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</row>
    <row r="225" spans="1:8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</row>
    <row r="226" spans="1:8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</row>
    <row r="227" spans="1:8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</row>
    <row r="228" spans="1:8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</row>
    <row r="229" spans="1:8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</row>
    <row r="230" spans="1:8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</row>
    <row r="231" spans="1:8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</row>
    <row r="232" spans="1:8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</row>
    <row r="233" spans="1:8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</row>
    <row r="234" spans="1:8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</row>
    <row r="235" spans="1:8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</row>
    <row r="236" spans="1:8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</row>
    <row r="237" spans="1:8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</row>
    <row r="238" spans="1:8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</row>
    <row r="239" spans="1:8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</row>
    <row r="240" spans="1:8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</row>
    <row r="241" spans="1:8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</row>
    <row r="242" spans="1:8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</row>
    <row r="243" spans="1:8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</row>
    <row r="244" spans="1:8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</row>
    <row r="245" spans="1:8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</row>
    <row r="246" spans="1:8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</row>
    <row r="247" spans="1:8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</row>
    <row r="248" spans="1:8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</row>
    <row r="249" spans="1:8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</row>
    <row r="250" spans="1:8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</row>
    <row r="251" spans="1:8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</row>
    <row r="252" spans="1:8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</row>
    <row r="253" spans="1:8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</row>
    <row r="254" spans="1:8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</row>
    <row r="255" spans="1:8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</row>
    <row r="256" spans="1:8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</row>
    <row r="257" spans="1:8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</row>
    <row r="258" spans="1:8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</row>
    <row r="259" spans="1:8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</row>
    <row r="260" spans="1:8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</row>
    <row r="261" spans="1:8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</row>
    <row r="262" spans="1:8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</row>
    <row r="263" spans="1:8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</row>
    <row r="264" spans="1:8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</row>
    <row r="265" spans="1:8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</row>
    <row r="266" spans="1:8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</row>
    <row r="267" spans="1:8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</row>
    <row r="268" spans="1:8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</row>
    <row r="269" spans="1:8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</row>
    <row r="270" spans="1:8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</row>
    <row r="271" spans="1:8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</row>
    <row r="272" spans="1:8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</row>
    <row r="273" spans="1:8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</row>
    <row r="274" spans="1:8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</row>
    <row r="275" spans="1:8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</row>
    <row r="276" spans="1:8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</row>
    <row r="277" spans="1:8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</row>
    <row r="278" spans="1:8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</row>
    <row r="279" spans="1:8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</row>
    <row r="280" spans="1:8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</row>
    <row r="281" spans="1:8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</row>
    <row r="282" spans="1:8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</row>
    <row r="283" spans="1:8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</row>
    <row r="284" spans="1:8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</row>
    <row r="285" spans="1:8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</row>
    <row r="286" spans="1:8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</row>
    <row r="287" spans="1:8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</row>
    <row r="288" spans="1:8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</row>
    <row r="289" spans="1:8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</row>
    <row r="290" spans="1:8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</row>
    <row r="291" spans="1:8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</row>
    <row r="292" spans="1:80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</row>
    <row r="293" spans="1:80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</row>
    <row r="294" spans="1:80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</row>
    <row r="295" spans="1:80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</row>
    <row r="296" spans="1:80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</row>
    <row r="297" spans="1:80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</row>
    <row r="298" spans="1:80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</row>
    <row r="299" spans="1:80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</row>
    <row r="300" spans="1:80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</row>
    <row r="301" spans="1:80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</row>
    <row r="302" spans="1:80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</row>
    <row r="303" spans="1:80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</row>
    <row r="304" spans="1:80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</row>
    <row r="305" spans="1:80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</row>
    <row r="306" spans="1:80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</row>
    <row r="307" spans="1:80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</row>
    <row r="308" spans="1:80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</row>
    <row r="309" spans="1:80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</row>
    <row r="310" spans="1:80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</row>
    <row r="311" spans="1:80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</row>
    <row r="312" spans="1:80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</row>
    <row r="313" spans="1:80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</row>
    <row r="314" spans="1:8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</row>
    <row r="315" spans="1:8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</row>
    <row r="316" spans="1:8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</row>
    <row r="317" spans="1:8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</row>
    <row r="318" spans="1:8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</row>
    <row r="319" spans="1:8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</row>
    <row r="320" spans="1:8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</row>
    <row r="321" spans="1:8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</row>
    <row r="322" spans="1:8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</row>
    <row r="323" spans="1:8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</row>
    <row r="324" spans="1:8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</row>
    <row r="325" spans="1:8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</row>
    <row r="326" spans="1:8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</row>
    <row r="327" spans="1:8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</row>
    <row r="328" spans="1:8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</row>
    <row r="329" spans="1:8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</row>
    <row r="330" spans="1:8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</row>
    <row r="331" spans="1:8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</row>
    <row r="332" spans="1:8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</row>
    <row r="333" spans="1:8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</row>
    <row r="334" spans="1:8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</row>
    <row r="335" spans="1:8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</row>
    <row r="336" spans="1:8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</row>
    <row r="337" spans="1:8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</row>
    <row r="338" spans="1:8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</row>
    <row r="339" spans="1:8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</row>
    <row r="340" spans="1:8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</row>
    <row r="341" spans="1:8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</row>
    <row r="342" spans="1:8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</row>
    <row r="343" spans="1:8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</row>
    <row r="344" spans="1:8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</row>
    <row r="345" spans="1:8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</row>
    <row r="346" spans="1:8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</row>
    <row r="347" spans="1:8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</row>
    <row r="348" spans="1:8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</row>
    <row r="349" spans="1:8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</row>
    <row r="350" spans="1:8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</row>
    <row r="351" spans="1:8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</row>
    <row r="352" spans="1:8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</row>
    <row r="353" spans="1:8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</row>
    <row r="354" spans="1:8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</row>
    <row r="355" spans="1:8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</row>
    <row r="356" spans="1:8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</row>
    <row r="357" spans="1:8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</row>
    <row r="358" spans="1:8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</row>
    <row r="359" spans="1:8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</row>
    <row r="360" spans="1:8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</row>
    <row r="361" spans="1:8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</row>
    <row r="362" spans="1:8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</row>
    <row r="363" spans="1:8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</row>
    <row r="364" spans="1:8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</row>
    <row r="365" spans="1:8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</row>
    <row r="366" spans="1:8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</row>
    <row r="367" spans="1:8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</row>
    <row r="368" spans="1:8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</row>
    <row r="369" spans="1:8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</row>
    <row r="370" spans="1:8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</row>
    <row r="371" spans="1:8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</row>
    <row r="372" spans="1:8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</row>
    <row r="373" spans="1:8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</row>
    <row r="374" spans="1:8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</row>
    <row r="375" spans="1:8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</row>
    <row r="376" spans="1:8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</row>
    <row r="377" spans="1:8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</row>
    <row r="378" spans="1:8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</row>
    <row r="379" spans="1:8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</row>
    <row r="380" spans="1:8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</row>
    <row r="381" spans="1:8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</row>
    <row r="382" spans="1:8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</row>
    <row r="383" spans="1:8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</row>
    <row r="384" spans="1:8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</row>
    <row r="385" spans="1:8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</row>
    <row r="386" spans="1:8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</row>
    <row r="387" spans="1:8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</row>
    <row r="388" spans="1:8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</row>
    <row r="389" spans="1:8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</row>
    <row r="390" spans="1:8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</sheetData>
  <mergeCells count="569">
    <mergeCell ref="B2:K4"/>
    <mergeCell ref="U49:U50"/>
    <mergeCell ref="V49:V50"/>
    <mergeCell ref="N49:N50"/>
    <mergeCell ref="O49:O50"/>
    <mergeCell ref="P49:P50"/>
    <mergeCell ref="Q49:Q50"/>
    <mergeCell ref="R49:S50"/>
    <mergeCell ref="T49:T50"/>
    <mergeCell ref="H49:H50"/>
    <mergeCell ref="I49:I50"/>
    <mergeCell ref="J49:J50"/>
    <mergeCell ref="K49:K50"/>
    <mergeCell ref="L49:L50"/>
    <mergeCell ref="M49:M50"/>
    <mergeCell ref="B49:B50"/>
    <mergeCell ref="C49:C50"/>
    <mergeCell ref="D49:D50"/>
    <mergeCell ref="E49:E50"/>
    <mergeCell ref="F49:F50"/>
    <mergeCell ref="G49:G50"/>
    <mergeCell ref="Q47:Q48"/>
    <mergeCell ref="R47:S48"/>
    <mergeCell ref="T47:T48"/>
    <mergeCell ref="U47:U48"/>
    <mergeCell ref="V47:V48"/>
    <mergeCell ref="J47:J48"/>
    <mergeCell ref="K47:K48"/>
    <mergeCell ref="L47:L48"/>
    <mergeCell ref="M47:M48"/>
    <mergeCell ref="N47:N48"/>
    <mergeCell ref="O47:O48"/>
    <mergeCell ref="V45:V46"/>
    <mergeCell ref="O45:O46"/>
    <mergeCell ref="P45:P46"/>
    <mergeCell ref="Q45:Q46"/>
    <mergeCell ref="R45:S46"/>
    <mergeCell ref="T45:T46"/>
    <mergeCell ref="P47:P48"/>
    <mergeCell ref="B47:B48"/>
    <mergeCell ref="C47:C48"/>
    <mergeCell ref="D47:D48"/>
    <mergeCell ref="E47:E48"/>
    <mergeCell ref="F47:F48"/>
    <mergeCell ref="G47:G48"/>
    <mergeCell ref="H47:H48"/>
    <mergeCell ref="I47:I48"/>
    <mergeCell ref="N45:N46"/>
    <mergeCell ref="H45:H46"/>
    <mergeCell ref="I45:I46"/>
    <mergeCell ref="J45:J46"/>
    <mergeCell ref="K45:K46"/>
    <mergeCell ref="L45:L46"/>
    <mergeCell ref="M45:M46"/>
    <mergeCell ref="B45:B46"/>
    <mergeCell ref="C45:C46"/>
    <mergeCell ref="D45:D46"/>
    <mergeCell ref="E45:E46"/>
    <mergeCell ref="F45:F46"/>
    <mergeCell ref="G45:G46"/>
    <mergeCell ref="R43:S44"/>
    <mergeCell ref="T43:T44"/>
    <mergeCell ref="U43:U44"/>
    <mergeCell ref="U45:U46"/>
    <mergeCell ref="V43:V44"/>
    <mergeCell ref="J43:J44"/>
    <mergeCell ref="K43:K44"/>
    <mergeCell ref="L43:L44"/>
    <mergeCell ref="M43:M44"/>
    <mergeCell ref="N43:N44"/>
    <mergeCell ref="O43:O44"/>
    <mergeCell ref="U41:U42"/>
    <mergeCell ref="V41:V42"/>
    <mergeCell ref="O41:O42"/>
    <mergeCell ref="P41:P42"/>
    <mergeCell ref="Q41:Q42"/>
    <mergeCell ref="R41:S42"/>
    <mergeCell ref="T41:T42"/>
    <mergeCell ref="B43:B44"/>
    <mergeCell ref="C43:C44"/>
    <mergeCell ref="D43:D44"/>
    <mergeCell ref="E43:E44"/>
    <mergeCell ref="F43:F44"/>
    <mergeCell ref="G43:G44"/>
    <mergeCell ref="H43:H44"/>
    <mergeCell ref="I43:I44"/>
    <mergeCell ref="N41:N42"/>
    <mergeCell ref="H41:H42"/>
    <mergeCell ref="I41:I42"/>
    <mergeCell ref="J41:J42"/>
    <mergeCell ref="K41:K42"/>
    <mergeCell ref="L41:L42"/>
    <mergeCell ref="M41:M42"/>
    <mergeCell ref="P43:P44"/>
    <mergeCell ref="Q43:Q44"/>
    <mergeCell ref="R39:S40"/>
    <mergeCell ref="T39:T40"/>
    <mergeCell ref="U39:U40"/>
    <mergeCell ref="B41:B42"/>
    <mergeCell ref="C41:C42"/>
    <mergeCell ref="D41:D42"/>
    <mergeCell ref="E41:E42"/>
    <mergeCell ref="F41:F42"/>
    <mergeCell ref="G41:G42"/>
    <mergeCell ref="K39:K40"/>
    <mergeCell ref="L39:L40"/>
    <mergeCell ref="M39:M40"/>
    <mergeCell ref="N39:N40"/>
    <mergeCell ref="O39:O40"/>
    <mergeCell ref="P39:P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U35:U36"/>
    <mergeCell ref="B37:B38"/>
    <mergeCell ref="C37:C38"/>
    <mergeCell ref="D37:D38"/>
    <mergeCell ref="E37:E38"/>
    <mergeCell ref="F37:F38"/>
    <mergeCell ref="J35:J36"/>
    <mergeCell ref="K35:K36"/>
    <mergeCell ref="L35:L36"/>
    <mergeCell ref="M35:M36"/>
    <mergeCell ref="N35:N36"/>
    <mergeCell ref="O35:O36"/>
    <mergeCell ref="T37:T38"/>
    <mergeCell ref="M37:M38"/>
    <mergeCell ref="N37:N38"/>
    <mergeCell ref="O37:O38"/>
    <mergeCell ref="P37:P38"/>
    <mergeCell ref="Q37:Q38"/>
    <mergeCell ref="R37:S38"/>
    <mergeCell ref="G37:G38"/>
    <mergeCell ref="H37:H38"/>
    <mergeCell ref="I37:I38"/>
    <mergeCell ref="J37:J38"/>
    <mergeCell ref="K37:K38"/>
    <mergeCell ref="U33:U34"/>
    <mergeCell ref="V33:V34"/>
    <mergeCell ref="B35:B36"/>
    <mergeCell ref="C35:C36"/>
    <mergeCell ref="D35:D36"/>
    <mergeCell ref="E35:E36"/>
    <mergeCell ref="F35:F36"/>
    <mergeCell ref="G35:G36"/>
    <mergeCell ref="H35:H36"/>
    <mergeCell ref="I35:I36"/>
    <mergeCell ref="N33:N34"/>
    <mergeCell ref="O33:O34"/>
    <mergeCell ref="P33:P34"/>
    <mergeCell ref="Q33:Q34"/>
    <mergeCell ref="R33:S34"/>
    <mergeCell ref="T33:T34"/>
    <mergeCell ref="H33:H34"/>
    <mergeCell ref="I33:I34"/>
    <mergeCell ref="J33:J34"/>
    <mergeCell ref="K33:K34"/>
    <mergeCell ref="L33:L34"/>
    <mergeCell ref="M33:M34"/>
    <mergeCell ref="B33:B34"/>
    <mergeCell ref="C33:C34"/>
    <mergeCell ref="O53:O54"/>
    <mergeCell ref="Q53:Q54"/>
    <mergeCell ref="R53:S54"/>
    <mergeCell ref="T53:T54"/>
    <mergeCell ref="T51:T52"/>
    <mergeCell ref="H53:H54"/>
    <mergeCell ref="I53:I54"/>
    <mergeCell ref="K53:K54"/>
    <mergeCell ref="L53:L54"/>
    <mergeCell ref="M53:M54"/>
    <mergeCell ref="N53:N54"/>
    <mergeCell ref="B31:B32"/>
    <mergeCell ref="C31:C32"/>
    <mergeCell ref="D31:D32"/>
    <mergeCell ref="E31:E32"/>
    <mergeCell ref="F31:F32"/>
    <mergeCell ref="G31:G32"/>
    <mergeCell ref="O51:O52"/>
    <mergeCell ref="Q51:Q52"/>
    <mergeCell ref="R51:S52"/>
    <mergeCell ref="H31:H32"/>
    <mergeCell ref="I31:I32"/>
    <mergeCell ref="J31:J32"/>
    <mergeCell ref="K31:K32"/>
    <mergeCell ref="L31:L32"/>
    <mergeCell ref="M31:M32"/>
    <mergeCell ref="D33:D34"/>
    <mergeCell ref="E33:E34"/>
    <mergeCell ref="F33:F34"/>
    <mergeCell ref="G33:G34"/>
    <mergeCell ref="N31:N32"/>
    <mergeCell ref="O31:O32"/>
    <mergeCell ref="P31:P32"/>
    <mergeCell ref="Q31:Q32"/>
    <mergeCell ref="R31:S32"/>
    <mergeCell ref="J25:J26"/>
    <mergeCell ref="O29:O30"/>
    <mergeCell ref="Q29:Q30"/>
    <mergeCell ref="R29:S30"/>
    <mergeCell ref="T29:T30"/>
    <mergeCell ref="H51:H52"/>
    <mergeCell ref="I51:I52"/>
    <mergeCell ref="K51:K52"/>
    <mergeCell ref="L51:L52"/>
    <mergeCell ref="M51:M52"/>
    <mergeCell ref="N51:N52"/>
    <mergeCell ref="H29:H30"/>
    <mergeCell ref="I29:I30"/>
    <mergeCell ref="K29:K30"/>
    <mergeCell ref="L29:L30"/>
    <mergeCell ref="M29:M30"/>
    <mergeCell ref="N29:N30"/>
    <mergeCell ref="T31:T32"/>
    <mergeCell ref="P35:P36"/>
    <mergeCell ref="Q35:Q36"/>
    <mergeCell ref="R35:S36"/>
    <mergeCell ref="T35:T36"/>
    <mergeCell ref="L37:L38"/>
    <mergeCell ref="Q39:Q40"/>
    <mergeCell ref="K17:K18"/>
    <mergeCell ref="L17:L18"/>
    <mergeCell ref="M17:M18"/>
    <mergeCell ref="N17:N18"/>
    <mergeCell ref="J17:J18"/>
    <mergeCell ref="P17:P18"/>
    <mergeCell ref="H23:H24"/>
    <mergeCell ref="I23:I24"/>
    <mergeCell ref="K23:K24"/>
    <mergeCell ref="L23:L24"/>
    <mergeCell ref="M23:M24"/>
    <mergeCell ref="N23:N24"/>
    <mergeCell ref="J23:J24"/>
    <mergeCell ref="L19:L20"/>
    <mergeCell ref="M19:M20"/>
    <mergeCell ref="N19:N20"/>
    <mergeCell ref="J19:J20"/>
    <mergeCell ref="H21:H22"/>
    <mergeCell ref="I21:I22"/>
    <mergeCell ref="K21:K22"/>
    <mergeCell ref="L21:L22"/>
    <mergeCell ref="M21:M22"/>
    <mergeCell ref="N21:N22"/>
    <mergeCell ref="J21:J22"/>
    <mergeCell ref="T11:T12"/>
    <mergeCell ref="H13:H14"/>
    <mergeCell ref="I13:I14"/>
    <mergeCell ref="K13:K14"/>
    <mergeCell ref="L13:L14"/>
    <mergeCell ref="M13:M14"/>
    <mergeCell ref="N13:N14"/>
    <mergeCell ref="O13:O14"/>
    <mergeCell ref="Q13:Q14"/>
    <mergeCell ref="R13:S14"/>
    <mergeCell ref="T13:T14"/>
    <mergeCell ref="H15:H16"/>
    <mergeCell ref="I15:I16"/>
    <mergeCell ref="K15:K16"/>
    <mergeCell ref="L15:L16"/>
    <mergeCell ref="M15:M16"/>
    <mergeCell ref="N15:N16"/>
    <mergeCell ref="O15:O16"/>
    <mergeCell ref="Q15:Q16"/>
    <mergeCell ref="R15:S16"/>
    <mergeCell ref="T15:T16"/>
    <mergeCell ref="H17:H18"/>
    <mergeCell ref="I17:I18"/>
    <mergeCell ref="V35:V36"/>
    <mergeCell ref="V37:V38"/>
    <mergeCell ref="V39:V40"/>
    <mergeCell ref="C11:C12"/>
    <mergeCell ref="D11:D12"/>
    <mergeCell ref="C13:C14"/>
    <mergeCell ref="D13:D14"/>
    <mergeCell ref="C15:C16"/>
    <mergeCell ref="D15:D16"/>
    <mergeCell ref="U11:U12"/>
    <mergeCell ref="U13:U14"/>
    <mergeCell ref="U15:U16"/>
    <mergeCell ref="U29:U30"/>
    <mergeCell ref="U37:U38"/>
    <mergeCell ref="V13:V14"/>
    <mergeCell ref="V15:V16"/>
    <mergeCell ref="V29:V30"/>
    <mergeCell ref="U31:U32"/>
    <mergeCell ref="V31:V32"/>
    <mergeCell ref="E29:E30"/>
    <mergeCell ref="C21:C22"/>
    <mergeCell ref="D21:D22"/>
    <mergeCell ref="I11:I12"/>
    <mergeCell ref="K11:K12"/>
    <mergeCell ref="P13:P14"/>
    <mergeCell ref="P15:P16"/>
    <mergeCell ref="P29:P30"/>
    <mergeCell ref="P19:P20"/>
    <mergeCell ref="O19:O20"/>
    <mergeCell ref="P51:P52"/>
    <mergeCell ref="P53:P54"/>
    <mergeCell ref="P21:P22"/>
    <mergeCell ref="V7:V10"/>
    <mergeCell ref="Q7:U7"/>
    <mergeCell ref="U51:U52"/>
    <mergeCell ref="U53:U54"/>
    <mergeCell ref="R8:S10"/>
    <mergeCell ref="U19:U20"/>
    <mergeCell ref="V19:V20"/>
    <mergeCell ref="Q19:Q20"/>
    <mergeCell ref="R19:S20"/>
    <mergeCell ref="U27:U28"/>
    <mergeCell ref="V27:V28"/>
    <mergeCell ref="Q27:Q28"/>
    <mergeCell ref="R27:S28"/>
    <mergeCell ref="T27:T28"/>
    <mergeCell ref="V51:V52"/>
    <mergeCell ref="V53:V54"/>
    <mergeCell ref="V59:V60"/>
    <mergeCell ref="Q62:S62"/>
    <mergeCell ref="Q59:Q60"/>
    <mergeCell ref="R59:T60"/>
    <mergeCell ref="T64:V64"/>
    <mergeCell ref="Q63:S63"/>
    <mergeCell ref="T62:V62"/>
    <mergeCell ref="F51:F52"/>
    <mergeCell ref="C7:G7"/>
    <mergeCell ref="H7:L7"/>
    <mergeCell ref="Q11:Q12"/>
    <mergeCell ref="R11:S12"/>
    <mergeCell ref="V11:V12"/>
    <mergeCell ref="J13:J14"/>
    <mergeCell ref="J15:J16"/>
    <mergeCell ref="J29:J30"/>
    <mergeCell ref="F53:F54"/>
    <mergeCell ref="H64:J64"/>
    <mergeCell ref="E64:G64"/>
    <mergeCell ref="B61:V61"/>
    <mergeCell ref="B51:B52"/>
    <mergeCell ref="E13:E14"/>
    <mergeCell ref="E15:E16"/>
    <mergeCell ref="C51:C52"/>
    <mergeCell ref="B7:B10"/>
    <mergeCell ref="C8:C10"/>
    <mergeCell ref="F8:F10"/>
    <mergeCell ref="H8:H10"/>
    <mergeCell ref="H11:H12"/>
    <mergeCell ref="K8:K10"/>
    <mergeCell ref="O8:O10"/>
    <mergeCell ref="M7:P7"/>
    <mergeCell ref="E11:E12"/>
    <mergeCell ref="N11:N12"/>
    <mergeCell ref="O11:O12"/>
    <mergeCell ref="P11:P12"/>
    <mergeCell ref="M8:M10"/>
    <mergeCell ref="L11:L12"/>
    <mergeCell ref="M11:M12"/>
    <mergeCell ref="J11:J12"/>
    <mergeCell ref="F11:F12"/>
    <mergeCell ref="B62:D62"/>
    <mergeCell ref="K62:M62"/>
    <mergeCell ref="K63:M63"/>
    <mergeCell ref="H62:J62"/>
    <mergeCell ref="J51:J52"/>
    <mergeCell ref="J53:J54"/>
    <mergeCell ref="G51:G52"/>
    <mergeCell ref="G53:G54"/>
    <mergeCell ref="E51:E52"/>
    <mergeCell ref="E53:E54"/>
    <mergeCell ref="K59:K60"/>
    <mergeCell ref="M55:M56"/>
    <mergeCell ref="C55:C56"/>
    <mergeCell ref="D55:D56"/>
    <mergeCell ref="E55:E56"/>
    <mergeCell ref="F55:F56"/>
    <mergeCell ref="G55:G56"/>
    <mergeCell ref="J55:J56"/>
    <mergeCell ref="K55:K56"/>
    <mergeCell ref="L55:L56"/>
    <mergeCell ref="F13:F14"/>
    <mergeCell ref="F15:F16"/>
    <mergeCell ref="B11:B12"/>
    <mergeCell ref="G11:G12"/>
    <mergeCell ref="C29:C30"/>
    <mergeCell ref="D29:D30"/>
    <mergeCell ref="B13:B14"/>
    <mergeCell ref="B15:B16"/>
    <mergeCell ref="F29:F30"/>
    <mergeCell ref="G13:G14"/>
    <mergeCell ref="G15:G16"/>
    <mergeCell ref="G29:G30"/>
    <mergeCell ref="G21:G22"/>
    <mergeCell ref="T19:T20"/>
    <mergeCell ref="B21:B22"/>
    <mergeCell ref="B53:B54"/>
    <mergeCell ref="H63:J63"/>
    <mergeCell ref="D59:D60"/>
    <mergeCell ref="F59:F60"/>
    <mergeCell ref="E62:G62"/>
    <mergeCell ref="K64:M64"/>
    <mergeCell ref="B64:D64"/>
    <mergeCell ref="B63:D63"/>
    <mergeCell ref="E63:G63"/>
    <mergeCell ref="I59:I60"/>
    <mergeCell ref="G59:G60"/>
    <mergeCell ref="B29:B30"/>
    <mergeCell ref="N59:O60"/>
    <mergeCell ref="L59:L60"/>
    <mergeCell ref="D51:D52"/>
    <mergeCell ref="C53:C54"/>
    <mergeCell ref="D53:D54"/>
    <mergeCell ref="H19:H20"/>
    <mergeCell ref="I19:I20"/>
    <mergeCell ref="K19:K20"/>
    <mergeCell ref="E21:E22"/>
    <mergeCell ref="F21:F22"/>
    <mergeCell ref="R23:S24"/>
    <mergeCell ref="T23:T24"/>
    <mergeCell ref="T63:V63"/>
    <mergeCell ref="N62:P62"/>
    <mergeCell ref="N63:P63"/>
    <mergeCell ref="Q64:S64"/>
    <mergeCell ref="N64:P64"/>
    <mergeCell ref="B17:B18"/>
    <mergeCell ref="C17:C18"/>
    <mergeCell ref="D17:D18"/>
    <mergeCell ref="E17:E18"/>
    <mergeCell ref="F17:F18"/>
    <mergeCell ref="U17:U18"/>
    <mergeCell ref="V17:V18"/>
    <mergeCell ref="O17:O18"/>
    <mergeCell ref="Q17:Q18"/>
    <mergeCell ref="R17:S18"/>
    <mergeCell ref="T17:T18"/>
    <mergeCell ref="C19:C20"/>
    <mergeCell ref="D19:D20"/>
    <mergeCell ref="E19:E20"/>
    <mergeCell ref="F19:F20"/>
    <mergeCell ref="G19:G20"/>
    <mergeCell ref="G17:G18"/>
    <mergeCell ref="U25:U26"/>
    <mergeCell ref="V25:V26"/>
    <mergeCell ref="O25:O26"/>
    <mergeCell ref="Q25:Q26"/>
    <mergeCell ref="R25:S26"/>
    <mergeCell ref="T25:T26"/>
    <mergeCell ref="B19:B20"/>
    <mergeCell ref="U21:U22"/>
    <mergeCell ref="V21:V22"/>
    <mergeCell ref="O21:O22"/>
    <mergeCell ref="Q21:Q22"/>
    <mergeCell ref="R21:S22"/>
    <mergeCell ref="T21:T22"/>
    <mergeCell ref="B23:B24"/>
    <mergeCell ref="C23:C24"/>
    <mergeCell ref="D23:D24"/>
    <mergeCell ref="E23:E24"/>
    <mergeCell ref="F23:F24"/>
    <mergeCell ref="G23:G24"/>
    <mergeCell ref="P23:P24"/>
    <mergeCell ref="U23:U24"/>
    <mergeCell ref="V23:V24"/>
    <mergeCell ref="O23:O24"/>
    <mergeCell ref="Q23:Q24"/>
    <mergeCell ref="N55:N56"/>
    <mergeCell ref="O55:O56"/>
    <mergeCell ref="P55:P56"/>
    <mergeCell ref="B25:B26"/>
    <mergeCell ref="C25:C26"/>
    <mergeCell ref="D25:D26"/>
    <mergeCell ref="E25:E26"/>
    <mergeCell ref="F25:F26"/>
    <mergeCell ref="G25:G26"/>
    <mergeCell ref="P25:P26"/>
    <mergeCell ref="H27:H28"/>
    <mergeCell ref="I27:I28"/>
    <mergeCell ref="K27:K28"/>
    <mergeCell ref="L27:L28"/>
    <mergeCell ref="M27:M28"/>
    <mergeCell ref="N27:N28"/>
    <mergeCell ref="J27:J28"/>
    <mergeCell ref="H25:H26"/>
    <mergeCell ref="I25:I26"/>
    <mergeCell ref="K25:K26"/>
    <mergeCell ref="L25:L26"/>
    <mergeCell ref="M25:M26"/>
    <mergeCell ref="N25:N26"/>
    <mergeCell ref="B55:B56"/>
    <mergeCell ref="AB19:AD20"/>
    <mergeCell ref="Q55:Q56"/>
    <mergeCell ref="R55:S56"/>
    <mergeCell ref="T55:T56"/>
    <mergeCell ref="U55:U56"/>
    <mergeCell ref="V55:V56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U57:U58"/>
    <mergeCell ref="V57:V58"/>
    <mergeCell ref="N57:N58"/>
    <mergeCell ref="O57:O58"/>
    <mergeCell ref="P57:P58"/>
    <mergeCell ref="Q57:Q58"/>
    <mergeCell ref="Y19:AA20"/>
    <mergeCell ref="Y21:AA22"/>
    <mergeCell ref="Y23:AA24"/>
    <mergeCell ref="Y25:AA26"/>
    <mergeCell ref="Y27:AA28"/>
    <mergeCell ref="Y29:AA30"/>
    <mergeCell ref="Y31:AA32"/>
    <mergeCell ref="Y33:AA34"/>
    <mergeCell ref="Y35:AA36"/>
    <mergeCell ref="Y7:AD8"/>
    <mergeCell ref="Y9:AA10"/>
    <mergeCell ref="AB9:AD10"/>
    <mergeCell ref="Y11:AA12"/>
    <mergeCell ref="AB11:AD12"/>
    <mergeCell ref="Y13:AA14"/>
    <mergeCell ref="AB13:AD14"/>
    <mergeCell ref="Y15:AA16"/>
    <mergeCell ref="Y17:AA18"/>
    <mergeCell ref="AB15:AD16"/>
    <mergeCell ref="AB17:AD18"/>
    <mergeCell ref="AB21:AD22"/>
    <mergeCell ref="AB23:AD24"/>
    <mergeCell ref="AB25:AD26"/>
    <mergeCell ref="AB27:AD28"/>
    <mergeCell ref="AB29:AD30"/>
    <mergeCell ref="AB31:AD32"/>
    <mergeCell ref="AB33:AD34"/>
    <mergeCell ref="B66:V67"/>
    <mergeCell ref="Y39:AD61"/>
    <mergeCell ref="Y63:AC72"/>
    <mergeCell ref="AD63:AD72"/>
    <mergeCell ref="T57:T58"/>
    <mergeCell ref="AB35:AD36"/>
    <mergeCell ref="R57:S58"/>
    <mergeCell ref="B27:B28"/>
    <mergeCell ref="C27:C28"/>
    <mergeCell ref="D27:D28"/>
    <mergeCell ref="E27:E28"/>
    <mergeCell ref="F27:F28"/>
    <mergeCell ref="G27:G28"/>
    <mergeCell ref="H55:H56"/>
    <mergeCell ref="I55:I56"/>
    <mergeCell ref="P27:P28"/>
    <mergeCell ref="O27:O28"/>
    <mergeCell ref="B70:D71"/>
    <mergeCell ref="E70:F71"/>
    <mergeCell ref="G70:I71"/>
    <mergeCell ref="J70:L71"/>
    <mergeCell ref="M70:V71"/>
    <mergeCell ref="M72:V72"/>
    <mergeCell ref="J72:L72"/>
    <mergeCell ref="G72:I72"/>
    <mergeCell ref="E72:F72"/>
    <mergeCell ref="B72:D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C95D-0147-4DDF-A216-F839698BFCE3}">
  <dimension ref="A1:AX60"/>
  <sheetViews>
    <sheetView topLeftCell="A16" zoomScale="55" zoomScaleNormal="55" workbookViewId="0">
      <selection activeCell="N34" sqref="N34:O35"/>
    </sheetView>
  </sheetViews>
  <sheetFormatPr defaultRowHeight="14.4" x14ac:dyDescent="0.3"/>
  <cols>
    <col min="3" max="3" width="12.44140625" customWidth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/>
      <c r="B2" s="737" t="s">
        <v>206</v>
      </c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1"/>
      <c r="AS2" s="1"/>
      <c r="AT2" s="1"/>
      <c r="AU2" s="1"/>
      <c r="AV2" s="1"/>
      <c r="AW2" s="1"/>
      <c r="AX2" s="1"/>
    </row>
    <row r="3" spans="1:50" x14ac:dyDescent="0.3">
      <c r="A3" s="1"/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1"/>
      <c r="AS3" s="1"/>
      <c r="AT3" s="1"/>
      <c r="AU3" s="1"/>
      <c r="AV3" s="1"/>
      <c r="AW3" s="1"/>
      <c r="AX3" s="1"/>
    </row>
    <row r="4" spans="1:50" x14ac:dyDescent="0.3">
      <c r="A4" s="1"/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  <c r="AR4" s="1"/>
      <c r="AS4" s="1"/>
      <c r="AT4" s="1"/>
      <c r="AU4" s="1"/>
      <c r="AV4" s="1"/>
      <c r="AW4" s="1"/>
      <c r="AX4" s="1"/>
    </row>
    <row r="5" spans="1:50" ht="4.8" customHeight="1" x14ac:dyDescent="0.3">
      <c r="A5" s="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1"/>
      <c r="AS5" s="1"/>
      <c r="AT5" s="1"/>
      <c r="AU5" s="1"/>
      <c r="AV5" s="1"/>
    </row>
    <row r="6" spans="1:50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743" t="s">
        <v>124</v>
      </c>
      <c r="M7" s="744"/>
      <c r="N7" s="744"/>
      <c r="O7" s="744"/>
      <c r="P7" s="744"/>
      <c r="Q7" s="744"/>
      <c r="R7" s="744"/>
      <c r="S7" s="744"/>
      <c r="T7" s="744"/>
      <c r="U7" s="745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746"/>
      <c r="M8" s="747"/>
      <c r="N8" s="747"/>
      <c r="O8" s="747"/>
      <c r="P8" s="747"/>
      <c r="Q8" s="747"/>
      <c r="R8" s="747"/>
      <c r="S8" s="747"/>
      <c r="T8" s="747"/>
      <c r="U8" s="74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739" t="s">
        <v>125</v>
      </c>
      <c r="M9" s="740"/>
      <c r="N9" s="751">
        <v>691</v>
      </c>
      <c r="O9" s="751"/>
      <c r="P9" s="753" t="s">
        <v>127</v>
      </c>
      <c r="Q9" s="749" t="s">
        <v>126</v>
      </c>
      <c r="R9" s="749"/>
      <c r="S9" s="755">
        <v>207</v>
      </c>
      <c r="T9" s="755"/>
      <c r="U9" s="757" t="s">
        <v>127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741"/>
      <c r="M10" s="742"/>
      <c r="N10" s="752"/>
      <c r="O10" s="752"/>
      <c r="P10" s="754"/>
      <c r="Q10" s="750"/>
      <c r="R10" s="750"/>
      <c r="S10" s="756"/>
      <c r="T10" s="756"/>
      <c r="U10" s="758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6.2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22" t="s">
        <v>130</v>
      </c>
      <c r="M12" s="723"/>
      <c r="N12" s="723"/>
      <c r="O12" s="723"/>
      <c r="P12" s="723"/>
      <c r="Q12" s="723"/>
      <c r="R12" s="723"/>
      <c r="S12" s="723"/>
      <c r="T12" s="723"/>
      <c r="U12" s="724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725"/>
      <c r="M13" s="726"/>
      <c r="N13" s="726"/>
      <c r="O13" s="726"/>
      <c r="P13" s="726"/>
      <c r="Q13" s="726"/>
      <c r="R13" s="726"/>
      <c r="S13" s="726"/>
      <c r="T13" s="726"/>
      <c r="U13" s="72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707" t="s">
        <v>132</v>
      </c>
      <c r="M14" s="708"/>
      <c r="N14" s="734">
        <v>207</v>
      </c>
      <c r="O14" s="734"/>
      <c r="P14" s="703" t="s">
        <v>127</v>
      </c>
      <c r="Q14" s="731" t="s">
        <v>161</v>
      </c>
      <c r="R14" s="731"/>
      <c r="S14" s="701">
        <v>1</v>
      </c>
      <c r="T14" s="701"/>
      <c r="U14" s="728" t="s">
        <v>134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4.4" customHeight="1" x14ac:dyDescent="0.3">
      <c r="A15" s="1"/>
      <c r="B15" s="1"/>
      <c r="C15" s="1"/>
      <c r="D15" s="738" t="s">
        <v>128</v>
      </c>
      <c r="E15" s="738"/>
      <c r="F15" s="1"/>
      <c r="G15" s="1"/>
      <c r="H15" s="1"/>
      <c r="I15" s="738" t="s">
        <v>129</v>
      </c>
      <c r="J15" s="738"/>
      <c r="K15" s="1"/>
      <c r="L15" s="707"/>
      <c r="M15" s="708"/>
      <c r="N15" s="734"/>
      <c r="O15" s="734"/>
      <c r="P15" s="703"/>
      <c r="Q15" s="731"/>
      <c r="R15" s="731"/>
      <c r="S15" s="701"/>
      <c r="T15" s="701"/>
      <c r="U15" s="72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4.4" customHeight="1" x14ac:dyDescent="0.3">
      <c r="A16" s="1"/>
      <c r="B16" s="1"/>
      <c r="C16" s="1"/>
      <c r="D16" s="738"/>
      <c r="E16" s="738"/>
      <c r="F16" s="1"/>
      <c r="G16" s="1"/>
      <c r="H16" s="1"/>
      <c r="I16" s="738"/>
      <c r="J16" s="738"/>
      <c r="K16" s="1"/>
      <c r="L16" s="705" t="s">
        <v>131</v>
      </c>
      <c r="M16" s="706"/>
      <c r="N16" s="735">
        <v>15000</v>
      </c>
      <c r="O16" s="735"/>
      <c r="P16" s="663" t="s">
        <v>117</v>
      </c>
      <c r="Q16" s="732" t="s">
        <v>135</v>
      </c>
      <c r="R16" s="732"/>
      <c r="S16" s="730">
        <v>1</v>
      </c>
      <c r="T16" s="730"/>
      <c r="U16" s="72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4.4" customHeight="1" x14ac:dyDescent="0.3">
      <c r="A17" s="1"/>
      <c r="B17" s="1"/>
      <c r="C17" s="1"/>
      <c r="D17" s="721">
        <v>1</v>
      </c>
      <c r="E17" s="721"/>
      <c r="F17" s="1"/>
      <c r="G17" s="1"/>
      <c r="H17" s="1"/>
      <c r="I17" s="721">
        <v>2</v>
      </c>
      <c r="J17" s="721"/>
      <c r="K17" s="1"/>
      <c r="L17" s="705"/>
      <c r="M17" s="706"/>
      <c r="N17" s="735"/>
      <c r="O17" s="735"/>
      <c r="P17" s="663"/>
      <c r="Q17" s="732"/>
      <c r="R17" s="732"/>
      <c r="S17" s="730"/>
      <c r="T17" s="730"/>
      <c r="U17" s="72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707" t="s">
        <v>133</v>
      </c>
      <c r="M18" s="708"/>
      <c r="N18" s="734">
        <v>400</v>
      </c>
      <c r="O18" s="734"/>
      <c r="P18" s="703" t="s">
        <v>117</v>
      </c>
      <c r="Q18" s="731" t="s">
        <v>136</v>
      </c>
      <c r="R18" s="731"/>
      <c r="S18" s="701">
        <v>1</v>
      </c>
      <c r="T18" s="701"/>
      <c r="U18" s="72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" customHeight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709"/>
      <c r="M19" s="710"/>
      <c r="N19" s="736"/>
      <c r="O19" s="736"/>
      <c r="P19" s="704"/>
      <c r="Q19" s="733"/>
      <c r="R19" s="733"/>
      <c r="S19" s="702"/>
      <c r="T19" s="702"/>
      <c r="U19" s="729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4.4" customHeight="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695" t="s">
        <v>137</v>
      </c>
      <c r="M21" s="696"/>
      <c r="N21" s="696"/>
      <c r="O21" s="696"/>
      <c r="P21" s="696"/>
      <c r="Q21" s="696"/>
      <c r="R21" s="696"/>
      <c r="S21" s="696"/>
      <c r="T21" s="696"/>
      <c r="U21" s="69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698"/>
      <c r="M22" s="699"/>
      <c r="N22" s="699"/>
      <c r="O22" s="699"/>
      <c r="P22" s="699"/>
      <c r="Q22" s="699"/>
      <c r="R22" s="699"/>
      <c r="S22" s="699"/>
      <c r="T22" s="699"/>
      <c r="U22" s="700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711" t="s">
        <v>138</v>
      </c>
      <c r="M23" s="712"/>
      <c r="N23" s="717">
        <v>630</v>
      </c>
      <c r="O23" s="717"/>
      <c r="P23" s="715" t="s">
        <v>17</v>
      </c>
      <c r="Q23" s="675" t="s">
        <v>139</v>
      </c>
      <c r="R23" s="675"/>
      <c r="S23" s="719">
        <v>4</v>
      </c>
      <c r="T23" s="719"/>
      <c r="U23" s="693" t="s">
        <v>140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713"/>
      <c r="M24" s="714"/>
      <c r="N24" s="718"/>
      <c r="O24" s="718"/>
      <c r="P24" s="716"/>
      <c r="Q24" s="677"/>
      <c r="R24" s="677"/>
      <c r="S24" s="720"/>
      <c r="T24" s="720"/>
      <c r="U24" s="694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4.4" customHeight="1" x14ac:dyDescent="0.3">
      <c r="A27" s="1"/>
      <c r="B27" s="680" t="s">
        <v>141</v>
      </c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0"/>
      <c r="P27" s="680"/>
      <c r="Q27" s="680"/>
      <c r="R27" s="680"/>
      <c r="S27" s="680"/>
      <c r="T27" s="680"/>
      <c r="U27" s="680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4.4" customHeight="1" x14ac:dyDescent="0.3">
      <c r="A28" s="1"/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3" customHeight="1" x14ac:dyDescent="0.3">
      <c r="A29" s="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4.4" customHeight="1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4.4" customHeight="1" x14ac:dyDescent="0.3">
      <c r="A31" s="1"/>
      <c r="B31" s="687" t="s">
        <v>197</v>
      </c>
      <c r="C31" s="662"/>
      <c r="D31" s="662">
        <v>207</v>
      </c>
      <c r="E31" s="662"/>
      <c r="F31" s="689" t="s">
        <v>127</v>
      </c>
      <c r="G31" s="687" t="s">
        <v>162</v>
      </c>
      <c r="H31" s="662"/>
      <c r="I31" s="662">
        <v>0</v>
      </c>
      <c r="J31" s="689"/>
      <c r="K31" s="1"/>
      <c r="L31" s="681" t="s">
        <v>198</v>
      </c>
      <c r="M31" s="682"/>
      <c r="N31" s="682"/>
      <c r="O31" s="682"/>
      <c r="P31" s="68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4.4" customHeight="1" thickBot="1" x14ac:dyDescent="0.35">
      <c r="A32" s="1"/>
      <c r="B32" s="688"/>
      <c r="C32" s="664"/>
      <c r="D32" s="664"/>
      <c r="E32" s="664"/>
      <c r="F32" s="690"/>
      <c r="G32" s="688"/>
      <c r="H32" s="664"/>
      <c r="I32" s="664"/>
      <c r="J32" s="690"/>
      <c r="K32" s="1"/>
      <c r="L32" s="684"/>
      <c r="M32" s="685"/>
      <c r="N32" s="685"/>
      <c r="O32" s="685"/>
      <c r="P32" s="686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" thickBot="1" x14ac:dyDescent="0.35">
      <c r="A33" s="1"/>
      <c r="B33" s="5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671" t="s">
        <v>199</v>
      </c>
      <c r="C34" s="671"/>
      <c r="D34" s="671"/>
      <c r="E34" s="671"/>
      <c r="F34" s="671"/>
      <c r="G34" s="671" t="s">
        <v>200</v>
      </c>
      <c r="H34" s="671"/>
      <c r="I34" s="671"/>
      <c r="J34" s="671"/>
      <c r="K34" s="1"/>
      <c r="L34" s="681" t="s">
        <v>202</v>
      </c>
      <c r="M34" s="691"/>
      <c r="N34" s="691">
        <v>0.04</v>
      </c>
      <c r="O34" s="691"/>
      <c r="P34" s="692" t="s">
        <v>134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671"/>
      <c r="C35" s="671"/>
      <c r="D35" s="671"/>
      <c r="E35" s="671"/>
      <c r="F35" s="671"/>
      <c r="G35" s="671"/>
      <c r="H35" s="671"/>
      <c r="I35" s="671"/>
      <c r="J35" s="671"/>
      <c r="K35" s="11"/>
      <c r="L35" s="674"/>
      <c r="M35" s="675"/>
      <c r="N35" s="675"/>
      <c r="O35" s="675"/>
      <c r="P35" s="678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1"/>
      <c r="H36" s="11"/>
      <c r="I36" s="11"/>
      <c r="J36" s="11"/>
      <c r="K36" s="11"/>
      <c r="L36" s="674" t="s">
        <v>201</v>
      </c>
      <c r="M36" s="675"/>
      <c r="N36" s="675">
        <f>N34*((D31*1000000)/(N23*1000))</f>
        <v>13.142857142857142</v>
      </c>
      <c r="O36" s="675"/>
      <c r="P36" s="678" t="s">
        <v>134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676"/>
      <c r="M37" s="677"/>
      <c r="N37" s="677"/>
      <c r="O37" s="677"/>
      <c r="P37" s="679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0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656" t="s">
        <v>207</v>
      </c>
      <c r="F39" s="657"/>
      <c r="G39" s="668">
        <f>(N23*1000)/(N16*(3^(1/2)))</f>
        <v>24.248711305964285</v>
      </c>
      <c r="H39" s="668"/>
      <c r="I39" s="665" t="s">
        <v>118</v>
      </c>
      <c r="J39" s="1"/>
      <c r="K39" s="1"/>
      <c r="L39" s="1"/>
      <c r="M39" s="1"/>
      <c r="N39" s="1"/>
      <c r="O39" s="1"/>
      <c r="P39" s="1"/>
      <c r="Q39" s="1"/>
      <c r="R39" s="10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658"/>
      <c r="F40" s="659"/>
      <c r="G40" s="669"/>
      <c r="H40" s="669"/>
      <c r="I40" s="666"/>
      <c r="J40" s="1"/>
      <c r="K40" s="1"/>
      <c r="L40" s="1"/>
      <c r="M40" s="1"/>
      <c r="N40" s="1"/>
      <c r="O40" s="1"/>
      <c r="P40" s="1"/>
      <c r="Q40" s="1"/>
      <c r="R40" s="10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" thickBot="1" x14ac:dyDescent="0.35">
      <c r="A41" s="1"/>
      <c r="B41" s="1"/>
      <c r="C41" s="1"/>
      <c r="D41" s="1"/>
      <c r="E41" s="660"/>
      <c r="F41" s="661"/>
      <c r="G41" s="670"/>
      <c r="H41" s="670"/>
      <c r="I41" s="667"/>
      <c r="J41" s="1"/>
      <c r="K41" s="1"/>
      <c r="L41" s="1"/>
      <c r="M41" s="1"/>
      <c r="N41" s="1"/>
      <c r="O41" s="1"/>
      <c r="P41" s="1"/>
      <c r="Q41" s="1"/>
      <c r="R41" s="10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0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673" t="s">
        <v>165</v>
      </c>
      <c r="C43" s="673"/>
      <c r="D43" s="673"/>
      <c r="E43" s="673"/>
      <c r="F43" s="673"/>
      <c r="G43" s="673"/>
      <c r="H43" s="673"/>
      <c r="I43" s="673"/>
      <c r="J43" s="673"/>
      <c r="K43" s="673"/>
      <c r="L43" s="673"/>
      <c r="M43" s="673"/>
      <c r="N43" s="673"/>
      <c r="O43" s="673"/>
      <c r="P43" s="673"/>
      <c r="Q43" s="673"/>
      <c r="R43" s="673"/>
      <c r="S43" s="673"/>
      <c r="T43" s="673"/>
      <c r="U43" s="673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673"/>
      <c r="C44" s="673"/>
      <c r="D44" s="673"/>
      <c r="E44" s="673"/>
      <c r="F44" s="673"/>
      <c r="G44" s="673"/>
      <c r="H44" s="673"/>
      <c r="I44" s="673"/>
      <c r="J44" s="673"/>
      <c r="K44" s="673"/>
      <c r="L44" s="673"/>
      <c r="M44" s="673"/>
      <c r="N44" s="673"/>
      <c r="O44" s="673"/>
      <c r="P44" s="673"/>
      <c r="Q44" s="673"/>
      <c r="R44" s="673"/>
      <c r="S44" s="673"/>
      <c r="T44" s="673"/>
      <c r="U44" s="673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3" customHeight="1" x14ac:dyDescent="0.3">
      <c r="A45" s="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671" t="s">
        <v>203</v>
      </c>
      <c r="C47" s="671"/>
      <c r="D47" s="672">
        <v>7.0209999999999995E-2</v>
      </c>
      <c r="E47" s="672"/>
      <c r="F47" s="671" t="s">
        <v>134</v>
      </c>
      <c r="G47" s="1"/>
      <c r="H47" s="671" t="s">
        <v>205</v>
      </c>
      <c r="I47" s="671"/>
      <c r="J47" s="672">
        <f>D47*((N14*1000000)/(3^(1/2)*N18))</f>
        <v>20977.257041898374</v>
      </c>
      <c r="K47" s="672"/>
      <c r="L47" s="671" t="s">
        <v>118</v>
      </c>
      <c r="M47" s="671" t="s">
        <v>163</v>
      </c>
      <c r="N47" s="671"/>
      <c r="O47" s="671"/>
      <c r="P47" s="67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671"/>
      <c r="C48" s="671"/>
      <c r="D48" s="672"/>
      <c r="E48" s="672"/>
      <c r="F48" s="671"/>
      <c r="G48" s="1"/>
      <c r="H48" s="671"/>
      <c r="I48" s="671"/>
      <c r="J48" s="672"/>
      <c r="K48" s="672"/>
      <c r="L48" s="671"/>
      <c r="M48" s="671"/>
      <c r="N48" s="671"/>
      <c r="O48" s="671"/>
      <c r="P48" s="67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671" t="s">
        <v>203</v>
      </c>
      <c r="C50" s="671"/>
      <c r="D50" s="672">
        <v>7.6087000000000002E-2</v>
      </c>
      <c r="E50" s="672"/>
      <c r="F50" s="671" t="s">
        <v>134</v>
      </c>
      <c r="G50" s="1"/>
      <c r="H50" s="671" t="s">
        <v>204</v>
      </c>
      <c r="I50" s="671"/>
      <c r="J50" s="672">
        <f>D50*((N14*1000000)/(3^(1/2)*N18))</f>
        <v>22733.179839722572</v>
      </c>
      <c r="K50" s="672"/>
      <c r="L50" s="671" t="s">
        <v>118</v>
      </c>
      <c r="M50" s="671" t="s">
        <v>164</v>
      </c>
      <c r="N50" s="671"/>
      <c r="O50" s="671"/>
      <c r="P50" s="67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">
      <c r="A51" s="1"/>
      <c r="B51" s="671"/>
      <c r="C51" s="671"/>
      <c r="D51" s="672"/>
      <c r="E51" s="672"/>
      <c r="F51" s="671"/>
      <c r="G51" s="1"/>
      <c r="H51" s="671"/>
      <c r="I51" s="671"/>
      <c r="J51" s="672"/>
      <c r="K51" s="672"/>
      <c r="L51" s="671"/>
      <c r="M51" s="671"/>
      <c r="N51" s="671"/>
      <c r="O51" s="671"/>
      <c r="P51" s="67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4.4" customHeight="1" x14ac:dyDescent="0.3">
      <c r="A54" s="1"/>
      <c r="B54" s="1"/>
      <c r="C54" s="1"/>
      <c r="D54" s="1"/>
      <c r="E54" s="1"/>
      <c r="F54" s="656" t="s">
        <v>208</v>
      </c>
      <c r="G54" s="657"/>
      <c r="H54" s="657"/>
      <c r="I54" s="662">
        <f>(N23*1000)/(N18*(3^(1/2)))</f>
        <v>909.3266739736606</v>
      </c>
      <c r="J54" s="662"/>
      <c r="K54" s="662"/>
      <c r="L54" s="665" t="s">
        <v>118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4.4" customHeight="1" x14ac:dyDescent="0.3">
      <c r="A55" s="1"/>
      <c r="B55" s="1"/>
      <c r="C55" s="1"/>
      <c r="D55" s="1"/>
      <c r="E55" s="1"/>
      <c r="F55" s="658"/>
      <c r="G55" s="659"/>
      <c r="H55" s="659"/>
      <c r="I55" s="663"/>
      <c r="J55" s="663"/>
      <c r="K55" s="663"/>
      <c r="L55" s="66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" customHeight="1" thickBot="1" x14ac:dyDescent="0.35">
      <c r="A56" s="1"/>
      <c r="B56" s="1"/>
      <c r="C56" s="1"/>
      <c r="D56" s="1"/>
      <c r="E56" s="1"/>
      <c r="F56" s="660"/>
      <c r="G56" s="661"/>
      <c r="H56" s="661"/>
      <c r="I56" s="664"/>
      <c r="J56" s="664"/>
      <c r="K56" s="664"/>
      <c r="L56" s="66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W59" s="1"/>
      <c r="AX59" s="1"/>
    </row>
    <row r="60" spans="1:5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</sheetData>
  <mergeCells count="72">
    <mergeCell ref="B2:AQ4"/>
    <mergeCell ref="I15:J16"/>
    <mergeCell ref="D15:E16"/>
    <mergeCell ref="L9:M10"/>
    <mergeCell ref="L7:U8"/>
    <mergeCell ref="Q9:R10"/>
    <mergeCell ref="N9:O10"/>
    <mergeCell ref="P9:P10"/>
    <mergeCell ref="S9:T10"/>
    <mergeCell ref="U9:U10"/>
    <mergeCell ref="D17:E17"/>
    <mergeCell ref="I17:J17"/>
    <mergeCell ref="L12:U13"/>
    <mergeCell ref="L14:M15"/>
    <mergeCell ref="U14:U19"/>
    <mergeCell ref="S14:T15"/>
    <mergeCell ref="S16:T17"/>
    <mergeCell ref="P14:P15"/>
    <mergeCell ref="Q14:R15"/>
    <mergeCell ref="Q16:R17"/>
    <mergeCell ref="Q18:R19"/>
    <mergeCell ref="N14:O15"/>
    <mergeCell ref="N16:O17"/>
    <mergeCell ref="N18:O19"/>
    <mergeCell ref="U23:U24"/>
    <mergeCell ref="L21:U22"/>
    <mergeCell ref="S18:T19"/>
    <mergeCell ref="P18:P19"/>
    <mergeCell ref="P16:P17"/>
    <mergeCell ref="L16:M17"/>
    <mergeCell ref="L18:M19"/>
    <mergeCell ref="L23:M24"/>
    <mergeCell ref="P23:P24"/>
    <mergeCell ref="N23:O24"/>
    <mergeCell ref="Q23:R24"/>
    <mergeCell ref="S23:T24"/>
    <mergeCell ref="L36:M37"/>
    <mergeCell ref="N36:O37"/>
    <mergeCell ref="P36:P37"/>
    <mergeCell ref="B27:U28"/>
    <mergeCell ref="L31:P32"/>
    <mergeCell ref="B31:C32"/>
    <mergeCell ref="D31:E32"/>
    <mergeCell ref="G31:H32"/>
    <mergeCell ref="I31:J32"/>
    <mergeCell ref="F31:F32"/>
    <mergeCell ref="B34:F35"/>
    <mergeCell ref="G34:J35"/>
    <mergeCell ref="L34:M35"/>
    <mergeCell ref="N34:O35"/>
    <mergeCell ref="P34:P35"/>
    <mergeCell ref="M50:P51"/>
    <mergeCell ref="B50:C51"/>
    <mergeCell ref="F50:F51"/>
    <mergeCell ref="B43:U44"/>
    <mergeCell ref="B47:C48"/>
    <mergeCell ref="D47:E48"/>
    <mergeCell ref="F47:F48"/>
    <mergeCell ref="H47:I48"/>
    <mergeCell ref="J47:K48"/>
    <mergeCell ref="L47:L48"/>
    <mergeCell ref="M47:P48"/>
    <mergeCell ref="F54:H56"/>
    <mergeCell ref="I54:K56"/>
    <mergeCell ref="L54:L56"/>
    <mergeCell ref="E39:F41"/>
    <mergeCell ref="G39:H41"/>
    <mergeCell ref="I39:I41"/>
    <mergeCell ref="H50:I51"/>
    <mergeCell ref="J50:K51"/>
    <mergeCell ref="L50:L51"/>
    <mergeCell ref="D50:E5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2470-1B29-478D-8CAE-98EFBF76BA95}">
  <dimension ref="A1:BV257"/>
  <sheetViews>
    <sheetView topLeftCell="A166" zoomScale="55" zoomScaleNormal="55" workbookViewId="0">
      <selection activeCell="R53" sqref="R53:V54"/>
    </sheetView>
  </sheetViews>
  <sheetFormatPr defaultRowHeight="14.4" x14ac:dyDescent="0.3"/>
  <cols>
    <col min="4" max="4" width="13.44140625" customWidth="1"/>
    <col min="7" max="7" width="13.77734375" customWidth="1"/>
    <col min="9" max="9" width="13.6640625" customWidth="1"/>
    <col min="12" max="12" width="14.21875" customWidth="1"/>
    <col min="14" max="14" width="13.77734375" customWidth="1"/>
    <col min="16" max="16" width="13.77734375" customWidth="1"/>
    <col min="17" max="17" width="8.88671875" customWidth="1"/>
    <col min="18" max="18" width="13.6640625" customWidth="1"/>
    <col min="23" max="23" width="17.77734375" customWidth="1"/>
    <col min="25" max="25" width="13.5546875" customWidth="1"/>
  </cols>
  <sheetData>
    <row r="1" spans="1:7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4.4" customHeight="1" x14ac:dyDescent="0.3">
      <c r="A2" s="1"/>
      <c r="B2" s="737" t="s">
        <v>142</v>
      </c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14.4" customHeight="1" x14ac:dyDescent="0.3">
      <c r="A3" s="1"/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ht="14.4" customHeight="1" x14ac:dyDescent="0.3">
      <c r="A4" s="1"/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3.6" customHeight="1" x14ac:dyDescent="0.3">
      <c r="A5" s="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ht="14.4" customHeight="1" x14ac:dyDescent="0.3">
      <c r="A7" s="1"/>
      <c r="B7" s="826" t="s">
        <v>157</v>
      </c>
      <c r="C7" s="827"/>
      <c r="D7" s="827"/>
      <c r="E7" s="827"/>
      <c r="F7" s="827"/>
      <c r="G7" s="827"/>
      <c r="H7" s="827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71"/>
      <c r="X7" s="71"/>
      <c r="Y7" s="71"/>
      <c r="Z7" s="71"/>
      <c r="AA7" s="71"/>
      <c r="AB7" s="71"/>
      <c r="AC7" s="71"/>
      <c r="AD7" s="72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4.4" customHeight="1" x14ac:dyDescent="0.3">
      <c r="A8" s="1"/>
      <c r="B8" s="828"/>
      <c r="C8" s="829"/>
      <c r="D8" s="829"/>
      <c r="E8" s="829"/>
      <c r="F8" s="829"/>
      <c r="G8" s="829"/>
      <c r="H8" s="829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40"/>
      <c r="Y8" s="40"/>
      <c r="Z8" s="40"/>
      <c r="AA8" s="40"/>
      <c r="AB8" s="40"/>
      <c r="AC8" s="40"/>
      <c r="AD8" s="7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4.4" customHeight="1" x14ac:dyDescent="0.3">
      <c r="A9" s="1"/>
      <c r="B9" s="73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40"/>
      <c r="Y9" s="761" t="s">
        <v>119</v>
      </c>
      <c r="Z9" s="761"/>
      <c r="AA9" s="761"/>
      <c r="AB9" s="761"/>
      <c r="AC9" s="761"/>
      <c r="AD9" s="76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ht="14.4" customHeight="1" x14ac:dyDescent="0.3">
      <c r="A10" s="1"/>
      <c r="B10" s="7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40"/>
      <c r="Y10" s="761"/>
      <c r="Z10" s="761"/>
      <c r="AA10" s="761"/>
      <c r="AB10" s="761"/>
      <c r="AC10" s="761"/>
      <c r="AD10" s="76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ht="14.4" customHeight="1" thickBot="1" x14ac:dyDescent="0.35">
      <c r="A11" s="1"/>
      <c r="B11" s="73"/>
      <c r="C11" s="615" t="s">
        <v>50</v>
      </c>
      <c r="D11" s="624" t="s">
        <v>15</v>
      </c>
      <c r="E11" s="625"/>
      <c r="F11" s="625"/>
      <c r="G11" s="625"/>
      <c r="H11" s="626"/>
      <c r="I11" s="624" t="s">
        <v>51</v>
      </c>
      <c r="J11" s="625"/>
      <c r="K11" s="625"/>
      <c r="L11" s="625"/>
      <c r="M11" s="626"/>
      <c r="N11" s="624" t="s">
        <v>23</v>
      </c>
      <c r="O11" s="625"/>
      <c r="P11" s="625"/>
      <c r="Q11" s="626"/>
      <c r="R11" s="624" t="s">
        <v>52</v>
      </c>
      <c r="S11" s="625"/>
      <c r="T11" s="625"/>
      <c r="U11" s="625"/>
      <c r="V11" s="626"/>
      <c r="W11" s="649" t="s">
        <v>87</v>
      </c>
      <c r="X11" s="40"/>
      <c r="Y11" s="40"/>
      <c r="Z11" s="40"/>
      <c r="AA11" s="40"/>
      <c r="AB11" s="40"/>
      <c r="AC11" s="40"/>
      <c r="AD11" s="7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ht="14.4" customHeight="1" x14ac:dyDescent="0.3">
      <c r="A12" s="1"/>
      <c r="B12" s="73"/>
      <c r="C12" s="830"/>
      <c r="D12" s="817" t="s">
        <v>53</v>
      </c>
      <c r="E12" s="51" t="s">
        <v>54</v>
      </c>
      <c r="F12" s="52" t="s">
        <v>55</v>
      </c>
      <c r="G12" s="619" t="s">
        <v>56</v>
      </c>
      <c r="H12" s="54" t="s">
        <v>55</v>
      </c>
      <c r="I12" s="817" t="s">
        <v>53</v>
      </c>
      <c r="J12" s="51" t="s">
        <v>54</v>
      </c>
      <c r="K12" s="52" t="s">
        <v>55</v>
      </c>
      <c r="L12" s="621" t="s">
        <v>56</v>
      </c>
      <c r="M12" s="52" t="s">
        <v>55</v>
      </c>
      <c r="N12" s="817" t="s">
        <v>53</v>
      </c>
      <c r="O12" s="51" t="s">
        <v>54</v>
      </c>
      <c r="P12" s="621" t="s">
        <v>56</v>
      </c>
      <c r="Q12" s="54" t="s">
        <v>55</v>
      </c>
      <c r="R12" s="55"/>
      <c r="S12" s="652" t="s">
        <v>57</v>
      </c>
      <c r="T12" s="821"/>
      <c r="U12" s="51" t="s">
        <v>54</v>
      </c>
      <c r="V12" s="54" t="s">
        <v>55</v>
      </c>
      <c r="W12" s="650"/>
      <c r="X12" s="40"/>
      <c r="Y12" s="763" t="s">
        <v>155</v>
      </c>
      <c r="Z12" s="764"/>
      <c r="AA12" s="767">
        <f>(W15*1000)/(3*230)</f>
        <v>171.25</v>
      </c>
      <c r="AB12" s="767"/>
      <c r="AC12" s="759" t="s">
        <v>118</v>
      </c>
      <c r="AD12" s="7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ht="14.4" customHeight="1" thickBot="1" x14ac:dyDescent="0.35">
      <c r="A13" s="1"/>
      <c r="B13" s="73"/>
      <c r="C13" s="830"/>
      <c r="D13" s="818"/>
      <c r="E13" s="56" t="s">
        <v>58</v>
      </c>
      <c r="F13" s="57" t="s">
        <v>37</v>
      </c>
      <c r="G13" s="620"/>
      <c r="H13" s="59" t="s">
        <v>15</v>
      </c>
      <c r="I13" s="818"/>
      <c r="J13" s="56" t="s">
        <v>58</v>
      </c>
      <c r="K13" s="57" t="s">
        <v>37</v>
      </c>
      <c r="L13" s="622"/>
      <c r="M13" s="57" t="s">
        <v>59</v>
      </c>
      <c r="N13" s="818"/>
      <c r="O13" s="56" t="s">
        <v>58</v>
      </c>
      <c r="P13" s="622"/>
      <c r="Q13" s="59" t="s">
        <v>60</v>
      </c>
      <c r="R13" s="60" t="s">
        <v>53</v>
      </c>
      <c r="S13" s="822"/>
      <c r="T13" s="823"/>
      <c r="U13" s="56" t="s">
        <v>58</v>
      </c>
      <c r="V13" s="59" t="s">
        <v>61</v>
      </c>
      <c r="W13" s="650"/>
      <c r="X13" s="40"/>
      <c r="Y13" s="765"/>
      <c r="Z13" s="766"/>
      <c r="AA13" s="768"/>
      <c r="AB13" s="768"/>
      <c r="AC13" s="760"/>
      <c r="AD13" s="7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ht="15.6" thickBot="1" x14ac:dyDescent="0.35">
      <c r="A14" s="1"/>
      <c r="B14" s="73"/>
      <c r="C14" s="831"/>
      <c r="D14" s="819"/>
      <c r="E14" s="56" t="s">
        <v>62</v>
      </c>
      <c r="F14" s="57" t="s">
        <v>63</v>
      </c>
      <c r="G14" s="820"/>
      <c r="H14" s="59" t="s">
        <v>63</v>
      </c>
      <c r="I14" s="819"/>
      <c r="J14" s="56" t="s">
        <v>62</v>
      </c>
      <c r="K14" s="57" t="s">
        <v>63</v>
      </c>
      <c r="L14" s="623"/>
      <c r="M14" s="57" t="s">
        <v>63</v>
      </c>
      <c r="N14" s="819"/>
      <c r="O14" s="56" t="s">
        <v>63</v>
      </c>
      <c r="P14" s="623"/>
      <c r="Q14" s="59" t="s">
        <v>63</v>
      </c>
      <c r="R14" s="60" t="s">
        <v>88</v>
      </c>
      <c r="S14" s="824"/>
      <c r="T14" s="825"/>
      <c r="U14" s="61" t="s">
        <v>89</v>
      </c>
      <c r="V14" s="59" t="s">
        <v>63</v>
      </c>
      <c r="W14" s="651"/>
      <c r="X14" s="40"/>
      <c r="Y14" s="40"/>
      <c r="Z14" s="40"/>
      <c r="AA14" s="40"/>
      <c r="AB14" s="40"/>
      <c r="AC14" s="40"/>
      <c r="AD14" s="7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x14ac:dyDescent="0.3">
      <c r="A15" s="1"/>
      <c r="B15" s="73"/>
      <c r="C15" s="860">
        <v>1</v>
      </c>
      <c r="D15" s="584">
        <v>9</v>
      </c>
      <c r="E15" s="502">
        <v>10.35</v>
      </c>
      <c r="F15" s="809">
        <f>E15*D15</f>
        <v>93.149999999999991</v>
      </c>
      <c r="G15" s="815">
        <v>0.75</v>
      </c>
      <c r="H15" s="801">
        <f>G15*F15</f>
        <v>69.862499999999997</v>
      </c>
      <c r="I15" s="510">
        <v>2</v>
      </c>
      <c r="J15" s="512">
        <v>13.8</v>
      </c>
      <c r="K15" s="809">
        <v>27.6</v>
      </c>
      <c r="L15" s="553">
        <v>1</v>
      </c>
      <c r="M15" s="582">
        <f>L15*K15</f>
        <v>27.6</v>
      </c>
      <c r="N15" s="584">
        <v>1</v>
      </c>
      <c r="O15" s="514">
        <v>20.7</v>
      </c>
      <c r="P15" s="514">
        <v>1</v>
      </c>
      <c r="Q15" s="801">
        <f>P15*O15</f>
        <v>20.7</v>
      </c>
      <c r="R15" s="548"/>
      <c r="S15" s="549"/>
      <c r="T15" s="550"/>
      <c r="U15" s="553"/>
      <c r="V15" s="582">
        <v>0</v>
      </c>
      <c r="W15" s="791">
        <f>V15+Q15+M15+H15</f>
        <v>118.16249999999999</v>
      </c>
      <c r="X15" s="40"/>
      <c r="Y15" s="763" t="s">
        <v>156</v>
      </c>
      <c r="Z15" s="764"/>
      <c r="AA15" s="767">
        <f>(W17*1000)/(230*3)</f>
        <v>171.25</v>
      </c>
      <c r="AB15" s="767"/>
      <c r="AC15" s="759" t="s">
        <v>118</v>
      </c>
      <c r="AD15" s="7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ht="15" thickBot="1" x14ac:dyDescent="0.35">
      <c r="A16" s="1"/>
      <c r="B16" s="73"/>
      <c r="C16" s="861"/>
      <c r="D16" s="811"/>
      <c r="E16" s="503"/>
      <c r="F16" s="810"/>
      <c r="G16" s="816"/>
      <c r="H16" s="802"/>
      <c r="I16" s="807"/>
      <c r="J16" s="808"/>
      <c r="K16" s="810"/>
      <c r="L16" s="806"/>
      <c r="M16" s="790"/>
      <c r="N16" s="811"/>
      <c r="O16" s="800"/>
      <c r="P16" s="800"/>
      <c r="Q16" s="802"/>
      <c r="R16" s="803"/>
      <c r="S16" s="804"/>
      <c r="T16" s="805"/>
      <c r="U16" s="806"/>
      <c r="V16" s="790"/>
      <c r="W16" s="792"/>
      <c r="X16" s="40"/>
      <c r="Y16" s="765"/>
      <c r="Z16" s="766"/>
      <c r="AA16" s="768"/>
      <c r="AB16" s="768"/>
      <c r="AC16" s="760"/>
      <c r="AD16" s="7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ht="15" thickBot="1" x14ac:dyDescent="0.35">
      <c r="A17" s="1"/>
      <c r="B17" s="73"/>
      <c r="C17" s="862">
        <v>2</v>
      </c>
      <c r="D17" s="560">
        <v>9</v>
      </c>
      <c r="E17" s="562">
        <v>10.35</v>
      </c>
      <c r="F17" s="809">
        <f>E17*D17</f>
        <v>93.149999999999991</v>
      </c>
      <c r="G17" s="796">
        <v>0.75</v>
      </c>
      <c r="H17" s="801">
        <f>G17*F17</f>
        <v>69.862499999999997</v>
      </c>
      <c r="I17" s="569">
        <v>2</v>
      </c>
      <c r="J17" s="570">
        <v>13.8</v>
      </c>
      <c r="K17" s="783">
        <v>27.6</v>
      </c>
      <c r="L17" s="490">
        <v>1</v>
      </c>
      <c r="M17" s="582">
        <f>L17*K17</f>
        <v>27.6</v>
      </c>
      <c r="N17" s="560">
        <v>1</v>
      </c>
      <c r="O17" s="577">
        <v>20.7</v>
      </c>
      <c r="P17" s="577">
        <v>1</v>
      </c>
      <c r="Q17" s="801">
        <f>P17*O17</f>
        <v>20.7</v>
      </c>
      <c r="R17" s="578"/>
      <c r="S17" s="494"/>
      <c r="T17" s="495"/>
      <c r="U17" s="490"/>
      <c r="V17" s="571">
        <v>0</v>
      </c>
      <c r="W17" s="791">
        <f>V17+Q17+M17+H17</f>
        <v>118.16249999999999</v>
      </c>
      <c r="X17" s="40"/>
      <c r="Y17" s="40"/>
      <c r="Z17" s="40"/>
      <c r="AA17" s="40"/>
      <c r="AB17" s="40"/>
      <c r="AC17" s="40"/>
      <c r="AD17" s="7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x14ac:dyDescent="0.3">
      <c r="A18" s="1"/>
      <c r="B18" s="73"/>
      <c r="C18" s="863"/>
      <c r="D18" s="785"/>
      <c r="E18" s="581"/>
      <c r="F18" s="810"/>
      <c r="G18" s="797"/>
      <c r="H18" s="802"/>
      <c r="I18" s="798"/>
      <c r="J18" s="799"/>
      <c r="K18" s="784"/>
      <c r="L18" s="779"/>
      <c r="M18" s="790"/>
      <c r="N18" s="785"/>
      <c r="O18" s="789"/>
      <c r="P18" s="789"/>
      <c r="Q18" s="802"/>
      <c r="R18" s="776"/>
      <c r="S18" s="777"/>
      <c r="T18" s="778"/>
      <c r="U18" s="779"/>
      <c r="V18" s="780"/>
      <c r="W18" s="792"/>
      <c r="X18" s="40"/>
      <c r="Y18" s="763" t="s">
        <v>159</v>
      </c>
      <c r="Z18" s="764"/>
      <c r="AA18" s="769" t="s">
        <v>160</v>
      </c>
      <c r="AB18" s="770"/>
      <c r="AC18" s="771"/>
      <c r="AD18" s="7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ht="15" thickBot="1" x14ac:dyDescent="0.35">
      <c r="A19" s="1"/>
      <c r="B19" s="73"/>
      <c r="C19" s="860"/>
      <c r="D19" s="584"/>
      <c r="E19" s="502"/>
      <c r="F19" s="809"/>
      <c r="G19" s="815"/>
      <c r="H19" s="801"/>
      <c r="I19" s="510"/>
      <c r="J19" s="512"/>
      <c r="K19" s="809"/>
      <c r="L19" s="553"/>
      <c r="M19" s="582"/>
      <c r="N19" s="584"/>
      <c r="O19" s="514"/>
      <c r="P19" s="514"/>
      <c r="Q19" s="801"/>
      <c r="R19" s="548"/>
      <c r="S19" s="549"/>
      <c r="T19" s="550"/>
      <c r="U19" s="553"/>
      <c r="V19" s="582"/>
      <c r="W19" s="791"/>
      <c r="X19" s="40"/>
      <c r="Y19" s="765"/>
      <c r="Z19" s="766"/>
      <c r="AA19" s="772"/>
      <c r="AB19" s="772"/>
      <c r="AC19" s="773"/>
      <c r="AD19" s="7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ht="15" thickBot="1" x14ac:dyDescent="0.35">
      <c r="A20" s="1"/>
      <c r="B20" s="73"/>
      <c r="C20" s="861"/>
      <c r="D20" s="811"/>
      <c r="E20" s="503"/>
      <c r="F20" s="810"/>
      <c r="G20" s="816"/>
      <c r="H20" s="802"/>
      <c r="I20" s="807"/>
      <c r="J20" s="808"/>
      <c r="K20" s="810"/>
      <c r="L20" s="806"/>
      <c r="M20" s="790"/>
      <c r="N20" s="811"/>
      <c r="O20" s="800"/>
      <c r="P20" s="800"/>
      <c r="Q20" s="802"/>
      <c r="R20" s="803"/>
      <c r="S20" s="804"/>
      <c r="T20" s="805"/>
      <c r="U20" s="806"/>
      <c r="V20" s="790"/>
      <c r="W20" s="792"/>
      <c r="X20" s="40"/>
      <c r="Y20" s="40"/>
      <c r="Z20" s="40"/>
      <c r="AA20" s="87"/>
      <c r="AB20" s="40"/>
      <c r="AC20" s="40"/>
      <c r="AD20" s="7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x14ac:dyDescent="0.3">
      <c r="A21" s="1"/>
      <c r="B21" s="73"/>
      <c r="C21" s="69" t="s">
        <v>64</v>
      </c>
      <c r="D21" s="62">
        <f>SUM(D15:D20)</f>
        <v>18</v>
      </c>
      <c r="E21" s="600"/>
      <c r="F21" s="63">
        <f>SUM(F15:F20)</f>
        <v>186.29999999999998</v>
      </c>
      <c r="G21" s="600"/>
      <c r="H21" s="606">
        <f>SUM(H15:H20)</f>
        <v>139.72499999999999</v>
      </c>
      <c r="I21" s="62">
        <f>SUM(I15:I18)</f>
        <v>4</v>
      </c>
      <c r="J21" s="600"/>
      <c r="K21" s="63">
        <f>SUM(K15:K20)</f>
        <v>55.2</v>
      </c>
      <c r="L21" s="600"/>
      <c r="M21" s="606">
        <f>SUM(M15:M20)</f>
        <v>55.2</v>
      </c>
      <c r="N21" s="62">
        <f>SUM(N15:N20)</f>
        <v>2</v>
      </c>
      <c r="O21" s="608"/>
      <c r="P21" s="609"/>
      <c r="Q21" s="64">
        <f>SUM(Q15:Q20)</f>
        <v>41.4</v>
      </c>
      <c r="R21" s="630">
        <v>0</v>
      </c>
      <c r="S21" s="632"/>
      <c r="T21" s="633"/>
      <c r="U21" s="634"/>
      <c r="V21" s="64">
        <v>0</v>
      </c>
      <c r="W21" s="832">
        <f>SUM(W15:W20)</f>
        <v>236.32499999999999</v>
      </c>
      <c r="X21" s="40"/>
      <c r="Y21" s="763" t="s">
        <v>159</v>
      </c>
      <c r="Z21" s="764"/>
      <c r="AA21" s="769" t="s">
        <v>160</v>
      </c>
      <c r="AB21" s="770"/>
      <c r="AC21" s="771"/>
      <c r="AD21" s="7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ht="15.6" thickBot="1" x14ac:dyDescent="0.35">
      <c r="A22" s="1"/>
      <c r="B22" s="73"/>
      <c r="C22" s="70" t="s">
        <v>65</v>
      </c>
      <c r="D22" s="65" t="s">
        <v>90</v>
      </c>
      <c r="E22" s="601"/>
      <c r="F22" s="66" t="s">
        <v>91</v>
      </c>
      <c r="G22" s="601"/>
      <c r="H22" s="607"/>
      <c r="I22" s="65" t="s">
        <v>92</v>
      </c>
      <c r="J22" s="601"/>
      <c r="K22" s="66" t="s">
        <v>93</v>
      </c>
      <c r="L22" s="601"/>
      <c r="M22" s="607"/>
      <c r="N22" s="65" t="s">
        <v>94</v>
      </c>
      <c r="O22" s="610"/>
      <c r="P22" s="611"/>
      <c r="Q22" s="67" t="s">
        <v>95</v>
      </c>
      <c r="R22" s="631"/>
      <c r="S22" s="635"/>
      <c r="T22" s="636"/>
      <c r="U22" s="637"/>
      <c r="V22" s="68" t="s">
        <v>96</v>
      </c>
      <c r="W22" s="628"/>
      <c r="X22" s="40"/>
      <c r="Y22" s="765"/>
      <c r="Z22" s="766"/>
      <c r="AA22" s="772"/>
      <c r="AB22" s="772"/>
      <c r="AC22" s="773"/>
      <c r="AD22" s="7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x14ac:dyDescent="0.3">
      <c r="A23" s="1"/>
      <c r="B23" s="73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7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ht="14.4" customHeight="1" x14ac:dyDescent="0.6">
      <c r="A24" s="1"/>
      <c r="B24" s="73"/>
      <c r="C24" s="84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786" t="s">
        <v>122</v>
      </c>
      <c r="Q24" s="786"/>
      <c r="R24" s="787">
        <f>(0.2+(0.8/(D21+N21)^(1/2)))*(D21*E15+Q21)+((0.5+(0.5/(I21)^(1/2)))*(I21*J15))</f>
        <v>127.67221427813618</v>
      </c>
      <c r="S24" s="787"/>
      <c r="T24" s="787"/>
      <c r="U24" s="787"/>
      <c r="V24" s="787"/>
      <c r="W24" s="788" t="s">
        <v>17</v>
      </c>
      <c r="X24" s="40"/>
      <c r="Y24" s="40"/>
      <c r="Z24" s="40"/>
      <c r="AA24" s="40"/>
      <c r="AB24" s="40"/>
      <c r="AC24" s="40"/>
      <c r="AD24" s="7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ht="14.4" customHeight="1" x14ac:dyDescent="0.6">
      <c r="A25" s="1"/>
      <c r="B25" s="7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786"/>
      <c r="Q25" s="786"/>
      <c r="R25" s="787"/>
      <c r="S25" s="787"/>
      <c r="T25" s="787"/>
      <c r="U25" s="787"/>
      <c r="V25" s="787"/>
      <c r="W25" s="788"/>
      <c r="X25" s="40"/>
      <c r="Y25" s="40"/>
      <c r="Z25" s="40"/>
      <c r="AA25" s="40"/>
      <c r="AB25" s="40"/>
      <c r="AC25" s="40"/>
      <c r="AD25" s="7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x14ac:dyDescent="0.3">
      <c r="A26" s="1"/>
      <c r="B26" s="73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7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ht="14.4" customHeight="1" x14ac:dyDescent="0.6">
      <c r="A27" s="1"/>
      <c r="B27" s="73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786" t="s">
        <v>123</v>
      </c>
      <c r="Q27" s="786"/>
      <c r="R27" s="787">
        <f>(R24*1000)/(3*230)</f>
        <v>185.03219460599445</v>
      </c>
      <c r="S27" s="787"/>
      <c r="T27" s="787"/>
      <c r="U27" s="787"/>
      <c r="V27" s="787"/>
      <c r="W27" s="788" t="s">
        <v>118</v>
      </c>
      <c r="X27" s="40"/>
      <c r="Y27" s="40"/>
      <c r="Z27" s="40"/>
      <c r="AA27" s="40"/>
      <c r="AB27" s="40"/>
      <c r="AC27" s="40"/>
      <c r="AD27" s="7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ht="14.4" customHeight="1" x14ac:dyDescent="0.6">
      <c r="A28" s="1"/>
      <c r="B28" s="7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786"/>
      <c r="Q28" s="786"/>
      <c r="R28" s="787"/>
      <c r="S28" s="787"/>
      <c r="T28" s="787"/>
      <c r="U28" s="787"/>
      <c r="V28" s="787"/>
      <c r="W28" s="788"/>
      <c r="X28" s="40"/>
      <c r="Y28" s="40"/>
      <c r="Z28" s="40"/>
      <c r="AA28" s="40"/>
      <c r="AB28" s="40"/>
      <c r="AC28" s="40"/>
      <c r="AD28" s="7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x14ac:dyDescent="0.3">
      <c r="A29" s="1"/>
      <c r="B29" s="73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7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ht="15" thickBot="1" x14ac:dyDescent="0.35">
      <c r="A30" s="1"/>
      <c r="B30" s="75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0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4.4" customHeight="1" x14ac:dyDescent="0.3">
      <c r="A33" s="1"/>
      <c r="B33" s="826" t="s">
        <v>158</v>
      </c>
      <c r="C33" s="827"/>
      <c r="D33" s="827"/>
      <c r="E33" s="827"/>
      <c r="F33" s="827"/>
      <c r="G33" s="827"/>
      <c r="H33" s="827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71"/>
      <c r="Y33" s="71"/>
      <c r="Z33" s="71"/>
      <c r="AA33" s="71"/>
      <c r="AB33" s="71"/>
      <c r="AC33" s="71"/>
      <c r="AD33" s="7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4.4" customHeight="1" x14ac:dyDescent="0.3">
      <c r="A34" s="1"/>
      <c r="B34" s="828"/>
      <c r="C34" s="829"/>
      <c r="D34" s="829"/>
      <c r="E34" s="829"/>
      <c r="F34" s="829"/>
      <c r="G34" s="829"/>
      <c r="H34" s="829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40"/>
      <c r="Y34" s="40"/>
      <c r="Z34" s="40"/>
      <c r="AA34" s="40"/>
      <c r="AB34" s="40"/>
      <c r="AC34" s="40"/>
      <c r="AD34" s="7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4.4" customHeight="1" x14ac:dyDescent="0.3">
      <c r="A35" s="1"/>
      <c r="B35" s="86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40"/>
      <c r="Y35" s="761" t="s">
        <v>119</v>
      </c>
      <c r="Z35" s="761"/>
      <c r="AA35" s="761"/>
      <c r="AB35" s="761"/>
      <c r="AC35" s="761"/>
      <c r="AD35" s="7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4.4" customHeight="1" x14ac:dyDescent="0.3">
      <c r="A36" s="1"/>
      <c r="B36" s="86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40"/>
      <c r="Y36" s="761"/>
      <c r="Z36" s="761"/>
      <c r="AA36" s="761"/>
      <c r="AB36" s="761"/>
      <c r="AC36" s="761"/>
      <c r="AD36" s="7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4.4" customHeight="1" thickBot="1" x14ac:dyDescent="0.35">
      <c r="A37" s="1"/>
      <c r="B37" s="86"/>
      <c r="C37" s="615" t="s">
        <v>50</v>
      </c>
      <c r="D37" s="624" t="s">
        <v>15</v>
      </c>
      <c r="E37" s="625"/>
      <c r="F37" s="625"/>
      <c r="G37" s="625"/>
      <c r="H37" s="626"/>
      <c r="I37" s="624" t="s">
        <v>51</v>
      </c>
      <c r="J37" s="625"/>
      <c r="K37" s="625"/>
      <c r="L37" s="625"/>
      <c r="M37" s="626"/>
      <c r="N37" s="624" t="s">
        <v>23</v>
      </c>
      <c r="O37" s="625"/>
      <c r="P37" s="625"/>
      <c r="Q37" s="626"/>
      <c r="R37" s="624" t="s">
        <v>52</v>
      </c>
      <c r="S37" s="625"/>
      <c r="T37" s="625"/>
      <c r="U37" s="625"/>
      <c r="V37" s="626"/>
      <c r="W37" s="649" t="s">
        <v>87</v>
      </c>
      <c r="X37" s="40"/>
      <c r="Y37" s="40"/>
      <c r="Z37" s="40"/>
      <c r="AA37" s="40"/>
      <c r="AB37" s="40"/>
      <c r="AC37" s="40"/>
      <c r="AD37" s="7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4.4" customHeight="1" x14ac:dyDescent="0.3">
      <c r="A38" s="1"/>
      <c r="B38" s="86"/>
      <c r="C38" s="830"/>
      <c r="D38" s="817" t="s">
        <v>53</v>
      </c>
      <c r="E38" s="53" t="s">
        <v>54</v>
      </c>
      <c r="F38" s="52" t="s">
        <v>55</v>
      </c>
      <c r="G38" s="619" t="s">
        <v>56</v>
      </c>
      <c r="H38" s="54" t="s">
        <v>55</v>
      </c>
      <c r="I38" s="817" t="s">
        <v>53</v>
      </c>
      <c r="J38" s="53" t="s">
        <v>54</v>
      </c>
      <c r="K38" s="52" t="s">
        <v>55</v>
      </c>
      <c r="L38" s="621" t="s">
        <v>56</v>
      </c>
      <c r="M38" s="52" t="s">
        <v>55</v>
      </c>
      <c r="N38" s="817" t="s">
        <v>53</v>
      </c>
      <c r="O38" s="53" t="s">
        <v>54</v>
      </c>
      <c r="P38" s="621" t="s">
        <v>56</v>
      </c>
      <c r="Q38" s="54" t="s">
        <v>55</v>
      </c>
      <c r="R38" s="55"/>
      <c r="S38" s="652" t="s">
        <v>57</v>
      </c>
      <c r="T38" s="821"/>
      <c r="U38" s="53" t="s">
        <v>54</v>
      </c>
      <c r="V38" s="54" t="s">
        <v>55</v>
      </c>
      <c r="W38" s="650"/>
      <c r="X38" s="40"/>
      <c r="Y38" s="763" t="s">
        <v>170</v>
      </c>
      <c r="Z38" s="764"/>
      <c r="AA38" s="767">
        <f>(W41*1000)/(3*230)</f>
        <v>169.8840579710145</v>
      </c>
      <c r="AB38" s="767"/>
      <c r="AC38" s="759" t="s">
        <v>118</v>
      </c>
      <c r="AD38" s="7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4.4" customHeight="1" thickBot="1" x14ac:dyDescent="0.35">
      <c r="A39" s="1"/>
      <c r="B39" s="86"/>
      <c r="C39" s="830"/>
      <c r="D39" s="818"/>
      <c r="E39" s="58" t="s">
        <v>58</v>
      </c>
      <c r="F39" s="57" t="s">
        <v>37</v>
      </c>
      <c r="G39" s="620"/>
      <c r="H39" s="59" t="s">
        <v>15</v>
      </c>
      <c r="I39" s="818"/>
      <c r="J39" s="58" t="s">
        <v>58</v>
      </c>
      <c r="K39" s="57" t="s">
        <v>37</v>
      </c>
      <c r="L39" s="622"/>
      <c r="M39" s="57" t="s">
        <v>59</v>
      </c>
      <c r="N39" s="818"/>
      <c r="O39" s="58" t="s">
        <v>58</v>
      </c>
      <c r="P39" s="622"/>
      <c r="Q39" s="59" t="s">
        <v>60</v>
      </c>
      <c r="R39" s="60" t="s">
        <v>53</v>
      </c>
      <c r="S39" s="822"/>
      <c r="T39" s="823"/>
      <c r="U39" s="58" t="s">
        <v>58</v>
      </c>
      <c r="V39" s="59" t="s">
        <v>61</v>
      </c>
      <c r="W39" s="650"/>
      <c r="X39" s="40"/>
      <c r="Y39" s="765"/>
      <c r="Z39" s="766"/>
      <c r="AA39" s="768"/>
      <c r="AB39" s="768"/>
      <c r="AC39" s="760"/>
      <c r="AD39" s="7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4.4" customHeight="1" thickBot="1" x14ac:dyDescent="0.35">
      <c r="A40" s="1"/>
      <c r="B40" s="86"/>
      <c r="C40" s="831"/>
      <c r="D40" s="819"/>
      <c r="E40" s="58" t="s">
        <v>62</v>
      </c>
      <c r="F40" s="57" t="s">
        <v>63</v>
      </c>
      <c r="G40" s="820"/>
      <c r="H40" s="59" t="s">
        <v>63</v>
      </c>
      <c r="I40" s="819"/>
      <c r="J40" s="58" t="s">
        <v>62</v>
      </c>
      <c r="K40" s="57" t="s">
        <v>63</v>
      </c>
      <c r="L40" s="623"/>
      <c r="M40" s="57" t="s">
        <v>63</v>
      </c>
      <c r="N40" s="819"/>
      <c r="O40" s="58" t="s">
        <v>63</v>
      </c>
      <c r="P40" s="623"/>
      <c r="Q40" s="59" t="s">
        <v>63</v>
      </c>
      <c r="R40" s="60" t="s">
        <v>88</v>
      </c>
      <c r="S40" s="824"/>
      <c r="T40" s="825"/>
      <c r="U40" s="61" t="s">
        <v>89</v>
      </c>
      <c r="V40" s="59" t="s">
        <v>63</v>
      </c>
      <c r="W40" s="651"/>
      <c r="X40" s="40"/>
      <c r="Y40" s="40"/>
      <c r="Z40" s="40"/>
      <c r="AA40" s="40"/>
      <c r="AB40" s="40"/>
      <c r="AC40" s="40"/>
      <c r="AD40" s="7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4.4" customHeight="1" x14ac:dyDescent="0.3">
      <c r="A41" s="1"/>
      <c r="B41" s="86"/>
      <c r="C41" s="585">
        <v>3</v>
      </c>
      <c r="D41" s="584">
        <v>15</v>
      </c>
      <c r="E41" s="502">
        <v>10.35</v>
      </c>
      <c r="F41" s="504">
        <f>E41*D41</f>
        <v>155.25</v>
      </c>
      <c r="G41" s="506">
        <v>0.48</v>
      </c>
      <c r="H41" s="508">
        <f>G41*F41</f>
        <v>74.52</v>
      </c>
      <c r="I41" s="510"/>
      <c r="J41" s="512"/>
      <c r="K41" s="504">
        <v>0</v>
      </c>
      <c r="L41" s="553">
        <v>1</v>
      </c>
      <c r="M41" s="582">
        <f>L41*K41</f>
        <v>0</v>
      </c>
      <c r="N41" s="584">
        <v>1</v>
      </c>
      <c r="O41" s="514">
        <v>42.7</v>
      </c>
      <c r="P41" s="514">
        <v>1</v>
      </c>
      <c r="Q41" s="508">
        <f>P41*O41</f>
        <v>42.7</v>
      </c>
      <c r="R41" s="548"/>
      <c r="S41" s="549"/>
      <c r="T41" s="550"/>
      <c r="U41" s="553"/>
      <c r="V41" s="554">
        <v>0</v>
      </c>
      <c r="W41" s="556">
        <f>V41+Q41+M41+H41</f>
        <v>117.22</v>
      </c>
      <c r="X41" s="40"/>
      <c r="Y41" s="763" t="s">
        <v>171</v>
      </c>
      <c r="Z41" s="764"/>
      <c r="AA41" s="767">
        <f>(W43*1000)/(230*3)</f>
        <v>169.8840579710145</v>
      </c>
      <c r="AB41" s="767"/>
      <c r="AC41" s="759" t="s">
        <v>118</v>
      </c>
      <c r="AD41" s="7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4.4" customHeight="1" thickBot="1" x14ac:dyDescent="0.35">
      <c r="A42" s="1"/>
      <c r="B42" s="86"/>
      <c r="C42" s="586"/>
      <c r="D42" s="511"/>
      <c r="E42" s="513"/>
      <c r="F42" s="505"/>
      <c r="G42" s="507"/>
      <c r="H42" s="509"/>
      <c r="I42" s="511"/>
      <c r="J42" s="513"/>
      <c r="K42" s="505"/>
      <c r="L42" s="513"/>
      <c r="M42" s="583"/>
      <c r="N42" s="511"/>
      <c r="O42" s="513"/>
      <c r="P42" s="513"/>
      <c r="Q42" s="509"/>
      <c r="R42" s="511"/>
      <c r="S42" s="551"/>
      <c r="T42" s="552"/>
      <c r="U42" s="513"/>
      <c r="V42" s="555"/>
      <c r="W42" s="557"/>
      <c r="X42" s="40"/>
      <c r="Y42" s="765"/>
      <c r="Z42" s="766"/>
      <c r="AA42" s="768"/>
      <c r="AB42" s="768"/>
      <c r="AC42" s="760"/>
      <c r="AD42" s="7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4.4" customHeight="1" thickBot="1" x14ac:dyDescent="0.35">
      <c r="A43" s="1"/>
      <c r="B43" s="86"/>
      <c r="C43" s="558">
        <v>4</v>
      </c>
      <c r="D43" s="560">
        <v>15</v>
      </c>
      <c r="E43" s="562">
        <v>10.35</v>
      </c>
      <c r="F43" s="563">
        <f>E43*D43</f>
        <v>155.25</v>
      </c>
      <c r="G43" s="565">
        <v>0.48</v>
      </c>
      <c r="H43" s="567">
        <f>G43*F43</f>
        <v>74.52</v>
      </c>
      <c r="I43" s="569"/>
      <c r="J43" s="570"/>
      <c r="K43" s="563">
        <v>0</v>
      </c>
      <c r="L43" s="490">
        <v>1</v>
      </c>
      <c r="M43" s="571">
        <f>L43*K43</f>
        <v>0</v>
      </c>
      <c r="N43" s="560">
        <v>1</v>
      </c>
      <c r="O43" s="577">
        <v>42.7</v>
      </c>
      <c r="P43" s="577">
        <v>1</v>
      </c>
      <c r="Q43" s="567">
        <f>P43*O43</f>
        <v>42.7</v>
      </c>
      <c r="R43" s="578"/>
      <c r="S43" s="494"/>
      <c r="T43" s="495"/>
      <c r="U43" s="490"/>
      <c r="V43" s="573">
        <v>0</v>
      </c>
      <c r="W43" s="575">
        <f>V43+Q43+M43+H43</f>
        <v>117.22</v>
      </c>
      <c r="X43" s="40"/>
      <c r="Y43" s="40"/>
      <c r="Z43" s="40"/>
      <c r="AA43" s="40"/>
      <c r="AB43" s="40"/>
      <c r="AC43" s="40"/>
      <c r="AD43" s="7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4.4" customHeight="1" x14ac:dyDescent="0.3">
      <c r="A44" s="1"/>
      <c r="B44" s="86"/>
      <c r="C44" s="559"/>
      <c r="D44" s="561"/>
      <c r="E44" s="491"/>
      <c r="F44" s="564"/>
      <c r="G44" s="566"/>
      <c r="H44" s="568"/>
      <c r="I44" s="561"/>
      <c r="J44" s="491"/>
      <c r="K44" s="564"/>
      <c r="L44" s="491"/>
      <c r="M44" s="572"/>
      <c r="N44" s="561"/>
      <c r="O44" s="491"/>
      <c r="P44" s="491"/>
      <c r="Q44" s="568"/>
      <c r="R44" s="561"/>
      <c r="S44" s="496"/>
      <c r="T44" s="497"/>
      <c r="U44" s="491"/>
      <c r="V44" s="574"/>
      <c r="W44" s="576"/>
      <c r="X44" s="40"/>
      <c r="Y44" s="763" t="s">
        <v>159</v>
      </c>
      <c r="Z44" s="764"/>
      <c r="AA44" s="769" t="s">
        <v>160</v>
      </c>
      <c r="AB44" s="770"/>
      <c r="AC44" s="771"/>
      <c r="AD44" s="7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4.4" customHeight="1" thickBot="1" x14ac:dyDescent="0.35">
      <c r="A45" s="1"/>
      <c r="B45" s="86"/>
      <c r="C45" s="860"/>
      <c r="D45" s="584"/>
      <c r="E45" s="502"/>
      <c r="F45" s="809"/>
      <c r="G45" s="815"/>
      <c r="H45" s="801"/>
      <c r="I45" s="510"/>
      <c r="J45" s="512"/>
      <c r="K45" s="809"/>
      <c r="L45" s="553"/>
      <c r="M45" s="582"/>
      <c r="N45" s="584"/>
      <c r="O45" s="514"/>
      <c r="P45" s="514"/>
      <c r="Q45" s="801"/>
      <c r="R45" s="548"/>
      <c r="S45" s="549"/>
      <c r="T45" s="550"/>
      <c r="U45" s="553"/>
      <c r="V45" s="582"/>
      <c r="W45" s="791"/>
      <c r="X45" s="40"/>
      <c r="Y45" s="765"/>
      <c r="Z45" s="766"/>
      <c r="AA45" s="772"/>
      <c r="AB45" s="772"/>
      <c r="AC45" s="773"/>
      <c r="AD45" s="7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4.4" customHeight="1" thickBot="1" x14ac:dyDescent="0.35">
      <c r="A46" s="1"/>
      <c r="B46" s="86"/>
      <c r="C46" s="861"/>
      <c r="D46" s="811"/>
      <c r="E46" s="503"/>
      <c r="F46" s="810"/>
      <c r="G46" s="816"/>
      <c r="H46" s="802"/>
      <c r="I46" s="807"/>
      <c r="J46" s="808"/>
      <c r="K46" s="810"/>
      <c r="L46" s="806"/>
      <c r="M46" s="790"/>
      <c r="N46" s="811"/>
      <c r="O46" s="800"/>
      <c r="P46" s="800"/>
      <c r="Q46" s="802"/>
      <c r="R46" s="803"/>
      <c r="S46" s="804"/>
      <c r="T46" s="805"/>
      <c r="U46" s="806"/>
      <c r="V46" s="790"/>
      <c r="W46" s="792"/>
      <c r="X46" s="40"/>
      <c r="Y46" s="40"/>
      <c r="Z46" s="40"/>
      <c r="AA46" s="87"/>
      <c r="AB46" s="40"/>
      <c r="AC46" s="40"/>
      <c r="AD46" s="7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4.4" customHeight="1" x14ac:dyDescent="0.3">
      <c r="A47" s="1"/>
      <c r="B47" s="86"/>
      <c r="C47" s="69" t="s">
        <v>64</v>
      </c>
      <c r="D47" s="62">
        <f>SUM(D41:D46)</f>
        <v>30</v>
      </c>
      <c r="E47" s="600"/>
      <c r="F47" s="63">
        <f>SUM(F41:F46)</f>
        <v>310.5</v>
      </c>
      <c r="G47" s="600"/>
      <c r="H47" s="606">
        <f>SUM(H41:H46)</f>
        <v>149.04</v>
      </c>
      <c r="I47" s="62">
        <f>SUM(I41:I44)</f>
        <v>0</v>
      </c>
      <c r="J47" s="600"/>
      <c r="K47" s="63">
        <f>SUM(K41:K46)</f>
        <v>0</v>
      </c>
      <c r="L47" s="600"/>
      <c r="M47" s="606">
        <f>SUM(M41:M46)</f>
        <v>0</v>
      </c>
      <c r="N47" s="62">
        <f>SUM(N41:N46)</f>
        <v>2</v>
      </c>
      <c r="O47" s="608"/>
      <c r="P47" s="609"/>
      <c r="Q47" s="64">
        <f>SUM(Q41:Q46)</f>
        <v>85.4</v>
      </c>
      <c r="R47" s="630">
        <v>0</v>
      </c>
      <c r="S47" s="632"/>
      <c r="T47" s="633"/>
      <c r="U47" s="634"/>
      <c r="V47" s="64">
        <v>0</v>
      </c>
      <c r="W47" s="832">
        <f>SUM(W41:W46)</f>
        <v>234.44</v>
      </c>
      <c r="X47" s="40"/>
      <c r="Y47" s="763" t="s">
        <v>159</v>
      </c>
      <c r="Z47" s="764"/>
      <c r="AA47" s="769" t="s">
        <v>160</v>
      </c>
      <c r="AB47" s="770"/>
      <c r="AC47" s="771"/>
      <c r="AD47" s="7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ht="14.4" customHeight="1" thickBot="1" x14ac:dyDescent="0.35">
      <c r="A48" s="1"/>
      <c r="B48" s="86"/>
      <c r="C48" s="70" t="s">
        <v>65</v>
      </c>
      <c r="D48" s="65" t="s">
        <v>90</v>
      </c>
      <c r="E48" s="601"/>
      <c r="F48" s="66" t="s">
        <v>91</v>
      </c>
      <c r="G48" s="601"/>
      <c r="H48" s="607"/>
      <c r="I48" s="65" t="s">
        <v>92</v>
      </c>
      <c r="J48" s="601"/>
      <c r="K48" s="66" t="s">
        <v>93</v>
      </c>
      <c r="L48" s="601"/>
      <c r="M48" s="607"/>
      <c r="N48" s="65" t="s">
        <v>94</v>
      </c>
      <c r="O48" s="610"/>
      <c r="P48" s="611"/>
      <c r="Q48" s="67" t="s">
        <v>95</v>
      </c>
      <c r="R48" s="631"/>
      <c r="S48" s="635"/>
      <c r="T48" s="636"/>
      <c r="U48" s="637"/>
      <c r="V48" s="68" t="s">
        <v>96</v>
      </c>
      <c r="W48" s="628"/>
      <c r="X48" s="40"/>
      <c r="Y48" s="765"/>
      <c r="Z48" s="766"/>
      <c r="AA48" s="772"/>
      <c r="AB48" s="772"/>
      <c r="AC48" s="773"/>
      <c r="AD48" s="7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4.4" customHeight="1" x14ac:dyDescent="0.3">
      <c r="A49" s="1"/>
      <c r="B49" s="86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7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ht="14.4" customHeight="1" x14ac:dyDescent="0.6">
      <c r="A50" s="1"/>
      <c r="B50" s="86"/>
      <c r="C50" s="84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786" t="s">
        <v>121</v>
      </c>
      <c r="Q50" s="786"/>
      <c r="R50" s="787">
        <f>(0.2+(0.8/(D47+N47)^(1/2)))*(D47*E41+Q47)</f>
        <v>135.16871493435082</v>
      </c>
      <c r="S50" s="787"/>
      <c r="T50" s="787"/>
      <c r="U50" s="787"/>
      <c r="V50" s="787"/>
      <c r="W50" s="788" t="s">
        <v>17</v>
      </c>
      <c r="X50" s="40"/>
      <c r="Y50" s="40"/>
      <c r="Z50" s="40"/>
      <c r="AA50" s="40"/>
      <c r="AB50" s="40"/>
      <c r="AC50" s="40"/>
      <c r="AD50" s="7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ht="14.4" customHeight="1" x14ac:dyDescent="0.6">
      <c r="A51" s="1"/>
      <c r="B51" s="86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786"/>
      <c r="Q51" s="786"/>
      <c r="R51" s="787"/>
      <c r="S51" s="787"/>
      <c r="T51" s="787"/>
      <c r="U51" s="787"/>
      <c r="V51" s="787"/>
      <c r="W51" s="788"/>
      <c r="X51" s="40"/>
      <c r="Y51" s="40"/>
      <c r="Z51" s="40"/>
      <c r="AA51" s="40"/>
      <c r="AB51" s="40"/>
      <c r="AC51" s="40"/>
      <c r="AD51" s="7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4.4" customHeight="1" x14ac:dyDescent="0.3">
      <c r="A52" s="1"/>
      <c r="B52" s="86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7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4.4" customHeight="1" x14ac:dyDescent="0.6">
      <c r="A53" s="1"/>
      <c r="B53" s="86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786" t="s">
        <v>120</v>
      </c>
      <c r="Q53" s="786"/>
      <c r="R53" s="787">
        <f>(R50*1000)/(3*230)</f>
        <v>195.89668831065333</v>
      </c>
      <c r="S53" s="787"/>
      <c r="T53" s="787"/>
      <c r="U53" s="787"/>
      <c r="V53" s="787"/>
      <c r="W53" s="788" t="s">
        <v>118</v>
      </c>
      <c r="X53" s="40"/>
      <c r="Y53" s="40"/>
      <c r="Z53" s="40"/>
      <c r="AA53" s="40"/>
      <c r="AB53" s="40"/>
      <c r="AC53" s="40"/>
      <c r="AD53" s="7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ht="14.4" customHeight="1" x14ac:dyDescent="0.6">
      <c r="A54" s="1"/>
      <c r="B54" s="86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786"/>
      <c r="Q54" s="786"/>
      <c r="R54" s="787"/>
      <c r="S54" s="787"/>
      <c r="T54" s="787"/>
      <c r="U54" s="787"/>
      <c r="V54" s="787"/>
      <c r="W54" s="788"/>
      <c r="X54" s="40"/>
      <c r="Y54" s="40"/>
      <c r="Z54" s="40"/>
      <c r="AA54" s="40"/>
      <c r="AB54" s="40"/>
      <c r="AC54" s="40"/>
      <c r="AD54" s="7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ht="14.4" customHeight="1" x14ac:dyDescent="0.3">
      <c r="A55" s="1"/>
      <c r="B55" s="86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40"/>
      <c r="Y55" s="40"/>
      <c r="Z55" s="40"/>
      <c r="AA55" s="40"/>
      <c r="AB55" s="40"/>
      <c r="AC55" s="40"/>
      <c r="AD55" s="7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ht="14.4" customHeight="1" thickBot="1" x14ac:dyDescent="0.35">
      <c r="A56" s="1"/>
      <c r="B56" s="88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76"/>
      <c r="Y56" s="76"/>
      <c r="Z56" s="76"/>
      <c r="AA56" s="76"/>
      <c r="AB56" s="76"/>
      <c r="AC56" s="76"/>
      <c r="AD56" s="77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4.4" customHeight="1" x14ac:dyDescent="0.3">
      <c r="A57" s="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1"/>
      <c r="Y57" s="4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ht="14.4" customHeight="1" thickBot="1" x14ac:dyDescent="0.35">
      <c r="A58" s="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1"/>
      <c r="Y58" s="4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ht="14.4" customHeight="1" x14ac:dyDescent="0.3">
      <c r="A59" s="1"/>
      <c r="B59" s="826" t="s">
        <v>166</v>
      </c>
      <c r="C59" s="827"/>
      <c r="D59" s="827"/>
      <c r="E59" s="827"/>
      <c r="F59" s="827"/>
      <c r="G59" s="827"/>
      <c r="H59" s="827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71"/>
      <c r="Y59" s="71"/>
      <c r="Z59" s="71"/>
      <c r="AA59" s="71"/>
      <c r="AB59" s="71"/>
      <c r="AC59" s="71"/>
      <c r="AD59" s="7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ht="14.4" customHeight="1" x14ac:dyDescent="0.3">
      <c r="A60" s="1"/>
      <c r="B60" s="828"/>
      <c r="C60" s="829"/>
      <c r="D60" s="829"/>
      <c r="E60" s="829"/>
      <c r="F60" s="829"/>
      <c r="G60" s="829"/>
      <c r="H60" s="829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40"/>
      <c r="Y60" s="40"/>
      <c r="Z60" s="40"/>
      <c r="AA60" s="40"/>
      <c r="AB60" s="40"/>
      <c r="AC60" s="40"/>
      <c r="AD60" s="7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ht="14.4" customHeight="1" x14ac:dyDescent="0.3">
      <c r="A61" s="1"/>
      <c r="B61" s="86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40"/>
      <c r="Y61" s="761" t="s">
        <v>119</v>
      </c>
      <c r="Z61" s="761"/>
      <c r="AA61" s="761"/>
      <c r="AB61" s="761"/>
      <c r="AC61" s="761"/>
      <c r="AD61" s="762"/>
      <c r="AE61" s="8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ht="14.4" customHeight="1" x14ac:dyDescent="0.3">
      <c r="A62" s="1"/>
      <c r="B62" s="86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40"/>
      <c r="Y62" s="761"/>
      <c r="Z62" s="761"/>
      <c r="AA62" s="761"/>
      <c r="AB62" s="761"/>
      <c r="AC62" s="761"/>
      <c r="AD62" s="762"/>
      <c r="AE62" s="8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ht="14.4" customHeight="1" thickBot="1" x14ac:dyDescent="0.35">
      <c r="A63" s="1"/>
      <c r="B63" s="86"/>
      <c r="C63" s="615" t="s">
        <v>50</v>
      </c>
      <c r="D63" s="624" t="s">
        <v>15</v>
      </c>
      <c r="E63" s="625"/>
      <c r="F63" s="625"/>
      <c r="G63" s="625"/>
      <c r="H63" s="626"/>
      <c r="I63" s="624" t="s">
        <v>51</v>
      </c>
      <c r="J63" s="625"/>
      <c r="K63" s="625"/>
      <c r="L63" s="625"/>
      <c r="M63" s="626"/>
      <c r="N63" s="624" t="s">
        <v>23</v>
      </c>
      <c r="O63" s="625"/>
      <c r="P63" s="625"/>
      <c r="Q63" s="626"/>
      <c r="R63" s="624" t="s">
        <v>52</v>
      </c>
      <c r="S63" s="625"/>
      <c r="T63" s="625"/>
      <c r="U63" s="625"/>
      <c r="V63" s="626"/>
      <c r="W63" s="649" t="s">
        <v>87</v>
      </c>
      <c r="X63" s="40"/>
      <c r="Y63" s="40"/>
      <c r="Z63" s="40"/>
      <c r="AA63" s="40"/>
      <c r="AB63" s="40"/>
      <c r="AC63" s="40"/>
      <c r="AD63" s="74"/>
      <c r="AE63" s="8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4.4" customHeight="1" x14ac:dyDescent="0.3">
      <c r="A64" s="1"/>
      <c r="B64" s="86"/>
      <c r="C64" s="830"/>
      <c r="D64" s="817" t="s">
        <v>53</v>
      </c>
      <c r="E64" s="53" t="s">
        <v>54</v>
      </c>
      <c r="F64" s="52" t="s">
        <v>55</v>
      </c>
      <c r="G64" s="619" t="s">
        <v>56</v>
      </c>
      <c r="H64" s="54" t="s">
        <v>55</v>
      </c>
      <c r="I64" s="817" t="s">
        <v>53</v>
      </c>
      <c r="J64" s="53" t="s">
        <v>54</v>
      </c>
      <c r="K64" s="52" t="s">
        <v>55</v>
      </c>
      <c r="L64" s="621" t="s">
        <v>56</v>
      </c>
      <c r="M64" s="52" t="s">
        <v>55</v>
      </c>
      <c r="N64" s="817" t="s">
        <v>53</v>
      </c>
      <c r="O64" s="53" t="s">
        <v>54</v>
      </c>
      <c r="P64" s="621" t="s">
        <v>56</v>
      </c>
      <c r="Q64" s="54" t="s">
        <v>55</v>
      </c>
      <c r="R64" s="55"/>
      <c r="S64" s="652" t="s">
        <v>57</v>
      </c>
      <c r="T64" s="821"/>
      <c r="U64" s="53" t="s">
        <v>54</v>
      </c>
      <c r="V64" s="54" t="s">
        <v>55</v>
      </c>
      <c r="W64" s="650"/>
      <c r="X64" s="40"/>
      <c r="Y64" s="763" t="s">
        <v>172</v>
      </c>
      <c r="Z64" s="764"/>
      <c r="AA64" s="767">
        <f>((H67+Q67)*1000)/(3*230)</f>
        <v>130.80000000000001</v>
      </c>
      <c r="AB64" s="767"/>
      <c r="AC64" s="759" t="s">
        <v>118</v>
      </c>
      <c r="AD64" s="74"/>
      <c r="AE64" s="8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ht="14.4" customHeight="1" thickBot="1" x14ac:dyDescent="0.35">
      <c r="A65" s="1"/>
      <c r="B65" s="86"/>
      <c r="C65" s="830"/>
      <c r="D65" s="818"/>
      <c r="E65" s="58" t="s">
        <v>58</v>
      </c>
      <c r="F65" s="57" t="s">
        <v>37</v>
      </c>
      <c r="G65" s="620"/>
      <c r="H65" s="59" t="s">
        <v>15</v>
      </c>
      <c r="I65" s="818"/>
      <c r="J65" s="58" t="s">
        <v>58</v>
      </c>
      <c r="K65" s="57" t="s">
        <v>37</v>
      </c>
      <c r="L65" s="622"/>
      <c r="M65" s="57" t="s">
        <v>59</v>
      </c>
      <c r="N65" s="818"/>
      <c r="O65" s="58" t="s">
        <v>58</v>
      </c>
      <c r="P65" s="622"/>
      <c r="Q65" s="59" t="s">
        <v>60</v>
      </c>
      <c r="R65" s="60" t="s">
        <v>53</v>
      </c>
      <c r="S65" s="822"/>
      <c r="T65" s="823"/>
      <c r="U65" s="58" t="s">
        <v>58</v>
      </c>
      <c r="V65" s="59" t="s">
        <v>61</v>
      </c>
      <c r="W65" s="650"/>
      <c r="X65" s="40"/>
      <c r="Y65" s="765"/>
      <c r="Z65" s="766"/>
      <c r="AA65" s="768"/>
      <c r="AB65" s="768"/>
      <c r="AC65" s="760"/>
      <c r="AD65" s="74"/>
      <c r="AE65" s="8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ht="14.4" customHeight="1" thickBot="1" x14ac:dyDescent="0.35">
      <c r="A66" s="1"/>
      <c r="B66" s="86"/>
      <c r="C66" s="831"/>
      <c r="D66" s="819"/>
      <c r="E66" s="58" t="s">
        <v>62</v>
      </c>
      <c r="F66" s="57" t="s">
        <v>63</v>
      </c>
      <c r="G66" s="820"/>
      <c r="H66" s="59" t="s">
        <v>63</v>
      </c>
      <c r="I66" s="819"/>
      <c r="J66" s="58" t="s">
        <v>62</v>
      </c>
      <c r="K66" s="57" t="s">
        <v>63</v>
      </c>
      <c r="L66" s="623"/>
      <c r="M66" s="57" t="s">
        <v>63</v>
      </c>
      <c r="N66" s="819"/>
      <c r="O66" s="58" t="s">
        <v>63</v>
      </c>
      <c r="P66" s="623"/>
      <c r="Q66" s="59" t="s">
        <v>63</v>
      </c>
      <c r="R66" s="60" t="s">
        <v>88</v>
      </c>
      <c r="S66" s="824"/>
      <c r="T66" s="825"/>
      <c r="U66" s="61" t="s">
        <v>89</v>
      </c>
      <c r="V66" s="59" t="s">
        <v>63</v>
      </c>
      <c r="W66" s="651"/>
      <c r="X66" s="40"/>
      <c r="Y66" s="40"/>
      <c r="Z66" s="40"/>
      <c r="AA66" s="40"/>
      <c r="AB66" s="40"/>
      <c r="AC66" s="40"/>
      <c r="AD66" s="74"/>
      <c r="AE66" s="87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4.4" customHeight="1" x14ac:dyDescent="0.3">
      <c r="A67" s="1"/>
      <c r="B67" s="86"/>
      <c r="C67" s="585">
        <v>5</v>
      </c>
      <c r="D67" s="584">
        <v>12</v>
      </c>
      <c r="E67" s="502">
        <v>10.35</v>
      </c>
      <c r="F67" s="504">
        <f>E67*D67</f>
        <v>124.19999999999999</v>
      </c>
      <c r="G67" s="506">
        <v>0.56000000000000005</v>
      </c>
      <c r="H67" s="508">
        <f>G67*F67</f>
        <v>69.552000000000007</v>
      </c>
      <c r="I67" s="510">
        <v>2</v>
      </c>
      <c r="J67" s="512">
        <v>13.8</v>
      </c>
      <c r="K67" s="504">
        <f>J67*I67</f>
        <v>27.6</v>
      </c>
      <c r="L67" s="553">
        <v>1</v>
      </c>
      <c r="M67" s="582">
        <f>L67*K67</f>
        <v>27.6</v>
      </c>
      <c r="N67" s="584">
        <v>1</v>
      </c>
      <c r="O67" s="514">
        <v>20.7</v>
      </c>
      <c r="P67" s="514">
        <v>1</v>
      </c>
      <c r="Q67" s="508">
        <f>P67*O67</f>
        <v>20.7</v>
      </c>
      <c r="R67" s="548"/>
      <c r="S67" s="549"/>
      <c r="T67" s="550"/>
      <c r="U67" s="553"/>
      <c r="V67" s="554">
        <v>0</v>
      </c>
      <c r="W67" s="556">
        <f>V67+Q67+M67+H67</f>
        <v>117.852</v>
      </c>
      <c r="X67" s="40"/>
      <c r="Y67" s="763" t="s">
        <v>173</v>
      </c>
      <c r="Z67" s="764"/>
      <c r="AA67" s="767">
        <f>(J67*1000)/(230)</f>
        <v>60</v>
      </c>
      <c r="AB67" s="767"/>
      <c r="AC67" s="759" t="s">
        <v>118</v>
      </c>
      <c r="AD67" s="74"/>
      <c r="AE67" s="87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4.4" customHeight="1" thickBot="1" x14ac:dyDescent="0.35">
      <c r="A68" s="1"/>
      <c r="B68" s="86"/>
      <c r="C68" s="586"/>
      <c r="D68" s="511"/>
      <c r="E68" s="513"/>
      <c r="F68" s="505"/>
      <c r="G68" s="507"/>
      <c r="H68" s="509"/>
      <c r="I68" s="511"/>
      <c r="J68" s="513"/>
      <c r="K68" s="505"/>
      <c r="L68" s="513"/>
      <c r="M68" s="583"/>
      <c r="N68" s="511"/>
      <c r="O68" s="513"/>
      <c r="P68" s="513"/>
      <c r="Q68" s="509"/>
      <c r="R68" s="511"/>
      <c r="S68" s="551"/>
      <c r="T68" s="552"/>
      <c r="U68" s="513"/>
      <c r="V68" s="555"/>
      <c r="W68" s="557"/>
      <c r="X68" s="40"/>
      <c r="Y68" s="765"/>
      <c r="Z68" s="766"/>
      <c r="AA68" s="768"/>
      <c r="AB68" s="768"/>
      <c r="AC68" s="760"/>
      <c r="AD68" s="74"/>
      <c r="AE68" s="87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ht="14.4" customHeight="1" thickBot="1" x14ac:dyDescent="0.35">
      <c r="A69" s="1"/>
      <c r="B69" s="86"/>
      <c r="C69" s="558">
        <v>6</v>
      </c>
      <c r="D69" s="560">
        <v>12</v>
      </c>
      <c r="E69" s="562">
        <v>10.35</v>
      </c>
      <c r="F69" s="563">
        <f>E69*D69</f>
        <v>124.19999999999999</v>
      </c>
      <c r="G69" s="565">
        <v>0.56000000000000005</v>
      </c>
      <c r="H69" s="508">
        <f>G69*F69</f>
        <v>69.552000000000007</v>
      </c>
      <c r="I69" s="569">
        <v>2</v>
      </c>
      <c r="J69" s="570">
        <v>13.8</v>
      </c>
      <c r="K69" s="563">
        <f>27.6</f>
        <v>27.6</v>
      </c>
      <c r="L69" s="490">
        <v>1</v>
      </c>
      <c r="M69" s="582">
        <f>L69*K69</f>
        <v>27.6</v>
      </c>
      <c r="N69" s="560">
        <v>1</v>
      </c>
      <c r="O69" s="577">
        <v>20.7</v>
      </c>
      <c r="P69" s="577">
        <v>1</v>
      </c>
      <c r="Q69" s="508">
        <f>P69*O69</f>
        <v>20.7</v>
      </c>
      <c r="R69" s="578"/>
      <c r="S69" s="494"/>
      <c r="T69" s="495"/>
      <c r="U69" s="490"/>
      <c r="V69" s="573">
        <v>0</v>
      </c>
      <c r="W69" s="556">
        <f>V69+Q69+M69+H69</f>
        <v>117.852</v>
      </c>
      <c r="X69" s="40"/>
      <c r="Y69" s="40"/>
      <c r="Z69" s="40"/>
      <c r="AA69" s="40"/>
      <c r="AB69" s="40"/>
      <c r="AC69" s="40"/>
      <c r="AD69" s="74"/>
      <c r="AE69" s="87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ht="14.4" customHeight="1" x14ac:dyDescent="0.3">
      <c r="A70" s="1"/>
      <c r="B70" s="86"/>
      <c r="C70" s="559"/>
      <c r="D70" s="561"/>
      <c r="E70" s="491"/>
      <c r="F70" s="564"/>
      <c r="G70" s="566"/>
      <c r="H70" s="509"/>
      <c r="I70" s="561"/>
      <c r="J70" s="491"/>
      <c r="K70" s="564"/>
      <c r="L70" s="491"/>
      <c r="M70" s="583"/>
      <c r="N70" s="561"/>
      <c r="O70" s="491"/>
      <c r="P70" s="491"/>
      <c r="Q70" s="509"/>
      <c r="R70" s="561"/>
      <c r="S70" s="496"/>
      <c r="T70" s="497"/>
      <c r="U70" s="491"/>
      <c r="V70" s="574"/>
      <c r="W70" s="557"/>
      <c r="X70" s="40"/>
      <c r="Y70" s="763" t="s">
        <v>173</v>
      </c>
      <c r="Z70" s="764"/>
      <c r="AA70" s="767">
        <f>(J67*1000)/(230)</f>
        <v>60</v>
      </c>
      <c r="AB70" s="767"/>
      <c r="AC70" s="759" t="s">
        <v>118</v>
      </c>
      <c r="AD70" s="74"/>
      <c r="AE70" s="87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ht="14.4" customHeight="1" thickBot="1" x14ac:dyDescent="0.35">
      <c r="A71" s="1"/>
      <c r="B71" s="86"/>
      <c r="C71" s="860"/>
      <c r="D71" s="584"/>
      <c r="E71" s="502"/>
      <c r="F71" s="809"/>
      <c r="G71" s="815"/>
      <c r="H71" s="801"/>
      <c r="I71" s="510"/>
      <c r="J71" s="512"/>
      <c r="K71" s="809"/>
      <c r="L71" s="553"/>
      <c r="M71" s="582"/>
      <c r="N71" s="584"/>
      <c r="O71" s="514"/>
      <c r="P71" s="514"/>
      <c r="Q71" s="801"/>
      <c r="R71" s="548"/>
      <c r="S71" s="549"/>
      <c r="T71" s="550"/>
      <c r="U71" s="553"/>
      <c r="V71" s="582"/>
      <c r="W71" s="791"/>
      <c r="X71" s="40"/>
      <c r="Y71" s="765"/>
      <c r="Z71" s="766"/>
      <c r="AA71" s="768"/>
      <c r="AB71" s="768"/>
      <c r="AC71" s="760"/>
      <c r="AD71" s="74"/>
      <c r="AE71" s="87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ht="14.4" customHeight="1" thickBot="1" x14ac:dyDescent="0.35">
      <c r="A72" s="1"/>
      <c r="B72" s="73"/>
      <c r="C72" s="861"/>
      <c r="D72" s="811"/>
      <c r="E72" s="503"/>
      <c r="F72" s="810"/>
      <c r="G72" s="816"/>
      <c r="H72" s="802"/>
      <c r="I72" s="807"/>
      <c r="J72" s="808"/>
      <c r="K72" s="810"/>
      <c r="L72" s="806"/>
      <c r="M72" s="790"/>
      <c r="N72" s="811"/>
      <c r="O72" s="800"/>
      <c r="P72" s="800"/>
      <c r="Q72" s="802"/>
      <c r="R72" s="803"/>
      <c r="S72" s="804"/>
      <c r="T72" s="805"/>
      <c r="U72" s="806"/>
      <c r="V72" s="790"/>
      <c r="W72" s="792"/>
      <c r="X72" s="40"/>
      <c r="Y72" s="40"/>
      <c r="Z72" s="40"/>
      <c r="AA72" s="87"/>
      <c r="AB72" s="40"/>
      <c r="AC72" s="40"/>
      <c r="AD72" s="74"/>
      <c r="AE72" s="87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x14ac:dyDescent="0.3">
      <c r="A73" s="1"/>
      <c r="B73" s="73"/>
      <c r="C73" s="69" t="s">
        <v>64</v>
      </c>
      <c r="D73" s="62">
        <f>SUM(D67:D72)</f>
        <v>24</v>
      </c>
      <c r="E73" s="600"/>
      <c r="F73" s="63">
        <f>SUM(F67:F72)</f>
        <v>248.39999999999998</v>
      </c>
      <c r="G73" s="600"/>
      <c r="H73" s="606">
        <f>SUM(H67:H72)</f>
        <v>139.10400000000001</v>
      </c>
      <c r="I73" s="62">
        <f>SUM(I67:I70)</f>
        <v>4</v>
      </c>
      <c r="J73" s="600"/>
      <c r="K73" s="63">
        <f>SUM(K67:K72)</f>
        <v>55.2</v>
      </c>
      <c r="L73" s="600"/>
      <c r="M73" s="606">
        <f>SUM(M67:M72)</f>
        <v>55.2</v>
      </c>
      <c r="N73" s="62">
        <f>SUM(N67:N72)</f>
        <v>2</v>
      </c>
      <c r="O73" s="608"/>
      <c r="P73" s="609"/>
      <c r="Q73" s="64">
        <f>SUM(Q67:Q72)</f>
        <v>41.4</v>
      </c>
      <c r="R73" s="630">
        <v>0</v>
      </c>
      <c r="S73" s="632"/>
      <c r="T73" s="633"/>
      <c r="U73" s="634"/>
      <c r="V73" s="64">
        <v>0</v>
      </c>
      <c r="W73" s="832">
        <f>SUM(W67:W72)</f>
        <v>235.70400000000001</v>
      </c>
      <c r="X73" s="40"/>
      <c r="Y73" s="763" t="s">
        <v>174</v>
      </c>
      <c r="Z73" s="764"/>
      <c r="AA73" s="769" t="s">
        <v>160</v>
      </c>
      <c r="AB73" s="770"/>
      <c r="AC73" s="771"/>
      <c r="AD73" s="74"/>
      <c r="AE73" s="87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5" customHeight="1" thickBot="1" x14ac:dyDescent="0.35">
      <c r="A74" s="1"/>
      <c r="B74" s="73"/>
      <c r="C74" s="70" t="s">
        <v>65</v>
      </c>
      <c r="D74" s="65" t="s">
        <v>90</v>
      </c>
      <c r="E74" s="601"/>
      <c r="F74" s="66" t="s">
        <v>91</v>
      </c>
      <c r="G74" s="601"/>
      <c r="H74" s="607"/>
      <c r="I74" s="65" t="s">
        <v>92</v>
      </c>
      <c r="J74" s="601"/>
      <c r="K74" s="66" t="s">
        <v>93</v>
      </c>
      <c r="L74" s="601"/>
      <c r="M74" s="607"/>
      <c r="N74" s="65" t="s">
        <v>94</v>
      </c>
      <c r="O74" s="610"/>
      <c r="P74" s="611"/>
      <c r="Q74" s="67" t="s">
        <v>95</v>
      </c>
      <c r="R74" s="631"/>
      <c r="S74" s="635"/>
      <c r="T74" s="636"/>
      <c r="U74" s="637"/>
      <c r="V74" s="68" t="s">
        <v>96</v>
      </c>
      <c r="W74" s="628"/>
      <c r="X74" s="40"/>
      <c r="Y74" s="765"/>
      <c r="Z74" s="766"/>
      <c r="AA74" s="772"/>
      <c r="AB74" s="772"/>
      <c r="AC74" s="773"/>
      <c r="AD74" s="74"/>
      <c r="AE74" s="87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4.4" customHeight="1" x14ac:dyDescent="0.3">
      <c r="A75" s="1"/>
      <c r="B75" s="73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87"/>
      <c r="Z75" s="87"/>
      <c r="AA75" s="87"/>
      <c r="AB75" s="87"/>
      <c r="AC75" s="87"/>
      <c r="AD75" s="214"/>
      <c r="AE75" s="87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4.4" customHeight="1" x14ac:dyDescent="0.3">
      <c r="A76" s="1"/>
      <c r="B76" s="73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786" t="s">
        <v>143</v>
      </c>
      <c r="Q76" s="786"/>
      <c r="R76" s="787">
        <f>(0.2+(0.8/(D73+N73)^(1/2)))*(D73*E67+Q73)+((0.5+(0.5/(I73)^(1/2)))*(I73*J67))</f>
        <v>144.8275647704366</v>
      </c>
      <c r="S76" s="787"/>
      <c r="T76" s="787"/>
      <c r="U76" s="787"/>
      <c r="V76" s="787"/>
      <c r="W76" s="788" t="s">
        <v>17</v>
      </c>
      <c r="X76" s="40"/>
      <c r="Y76" s="87"/>
      <c r="Z76" s="87"/>
      <c r="AA76" s="87"/>
      <c r="AB76" s="87"/>
      <c r="AC76" s="87"/>
      <c r="AD76" s="214"/>
      <c r="AE76" s="87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ht="14.4" customHeight="1" x14ac:dyDescent="0.3">
      <c r="A77" s="1"/>
      <c r="B77" s="73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786"/>
      <c r="Q77" s="786"/>
      <c r="R77" s="787"/>
      <c r="S77" s="787"/>
      <c r="T77" s="787"/>
      <c r="U77" s="787"/>
      <c r="V77" s="787"/>
      <c r="W77" s="788"/>
      <c r="X77" s="40"/>
      <c r="Y77" s="87"/>
      <c r="Z77" s="87"/>
      <c r="AA77" s="87"/>
      <c r="AB77" s="87"/>
      <c r="AC77" s="87"/>
      <c r="AD77" s="214"/>
      <c r="AE77" s="87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x14ac:dyDescent="0.3">
      <c r="A78" s="1"/>
      <c r="B78" s="73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87"/>
      <c r="Z78" s="87"/>
      <c r="AA78" s="87"/>
      <c r="AB78" s="87"/>
      <c r="AC78" s="87"/>
      <c r="AD78" s="214"/>
      <c r="AE78" s="87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4.4" customHeight="1" x14ac:dyDescent="0.3">
      <c r="A79" s="1"/>
      <c r="B79" s="7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786" t="s">
        <v>144</v>
      </c>
      <c r="Q79" s="786"/>
      <c r="R79" s="787">
        <f>(R76*1000)/(3*230)</f>
        <v>209.89502140642983</v>
      </c>
      <c r="S79" s="787"/>
      <c r="T79" s="787"/>
      <c r="U79" s="787"/>
      <c r="V79" s="787"/>
      <c r="W79" s="788" t="s">
        <v>118</v>
      </c>
      <c r="X79" s="40"/>
      <c r="Y79" s="87"/>
      <c r="Z79" s="87"/>
      <c r="AA79" s="87"/>
      <c r="AB79" s="87"/>
      <c r="AC79" s="87"/>
      <c r="AD79" s="214"/>
      <c r="AE79" s="87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ht="14.4" customHeight="1" x14ac:dyDescent="0.3">
      <c r="A80" s="1"/>
      <c r="B80" s="73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786"/>
      <c r="Q80" s="786"/>
      <c r="R80" s="787"/>
      <c r="S80" s="787"/>
      <c r="T80" s="787"/>
      <c r="U80" s="787"/>
      <c r="V80" s="787"/>
      <c r="W80" s="788"/>
      <c r="X80" s="40"/>
      <c r="Y80" s="87"/>
      <c r="Z80" s="87"/>
      <c r="AA80" s="87"/>
      <c r="AB80" s="87"/>
      <c r="AC80" s="87"/>
      <c r="AD80" s="214"/>
      <c r="AE80" s="87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x14ac:dyDescent="0.3">
      <c r="A81" s="1"/>
      <c r="B81" s="73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87"/>
      <c r="Z81" s="87"/>
      <c r="AA81" s="87"/>
      <c r="AB81" s="87"/>
      <c r="AC81" s="87"/>
      <c r="AD81" s="214"/>
      <c r="AE81" s="87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ht="15" thickBot="1" x14ac:dyDescent="0.35">
      <c r="A82" s="1"/>
      <c r="B82" s="75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215"/>
      <c r="Z82" s="215"/>
      <c r="AA82" s="215"/>
      <c r="AB82" s="215"/>
      <c r="AC82" s="215"/>
      <c r="AD82" s="216"/>
      <c r="AE82" s="87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x14ac:dyDescent="0.3">
      <c r="A83" s="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87"/>
      <c r="Z83" s="87"/>
      <c r="AA83" s="87"/>
      <c r="AB83" s="87"/>
      <c r="AC83" s="87"/>
      <c r="AD83" s="87"/>
      <c r="AE83" s="87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5" thickBo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87"/>
      <c r="Z84" s="87"/>
      <c r="AA84" s="87"/>
      <c r="AB84" s="87"/>
      <c r="AC84" s="87"/>
      <c r="AD84" s="87"/>
      <c r="AE84" s="87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x14ac:dyDescent="0.3">
      <c r="A85" s="1"/>
      <c r="B85" s="826" t="s">
        <v>167</v>
      </c>
      <c r="C85" s="827"/>
      <c r="D85" s="827"/>
      <c r="E85" s="827"/>
      <c r="F85" s="827"/>
      <c r="G85" s="827"/>
      <c r="H85" s="827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217"/>
      <c r="Z85" s="217"/>
      <c r="AA85" s="217"/>
      <c r="AB85" s="217"/>
      <c r="AC85" s="217"/>
      <c r="AD85" s="218"/>
      <c r="AE85" s="87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x14ac:dyDescent="0.3">
      <c r="A86" s="1"/>
      <c r="B86" s="828"/>
      <c r="C86" s="829"/>
      <c r="D86" s="829"/>
      <c r="E86" s="829"/>
      <c r="F86" s="829"/>
      <c r="G86" s="829"/>
      <c r="H86" s="829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87"/>
      <c r="Z86" s="87"/>
      <c r="AA86" s="87"/>
      <c r="AB86" s="87"/>
      <c r="AC86" s="87"/>
      <c r="AD86" s="214"/>
      <c r="AE86" s="87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x14ac:dyDescent="0.3">
      <c r="A87" s="1"/>
      <c r="B87" s="7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761" t="s">
        <v>119</v>
      </c>
      <c r="Z87" s="761"/>
      <c r="AA87" s="761"/>
      <c r="AB87" s="761"/>
      <c r="AC87" s="761"/>
      <c r="AD87" s="762"/>
      <c r="AE87" s="87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ht="14.4" customHeight="1" x14ac:dyDescent="0.3">
      <c r="A88" s="1"/>
      <c r="B88" s="7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761"/>
      <c r="Z88" s="761"/>
      <c r="AA88" s="761"/>
      <c r="AB88" s="761"/>
      <c r="AC88" s="761"/>
      <c r="AD88" s="762"/>
      <c r="AE88" s="87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ht="14.4" customHeight="1" thickBot="1" x14ac:dyDescent="0.35">
      <c r="A89" s="1"/>
      <c r="B89" s="73"/>
      <c r="C89" s="615" t="s">
        <v>50</v>
      </c>
      <c r="D89" s="624" t="s">
        <v>15</v>
      </c>
      <c r="E89" s="625"/>
      <c r="F89" s="625"/>
      <c r="G89" s="625"/>
      <c r="H89" s="626"/>
      <c r="I89" s="624" t="s">
        <v>51</v>
      </c>
      <c r="J89" s="625"/>
      <c r="K89" s="625"/>
      <c r="L89" s="625"/>
      <c r="M89" s="626"/>
      <c r="N89" s="624" t="s">
        <v>23</v>
      </c>
      <c r="O89" s="625"/>
      <c r="P89" s="625"/>
      <c r="Q89" s="626"/>
      <c r="R89" s="624" t="s">
        <v>52</v>
      </c>
      <c r="S89" s="625"/>
      <c r="T89" s="625"/>
      <c r="U89" s="625"/>
      <c r="V89" s="626"/>
      <c r="W89" s="649" t="s">
        <v>87</v>
      </c>
      <c r="X89" s="40"/>
      <c r="Y89" s="40"/>
      <c r="Z89" s="40"/>
      <c r="AA89" s="40"/>
      <c r="AB89" s="40"/>
      <c r="AC89" s="40"/>
      <c r="AD89" s="74"/>
      <c r="AE89" s="87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4.4" customHeight="1" x14ac:dyDescent="0.3">
      <c r="A90" s="1"/>
      <c r="B90" s="73"/>
      <c r="C90" s="830"/>
      <c r="D90" s="817" t="s">
        <v>53</v>
      </c>
      <c r="E90" s="53" t="s">
        <v>54</v>
      </c>
      <c r="F90" s="52" t="s">
        <v>55</v>
      </c>
      <c r="G90" s="619" t="s">
        <v>56</v>
      </c>
      <c r="H90" s="54" t="s">
        <v>55</v>
      </c>
      <c r="I90" s="817" t="s">
        <v>53</v>
      </c>
      <c r="J90" s="53" t="s">
        <v>54</v>
      </c>
      <c r="K90" s="52" t="s">
        <v>55</v>
      </c>
      <c r="L90" s="621" t="s">
        <v>56</v>
      </c>
      <c r="M90" s="52" t="s">
        <v>55</v>
      </c>
      <c r="N90" s="817" t="s">
        <v>53</v>
      </c>
      <c r="O90" s="53" t="s">
        <v>54</v>
      </c>
      <c r="P90" s="621" t="s">
        <v>56</v>
      </c>
      <c r="Q90" s="54" t="s">
        <v>55</v>
      </c>
      <c r="R90" s="55"/>
      <c r="S90" s="652" t="s">
        <v>57</v>
      </c>
      <c r="T90" s="821"/>
      <c r="U90" s="53" t="s">
        <v>54</v>
      </c>
      <c r="V90" s="54" t="s">
        <v>55</v>
      </c>
      <c r="W90" s="650"/>
      <c r="X90" s="40"/>
      <c r="Y90" s="763" t="s">
        <v>175</v>
      </c>
      <c r="Z90" s="764"/>
      <c r="AA90" s="767">
        <f>((H93+Q93)*1000)/(3*230)</f>
        <v>130.80000000000001</v>
      </c>
      <c r="AB90" s="767"/>
      <c r="AC90" s="759" t="s">
        <v>118</v>
      </c>
      <c r="AD90" s="74"/>
      <c r="AE90" s="87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ht="14.4" customHeight="1" thickBot="1" x14ac:dyDescent="0.35">
      <c r="A91" s="1"/>
      <c r="B91" s="73"/>
      <c r="C91" s="830"/>
      <c r="D91" s="818"/>
      <c r="E91" s="58" t="s">
        <v>58</v>
      </c>
      <c r="F91" s="57" t="s">
        <v>37</v>
      </c>
      <c r="G91" s="620"/>
      <c r="H91" s="59" t="s">
        <v>15</v>
      </c>
      <c r="I91" s="818"/>
      <c r="J91" s="58" t="s">
        <v>58</v>
      </c>
      <c r="K91" s="57" t="s">
        <v>37</v>
      </c>
      <c r="L91" s="622"/>
      <c r="M91" s="57" t="s">
        <v>59</v>
      </c>
      <c r="N91" s="818"/>
      <c r="O91" s="58" t="s">
        <v>58</v>
      </c>
      <c r="P91" s="622"/>
      <c r="Q91" s="59" t="s">
        <v>60</v>
      </c>
      <c r="R91" s="60" t="s">
        <v>53</v>
      </c>
      <c r="S91" s="822"/>
      <c r="T91" s="823"/>
      <c r="U91" s="58" t="s">
        <v>58</v>
      </c>
      <c r="V91" s="59" t="s">
        <v>61</v>
      </c>
      <c r="W91" s="650"/>
      <c r="X91" s="40"/>
      <c r="Y91" s="765"/>
      <c r="Z91" s="766"/>
      <c r="AA91" s="768"/>
      <c r="AB91" s="768"/>
      <c r="AC91" s="760"/>
      <c r="AD91" s="74"/>
      <c r="AE91" s="87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ht="15.6" customHeight="1" thickBot="1" x14ac:dyDescent="0.35">
      <c r="A92" s="1"/>
      <c r="B92" s="73"/>
      <c r="C92" s="831"/>
      <c r="D92" s="819"/>
      <c r="E92" s="58" t="s">
        <v>62</v>
      </c>
      <c r="F92" s="57" t="s">
        <v>63</v>
      </c>
      <c r="G92" s="820"/>
      <c r="H92" s="59" t="s">
        <v>63</v>
      </c>
      <c r="I92" s="819"/>
      <c r="J92" s="58" t="s">
        <v>62</v>
      </c>
      <c r="K92" s="57" t="s">
        <v>63</v>
      </c>
      <c r="L92" s="623"/>
      <c r="M92" s="57" t="s">
        <v>63</v>
      </c>
      <c r="N92" s="819"/>
      <c r="O92" s="58" t="s">
        <v>63</v>
      </c>
      <c r="P92" s="623"/>
      <c r="Q92" s="59" t="s">
        <v>63</v>
      </c>
      <c r="R92" s="60" t="s">
        <v>88</v>
      </c>
      <c r="S92" s="824"/>
      <c r="T92" s="825"/>
      <c r="U92" s="61" t="s">
        <v>89</v>
      </c>
      <c r="V92" s="59" t="s">
        <v>63</v>
      </c>
      <c r="W92" s="651"/>
      <c r="X92" s="40"/>
      <c r="Y92" s="40"/>
      <c r="Z92" s="40"/>
      <c r="AA92" s="40"/>
      <c r="AB92" s="40"/>
      <c r="AC92" s="40"/>
      <c r="AD92" s="74"/>
      <c r="AE92" s="87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ht="14.4" customHeight="1" x14ac:dyDescent="0.3">
      <c r="A93" s="1"/>
      <c r="B93" s="73"/>
      <c r="C93" s="558">
        <v>6</v>
      </c>
      <c r="D93" s="560">
        <v>12</v>
      </c>
      <c r="E93" s="562">
        <v>10.35</v>
      </c>
      <c r="F93" s="563">
        <f>E93*D93</f>
        <v>124.19999999999999</v>
      </c>
      <c r="G93" s="565">
        <v>0.56000000000000005</v>
      </c>
      <c r="H93" s="508">
        <f>G93*F93</f>
        <v>69.552000000000007</v>
      </c>
      <c r="I93" s="569">
        <v>2</v>
      </c>
      <c r="J93" s="570">
        <v>13.8</v>
      </c>
      <c r="K93" s="563">
        <f>27.6</f>
        <v>27.6</v>
      </c>
      <c r="L93" s="490">
        <v>1</v>
      </c>
      <c r="M93" s="582">
        <f>L93*K93</f>
        <v>27.6</v>
      </c>
      <c r="N93" s="560">
        <v>1</v>
      </c>
      <c r="O93" s="577">
        <v>20.7</v>
      </c>
      <c r="P93" s="577">
        <v>1</v>
      </c>
      <c r="Q93" s="508">
        <f>P93*O93</f>
        <v>20.7</v>
      </c>
      <c r="R93" s="578"/>
      <c r="S93" s="494"/>
      <c r="T93" s="495"/>
      <c r="U93" s="490"/>
      <c r="V93" s="573">
        <v>0</v>
      </c>
      <c r="W93" s="556">
        <f>V93+Q93+M93+H93</f>
        <v>117.852</v>
      </c>
      <c r="X93" s="40"/>
      <c r="Y93" s="763" t="s">
        <v>176</v>
      </c>
      <c r="Z93" s="764"/>
      <c r="AA93" s="767">
        <f>(J93*1000)/(230)</f>
        <v>60</v>
      </c>
      <c r="AB93" s="767"/>
      <c r="AC93" s="759" t="s">
        <v>118</v>
      </c>
      <c r="AD93" s="74"/>
      <c r="AE93" s="87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4.4" customHeight="1" thickBot="1" x14ac:dyDescent="0.35">
      <c r="A94" s="1"/>
      <c r="B94" s="73"/>
      <c r="C94" s="559"/>
      <c r="D94" s="561"/>
      <c r="E94" s="491"/>
      <c r="F94" s="564"/>
      <c r="G94" s="566"/>
      <c r="H94" s="509"/>
      <c r="I94" s="561"/>
      <c r="J94" s="491"/>
      <c r="K94" s="564"/>
      <c r="L94" s="491"/>
      <c r="M94" s="583"/>
      <c r="N94" s="561"/>
      <c r="O94" s="491"/>
      <c r="P94" s="491"/>
      <c r="Q94" s="509"/>
      <c r="R94" s="561"/>
      <c r="S94" s="496"/>
      <c r="T94" s="497"/>
      <c r="U94" s="491"/>
      <c r="V94" s="574"/>
      <c r="W94" s="557"/>
      <c r="X94" s="40"/>
      <c r="Y94" s="765"/>
      <c r="Z94" s="766"/>
      <c r="AA94" s="768"/>
      <c r="AB94" s="768"/>
      <c r="AC94" s="760"/>
      <c r="AD94" s="74"/>
      <c r="AE94" s="87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5" customHeight="1" thickBot="1" x14ac:dyDescent="0.35">
      <c r="A95" s="1"/>
      <c r="B95" s="73"/>
      <c r="C95" s="853"/>
      <c r="D95" s="851"/>
      <c r="E95" s="855"/>
      <c r="F95" s="847"/>
      <c r="G95" s="856"/>
      <c r="H95" s="833"/>
      <c r="I95" s="858"/>
      <c r="J95" s="859"/>
      <c r="K95" s="847"/>
      <c r="L95" s="841"/>
      <c r="M95" s="849"/>
      <c r="N95" s="851"/>
      <c r="O95" s="852"/>
      <c r="P95" s="852"/>
      <c r="Q95" s="833"/>
      <c r="R95" s="835"/>
      <c r="S95" s="837"/>
      <c r="T95" s="838"/>
      <c r="U95" s="841"/>
      <c r="V95" s="843"/>
      <c r="W95" s="845"/>
      <c r="X95" s="40"/>
      <c r="Y95" s="40"/>
      <c r="Z95" s="40"/>
      <c r="AA95" s="40"/>
      <c r="AB95" s="40"/>
      <c r="AC95" s="40"/>
      <c r="AD95" s="74"/>
      <c r="AE95" s="87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4.4" customHeight="1" x14ac:dyDescent="0.3">
      <c r="A96" s="1"/>
      <c r="B96" s="73"/>
      <c r="C96" s="854"/>
      <c r="D96" s="836"/>
      <c r="E96" s="842"/>
      <c r="F96" s="848"/>
      <c r="G96" s="857"/>
      <c r="H96" s="834"/>
      <c r="I96" s="836"/>
      <c r="J96" s="842"/>
      <c r="K96" s="848"/>
      <c r="L96" s="842"/>
      <c r="M96" s="850"/>
      <c r="N96" s="836"/>
      <c r="O96" s="842"/>
      <c r="P96" s="842"/>
      <c r="Q96" s="834"/>
      <c r="R96" s="836"/>
      <c r="S96" s="839"/>
      <c r="T96" s="840"/>
      <c r="U96" s="842"/>
      <c r="V96" s="844"/>
      <c r="W96" s="846"/>
      <c r="X96" s="40"/>
      <c r="Y96" s="763" t="s">
        <v>176</v>
      </c>
      <c r="Z96" s="764"/>
      <c r="AA96" s="767">
        <f>(J93*1000)/(230)</f>
        <v>60</v>
      </c>
      <c r="AB96" s="767"/>
      <c r="AC96" s="759" t="s">
        <v>118</v>
      </c>
      <c r="AD96" s="74"/>
      <c r="AE96" s="87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4.4" customHeight="1" thickBot="1" x14ac:dyDescent="0.35">
      <c r="A97" s="1"/>
      <c r="B97" s="73"/>
      <c r="C97" s="69" t="s">
        <v>64</v>
      </c>
      <c r="D97" s="62">
        <f>SUM(D93:D96)</f>
        <v>12</v>
      </c>
      <c r="E97" s="600"/>
      <c r="F97" s="63">
        <f>SUM(F93:F96)</f>
        <v>124.19999999999999</v>
      </c>
      <c r="G97" s="600"/>
      <c r="H97" s="606">
        <f>SUM(H93:H96)</f>
        <v>69.552000000000007</v>
      </c>
      <c r="I97" s="62">
        <f>SUM(I93:I96)</f>
        <v>2</v>
      </c>
      <c r="J97" s="600"/>
      <c r="K97" s="63">
        <f>SUM(K93:K96)</f>
        <v>27.6</v>
      </c>
      <c r="L97" s="600"/>
      <c r="M97" s="606">
        <f>SUM(M93:M96)</f>
        <v>27.6</v>
      </c>
      <c r="N97" s="62">
        <f>SUM(N93:N96)</f>
        <v>1</v>
      </c>
      <c r="O97" s="608"/>
      <c r="P97" s="609"/>
      <c r="Q97" s="64">
        <f>SUM(Q93:Q96)</f>
        <v>20.7</v>
      </c>
      <c r="R97" s="630">
        <v>0</v>
      </c>
      <c r="S97" s="632"/>
      <c r="T97" s="633"/>
      <c r="U97" s="634"/>
      <c r="V97" s="64">
        <v>0</v>
      </c>
      <c r="W97" s="832">
        <f>SUM(W93:W96)</f>
        <v>117.852</v>
      </c>
      <c r="X97" s="40"/>
      <c r="Y97" s="765"/>
      <c r="Z97" s="766"/>
      <c r="AA97" s="768"/>
      <c r="AB97" s="768"/>
      <c r="AC97" s="760"/>
      <c r="AD97" s="74"/>
      <c r="AE97" s="87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5.6" customHeight="1" thickBot="1" x14ac:dyDescent="0.35">
      <c r="A98" s="1"/>
      <c r="B98" s="73"/>
      <c r="C98" s="70" t="s">
        <v>65</v>
      </c>
      <c r="D98" s="65" t="s">
        <v>90</v>
      </c>
      <c r="E98" s="601"/>
      <c r="F98" s="66" t="s">
        <v>91</v>
      </c>
      <c r="G98" s="601"/>
      <c r="H98" s="607"/>
      <c r="I98" s="65" t="s">
        <v>92</v>
      </c>
      <c r="J98" s="601"/>
      <c r="K98" s="66" t="s">
        <v>93</v>
      </c>
      <c r="L98" s="601"/>
      <c r="M98" s="607"/>
      <c r="N98" s="65" t="s">
        <v>94</v>
      </c>
      <c r="O98" s="610"/>
      <c r="P98" s="611"/>
      <c r="Q98" s="67" t="s">
        <v>95</v>
      </c>
      <c r="R98" s="631"/>
      <c r="S98" s="635"/>
      <c r="T98" s="636"/>
      <c r="U98" s="637"/>
      <c r="V98" s="68" t="s">
        <v>96</v>
      </c>
      <c r="W98" s="628"/>
      <c r="X98" s="40"/>
      <c r="Y98" s="40"/>
      <c r="Z98" s="40"/>
      <c r="AA98" s="87"/>
      <c r="AB98" s="40"/>
      <c r="AC98" s="40"/>
      <c r="AD98" s="74"/>
      <c r="AE98" s="87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x14ac:dyDescent="0.3">
      <c r="A99" s="1"/>
      <c r="B99" s="7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763" t="s">
        <v>159</v>
      </c>
      <c r="Z99" s="764"/>
      <c r="AA99" s="769" t="s">
        <v>160</v>
      </c>
      <c r="AB99" s="770"/>
      <c r="AC99" s="771"/>
      <c r="AD99" s="74"/>
      <c r="AE99" s="87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4.4" customHeight="1" thickBot="1" x14ac:dyDescent="0.35">
      <c r="A100" s="1"/>
      <c r="B100" s="7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786" t="s">
        <v>145</v>
      </c>
      <c r="Q100" s="786"/>
      <c r="R100" s="787">
        <f>(0.2+(0.8/(D97+N97)^(1/2)))*(D97*E93+Q97)</f>
        <v>61.130423373214278</v>
      </c>
      <c r="S100" s="787"/>
      <c r="T100" s="787"/>
      <c r="U100" s="787"/>
      <c r="V100" s="787"/>
      <c r="W100" s="788" t="s">
        <v>17</v>
      </c>
      <c r="X100" s="40"/>
      <c r="Y100" s="765"/>
      <c r="Z100" s="766"/>
      <c r="AA100" s="772"/>
      <c r="AB100" s="772"/>
      <c r="AC100" s="773"/>
      <c r="AD100" s="74"/>
      <c r="AE100" s="87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5" customHeight="1" x14ac:dyDescent="0.3">
      <c r="A101" s="1"/>
      <c r="B101" s="7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786"/>
      <c r="Q101" s="786"/>
      <c r="R101" s="787"/>
      <c r="S101" s="787"/>
      <c r="T101" s="787"/>
      <c r="U101" s="787"/>
      <c r="V101" s="787"/>
      <c r="W101" s="788"/>
      <c r="X101" s="40"/>
      <c r="Y101" s="87"/>
      <c r="Z101" s="87"/>
      <c r="AA101" s="87"/>
      <c r="AB101" s="87"/>
      <c r="AC101" s="87"/>
      <c r="AD101" s="214"/>
      <c r="AE101" s="87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x14ac:dyDescent="0.3">
      <c r="A102" s="1"/>
      <c r="B102" s="7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87"/>
      <c r="Z102" s="87"/>
      <c r="AA102" s="87"/>
      <c r="AB102" s="87"/>
      <c r="AC102" s="87"/>
      <c r="AD102" s="214"/>
      <c r="AE102" s="87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x14ac:dyDescent="0.3">
      <c r="A103" s="1"/>
      <c r="B103" s="7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786" t="s">
        <v>146</v>
      </c>
      <c r="Q103" s="786"/>
      <c r="R103" s="787">
        <f>(R100*1000)/(3*230)</f>
        <v>88.594816482919242</v>
      </c>
      <c r="S103" s="787"/>
      <c r="T103" s="787"/>
      <c r="U103" s="787"/>
      <c r="V103" s="787"/>
      <c r="W103" s="788" t="s">
        <v>118</v>
      </c>
      <c r="X103" s="40"/>
      <c r="Y103" s="87"/>
      <c r="Z103" s="87"/>
      <c r="AA103" s="87"/>
      <c r="AB103" s="87"/>
      <c r="AC103" s="87"/>
      <c r="AD103" s="214"/>
      <c r="AE103" s="87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x14ac:dyDescent="0.3">
      <c r="A104" s="1"/>
      <c r="B104" s="7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786"/>
      <c r="Q104" s="786"/>
      <c r="R104" s="787"/>
      <c r="S104" s="787"/>
      <c r="T104" s="787"/>
      <c r="U104" s="787"/>
      <c r="V104" s="787"/>
      <c r="W104" s="788"/>
      <c r="X104" s="40"/>
      <c r="Y104" s="87"/>
      <c r="Z104" s="87"/>
      <c r="AA104" s="87"/>
      <c r="AB104" s="87"/>
      <c r="AC104" s="87"/>
      <c r="AD104" s="214"/>
      <c r="AE104" s="87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x14ac:dyDescent="0.3">
      <c r="A105" s="1"/>
      <c r="B105" s="7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87"/>
      <c r="Z105" s="87"/>
      <c r="AA105" s="87"/>
      <c r="AB105" s="87"/>
      <c r="AC105" s="87"/>
      <c r="AD105" s="214"/>
      <c r="AE105" s="87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5" thickBot="1" x14ac:dyDescent="0.35">
      <c r="A106" s="1"/>
      <c r="B106" s="7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215"/>
      <c r="Z106" s="215"/>
      <c r="AA106" s="215"/>
      <c r="AB106" s="215"/>
      <c r="AC106" s="215"/>
      <c r="AD106" s="216"/>
      <c r="AE106" s="87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87"/>
      <c r="Z107" s="87"/>
      <c r="AA107" s="87"/>
      <c r="AB107" s="87"/>
      <c r="AC107" s="87"/>
      <c r="AD107" s="87"/>
      <c r="AE107" s="87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87"/>
      <c r="Z108" s="87"/>
      <c r="AA108" s="87"/>
      <c r="AB108" s="87"/>
      <c r="AC108" s="87"/>
      <c r="AD108" s="87"/>
      <c r="AE108" s="87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x14ac:dyDescent="0.3">
      <c r="A109" s="1"/>
      <c r="B109" s="826" t="s">
        <v>168</v>
      </c>
      <c r="C109" s="827"/>
      <c r="D109" s="827"/>
      <c r="E109" s="827"/>
      <c r="F109" s="827"/>
      <c r="G109" s="827"/>
      <c r="H109" s="827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217"/>
      <c r="Z109" s="217"/>
      <c r="AA109" s="217"/>
      <c r="AB109" s="217"/>
      <c r="AC109" s="217"/>
      <c r="AD109" s="218"/>
      <c r="AE109" s="87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x14ac:dyDescent="0.3">
      <c r="A110" s="1"/>
      <c r="B110" s="828"/>
      <c r="C110" s="829"/>
      <c r="D110" s="829"/>
      <c r="E110" s="829"/>
      <c r="F110" s="829"/>
      <c r="G110" s="829"/>
      <c r="H110" s="829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87"/>
      <c r="Z110" s="87"/>
      <c r="AA110" s="87"/>
      <c r="AB110" s="87"/>
      <c r="AC110" s="87"/>
      <c r="AD110" s="214"/>
      <c r="AE110" s="87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x14ac:dyDescent="0.3">
      <c r="A111" s="1"/>
      <c r="B111" s="73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761" t="s">
        <v>119</v>
      </c>
      <c r="Z111" s="761"/>
      <c r="AA111" s="761"/>
      <c r="AB111" s="761"/>
      <c r="AC111" s="761"/>
      <c r="AD111" s="762"/>
      <c r="AE111" s="87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4.4" customHeight="1" x14ac:dyDescent="0.3">
      <c r="A112" s="1"/>
      <c r="B112" s="73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761"/>
      <c r="Z112" s="761"/>
      <c r="AA112" s="761"/>
      <c r="AB112" s="761"/>
      <c r="AC112" s="761"/>
      <c r="AD112" s="762"/>
      <c r="AE112" s="87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4.4" customHeight="1" thickBot="1" x14ac:dyDescent="0.35">
      <c r="A113" s="1"/>
      <c r="B113" s="73"/>
      <c r="C113" s="615" t="s">
        <v>50</v>
      </c>
      <c r="D113" s="624" t="s">
        <v>15</v>
      </c>
      <c r="E113" s="625"/>
      <c r="F113" s="625"/>
      <c r="G113" s="625"/>
      <c r="H113" s="626"/>
      <c r="I113" s="624" t="s">
        <v>51</v>
      </c>
      <c r="J113" s="625"/>
      <c r="K113" s="625"/>
      <c r="L113" s="625"/>
      <c r="M113" s="626"/>
      <c r="N113" s="624" t="s">
        <v>23</v>
      </c>
      <c r="O113" s="625"/>
      <c r="P113" s="625"/>
      <c r="Q113" s="626"/>
      <c r="R113" s="624" t="s">
        <v>52</v>
      </c>
      <c r="S113" s="625"/>
      <c r="T113" s="625"/>
      <c r="U113" s="625"/>
      <c r="V113" s="626"/>
      <c r="W113" s="649" t="s">
        <v>87</v>
      </c>
      <c r="X113" s="40"/>
      <c r="Y113" s="40"/>
      <c r="Z113" s="40"/>
      <c r="AA113" s="40"/>
      <c r="AB113" s="40"/>
      <c r="AC113" s="40"/>
      <c r="AD113" s="74"/>
      <c r="AE113" s="87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x14ac:dyDescent="0.3">
      <c r="A114" s="1"/>
      <c r="B114" s="73"/>
      <c r="C114" s="830"/>
      <c r="D114" s="817" t="s">
        <v>53</v>
      </c>
      <c r="E114" s="53" t="s">
        <v>54</v>
      </c>
      <c r="F114" s="52" t="s">
        <v>55</v>
      </c>
      <c r="G114" s="619" t="s">
        <v>56</v>
      </c>
      <c r="H114" s="54" t="s">
        <v>55</v>
      </c>
      <c r="I114" s="817" t="s">
        <v>53</v>
      </c>
      <c r="J114" s="53" t="s">
        <v>54</v>
      </c>
      <c r="K114" s="52" t="s">
        <v>55</v>
      </c>
      <c r="L114" s="621" t="s">
        <v>56</v>
      </c>
      <c r="M114" s="52" t="s">
        <v>55</v>
      </c>
      <c r="N114" s="817" t="s">
        <v>53</v>
      </c>
      <c r="O114" s="53" t="s">
        <v>54</v>
      </c>
      <c r="P114" s="621" t="s">
        <v>56</v>
      </c>
      <c r="Q114" s="54" t="s">
        <v>55</v>
      </c>
      <c r="R114" s="55"/>
      <c r="S114" s="652" t="s">
        <v>57</v>
      </c>
      <c r="T114" s="821"/>
      <c r="U114" s="53" t="s">
        <v>54</v>
      </c>
      <c r="V114" s="54" t="s">
        <v>55</v>
      </c>
      <c r="W114" s="650"/>
      <c r="X114" s="40"/>
      <c r="Y114" s="763" t="s">
        <v>177</v>
      </c>
      <c r="Z114" s="764"/>
      <c r="AA114" s="767">
        <f>(W117*1000)/(3*230)</f>
        <v>25</v>
      </c>
      <c r="AB114" s="767"/>
      <c r="AC114" s="759" t="s">
        <v>118</v>
      </c>
      <c r="AD114" s="74"/>
      <c r="AE114" s="87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4.4" customHeight="1" thickBot="1" x14ac:dyDescent="0.35">
      <c r="A115" s="1"/>
      <c r="B115" s="73"/>
      <c r="C115" s="830"/>
      <c r="D115" s="818"/>
      <c r="E115" s="58" t="s">
        <v>58</v>
      </c>
      <c r="F115" s="57" t="s">
        <v>37</v>
      </c>
      <c r="G115" s="620"/>
      <c r="H115" s="59" t="s">
        <v>15</v>
      </c>
      <c r="I115" s="818"/>
      <c r="J115" s="58" t="s">
        <v>58</v>
      </c>
      <c r="K115" s="57" t="s">
        <v>37</v>
      </c>
      <c r="L115" s="622"/>
      <c r="M115" s="57" t="s">
        <v>59</v>
      </c>
      <c r="N115" s="818"/>
      <c r="O115" s="58" t="s">
        <v>58</v>
      </c>
      <c r="P115" s="622"/>
      <c r="Q115" s="59" t="s">
        <v>60</v>
      </c>
      <c r="R115" s="60" t="s">
        <v>53</v>
      </c>
      <c r="S115" s="822"/>
      <c r="T115" s="823"/>
      <c r="U115" s="58" t="s">
        <v>58</v>
      </c>
      <c r="V115" s="59" t="s">
        <v>61</v>
      </c>
      <c r="W115" s="650"/>
      <c r="X115" s="40"/>
      <c r="Y115" s="765"/>
      <c r="Z115" s="766"/>
      <c r="AA115" s="768"/>
      <c r="AB115" s="768"/>
      <c r="AC115" s="760"/>
      <c r="AD115" s="74"/>
      <c r="AE115" s="87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5" customHeight="1" thickBot="1" x14ac:dyDescent="0.35">
      <c r="A116" s="1"/>
      <c r="B116" s="73"/>
      <c r="C116" s="831"/>
      <c r="D116" s="819"/>
      <c r="E116" s="58" t="s">
        <v>62</v>
      </c>
      <c r="F116" s="57" t="s">
        <v>63</v>
      </c>
      <c r="G116" s="820"/>
      <c r="H116" s="59" t="s">
        <v>63</v>
      </c>
      <c r="I116" s="819"/>
      <c r="J116" s="58" t="s">
        <v>62</v>
      </c>
      <c r="K116" s="57" t="s">
        <v>63</v>
      </c>
      <c r="L116" s="623"/>
      <c r="M116" s="57" t="s">
        <v>63</v>
      </c>
      <c r="N116" s="819"/>
      <c r="O116" s="58" t="s">
        <v>63</v>
      </c>
      <c r="P116" s="623"/>
      <c r="Q116" s="59" t="s">
        <v>63</v>
      </c>
      <c r="R116" s="60" t="s">
        <v>88</v>
      </c>
      <c r="S116" s="824"/>
      <c r="T116" s="825"/>
      <c r="U116" s="61" t="s">
        <v>89</v>
      </c>
      <c r="V116" s="59" t="s">
        <v>63</v>
      </c>
      <c r="W116" s="651"/>
      <c r="X116" s="40"/>
      <c r="Y116" s="40"/>
      <c r="Z116" s="40"/>
      <c r="AA116" s="40"/>
      <c r="AB116" s="40"/>
      <c r="AC116" s="40"/>
      <c r="AD116" s="74"/>
      <c r="AE116" s="87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x14ac:dyDescent="0.3">
      <c r="A117" s="1"/>
      <c r="B117" s="73"/>
      <c r="C117" s="498">
        <v>15</v>
      </c>
      <c r="D117" s="500">
        <v>1</v>
      </c>
      <c r="E117" s="502">
        <v>17.25</v>
      </c>
      <c r="F117" s="504">
        <f>E117*D117</f>
        <v>17.25</v>
      </c>
      <c r="G117" s="506">
        <v>1</v>
      </c>
      <c r="H117" s="508">
        <f>G117*F117</f>
        <v>17.25</v>
      </c>
      <c r="I117" s="510"/>
      <c r="J117" s="512"/>
      <c r="K117" s="504">
        <v>0</v>
      </c>
      <c r="L117" s="553">
        <v>1</v>
      </c>
      <c r="M117" s="582">
        <f>L117*K117</f>
        <v>0</v>
      </c>
      <c r="N117" s="584"/>
      <c r="O117" s="514"/>
      <c r="P117" s="514">
        <v>1</v>
      </c>
      <c r="Q117" s="508">
        <f>P117*O117</f>
        <v>0</v>
      </c>
      <c r="R117" s="548"/>
      <c r="S117" s="549"/>
      <c r="T117" s="550"/>
      <c r="U117" s="553"/>
      <c r="V117" s="554">
        <v>0</v>
      </c>
      <c r="W117" s="556">
        <f>V117+Q117+M117+H117</f>
        <v>17.25</v>
      </c>
      <c r="X117" s="40"/>
      <c r="Y117" s="763" t="s">
        <v>178</v>
      </c>
      <c r="Z117" s="764"/>
      <c r="AA117" s="767">
        <f>(W119*1000)/(3*230)</f>
        <v>25</v>
      </c>
      <c r="AB117" s="767"/>
      <c r="AC117" s="759" t="s">
        <v>118</v>
      </c>
      <c r="AD117" s="74"/>
      <c r="AE117" s="87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4.4" customHeight="1" thickBot="1" x14ac:dyDescent="0.35">
      <c r="A118" s="1"/>
      <c r="B118" s="73"/>
      <c r="C118" s="499"/>
      <c r="D118" s="501"/>
      <c r="E118" s="503"/>
      <c r="F118" s="505"/>
      <c r="G118" s="507"/>
      <c r="H118" s="509"/>
      <c r="I118" s="511"/>
      <c r="J118" s="513"/>
      <c r="K118" s="505"/>
      <c r="L118" s="513"/>
      <c r="M118" s="583"/>
      <c r="N118" s="511"/>
      <c r="O118" s="513"/>
      <c r="P118" s="513"/>
      <c r="Q118" s="509"/>
      <c r="R118" s="511"/>
      <c r="S118" s="551"/>
      <c r="T118" s="552"/>
      <c r="U118" s="513"/>
      <c r="V118" s="555"/>
      <c r="W118" s="557"/>
      <c r="X118" s="40"/>
      <c r="Y118" s="765"/>
      <c r="Z118" s="766"/>
      <c r="AA118" s="768"/>
      <c r="AB118" s="768"/>
      <c r="AC118" s="760"/>
      <c r="AD118" s="74"/>
      <c r="AE118" s="87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4.4" customHeight="1" thickBot="1" x14ac:dyDescent="0.35">
      <c r="A119" s="1"/>
      <c r="B119" s="73"/>
      <c r="C119" s="579">
        <v>16</v>
      </c>
      <c r="D119" s="612">
        <v>1</v>
      </c>
      <c r="E119" s="562">
        <v>17.25</v>
      </c>
      <c r="F119" s="563">
        <f>E119*D119</f>
        <v>17.25</v>
      </c>
      <c r="G119" s="565">
        <v>1</v>
      </c>
      <c r="H119" s="567">
        <f>G119*F119</f>
        <v>17.25</v>
      </c>
      <c r="I119" s="569"/>
      <c r="J119" s="570"/>
      <c r="K119" s="563">
        <v>0</v>
      </c>
      <c r="L119" s="490">
        <v>1</v>
      </c>
      <c r="M119" s="571">
        <f>L119*K119</f>
        <v>0</v>
      </c>
      <c r="N119" s="560"/>
      <c r="O119" s="577"/>
      <c r="P119" s="577">
        <v>1</v>
      </c>
      <c r="Q119" s="567">
        <f>P119*O119</f>
        <v>0</v>
      </c>
      <c r="R119" s="578"/>
      <c r="S119" s="494"/>
      <c r="T119" s="495"/>
      <c r="U119" s="490"/>
      <c r="V119" s="573">
        <v>0</v>
      </c>
      <c r="W119" s="575">
        <f>V119+Q119+M119+H119</f>
        <v>17.25</v>
      </c>
      <c r="X119" s="40"/>
      <c r="Y119" s="40"/>
      <c r="Z119" s="40"/>
      <c r="AA119" s="40"/>
      <c r="AB119" s="40"/>
      <c r="AC119" s="40"/>
      <c r="AD119" s="74"/>
      <c r="AE119" s="87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4.4" customHeight="1" x14ac:dyDescent="0.3">
      <c r="A120" s="1"/>
      <c r="B120" s="73"/>
      <c r="C120" s="580"/>
      <c r="D120" s="613"/>
      <c r="E120" s="581"/>
      <c r="F120" s="564"/>
      <c r="G120" s="566"/>
      <c r="H120" s="568"/>
      <c r="I120" s="561"/>
      <c r="J120" s="491"/>
      <c r="K120" s="564"/>
      <c r="L120" s="491"/>
      <c r="M120" s="572"/>
      <c r="N120" s="561"/>
      <c r="O120" s="491"/>
      <c r="P120" s="491"/>
      <c r="Q120" s="568"/>
      <c r="R120" s="561"/>
      <c r="S120" s="496"/>
      <c r="T120" s="497"/>
      <c r="U120" s="491"/>
      <c r="V120" s="574"/>
      <c r="W120" s="576"/>
      <c r="X120" s="40"/>
      <c r="Y120" s="763" t="s">
        <v>179</v>
      </c>
      <c r="Z120" s="764"/>
      <c r="AA120" s="767">
        <f>(W121*1000)/(3*230)</f>
        <v>25</v>
      </c>
      <c r="AB120" s="767"/>
      <c r="AC120" s="759" t="s">
        <v>118</v>
      </c>
      <c r="AD120" s="74"/>
      <c r="AE120" s="87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4.4" customHeight="1" thickBot="1" x14ac:dyDescent="0.35">
      <c r="A121" s="1"/>
      <c r="B121" s="73"/>
      <c r="C121" s="498">
        <v>17</v>
      </c>
      <c r="D121" s="500">
        <v>1</v>
      </c>
      <c r="E121" s="502">
        <v>17.25</v>
      </c>
      <c r="F121" s="504">
        <f>E121*D121</f>
        <v>17.25</v>
      </c>
      <c r="G121" s="506">
        <v>1</v>
      </c>
      <c r="H121" s="508">
        <f>G121*F121</f>
        <v>17.25</v>
      </c>
      <c r="I121" s="510"/>
      <c r="J121" s="512"/>
      <c r="K121" s="504">
        <v>0</v>
      </c>
      <c r="L121" s="553">
        <v>1</v>
      </c>
      <c r="M121" s="582">
        <f>L121*K121</f>
        <v>0</v>
      </c>
      <c r="N121" s="584"/>
      <c r="O121" s="514"/>
      <c r="P121" s="514">
        <v>1</v>
      </c>
      <c r="Q121" s="508">
        <f>P121*O121</f>
        <v>0</v>
      </c>
      <c r="R121" s="548"/>
      <c r="S121" s="549"/>
      <c r="T121" s="550"/>
      <c r="U121" s="553"/>
      <c r="V121" s="554">
        <v>0</v>
      </c>
      <c r="W121" s="556">
        <f>V121+Q121+M121+H121</f>
        <v>17.25</v>
      </c>
      <c r="X121" s="40"/>
      <c r="Y121" s="765"/>
      <c r="Z121" s="766"/>
      <c r="AA121" s="768"/>
      <c r="AB121" s="768"/>
      <c r="AC121" s="760"/>
      <c r="AD121" s="74"/>
      <c r="AE121" s="87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4.4" customHeight="1" thickBot="1" x14ac:dyDescent="0.35">
      <c r="A122" s="1"/>
      <c r="B122" s="73"/>
      <c r="C122" s="499"/>
      <c r="D122" s="501"/>
      <c r="E122" s="503"/>
      <c r="F122" s="505"/>
      <c r="G122" s="507"/>
      <c r="H122" s="509"/>
      <c r="I122" s="511"/>
      <c r="J122" s="513"/>
      <c r="K122" s="505"/>
      <c r="L122" s="513"/>
      <c r="M122" s="583"/>
      <c r="N122" s="511"/>
      <c r="O122" s="513"/>
      <c r="P122" s="513"/>
      <c r="Q122" s="509"/>
      <c r="R122" s="511"/>
      <c r="S122" s="551"/>
      <c r="T122" s="552"/>
      <c r="U122" s="513"/>
      <c r="V122" s="555"/>
      <c r="W122" s="557"/>
      <c r="X122" s="40"/>
      <c r="Y122" s="40"/>
      <c r="Z122" s="40"/>
      <c r="AA122" s="87"/>
      <c r="AB122" s="40"/>
      <c r="AC122" s="40"/>
      <c r="AD122" s="74"/>
      <c r="AE122" s="87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4.4" customHeight="1" x14ac:dyDescent="0.3">
      <c r="A123" s="1"/>
      <c r="B123" s="73"/>
      <c r="C123" s="579">
        <v>18</v>
      </c>
      <c r="D123" s="612">
        <v>1</v>
      </c>
      <c r="E123" s="562">
        <v>17.25</v>
      </c>
      <c r="F123" s="563">
        <f>E123*D123</f>
        <v>17.25</v>
      </c>
      <c r="G123" s="565">
        <v>1</v>
      </c>
      <c r="H123" s="567">
        <f>G123*F123</f>
        <v>17.25</v>
      </c>
      <c r="I123" s="569"/>
      <c r="J123" s="570"/>
      <c r="K123" s="563">
        <v>0</v>
      </c>
      <c r="L123" s="490">
        <v>1</v>
      </c>
      <c r="M123" s="571">
        <f>L123*K123</f>
        <v>0</v>
      </c>
      <c r="N123" s="560"/>
      <c r="O123" s="577"/>
      <c r="P123" s="577">
        <v>1</v>
      </c>
      <c r="Q123" s="567">
        <f>P123*O123</f>
        <v>0</v>
      </c>
      <c r="R123" s="578"/>
      <c r="S123" s="494"/>
      <c r="T123" s="495"/>
      <c r="U123" s="490"/>
      <c r="V123" s="573">
        <v>0</v>
      </c>
      <c r="W123" s="575">
        <f>V123+Q123+M123+H123</f>
        <v>17.25</v>
      </c>
      <c r="X123" s="40"/>
      <c r="Y123" s="763" t="s">
        <v>180</v>
      </c>
      <c r="Z123" s="764"/>
      <c r="AA123" s="767">
        <f>(W125*1000)/(3*230)</f>
        <v>25</v>
      </c>
      <c r="AB123" s="767"/>
      <c r="AC123" s="759" t="s">
        <v>118</v>
      </c>
      <c r="AD123" s="74"/>
      <c r="AE123" s="87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4.4" customHeight="1" thickBot="1" x14ac:dyDescent="0.35">
      <c r="A124" s="1"/>
      <c r="B124" s="73"/>
      <c r="C124" s="580"/>
      <c r="D124" s="613"/>
      <c r="E124" s="581"/>
      <c r="F124" s="564"/>
      <c r="G124" s="566"/>
      <c r="H124" s="568"/>
      <c r="I124" s="561"/>
      <c r="J124" s="491"/>
      <c r="K124" s="564"/>
      <c r="L124" s="491"/>
      <c r="M124" s="572"/>
      <c r="N124" s="561"/>
      <c r="O124" s="491"/>
      <c r="P124" s="491"/>
      <c r="Q124" s="568"/>
      <c r="R124" s="561"/>
      <c r="S124" s="496"/>
      <c r="T124" s="497"/>
      <c r="U124" s="491"/>
      <c r="V124" s="574"/>
      <c r="W124" s="576"/>
      <c r="X124" s="40"/>
      <c r="Y124" s="765"/>
      <c r="Z124" s="766"/>
      <c r="AA124" s="768"/>
      <c r="AB124" s="768"/>
      <c r="AC124" s="760"/>
      <c r="AD124" s="74"/>
      <c r="AE124" s="87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4.4" customHeight="1" thickBot="1" x14ac:dyDescent="0.35">
      <c r="A125" s="1"/>
      <c r="B125" s="73"/>
      <c r="C125" s="498">
        <v>19</v>
      </c>
      <c r="D125" s="500">
        <v>1</v>
      </c>
      <c r="E125" s="502">
        <v>17.25</v>
      </c>
      <c r="F125" s="504">
        <f>E125*D125</f>
        <v>17.25</v>
      </c>
      <c r="G125" s="506">
        <v>1</v>
      </c>
      <c r="H125" s="508">
        <f>G125*F125</f>
        <v>17.25</v>
      </c>
      <c r="I125" s="510"/>
      <c r="J125" s="512"/>
      <c r="K125" s="504">
        <v>0</v>
      </c>
      <c r="L125" s="553">
        <v>1</v>
      </c>
      <c r="M125" s="582">
        <f>L125*K125</f>
        <v>0</v>
      </c>
      <c r="N125" s="584"/>
      <c r="O125" s="514"/>
      <c r="P125" s="514">
        <v>1</v>
      </c>
      <c r="Q125" s="508">
        <f>P125*O125</f>
        <v>0</v>
      </c>
      <c r="R125" s="548"/>
      <c r="S125" s="549"/>
      <c r="T125" s="550"/>
      <c r="U125" s="553"/>
      <c r="V125" s="554">
        <v>0</v>
      </c>
      <c r="W125" s="556">
        <f>V125+Q125+M125+H125</f>
        <v>17.25</v>
      </c>
      <c r="X125" s="40"/>
      <c r="Y125" s="87"/>
      <c r="Z125" s="87"/>
      <c r="AA125" s="87"/>
      <c r="AB125" s="87"/>
      <c r="AC125" s="87"/>
      <c r="AD125" s="214"/>
      <c r="AE125" s="87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x14ac:dyDescent="0.3">
      <c r="A126" s="1"/>
      <c r="B126" s="73"/>
      <c r="C126" s="499"/>
      <c r="D126" s="501"/>
      <c r="E126" s="503"/>
      <c r="F126" s="505"/>
      <c r="G126" s="507"/>
      <c r="H126" s="509"/>
      <c r="I126" s="511"/>
      <c r="J126" s="513"/>
      <c r="K126" s="505"/>
      <c r="L126" s="513"/>
      <c r="M126" s="583"/>
      <c r="N126" s="511"/>
      <c r="O126" s="513"/>
      <c r="P126" s="513"/>
      <c r="Q126" s="509"/>
      <c r="R126" s="511"/>
      <c r="S126" s="551"/>
      <c r="T126" s="552"/>
      <c r="U126" s="513"/>
      <c r="V126" s="555"/>
      <c r="W126" s="557"/>
      <c r="X126" s="40"/>
      <c r="Y126" s="763" t="s">
        <v>181</v>
      </c>
      <c r="Z126" s="764"/>
      <c r="AA126" s="769" t="s">
        <v>160</v>
      </c>
      <c r="AB126" s="770"/>
      <c r="AC126" s="771"/>
      <c r="AD126" s="214"/>
      <c r="AE126" s="87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5" thickBot="1" x14ac:dyDescent="0.35">
      <c r="A127" s="1"/>
      <c r="B127" s="73"/>
      <c r="C127" s="579">
        <v>20</v>
      </c>
      <c r="D127" s="612">
        <v>1</v>
      </c>
      <c r="E127" s="562">
        <v>17.25</v>
      </c>
      <c r="F127" s="563">
        <f>E127*D127</f>
        <v>17.25</v>
      </c>
      <c r="G127" s="565">
        <v>1</v>
      </c>
      <c r="H127" s="567">
        <f>G127*F127</f>
        <v>17.25</v>
      </c>
      <c r="I127" s="569"/>
      <c r="J127" s="570"/>
      <c r="K127" s="563">
        <v>0</v>
      </c>
      <c r="L127" s="490">
        <v>1</v>
      </c>
      <c r="M127" s="571">
        <f>L127*K127</f>
        <v>0</v>
      </c>
      <c r="N127" s="560"/>
      <c r="O127" s="577"/>
      <c r="P127" s="577">
        <v>1</v>
      </c>
      <c r="Q127" s="567">
        <f>P127*O127</f>
        <v>0</v>
      </c>
      <c r="R127" s="578"/>
      <c r="S127" s="494"/>
      <c r="T127" s="495"/>
      <c r="U127" s="490"/>
      <c r="V127" s="573">
        <v>0</v>
      </c>
      <c r="W127" s="575">
        <f>V127+Q127+M127+H127</f>
        <v>17.25</v>
      </c>
      <c r="X127" s="40"/>
      <c r="Y127" s="765"/>
      <c r="Z127" s="766"/>
      <c r="AA127" s="772"/>
      <c r="AB127" s="772"/>
      <c r="AC127" s="773"/>
      <c r="AD127" s="214"/>
      <c r="AE127" s="87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x14ac:dyDescent="0.3">
      <c r="A128" s="1"/>
      <c r="B128" s="73"/>
      <c r="C128" s="580"/>
      <c r="D128" s="613"/>
      <c r="E128" s="581"/>
      <c r="F128" s="564"/>
      <c r="G128" s="566"/>
      <c r="H128" s="568"/>
      <c r="I128" s="561"/>
      <c r="J128" s="491"/>
      <c r="K128" s="564"/>
      <c r="L128" s="491"/>
      <c r="M128" s="572"/>
      <c r="N128" s="561"/>
      <c r="O128" s="491"/>
      <c r="P128" s="491"/>
      <c r="Q128" s="568"/>
      <c r="R128" s="561"/>
      <c r="S128" s="496"/>
      <c r="T128" s="497"/>
      <c r="U128" s="491"/>
      <c r="V128" s="574"/>
      <c r="W128" s="576"/>
      <c r="X128" s="40"/>
      <c r="Y128" s="87"/>
      <c r="Z128" s="87"/>
      <c r="AA128" s="87"/>
      <c r="AB128" s="87"/>
      <c r="AC128" s="87"/>
      <c r="AD128" s="214"/>
      <c r="AE128" s="87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x14ac:dyDescent="0.3">
      <c r="A129" s="1"/>
      <c r="B129" s="73"/>
      <c r="C129" s="498">
        <v>21</v>
      </c>
      <c r="D129" s="500">
        <v>1</v>
      </c>
      <c r="E129" s="502">
        <v>17.25</v>
      </c>
      <c r="F129" s="504">
        <f>E129*D129</f>
        <v>17.25</v>
      </c>
      <c r="G129" s="506">
        <v>1</v>
      </c>
      <c r="H129" s="508">
        <f>G129*F129</f>
        <v>17.25</v>
      </c>
      <c r="I129" s="510"/>
      <c r="J129" s="512"/>
      <c r="K129" s="504">
        <v>0</v>
      </c>
      <c r="L129" s="553">
        <v>1</v>
      </c>
      <c r="M129" s="582">
        <f>L129*K129</f>
        <v>0</v>
      </c>
      <c r="N129" s="584"/>
      <c r="O129" s="514"/>
      <c r="P129" s="514">
        <v>1</v>
      </c>
      <c r="Q129" s="508">
        <f>P129*O129</f>
        <v>0</v>
      </c>
      <c r="R129" s="548"/>
      <c r="S129" s="549"/>
      <c r="T129" s="550"/>
      <c r="U129" s="553"/>
      <c r="V129" s="554">
        <v>0</v>
      </c>
      <c r="W129" s="556">
        <f>V129+Q129+M129+H129</f>
        <v>17.25</v>
      </c>
      <c r="X129" s="40"/>
      <c r="Y129" s="87"/>
      <c r="Z129" s="87"/>
      <c r="AA129" s="87"/>
      <c r="AB129" s="87"/>
      <c r="AC129" s="87"/>
      <c r="AD129" s="214"/>
      <c r="AE129" s="87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x14ac:dyDescent="0.3">
      <c r="A130" s="1"/>
      <c r="B130" s="73"/>
      <c r="C130" s="499"/>
      <c r="D130" s="501"/>
      <c r="E130" s="503"/>
      <c r="F130" s="505"/>
      <c r="G130" s="507"/>
      <c r="H130" s="509"/>
      <c r="I130" s="511"/>
      <c r="J130" s="513"/>
      <c r="K130" s="505"/>
      <c r="L130" s="513"/>
      <c r="M130" s="583"/>
      <c r="N130" s="511"/>
      <c r="O130" s="513"/>
      <c r="P130" s="513"/>
      <c r="Q130" s="509"/>
      <c r="R130" s="511"/>
      <c r="S130" s="551"/>
      <c r="T130" s="552"/>
      <c r="U130" s="513"/>
      <c r="V130" s="555"/>
      <c r="W130" s="557"/>
      <c r="X130" s="40"/>
      <c r="Y130" s="87"/>
      <c r="Z130" s="87"/>
      <c r="AA130" s="87"/>
      <c r="AB130" s="87"/>
      <c r="AC130" s="87"/>
      <c r="AD130" s="214"/>
      <c r="AE130" s="87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x14ac:dyDescent="0.3">
      <c r="A131" s="1"/>
      <c r="B131" s="73"/>
      <c r="C131" s="579">
        <v>22</v>
      </c>
      <c r="D131" s="612">
        <v>1</v>
      </c>
      <c r="E131" s="562">
        <v>17.25</v>
      </c>
      <c r="F131" s="563">
        <f>E131*D131</f>
        <v>17.25</v>
      </c>
      <c r="G131" s="565">
        <v>1</v>
      </c>
      <c r="H131" s="567">
        <f>G131*F131</f>
        <v>17.25</v>
      </c>
      <c r="I131" s="569"/>
      <c r="J131" s="570"/>
      <c r="K131" s="563">
        <v>0</v>
      </c>
      <c r="L131" s="490">
        <v>1</v>
      </c>
      <c r="M131" s="571">
        <f>L131*K131</f>
        <v>0</v>
      </c>
      <c r="N131" s="560"/>
      <c r="O131" s="577"/>
      <c r="P131" s="577">
        <v>1</v>
      </c>
      <c r="Q131" s="567">
        <f>P131*O131</f>
        <v>0</v>
      </c>
      <c r="R131" s="578"/>
      <c r="S131" s="494"/>
      <c r="T131" s="495"/>
      <c r="U131" s="490"/>
      <c r="V131" s="573">
        <v>0</v>
      </c>
      <c r="W131" s="575">
        <f>V131+Q131+M131+H131</f>
        <v>17.25</v>
      </c>
      <c r="X131" s="40"/>
      <c r="Y131" s="87"/>
      <c r="Z131" s="87"/>
      <c r="AA131" s="87"/>
      <c r="AB131" s="87"/>
      <c r="AC131" s="87"/>
      <c r="AD131" s="214"/>
      <c r="AE131" s="87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x14ac:dyDescent="0.3">
      <c r="A132" s="1"/>
      <c r="B132" s="73"/>
      <c r="C132" s="580"/>
      <c r="D132" s="613"/>
      <c r="E132" s="581"/>
      <c r="F132" s="564"/>
      <c r="G132" s="566"/>
      <c r="H132" s="568"/>
      <c r="I132" s="561"/>
      <c r="J132" s="491"/>
      <c r="K132" s="564"/>
      <c r="L132" s="491"/>
      <c r="M132" s="572"/>
      <c r="N132" s="561"/>
      <c r="O132" s="491"/>
      <c r="P132" s="491"/>
      <c r="Q132" s="568"/>
      <c r="R132" s="561"/>
      <c r="S132" s="496"/>
      <c r="T132" s="497"/>
      <c r="U132" s="491"/>
      <c r="V132" s="574"/>
      <c r="W132" s="576"/>
      <c r="X132" s="40"/>
      <c r="Y132" s="87"/>
      <c r="Z132" s="87"/>
      <c r="AA132" s="87"/>
      <c r="AB132" s="87"/>
      <c r="AC132" s="87"/>
      <c r="AD132" s="214"/>
      <c r="AE132" s="87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x14ac:dyDescent="0.3">
      <c r="A133" s="1"/>
      <c r="B133" s="73"/>
      <c r="C133" s="585"/>
      <c r="D133" s="584"/>
      <c r="E133" s="502"/>
      <c r="F133" s="504">
        <f>E133*D133</f>
        <v>0</v>
      </c>
      <c r="G133" s="506"/>
      <c r="H133" s="508">
        <f>G133*F133</f>
        <v>0</v>
      </c>
      <c r="I133" s="510"/>
      <c r="J133" s="512"/>
      <c r="K133" s="504">
        <v>0</v>
      </c>
      <c r="L133" s="553"/>
      <c r="M133" s="582">
        <f>L133*K133</f>
        <v>0</v>
      </c>
      <c r="N133" s="584"/>
      <c r="O133" s="514"/>
      <c r="P133" s="514"/>
      <c r="Q133" s="508">
        <f>P133*O133</f>
        <v>0</v>
      </c>
      <c r="R133" s="548"/>
      <c r="S133" s="549"/>
      <c r="T133" s="550"/>
      <c r="U133" s="553"/>
      <c r="V133" s="554">
        <v>0</v>
      </c>
      <c r="W133" s="556">
        <f>V133+Q133+M133+H133</f>
        <v>0</v>
      </c>
      <c r="X133" s="40"/>
      <c r="Y133" s="87"/>
      <c r="Z133" s="87"/>
      <c r="AA133" s="87"/>
      <c r="AB133" s="87"/>
      <c r="AC133" s="87"/>
      <c r="AD133" s="214"/>
      <c r="AE133" s="87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x14ac:dyDescent="0.3">
      <c r="A134" s="1"/>
      <c r="B134" s="73"/>
      <c r="C134" s="586"/>
      <c r="D134" s="511"/>
      <c r="E134" s="513"/>
      <c r="F134" s="505"/>
      <c r="G134" s="507"/>
      <c r="H134" s="509"/>
      <c r="I134" s="511"/>
      <c r="J134" s="513"/>
      <c r="K134" s="505"/>
      <c r="L134" s="513"/>
      <c r="M134" s="583"/>
      <c r="N134" s="511"/>
      <c r="O134" s="513"/>
      <c r="P134" s="513"/>
      <c r="Q134" s="509"/>
      <c r="R134" s="511"/>
      <c r="S134" s="551"/>
      <c r="T134" s="552"/>
      <c r="U134" s="513"/>
      <c r="V134" s="555"/>
      <c r="W134" s="557"/>
      <c r="X134" s="40"/>
      <c r="Y134" s="87"/>
      <c r="Z134" s="87"/>
      <c r="AA134" s="87"/>
      <c r="AB134" s="87"/>
      <c r="AC134" s="87"/>
      <c r="AD134" s="214"/>
      <c r="AE134" s="87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x14ac:dyDescent="0.3">
      <c r="A135" s="1"/>
      <c r="B135" s="73"/>
      <c r="C135" s="69" t="s">
        <v>64</v>
      </c>
      <c r="D135" s="62">
        <f>SUM(D117:D132)</f>
        <v>8</v>
      </c>
      <c r="E135" s="600"/>
      <c r="F135" s="63">
        <f>SUM(F117:F134)</f>
        <v>138</v>
      </c>
      <c r="G135" s="600"/>
      <c r="H135" s="606">
        <f>SUM(H117:H134)</f>
        <v>138</v>
      </c>
      <c r="I135" s="62">
        <f>SUM(I117:I134)</f>
        <v>0</v>
      </c>
      <c r="J135" s="600"/>
      <c r="K135" s="63">
        <f>SUM(K117:K134)</f>
        <v>0</v>
      </c>
      <c r="L135" s="600"/>
      <c r="M135" s="606">
        <f>SUM(M117:M134)</f>
        <v>0</v>
      </c>
      <c r="N135" s="62">
        <f>SUM(N117:N134)</f>
        <v>0</v>
      </c>
      <c r="O135" s="608"/>
      <c r="P135" s="609"/>
      <c r="Q135" s="64">
        <f>SUM(Q117:Q134)</f>
        <v>0</v>
      </c>
      <c r="R135" s="630">
        <v>0</v>
      </c>
      <c r="S135" s="632"/>
      <c r="T135" s="633"/>
      <c r="U135" s="634"/>
      <c r="V135" s="64">
        <v>0</v>
      </c>
      <c r="W135" s="627">
        <f>SUM(W117:W134)</f>
        <v>138</v>
      </c>
      <c r="X135" s="40"/>
      <c r="Y135" s="87"/>
      <c r="Z135" s="87"/>
      <c r="AA135" s="87"/>
      <c r="AB135" s="87"/>
      <c r="AC135" s="87"/>
      <c r="AD135" s="214"/>
      <c r="AE135" s="87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5" x14ac:dyDescent="0.3">
      <c r="A136" s="1"/>
      <c r="B136" s="73"/>
      <c r="C136" s="70" t="s">
        <v>65</v>
      </c>
      <c r="D136" s="65" t="s">
        <v>90</v>
      </c>
      <c r="E136" s="601"/>
      <c r="F136" s="66" t="s">
        <v>91</v>
      </c>
      <c r="G136" s="601"/>
      <c r="H136" s="607"/>
      <c r="I136" s="65" t="s">
        <v>92</v>
      </c>
      <c r="J136" s="601"/>
      <c r="K136" s="66" t="s">
        <v>93</v>
      </c>
      <c r="L136" s="601"/>
      <c r="M136" s="607"/>
      <c r="N136" s="65" t="s">
        <v>94</v>
      </c>
      <c r="O136" s="610"/>
      <c r="P136" s="611"/>
      <c r="Q136" s="67" t="s">
        <v>95</v>
      </c>
      <c r="R136" s="631"/>
      <c r="S136" s="635"/>
      <c r="T136" s="636"/>
      <c r="U136" s="637"/>
      <c r="V136" s="68" t="s">
        <v>96</v>
      </c>
      <c r="W136" s="628"/>
      <c r="X136" s="40"/>
      <c r="Y136" s="87"/>
      <c r="Z136" s="87"/>
      <c r="AA136" s="87"/>
      <c r="AB136" s="87"/>
      <c r="AC136" s="87"/>
      <c r="AD136" s="214"/>
      <c r="AE136" s="87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x14ac:dyDescent="0.3">
      <c r="A137" s="1"/>
      <c r="B137" s="73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87"/>
      <c r="Z137" s="87"/>
      <c r="AA137" s="87"/>
      <c r="AB137" s="87"/>
      <c r="AC137" s="87"/>
      <c r="AD137" s="214"/>
      <c r="AE137" s="87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x14ac:dyDescent="0.3">
      <c r="A138" s="1"/>
      <c r="B138" s="73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786" t="s">
        <v>147</v>
      </c>
      <c r="Q138" s="786"/>
      <c r="R138" s="787">
        <f>(0.2+(0.8/(D135)^(1/2)))*(D135*E131)</f>
        <v>66.632294321497426</v>
      </c>
      <c r="S138" s="787"/>
      <c r="T138" s="787"/>
      <c r="U138" s="787"/>
      <c r="V138" s="787"/>
      <c r="W138" s="788" t="s">
        <v>17</v>
      </c>
      <c r="X138" s="40"/>
      <c r="Y138" s="87"/>
      <c r="Z138" s="87"/>
      <c r="AA138" s="87"/>
      <c r="AB138" s="87"/>
      <c r="AC138" s="87"/>
      <c r="AD138" s="214"/>
      <c r="AE138" s="87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x14ac:dyDescent="0.3">
      <c r="A139" s="1"/>
      <c r="B139" s="73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786"/>
      <c r="Q139" s="786"/>
      <c r="R139" s="787"/>
      <c r="S139" s="787"/>
      <c r="T139" s="787"/>
      <c r="U139" s="787"/>
      <c r="V139" s="787"/>
      <c r="W139" s="788"/>
      <c r="X139" s="40"/>
      <c r="Y139" s="87"/>
      <c r="Z139" s="87"/>
      <c r="AA139" s="87"/>
      <c r="AB139" s="87"/>
      <c r="AC139" s="87"/>
      <c r="AD139" s="214"/>
      <c r="AE139" s="87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x14ac:dyDescent="0.3">
      <c r="A140" s="1"/>
      <c r="B140" s="73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87"/>
      <c r="Z140" s="87"/>
      <c r="AA140" s="87"/>
      <c r="AB140" s="87"/>
      <c r="AC140" s="87"/>
      <c r="AD140" s="214"/>
      <c r="AE140" s="87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x14ac:dyDescent="0.3">
      <c r="A141" s="1"/>
      <c r="B141" s="73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786" t="s">
        <v>148</v>
      </c>
      <c r="Q141" s="786"/>
      <c r="R141" s="787">
        <f>(R138*1000)/(3*230)</f>
        <v>96.568542494923804</v>
      </c>
      <c r="S141" s="787"/>
      <c r="T141" s="787"/>
      <c r="U141" s="787"/>
      <c r="V141" s="787"/>
      <c r="W141" s="788" t="s">
        <v>118</v>
      </c>
      <c r="X141" s="40"/>
      <c r="Y141" s="87"/>
      <c r="Z141" s="87"/>
      <c r="AA141" s="87"/>
      <c r="AB141" s="87"/>
      <c r="AC141" s="87"/>
      <c r="AD141" s="214"/>
      <c r="AE141" s="87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x14ac:dyDescent="0.3">
      <c r="A142" s="1"/>
      <c r="B142" s="73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786"/>
      <c r="Q142" s="786"/>
      <c r="R142" s="787"/>
      <c r="S142" s="787"/>
      <c r="T142" s="787"/>
      <c r="U142" s="787"/>
      <c r="V142" s="787"/>
      <c r="W142" s="788"/>
      <c r="X142" s="40"/>
      <c r="Y142" s="87"/>
      <c r="Z142" s="87"/>
      <c r="AA142" s="87"/>
      <c r="AB142" s="87"/>
      <c r="AC142" s="87"/>
      <c r="AD142" s="214"/>
      <c r="AE142" s="87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x14ac:dyDescent="0.3">
      <c r="A143" s="1"/>
      <c r="B143" s="73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87"/>
      <c r="Z143" s="87"/>
      <c r="AA143" s="87"/>
      <c r="AB143" s="87"/>
      <c r="AC143" s="87"/>
      <c r="AD143" s="214"/>
      <c r="AE143" s="87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5" thickBot="1" x14ac:dyDescent="0.35">
      <c r="A144" s="1"/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215"/>
      <c r="Z144" s="215"/>
      <c r="AA144" s="215"/>
      <c r="AB144" s="215"/>
      <c r="AC144" s="215"/>
      <c r="AD144" s="216"/>
      <c r="AE144" s="87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x14ac:dyDescent="0.3">
      <c r="A147" s="1"/>
      <c r="B147" s="826" t="s">
        <v>182</v>
      </c>
      <c r="C147" s="827"/>
      <c r="D147" s="827"/>
      <c r="E147" s="827"/>
      <c r="F147" s="827"/>
      <c r="G147" s="827"/>
      <c r="H147" s="827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x14ac:dyDescent="0.3">
      <c r="A148" s="1"/>
      <c r="B148" s="828"/>
      <c r="C148" s="829"/>
      <c r="D148" s="829"/>
      <c r="E148" s="829"/>
      <c r="F148" s="829"/>
      <c r="G148" s="829"/>
      <c r="H148" s="829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74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x14ac:dyDescent="0.3">
      <c r="A149" s="1"/>
      <c r="B149" s="73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761" t="s">
        <v>119</v>
      </c>
      <c r="Z149" s="761"/>
      <c r="AA149" s="761"/>
      <c r="AB149" s="761"/>
      <c r="AC149" s="761"/>
      <c r="AD149" s="76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x14ac:dyDescent="0.3">
      <c r="A150" s="1"/>
      <c r="B150" s="73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761"/>
      <c r="Z150" s="761"/>
      <c r="AA150" s="761"/>
      <c r="AB150" s="761"/>
      <c r="AC150" s="761"/>
      <c r="AD150" s="76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5" thickBot="1" x14ac:dyDescent="0.35">
      <c r="A151" s="1"/>
      <c r="B151" s="73"/>
      <c r="C151" s="615" t="s">
        <v>50</v>
      </c>
      <c r="D151" s="624" t="s">
        <v>15</v>
      </c>
      <c r="E151" s="625"/>
      <c r="F151" s="625"/>
      <c r="G151" s="625"/>
      <c r="H151" s="626"/>
      <c r="I151" s="624" t="s">
        <v>51</v>
      </c>
      <c r="J151" s="625"/>
      <c r="K151" s="625"/>
      <c r="L151" s="625"/>
      <c r="M151" s="626"/>
      <c r="N151" s="624" t="s">
        <v>23</v>
      </c>
      <c r="O151" s="625"/>
      <c r="P151" s="625"/>
      <c r="Q151" s="626"/>
      <c r="R151" s="624" t="s">
        <v>52</v>
      </c>
      <c r="S151" s="625"/>
      <c r="T151" s="625"/>
      <c r="U151" s="625"/>
      <c r="V151" s="626"/>
      <c r="W151" s="649" t="s">
        <v>87</v>
      </c>
      <c r="X151" s="40"/>
      <c r="Y151" s="40"/>
      <c r="Z151" s="40"/>
      <c r="AA151" s="40"/>
      <c r="AB151" s="40"/>
      <c r="AC151" s="40"/>
      <c r="AD151" s="74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x14ac:dyDescent="0.3">
      <c r="A152" s="1"/>
      <c r="B152" s="73"/>
      <c r="C152" s="830"/>
      <c r="D152" s="817" t="s">
        <v>53</v>
      </c>
      <c r="E152" s="53" t="s">
        <v>54</v>
      </c>
      <c r="F152" s="52" t="s">
        <v>55</v>
      </c>
      <c r="G152" s="619" t="s">
        <v>56</v>
      </c>
      <c r="H152" s="54" t="s">
        <v>55</v>
      </c>
      <c r="I152" s="817" t="s">
        <v>53</v>
      </c>
      <c r="J152" s="53" t="s">
        <v>54</v>
      </c>
      <c r="K152" s="52" t="s">
        <v>55</v>
      </c>
      <c r="L152" s="621" t="s">
        <v>56</v>
      </c>
      <c r="M152" s="52" t="s">
        <v>55</v>
      </c>
      <c r="N152" s="817" t="s">
        <v>53</v>
      </c>
      <c r="O152" s="53" t="s">
        <v>54</v>
      </c>
      <c r="P152" s="621" t="s">
        <v>56</v>
      </c>
      <c r="Q152" s="54" t="s">
        <v>55</v>
      </c>
      <c r="R152" s="55"/>
      <c r="S152" s="652" t="s">
        <v>57</v>
      </c>
      <c r="T152" s="821"/>
      <c r="U152" s="53" t="s">
        <v>54</v>
      </c>
      <c r="V152" s="54" t="s">
        <v>55</v>
      </c>
      <c r="W152" s="650"/>
      <c r="X152" s="40"/>
      <c r="Y152" s="763" t="s">
        <v>183</v>
      </c>
      <c r="Z152" s="764"/>
      <c r="AA152" s="767">
        <f>(W155*1000)/(3*230)</f>
        <v>25</v>
      </c>
      <c r="AB152" s="767"/>
      <c r="AC152" s="759" t="s">
        <v>118</v>
      </c>
      <c r="AD152" s="74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5" thickBot="1" x14ac:dyDescent="0.35">
      <c r="A153" s="1"/>
      <c r="B153" s="73"/>
      <c r="C153" s="830"/>
      <c r="D153" s="818"/>
      <c r="E153" s="58" t="s">
        <v>58</v>
      </c>
      <c r="F153" s="57" t="s">
        <v>37</v>
      </c>
      <c r="G153" s="620"/>
      <c r="H153" s="59" t="s">
        <v>15</v>
      </c>
      <c r="I153" s="818"/>
      <c r="J153" s="58" t="s">
        <v>58</v>
      </c>
      <c r="K153" s="57" t="s">
        <v>37</v>
      </c>
      <c r="L153" s="622"/>
      <c r="M153" s="57" t="s">
        <v>59</v>
      </c>
      <c r="N153" s="818"/>
      <c r="O153" s="58" t="s">
        <v>58</v>
      </c>
      <c r="P153" s="622"/>
      <c r="Q153" s="59" t="s">
        <v>60</v>
      </c>
      <c r="R153" s="60" t="s">
        <v>53</v>
      </c>
      <c r="S153" s="822"/>
      <c r="T153" s="823"/>
      <c r="U153" s="58" t="s">
        <v>58</v>
      </c>
      <c r="V153" s="59" t="s">
        <v>61</v>
      </c>
      <c r="W153" s="650"/>
      <c r="X153" s="40"/>
      <c r="Y153" s="765"/>
      <c r="Z153" s="766"/>
      <c r="AA153" s="768"/>
      <c r="AB153" s="768"/>
      <c r="AC153" s="760"/>
      <c r="AD153" s="74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5.6" thickBot="1" x14ac:dyDescent="0.35">
      <c r="A154" s="1"/>
      <c r="B154" s="73"/>
      <c r="C154" s="831"/>
      <c r="D154" s="819"/>
      <c r="E154" s="58" t="s">
        <v>62</v>
      </c>
      <c r="F154" s="57" t="s">
        <v>63</v>
      </c>
      <c r="G154" s="820"/>
      <c r="H154" s="59" t="s">
        <v>63</v>
      </c>
      <c r="I154" s="819"/>
      <c r="J154" s="58" t="s">
        <v>62</v>
      </c>
      <c r="K154" s="57" t="s">
        <v>63</v>
      </c>
      <c r="L154" s="623"/>
      <c r="M154" s="57" t="s">
        <v>63</v>
      </c>
      <c r="N154" s="819"/>
      <c r="O154" s="58" t="s">
        <v>63</v>
      </c>
      <c r="P154" s="623"/>
      <c r="Q154" s="59" t="s">
        <v>63</v>
      </c>
      <c r="R154" s="60" t="s">
        <v>88</v>
      </c>
      <c r="S154" s="824"/>
      <c r="T154" s="825"/>
      <c r="U154" s="61" t="s">
        <v>89</v>
      </c>
      <c r="V154" s="59" t="s">
        <v>63</v>
      </c>
      <c r="W154" s="651"/>
      <c r="X154" s="40"/>
      <c r="Y154" s="40"/>
      <c r="Z154" s="40"/>
      <c r="AA154" s="40"/>
      <c r="AB154" s="40"/>
      <c r="AC154" s="40"/>
      <c r="AD154" s="74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4.4" customHeight="1" x14ac:dyDescent="0.3">
      <c r="A155" s="1"/>
      <c r="B155" s="73"/>
      <c r="C155" s="498">
        <v>15</v>
      </c>
      <c r="D155" s="500">
        <v>1</v>
      </c>
      <c r="E155" s="502">
        <v>17.25</v>
      </c>
      <c r="F155" s="504">
        <f>E155*D155</f>
        <v>17.25</v>
      </c>
      <c r="G155" s="506">
        <v>1</v>
      </c>
      <c r="H155" s="508">
        <f>G155*F155</f>
        <v>17.25</v>
      </c>
      <c r="I155" s="510"/>
      <c r="J155" s="512"/>
      <c r="K155" s="504">
        <v>0</v>
      </c>
      <c r="L155" s="553">
        <v>1</v>
      </c>
      <c r="M155" s="582">
        <f>L155*K155</f>
        <v>0</v>
      </c>
      <c r="N155" s="584"/>
      <c r="O155" s="514"/>
      <c r="P155" s="514">
        <v>1</v>
      </c>
      <c r="Q155" s="508">
        <f>P155*O155</f>
        <v>0</v>
      </c>
      <c r="R155" s="548"/>
      <c r="S155" s="549"/>
      <c r="T155" s="550"/>
      <c r="U155" s="553"/>
      <c r="V155" s="554">
        <v>0</v>
      </c>
      <c r="W155" s="556">
        <f>V155+Q155+M155+H155</f>
        <v>17.25</v>
      </c>
      <c r="X155" s="40"/>
      <c r="Y155" s="763" t="s">
        <v>184</v>
      </c>
      <c r="Z155" s="764"/>
      <c r="AA155" s="767">
        <f>(W157*1000)/(3*230)</f>
        <v>25</v>
      </c>
      <c r="AB155" s="767"/>
      <c r="AC155" s="759" t="s">
        <v>118</v>
      </c>
      <c r="AD155" s="74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5" customHeight="1" thickBot="1" x14ac:dyDescent="0.35">
      <c r="A156" s="1"/>
      <c r="B156" s="73"/>
      <c r="C156" s="499"/>
      <c r="D156" s="501"/>
      <c r="E156" s="503"/>
      <c r="F156" s="505"/>
      <c r="G156" s="507"/>
      <c r="H156" s="509"/>
      <c r="I156" s="511"/>
      <c r="J156" s="513"/>
      <c r="K156" s="505"/>
      <c r="L156" s="513"/>
      <c r="M156" s="583"/>
      <c r="N156" s="511"/>
      <c r="O156" s="513"/>
      <c r="P156" s="513"/>
      <c r="Q156" s="509"/>
      <c r="R156" s="511"/>
      <c r="S156" s="551"/>
      <c r="T156" s="552"/>
      <c r="U156" s="513"/>
      <c r="V156" s="555"/>
      <c r="W156" s="557"/>
      <c r="X156" s="40"/>
      <c r="Y156" s="765"/>
      <c r="Z156" s="766"/>
      <c r="AA156" s="768"/>
      <c r="AB156" s="768"/>
      <c r="AC156" s="760"/>
      <c r="AD156" s="74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5" thickBot="1" x14ac:dyDescent="0.35">
      <c r="A157" s="1"/>
      <c r="B157" s="73"/>
      <c r="C157" s="579">
        <v>16</v>
      </c>
      <c r="D157" s="612">
        <v>1</v>
      </c>
      <c r="E157" s="562">
        <v>17.25</v>
      </c>
      <c r="F157" s="563">
        <f>E157*D157</f>
        <v>17.25</v>
      </c>
      <c r="G157" s="565">
        <v>1</v>
      </c>
      <c r="H157" s="567">
        <f>G157*F157</f>
        <v>17.25</v>
      </c>
      <c r="I157" s="569"/>
      <c r="J157" s="570"/>
      <c r="K157" s="563">
        <v>0</v>
      </c>
      <c r="L157" s="490">
        <v>1</v>
      </c>
      <c r="M157" s="571">
        <f>L157*K157</f>
        <v>0</v>
      </c>
      <c r="N157" s="560"/>
      <c r="O157" s="577"/>
      <c r="P157" s="577">
        <v>1</v>
      </c>
      <c r="Q157" s="567">
        <f>P157*O157</f>
        <v>0</v>
      </c>
      <c r="R157" s="578"/>
      <c r="S157" s="494"/>
      <c r="T157" s="495"/>
      <c r="U157" s="490"/>
      <c r="V157" s="573">
        <v>0</v>
      </c>
      <c r="W157" s="575">
        <f>V157+Q157+M157+H157</f>
        <v>17.25</v>
      </c>
      <c r="X157" s="40"/>
      <c r="Y157" s="40"/>
      <c r="Z157" s="40"/>
      <c r="AA157" s="40"/>
      <c r="AB157" s="40"/>
      <c r="AC157" s="40"/>
      <c r="AD157" s="74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4.4" customHeight="1" x14ac:dyDescent="0.3">
      <c r="A158" s="1"/>
      <c r="B158" s="73"/>
      <c r="C158" s="580"/>
      <c r="D158" s="613"/>
      <c r="E158" s="581"/>
      <c r="F158" s="564"/>
      <c r="G158" s="566"/>
      <c r="H158" s="568"/>
      <c r="I158" s="561"/>
      <c r="J158" s="491"/>
      <c r="K158" s="564"/>
      <c r="L158" s="491"/>
      <c r="M158" s="572"/>
      <c r="N158" s="561"/>
      <c r="O158" s="491"/>
      <c r="P158" s="491"/>
      <c r="Q158" s="568"/>
      <c r="R158" s="561"/>
      <c r="S158" s="496"/>
      <c r="T158" s="497"/>
      <c r="U158" s="491"/>
      <c r="V158" s="574"/>
      <c r="W158" s="576"/>
      <c r="X158" s="40"/>
      <c r="Y158" s="763" t="s">
        <v>185</v>
      </c>
      <c r="Z158" s="764"/>
      <c r="AA158" s="767">
        <f>(W159*1000)/(3*230)</f>
        <v>25</v>
      </c>
      <c r="AB158" s="767"/>
      <c r="AC158" s="759" t="s">
        <v>118</v>
      </c>
      <c r="AD158" s="74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5" customHeight="1" thickBot="1" x14ac:dyDescent="0.35">
      <c r="A159" s="1"/>
      <c r="B159" s="73"/>
      <c r="C159" s="498">
        <v>17</v>
      </c>
      <c r="D159" s="500">
        <v>1</v>
      </c>
      <c r="E159" s="502">
        <v>17.25</v>
      </c>
      <c r="F159" s="504">
        <f>E159*D159</f>
        <v>17.25</v>
      </c>
      <c r="G159" s="506">
        <v>1</v>
      </c>
      <c r="H159" s="508">
        <f>G159*F159</f>
        <v>17.25</v>
      </c>
      <c r="I159" s="510"/>
      <c r="J159" s="512"/>
      <c r="K159" s="504">
        <v>0</v>
      </c>
      <c r="L159" s="553">
        <v>1</v>
      </c>
      <c r="M159" s="582">
        <f>L159*K159</f>
        <v>0</v>
      </c>
      <c r="N159" s="584"/>
      <c r="O159" s="514"/>
      <c r="P159" s="514">
        <v>1</v>
      </c>
      <c r="Q159" s="508">
        <f>P159*O159</f>
        <v>0</v>
      </c>
      <c r="R159" s="548"/>
      <c r="S159" s="549"/>
      <c r="T159" s="550"/>
      <c r="U159" s="553"/>
      <c r="V159" s="554">
        <v>0</v>
      </c>
      <c r="W159" s="556">
        <f>V159+Q159+M159+H159</f>
        <v>17.25</v>
      </c>
      <c r="X159" s="40"/>
      <c r="Y159" s="765"/>
      <c r="Z159" s="766"/>
      <c r="AA159" s="768"/>
      <c r="AB159" s="768"/>
      <c r="AC159" s="760"/>
      <c r="AD159" s="74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5" thickBot="1" x14ac:dyDescent="0.35">
      <c r="A160" s="1"/>
      <c r="B160" s="73"/>
      <c r="C160" s="499"/>
      <c r="D160" s="501"/>
      <c r="E160" s="503"/>
      <c r="F160" s="505"/>
      <c r="G160" s="507"/>
      <c r="H160" s="509"/>
      <c r="I160" s="511"/>
      <c r="J160" s="513"/>
      <c r="K160" s="505"/>
      <c r="L160" s="513"/>
      <c r="M160" s="583"/>
      <c r="N160" s="511"/>
      <c r="O160" s="513"/>
      <c r="P160" s="513"/>
      <c r="Q160" s="509"/>
      <c r="R160" s="511"/>
      <c r="S160" s="551"/>
      <c r="T160" s="552"/>
      <c r="U160" s="513"/>
      <c r="V160" s="555"/>
      <c r="W160" s="557"/>
      <c r="X160" s="40"/>
      <c r="Y160" s="40"/>
      <c r="Z160" s="40"/>
      <c r="AA160" s="87"/>
      <c r="AB160" s="40"/>
      <c r="AC160" s="40"/>
      <c r="AD160" s="74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4.4" customHeight="1" x14ac:dyDescent="0.3">
      <c r="A161" s="1"/>
      <c r="B161" s="73"/>
      <c r="C161" s="579">
        <v>18</v>
      </c>
      <c r="D161" s="612">
        <v>1</v>
      </c>
      <c r="E161" s="562">
        <v>17.25</v>
      </c>
      <c r="F161" s="563">
        <f>E161*D161</f>
        <v>17.25</v>
      </c>
      <c r="G161" s="565">
        <v>1</v>
      </c>
      <c r="H161" s="567">
        <f>G161*F161</f>
        <v>17.25</v>
      </c>
      <c r="I161" s="569"/>
      <c r="J161" s="570"/>
      <c r="K161" s="563">
        <v>0</v>
      </c>
      <c r="L161" s="490">
        <v>1</v>
      </c>
      <c r="M161" s="571">
        <f>L161*K161</f>
        <v>0</v>
      </c>
      <c r="N161" s="560"/>
      <c r="O161" s="577"/>
      <c r="P161" s="577">
        <v>1</v>
      </c>
      <c r="Q161" s="567">
        <f>P161*O161</f>
        <v>0</v>
      </c>
      <c r="R161" s="578"/>
      <c r="S161" s="494"/>
      <c r="T161" s="495"/>
      <c r="U161" s="490"/>
      <c r="V161" s="573">
        <v>0</v>
      </c>
      <c r="W161" s="575">
        <f>V161+Q161+M161+H161</f>
        <v>17.25</v>
      </c>
      <c r="X161" s="40"/>
      <c r="Y161" s="763" t="s">
        <v>186</v>
      </c>
      <c r="Z161" s="764"/>
      <c r="AA161" s="767">
        <f>(W161*1000)/(3*230)</f>
        <v>25</v>
      </c>
      <c r="AB161" s="767"/>
      <c r="AC161" s="759" t="s">
        <v>118</v>
      </c>
      <c r="AD161" s="74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5" customHeight="1" thickBot="1" x14ac:dyDescent="0.35">
      <c r="A162" s="1"/>
      <c r="B162" s="73"/>
      <c r="C162" s="580"/>
      <c r="D162" s="613"/>
      <c r="E162" s="581"/>
      <c r="F162" s="564"/>
      <c r="G162" s="566"/>
      <c r="H162" s="568"/>
      <c r="I162" s="561"/>
      <c r="J162" s="491"/>
      <c r="K162" s="564"/>
      <c r="L162" s="491"/>
      <c r="M162" s="572"/>
      <c r="N162" s="561"/>
      <c r="O162" s="491"/>
      <c r="P162" s="491"/>
      <c r="Q162" s="568"/>
      <c r="R162" s="561"/>
      <c r="S162" s="496"/>
      <c r="T162" s="497"/>
      <c r="U162" s="491"/>
      <c r="V162" s="574"/>
      <c r="W162" s="576"/>
      <c r="X162" s="40"/>
      <c r="Y162" s="765"/>
      <c r="Z162" s="766"/>
      <c r="AA162" s="768"/>
      <c r="AB162" s="768"/>
      <c r="AC162" s="760"/>
      <c r="AD162" s="74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5" thickBot="1" x14ac:dyDescent="0.35">
      <c r="A163" s="1"/>
      <c r="B163" s="73"/>
      <c r="C163" s="585"/>
      <c r="D163" s="584"/>
      <c r="E163" s="502"/>
      <c r="F163" s="504">
        <f>E163*D163</f>
        <v>0</v>
      </c>
      <c r="G163" s="506"/>
      <c r="H163" s="508">
        <f>G163*F163</f>
        <v>0</v>
      </c>
      <c r="I163" s="510"/>
      <c r="J163" s="512"/>
      <c r="K163" s="504">
        <v>0</v>
      </c>
      <c r="L163" s="553"/>
      <c r="M163" s="582">
        <f>L163*K163</f>
        <v>0</v>
      </c>
      <c r="N163" s="584"/>
      <c r="O163" s="514"/>
      <c r="P163" s="514"/>
      <c r="Q163" s="508">
        <f>P163*O163</f>
        <v>0</v>
      </c>
      <c r="R163" s="548"/>
      <c r="S163" s="549"/>
      <c r="T163" s="550"/>
      <c r="U163" s="553"/>
      <c r="V163" s="554">
        <v>0</v>
      </c>
      <c r="W163" s="556">
        <f>V163+Q163+M163+H163</f>
        <v>0</v>
      </c>
      <c r="X163" s="40"/>
      <c r="Y163" s="40"/>
      <c r="Z163" s="40"/>
      <c r="AA163" s="40"/>
      <c r="AB163" s="40"/>
      <c r="AC163" s="40"/>
      <c r="AD163" s="74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x14ac:dyDescent="0.3">
      <c r="A164" s="1"/>
      <c r="B164" s="73"/>
      <c r="C164" s="586"/>
      <c r="D164" s="511"/>
      <c r="E164" s="513"/>
      <c r="F164" s="505"/>
      <c r="G164" s="507"/>
      <c r="H164" s="509"/>
      <c r="I164" s="511"/>
      <c r="J164" s="513"/>
      <c r="K164" s="505"/>
      <c r="L164" s="513"/>
      <c r="M164" s="583"/>
      <c r="N164" s="511"/>
      <c r="O164" s="513"/>
      <c r="P164" s="513"/>
      <c r="Q164" s="509"/>
      <c r="R164" s="511"/>
      <c r="S164" s="551"/>
      <c r="T164" s="552"/>
      <c r="U164" s="513"/>
      <c r="V164" s="555"/>
      <c r="W164" s="557"/>
      <c r="X164" s="40"/>
      <c r="Y164" s="763" t="s">
        <v>159</v>
      </c>
      <c r="Z164" s="764"/>
      <c r="AA164" s="769" t="s">
        <v>160</v>
      </c>
      <c r="AB164" s="770"/>
      <c r="AC164" s="771"/>
      <c r="AD164" s="74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5" thickBot="1" x14ac:dyDescent="0.35">
      <c r="A165" s="1"/>
      <c r="B165" s="73"/>
      <c r="C165" s="69" t="s">
        <v>64</v>
      </c>
      <c r="D165" s="62">
        <f>SUM(D155:D162)</f>
        <v>4</v>
      </c>
      <c r="E165" s="600"/>
      <c r="F165" s="63">
        <f>SUM(F155:F164)</f>
        <v>69</v>
      </c>
      <c r="G165" s="600"/>
      <c r="H165" s="606">
        <f>SUM(H155:H164)</f>
        <v>69</v>
      </c>
      <c r="I165" s="62">
        <f>SUM(I155:I164)</f>
        <v>0</v>
      </c>
      <c r="J165" s="600"/>
      <c r="K165" s="63">
        <f>SUM(K155:K164)</f>
        <v>0</v>
      </c>
      <c r="L165" s="600"/>
      <c r="M165" s="606">
        <f>SUM(M155:M164)</f>
        <v>0</v>
      </c>
      <c r="N165" s="62">
        <f>SUM(N155:N164)</f>
        <v>0</v>
      </c>
      <c r="O165" s="608"/>
      <c r="P165" s="609"/>
      <c r="Q165" s="64">
        <f>SUM(Q155:Q164)</f>
        <v>0</v>
      </c>
      <c r="R165" s="630">
        <v>0</v>
      </c>
      <c r="S165" s="632"/>
      <c r="T165" s="633"/>
      <c r="U165" s="634"/>
      <c r="V165" s="64">
        <v>0</v>
      </c>
      <c r="W165" s="627">
        <f>SUM(W155:W164)</f>
        <v>69</v>
      </c>
      <c r="X165" s="40"/>
      <c r="Y165" s="765"/>
      <c r="Z165" s="766"/>
      <c r="AA165" s="772"/>
      <c r="AB165" s="772"/>
      <c r="AC165" s="773"/>
      <c r="AD165" s="74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5" x14ac:dyDescent="0.3">
      <c r="A166" s="1"/>
      <c r="B166" s="73"/>
      <c r="C166" s="70" t="s">
        <v>65</v>
      </c>
      <c r="D166" s="65" t="s">
        <v>90</v>
      </c>
      <c r="E166" s="601"/>
      <c r="F166" s="66" t="s">
        <v>91</v>
      </c>
      <c r="G166" s="601"/>
      <c r="H166" s="607"/>
      <c r="I166" s="65" t="s">
        <v>92</v>
      </c>
      <c r="J166" s="601"/>
      <c r="K166" s="66" t="s">
        <v>93</v>
      </c>
      <c r="L166" s="601"/>
      <c r="M166" s="607"/>
      <c r="N166" s="65" t="s">
        <v>94</v>
      </c>
      <c r="O166" s="610"/>
      <c r="P166" s="611"/>
      <c r="Q166" s="67" t="s">
        <v>95</v>
      </c>
      <c r="R166" s="631"/>
      <c r="S166" s="635"/>
      <c r="T166" s="636"/>
      <c r="U166" s="637"/>
      <c r="V166" s="68" t="s">
        <v>96</v>
      </c>
      <c r="W166" s="628"/>
      <c r="X166" s="40"/>
      <c r="Y166" s="40"/>
      <c r="Z166" s="40"/>
      <c r="AA166" s="40"/>
      <c r="AB166" s="40"/>
      <c r="AC166" s="40"/>
      <c r="AD166" s="74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x14ac:dyDescent="0.3">
      <c r="A167" s="1"/>
      <c r="B167" s="73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74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x14ac:dyDescent="0.3">
      <c r="A168" s="1"/>
      <c r="B168" s="73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786" t="s">
        <v>149</v>
      </c>
      <c r="Q168" s="786"/>
      <c r="R168" s="787">
        <f>(0.2+(0.8/(D165+N165)^(1/2)))*(D165*E161+Q165)</f>
        <v>41.400000000000006</v>
      </c>
      <c r="S168" s="787"/>
      <c r="T168" s="787"/>
      <c r="U168" s="787"/>
      <c r="V168" s="787"/>
      <c r="W168" s="788" t="s">
        <v>17</v>
      </c>
      <c r="X168" s="40"/>
      <c r="Y168" s="40"/>
      <c r="Z168" s="40"/>
      <c r="AA168" s="40"/>
      <c r="AB168" s="40"/>
      <c r="AC168" s="40"/>
      <c r="AD168" s="74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x14ac:dyDescent="0.3">
      <c r="A169" s="1"/>
      <c r="B169" s="73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786"/>
      <c r="Q169" s="786"/>
      <c r="R169" s="787"/>
      <c r="S169" s="787"/>
      <c r="T169" s="787"/>
      <c r="U169" s="787"/>
      <c r="V169" s="787"/>
      <c r="W169" s="788"/>
      <c r="X169" s="40"/>
      <c r="Y169" s="40"/>
      <c r="Z169" s="40"/>
      <c r="AA169" s="40"/>
      <c r="AB169" s="40"/>
      <c r="AC169" s="40"/>
      <c r="AD169" s="74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x14ac:dyDescent="0.3">
      <c r="A170" s="1"/>
      <c r="B170" s="73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74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x14ac:dyDescent="0.3">
      <c r="A171" s="1"/>
      <c r="B171" s="73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786" t="s">
        <v>150</v>
      </c>
      <c r="Q171" s="786"/>
      <c r="R171" s="787">
        <f>(R168*1000)/(3*230)</f>
        <v>60.000000000000007</v>
      </c>
      <c r="S171" s="787"/>
      <c r="T171" s="787"/>
      <c r="U171" s="787"/>
      <c r="V171" s="787"/>
      <c r="W171" s="788" t="s">
        <v>118</v>
      </c>
      <c r="X171" s="40"/>
      <c r="Y171" s="40"/>
      <c r="Z171" s="40"/>
      <c r="AA171" s="40"/>
      <c r="AB171" s="40"/>
      <c r="AC171" s="40"/>
      <c r="AD171" s="74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x14ac:dyDescent="0.3">
      <c r="A172" s="1"/>
      <c r="B172" s="73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786"/>
      <c r="Q172" s="786"/>
      <c r="R172" s="787"/>
      <c r="S172" s="787"/>
      <c r="T172" s="787"/>
      <c r="U172" s="787"/>
      <c r="V172" s="787"/>
      <c r="W172" s="788"/>
      <c r="X172" s="40"/>
      <c r="Y172" s="40"/>
      <c r="Z172" s="40"/>
      <c r="AA172" s="40"/>
      <c r="AB172" s="40"/>
      <c r="AC172" s="40"/>
      <c r="AD172" s="74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x14ac:dyDescent="0.3">
      <c r="A173" s="1"/>
      <c r="B173" s="73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74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5" thickBot="1" x14ac:dyDescent="0.35">
      <c r="A174" s="1"/>
      <c r="B174" s="75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7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x14ac:dyDescent="0.3">
      <c r="A177" s="1"/>
      <c r="B177" s="826" t="s">
        <v>169</v>
      </c>
      <c r="C177" s="827"/>
      <c r="D177" s="827"/>
      <c r="E177" s="827"/>
      <c r="F177" s="827"/>
      <c r="G177" s="827"/>
      <c r="H177" s="827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x14ac:dyDescent="0.3">
      <c r="A178" s="1"/>
      <c r="B178" s="828"/>
      <c r="C178" s="829"/>
      <c r="D178" s="829"/>
      <c r="E178" s="829"/>
      <c r="F178" s="829"/>
      <c r="G178" s="829"/>
      <c r="H178" s="829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74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x14ac:dyDescent="0.3">
      <c r="A179" s="1"/>
      <c r="B179" s="73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761" t="s">
        <v>119</v>
      </c>
      <c r="Z179" s="761"/>
      <c r="AA179" s="761"/>
      <c r="AB179" s="761"/>
      <c r="AC179" s="761"/>
      <c r="AD179" s="76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4.4" customHeight="1" x14ac:dyDescent="0.3">
      <c r="A180" s="1"/>
      <c r="B180" s="73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761"/>
      <c r="Z180" s="761"/>
      <c r="AA180" s="761"/>
      <c r="AB180" s="761"/>
      <c r="AC180" s="761"/>
      <c r="AD180" s="76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4.4" customHeight="1" thickBot="1" x14ac:dyDescent="0.35">
      <c r="A181" s="1"/>
      <c r="B181" s="73"/>
      <c r="C181" s="615" t="s">
        <v>50</v>
      </c>
      <c r="D181" s="624" t="s">
        <v>15</v>
      </c>
      <c r="E181" s="625"/>
      <c r="F181" s="625"/>
      <c r="G181" s="625"/>
      <c r="H181" s="626"/>
      <c r="I181" s="624" t="s">
        <v>51</v>
      </c>
      <c r="J181" s="625"/>
      <c r="K181" s="625"/>
      <c r="L181" s="625"/>
      <c r="M181" s="626"/>
      <c r="N181" s="624" t="s">
        <v>23</v>
      </c>
      <c r="O181" s="625"/>
      <c r="P181" s="625"/>
      <c r="Q181" s="626"/>
      <c r="R181" s="624" t="s">
        <v>52</v>
      </c>
      <c r="S181" s="625"/>
      <c r="T181" s="625"/>
      <c r="U181" s="625"/>
      <c r="V181" s="626"/>
      <c r="W181" s="649" t="s">
        <v>87</v>
      </c>
      <c r="X181" s="40"/>
      <c r="Y181" s="40"/>
      <c r="Z181" s="40"/>
      <c r="AA181" s="40"/>
      <c r="AB181" s="40"/>
      <c r="AC181" s="40"/>
      <c r="AD181" s="74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4.4" customHeight="1" x14ac:dyDescent="0.3">
      <c r="A182" s="1"/>
      <c r="B182" s="73"/>
      <c r="C182" s="830"/>
      <c r="D182" s="817" t="s">
        <v>53</v>
      </c>
      <c r="E182" s="53" t="s">
        <v>54</v>
      </c>
      <c r="F182" s="52" t="s">
        <v>55</v>
      </c>
      <c r="G182" s="619" t="s">
        <v>56</v>
      </c>
      <c r="H182" s="54" t="s">
        <v>55</v>
      </c>
      <c r="I182" s="817" t="s">
        <v>53</v>
      </c>
      <c r="J182" s="53" t="s">
        <v>54</v>
      </c>
      <c r="K182" s="52" t="s">
        <v>55</v>
      </c>
      <c r="L182" s="621" t="s">
        <v>56</v>
      </c>
      <c r="M182" s="52" t="s">
        <v>55</v>
      </c>
      <c r="N182" s="817" t="s">
        <v>53</v>
      </c>
      <c r="O182" s="53" t="s">
        <v>54</v>
      </c>
      <c r="P182" s="621" t="s">
        <v>56</v>
      </c>
      <c r="Q182" s="54" t="s">
        <v>55</v>
      </c>
      <c r="R182" s="55"/>
      <c r="S182" s="652" t="s">
        <v>57</v>
      </c>
      <c r="T182" s="821"/>
      <c r="U182" s="53" t="s">
        <v>54</v>
      </c>
      <c r="V182" s="54" t="s">
        <v>55</v>
      </c>
      <c r="W182" s="650"/>
      <c r="X182" s="40"/>
      <c r="Y182" s="763" t="s">
        <v>191</v>
      </c>
      <c r="Z182" s="764"/>
      <c r="AA182" s="767">
        <f>(W185*1000)/(3*230)</f>
        <v>25</v>
      </c>
      <c r="AB182" s="767"/>
      <c r="AC182" s="759" t="s">
        <v>118</v>
      </c>
      <c r="AD182" s="74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4.4" customHeight="1" thickBot="1" x14ac:dyDescent="0.35">
      <c r="A183" s="1"/>
      <c r="B183" s="73"/>
      <c r="C183" s="830"/>
      <c r="D183" s="818"/>
      <c r="E183" s="58" t="s">
        <v>58</v>
      </c>
      <c r="F183" s="57" t="s">
        <v>37</v>
      </c>
      <c r="G183" s="620"/>
      <c r="H183" s="59" t="s">
        <v>15</v>
      </c>
      <c r="I183" s="818"/>
      <c r="J183" s="58" t="s">
        <v>58</v>
      </c>
      <c r="K183" s="57" t="s">
        <v>37</v>
      </c>
      <c r="L183" s="622"/>
      <c r="M183" s="57" t="s">
        <v>59</v>
      </c>
      <c r="N183" s="818"/>
      <c r="O183" s="58" t="s">
        <v>58</v>
      </c>
      <c r="P183" s="622"/>
      <c r="Q183" s="59" t="s">
        <v>60</v>
      </c>
      <c r="R183" s="60" t="s">
        <v>53</v>
      </c>
      <c r="S183" s="822"/>
      <c r="T183" s="823"/>
      <c r="U183" s="58" t="s">
        <v>58</v>
      </c>
      <c r="V183" s="59" t="s">
        <v>61</v>
      </c>
      <c r="W183" s="650"/>
      <c r="X183" s="40"/>
      <c r="Y183" s="765"/>
      <c r="Z183" s="766"/>
      <c r="AA183" s="768"/>
      <c r="AB183" s="768"/>
      <c r="AC183" s="760"/>
      <c r="AD183" s="74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5.6" customHeight="1" thickBot="1" x14ac:dyDescent="0.35">
      <c r="A184" s="1"/>
      <c r="B184" s="73"/>
      <c r="C184" s="831"/>
      <c r="D184" s="819"/>
      <c r="E184" s="58" t="s">
        <v>62</v>
      </c>
      <c r="F184" s="57" t="s">
        <v>63</v>
      </c>
      <c r="G184" s="820"/>
      <c r="H184" s="59" t="s">
        <v>63</v>
      </c>
      <c r="I184" s="819"/>
      <c r="J184" s="58" t="s">
        <v>62</v>
      </c>
      <c r="K184" s="57" t="s">
        <v>63</v>
      </c>
      <c r="L184" s="623"/>
      <c r="M184" s="57" t="s">
        <v>63</v>
      </c>
      <c r="N184" s="819"/>
      <c r="O184" s="58" t="s">
        <v>63</v>
      </c>
      <c r="P184" s="623"/>
      <c r="Q184" s="59" t="s">
        <v>63</v>
      </c>
      <c r="R184" s="60" t="s">
        <v>88</v>
      </c>
      <c r="S184" s="824"/>
      <c r="T184" s="825"/>
      <c r="U184" s="61" t="s">
        <v>89</v>
      </c>
      <c r="V184" s="59" t="s">
        <v>63</v>
      </c>
      <c r="W184" s="651"/>
      <c r="X184" s="40"/>
      <c r="Y184" s="40"/>
      <c r="Z184" s="40"/>
      <c r="AA184" s="40"/>
      <c r="AB184" s="40"/>
      <c r="AC184" s="40"/>
      <c r="AD184" s="74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4.4" customHeight="1" x14ac:dyDescent="0.3">
      <c r="A185" s="1"/>
      <c r="B185" s="73"/>
      <c r="C185" s="585">
        <v>7</v>
      </c>
      <c r="D185" s="584">
        <v>1</v>
      </c>
      <c r="E185" s="502">
        <v>17.25</v>
      </c>
      <c r="F185" s="504">
        <f>E185*D185</f>
        <v>17.25</v>
      </c>
      <c r="G185" s="506">
        <v>1</v>
      </c>
      <c r="H185" s="508">
        <f>G185*F185</f>
        <v>17.25</v>
      </c>
      <c r="I185" s="510"/>
      <c r="J185" s="512"/>
      <c r="K185" s="504">
        <v>0</v>
      </c>
      <c r="L185" s="553">
        <v>1</v>
      </c>
      <c r="M185" s="582">
        <f>L185*K185</f>
        <v>0</v>
      </c>
      <c r="N185" s="584"/>
      <c r="O185" s="514"/>
      <c r="P185" s="514">
        <v>1</v>
      </c>
      <c r="Q185" s="508">
        <f>P185*O185</f>
        <v>0</v>
      </c>
      <c r="R185" s="548"/>
      <c r="S185" s="549"/>
      <c r="T185" s="550"/>
      <c r="U185" s="553"/>
      <c r="V185" s="554">
        <v>0</v>
      </c>
      <c r="W185" s="556">
        <f>V185+Q185+M185+H185</f>
        <v>17.25</v>
      </c>
      <c r="X185" s="40"/>
      <c r="Y185" s="763" t="s">
        <v>192</v>
      </c>
      <c r="Z185" s="764"/>
      <c r="AA185" s="767">
        <f>(W187*1000)/(3*230)</f>
        <v>25</v>
      </c>
      <c r="AB185" s="767"/>
      <c r="AC185" s="759" t="s">
        <v>118</v>
      </c>
      <c r="AD185" s="74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4.4" customHeight="1" thickBot="1" x14ac:dyDescent="0.35">
      <c r="A186" s="1"/>
      <c r="B186" s="73"/>
      <c r="C186" s="586"/>
      <c r="D186" s="511"/>
      <c r="E186" s="503"/>
      <c r="F186" s="505"/>
      <c r="G186" s="507"/>
      <c r="H186" s="509"/>
      <c r="I186" s="511"/>
      <c r="J186" s="513"/>
      <c r="K186" s="505"/>
      <c r="L186" s="513"/>
      <c r="M186" s="583"/>
      <c r="N186" s="511"/>
      <c r="O186" s="513"/>
      <c r="P186" s="513"/>
      <c r="Q186" s="509"/>
      <c r="R186" s="511"/>
      <c r="S186" s="551"/>
      <c r="T186" s="552"/>
      <c r="U186" s="513"/>
      <c r="V186" s="555"/>
      <c r="W186" s="557"/>
      <c r="X186" s="40"/>
      <c r="Y186" s="765"/>
      <c r="Z186" s="766"/>
      <c r="AA186" s="768"/>
      <c r="AB186" s="768"/>
      <c r="AC186" s="760"/>
      <c r="AD186" s="74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5" customHeight="1" thickBot="1" x14ac:dyDescent="0.35">
      <c r="A187" s="1"/>
      <c r="B187" s="73"/>
      <c r="C187" s="579">
        <v>8</v>
      </c>
      <c r="D187" s="560">
        <v>1</v>
      </c>
      <c r="E187" s="562">
        <v>17.25</v>
      </c>
      <c r="F187" s="563">
        <f>E187*D187</f>
        <v>17.25</v>
      </c>
      <c r="G187" s="565">
        <v>1</v>
      </c>
      <c r="H187" s="567">
        <f>G187*F187</f>
        <v>17.25</v>
      </c>
      <c r="I187" s="569"/>
      <c r="J187" s="570"/>
      <c r="K187" s="563">
        <v>0</v>
      </c>
      <c r="L187" s="490">
        <v>1</v>
      </c>
      <c r="M187" s="571">
        <f>L187*K187</f>
        <v>0</v>
      </c>
      <c r="N187" s="560"/>
      <c r="O187" s="577"/>
      <c r="P187" s="577">
        <v>1</v>
      </c>
      <c r="Q187" s="567">
        <f>P187*O187</f>
        <v>0</v>
      </c>
      <c r="R187" s="578"/>
      <c r="S187" s="494"/>
      <c r="T187" s="495"/>
      <c r="U187" s="490"/>
      <c r="V187" s="573">
        <v>0</v>
      </c>
      <c r="W187" s="575">
        <f>V187+Q187+M187+H187</f>
        <v>17.25</v>
      </c>
      <c r="X187" s="40"/>
      <c r="Y187" s="40"/>
      <c r="Z187" s="40"/>
      <c r="AA187" s="40"/>
      <c r="AB187" s="40"/>
      <c r="AC187" s="40"/>
      <c r="AD187" s="74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4.4" customHeight="1" x14ac:dyDescent="0.3">
      <c r="A188" s="1"/>
      <c r="B188" s="73"/>
      <c r="C188" s="580"/>
      <c r="D188" s="561"/>
      <c r="E188" s="581"/>
      <c r="F188" s="564"/>
      <c r="G188" s="566"/>
      <c r="H188" s="568"/>
      <c r="I188" s="561"/>
      <c r="J188" s="491"/>
      <c r="K188" s="564"/>
      <c r="L188" s="491"/>
      <c r="M188" s="572"/>
      <c r="N188" s="561"/>
      <c r="O188" s="491"/>
      <c r="P188" s="491"/>
      <c r="Q188" s="568"/>
      <c r="R188" s="561"/>
      <c r="S188" s="496"/>
      <c r="T188" s="497"/>
      <c r="U188" s="491"/>
      <c r="V188" s="574"/>
      <c r="W188" s="576"/>
      <c r="X188" s="40"/>
      <c r="Y188" s="763" t="s">
        <v>193</v>
      </c>
      <c r="Z188" s="764"/>
      <c r="AA188" s="767">
        <f>(W189*1000)/(3*230)</f>
        <v>25</v>
      </c>
      <c r="AB188" s="767"/>
      <c r="AC188" s="759" t="s">
        <v>118</v>
      </c>
      <c r="AD188" s="74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4.4" customHeight="1" thickBot="1" x14ac:dyDescent="0.35">
      <c r="A189" s="1"/>
      <c r="B189" s="73"/>
      <c r="C189" s="498">
        <v>9</v>
      </c>
      <c r="D189" s="500">
        <v>1</v>
      </c>
      <c r="E189" s="502">
        <v>17.25</v>
      </c>
      <c r="F189" s="504">
        <f>E189*D189</f>
        <v>17.25</v>
      </c>
      <c r="G189" s="506">
        <v>1</v>
      </c>
      <c r="H189" s="508">
        <f>G189*F189</f>
        <v>17.25</v>
      </c>
      <c r="I189" s="510"/>
      <c r="J189" s="512"/>
      <c r="K189" s="504">
        <v>0</v>
      </c>
      <c r="L189" s="553">
        <v>1</v>
      </c>
      <c r="M189" s="582">
        <f>L189*K189</f>
        <v>0</v>
      </c>
      <c r="N189" s="584"/>
      <c r="O189" s="514"/>
      <c r="P189" s="514">
        <v>1</v>
      </c>
      <c r="Q189" s="508">
        <f>P189*O189</f>
        <v>0</v>
      </c>
      <c r="R189" s="548"/>
      <c r="S189" s="549"/>
      <c r="T189" s="550"/>
      <c r="U189" s="553"/>
      <c r="V189" s="554">
        <v>0</v>
      </c>
      <c r="W189" s="556">
        <f>V189+Q189+M189+H189</f>
        <v>17.25</v>
      </c>
      <c r="X189" s="40"/>
      <c r="Y189" s="765"/>
      <c r="Z189" s="766"/>
      <c r="AA189" s="768"/>
      <c r="AB189" s="768"/>
      <c r="AC189" s="760"/>
      <c r="AD189" s="74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5" customHeight="1" thickBot="1" x14ac:dyDescent="0.35">
      <c r="A190" s="1"/>
      <c r="B190" s="73"/>
      <c r="C190" s="499"/>
      <c r="D190" s="501"/>
      <c r="E190" s="503"/>
      <c r="F190" s="505"/>
      <c r="G190" s="507"/>
      <c r="H190" s="509"/>
      <c r="I190" s="511"/>
      <c r="J190" s="513"/>
      <c r="K190" s="505"/>
      <c r="L190" s="513"/>
      <c r="M190" s="583"/>
      <c r="N190" s="511"/>
      <c r="O190" s="513"/>
      <c r="P190" s="513"/>
      <c r="Q190" s="509"/>
      <c r="R190" s="511"/>
      <c r="S190" s="551"/>
      <c r="T190" s="552"/>
      <c r="U190" s="513"/>
      <c r="V190" s="555"/>
      <c r="W190" s="557"/>
      <c r="X190" s="40"/>
      <c r="Y190" s="40"/>
      <c r="Z190" s="40"/>
      <c r="AA190" s="87"/>
      <c r="AB190" s="40"/>
      <c r="AC190" s="40"/>
      <c r="AD190" s="74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4.4" customHeight="1" x14ac:dyDescent="0.3">
      <c r="A191" s="1"/>
      <c r="B191" s="73"/>
      <c r="C191" s="579">
        <v>10</v>
      </c>
      <c r="D191" s="612">
        <v>1</v>
      </c>
      <c r="E191" s="562">
        <v>17.25</v>
      </c>
      <c r="F191" s="563">
        <f>E191*D191</f>
        <v>17.25</v>
      </c>
      <c r="G191" s="565">
        <v>1</v>
      </c>
      <c r="H191" s="567">
        <f>G191*F191</f>
        <v>17.25</v>
      </c>
      <c r="I191" s="569"/>
      <c r="J191" s="570"/>
      <c r="K191" s="563">
        <v>0</v>
      </c>
      <c r="L191" s="490">
        <v>1</v>
      </c>
      <c r="M191" s="571">
        <f>L191*K191</f>
        <v>0</v>
      </c>
      <c r="N191" s="560"/>
      <c r="O191" s="577"/>
      <c r="P191" s="577">
        <v>1</v>
      </c>
      <c r="Q191" s="567">
        <f>P191*O191</f>
        <v>0</v>
      </c>
      <c r="R191" s="578"/>
      <c r="S191" s="494"/>
      <c r="T191" s="495"/>
      <c r="U191" s="490"/>
      <c r="V191" s="573">
        <v>0</v>
      </c>
      <c r="W191" s="575">
        <f>V191+Q191+M191+H191</f>
        <v>17.25</v>
      </c>
      <c r="X191" s="40"/>
      <c r="Y191" s="763" t="s">
        <v>194</v>
      </c>
      <c r="Z191" s="764"/>
      <c r="AA191" s="767">
        <f>(W193*1000)/(3*230)</f>
        <v>25</v>
      </c>
      <c r="AB191" s="767"/>
      <c r="AC191" s="759" t="s">
        <v>118</v>
      </c>
      <c r="AD191" s="74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4.4" customHeight="1" thickBot="1" x14ac:dyDescent="0.35">
      <c r="A192" s="1"/>
      <c r="B192" s="73"/>
      <c r="C192" s="580"/>
      <c r="D192" s="613"/>
      <c r="E192" s="581"/>
      <c r="F192" s="564"/>
      <c r="G192" s="566"/>
      <c r="H192" s="568"/>
      <c r="I192" s="561"/>
      <c r="J192" s="491"/>
      <c r="K192" s="564"/>
      <c r="L192" s="491"/>
      <c r="M192" s="572"/>
      <c r="N192" s="561"/>
      <c r="O192" s="491"/>
      <c r="P192" s="491"/>
      <c r="Q192" s="568"/>
      <c r="R192" s="561"/>
      <c r="S192" s="496"/>
      <c r="T192" s="497"/>
      <c r="U192" s="491"/>
      <c r="V192" s="574"/>
      <c r="W192" s="576"/>
      <c r="X192" s="40"/>
      <c r="Y192" s="765"/>
      <c r="Z192" s="766"/>
      <c r="AA192" s="768"/>
      <c r="AB192" s="768"/>
      <c r="AC192" s="760"/>
      <c r="AD192" s="74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5" customHeight="1" thickBot="1" x14ac:dyDescent="0.35">
      <c r="A193" s="1"/>
      <c r="B193" s="73"/>
      <c r="C193" s="498">
        <v>11</v>
      </c>
      <c r="D193" s="500">
        <v>1</v>
      </c>
      <c r="E193" s="502">
        <v>17.25</v>
      </c>
      <c r="F193" s="504">
        <f>E193*D193</f>
        <v>17.25</v>
      </c>
      <c r="G193" s="506">
        <v>1</v>
      </c>
      <c r="H193" s="508">
        <f>G193*F193</f>
        <v>17.25</v>
      </c>
      <c r="I193" s="510"/>
      <c r="J193" s="512"/>
      <c r="K193" s="504">
        <v>0</v>
      </c>
      <c r="L193" s="553">
        <v>1</v>
      </c>
      <c r="M193" s="582">
        <f>L193*K193</f>
        <v>0</v>
      </c>
      <c r="N193" s="584"/>
      <c r="O193" s="514"/>
      <c r="P193" s="514">
        <v>1</v>
      </c>
      <c r="Q193" s="508">
        <f>P193*O193</f>
        <v>0</v>
      </c>
      <c r="R193" s="548"/>
      <c r="S193" s="549"/>
      <c r="T193" s="550"/>
      <c r="U193" s="553"/>
      <c r="V193" s="554">
        <v>0</v>
      </c>
      <c r="W193" s="556">
        <f>V193+Q193+M193+H193</f>
        <v>17.25</v>
      </c>
      <c r="X193" s="40"/>
      <c r="Y193" s="87"/>
      <c r="Z193" s="87"/>
      <c r="AA193" s="87"/>
      <c r="AB193" s="87"/>
      <c r="AC193" s="87"/>
      <c r="AD193" s="74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4.4" customHeight="1" x14ac:dyDescent="0.3">
      <c r="A194" s="1"/>
      <c r="B194" s="73"/>
      <c r="C194" s="499"/>
      <c r="D194" s="501"/>
      <c r="E194" s="503"/>
      <c r="F194" s="505"/>
      <c r="G194" s="507"/>
      <c r="H194" s="509"/>
      <c r="I194" s="511"/>
      <c r="J194" s="513"/>
      <c r="K194" s="505"/>
      <c r="L194" s="513"/>
      <c r="M194" s="583"/>
      <c r="N194" s="511"/>
      <c r="O194" s="513"/>
      <c r="P194" s="513"/>
      <c r="Q194" s="509"/>
      <c r="R194" s="511"/>
      <c r="S194" s="551"/>
      <c r="T194" s="552"/>
      <c r="U194" s="513"/>
      <c r="V194" s="555"/>
      <c r="W194" s="557"/>
      <c r="X194" s="40"/>
      <c r="Y194" s="763" t="s">
        <v>195</v>
      </c>
      <c r="Z194" s="764"/>
      <c r="AA194" s="769" t="s">
        <v>160</v>
      </c>
      <c r="AB194" s="770"/>
      <c r="AC194" s="771"/>
      <c r="AD194" s="7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5" customHeight="1" thickBot="1" x14ac:dyDescent="0.35">
      <c r="A195" s="1"/>
      <c r="B195" s="73"/>
      <c r="C195" s="579">
        <v>12</v>
      </c>
      <c r="D195" s="612">
        <v>1</v>
      </c>
      <c r="E195" s="562">
        <v>17.25</v>
      </c>
      <c r="F195" s="563">
        <f>E195*D195</f>
        <v>17.25</v>
      </c>
      <c r="G195" s="565">
        <v>1</v>
      </c>
      <c r="H195" s="567">
        <f>G195*F195</f>
        <v>17.25</v>
      </c>
      <c r="I195" s="569"/>
      <c r="J195" s="570"/>
      <c r="K195" s="563">
        <v>0</v>
      </c>
      <c r="L195" s="490">
        <v>1</v>
      </c>
      <c r="M195" s="571">
        <f>L195*K195</f>
        <v>0</v>
      </c>
      <c r="N195" s="560"/>
      <c r="O195" s="577"/>
      <c r="P195" s="577">
        <v>1</v>
      </c>
      <c r="Q195" s="567">
        <f>P195*O195</f>
        <v>0</v>
      </c>
      <c r="R195" s="578"/>
      <c r="S195" s="494"/>
      <c r="T195" s="495"/>
      <c r="U195" s="490"/>
      <c r="V195" s="573">
        <v>0</v>
      </c>
      <c r="W195" s="575">
        <f>V195+Q195+M195+H195</f>
        <v>17.25</v>
      </c>
      <c r="X195" s="40"/>
      <c r="Y195" s="765"/>
      <c r="Z195" s="766"/>
      <c r="AA195" s="772"/>
      <c r="AB195" s="772"/>
      <c r="AC195" s="773"/>
      <c r="AD195" s="7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x14ac:dyDescent="0.3">
      <c r="A196" s="1"/>
      <c r="B196" s="73"/>
      <c r="C196" s="580"/>
      <c r="D196" s="613"/>
      <c r="E196" s="581"/>
      <c r="F196" s="564"/>
      <c r="G196" s="566"/>
      <c r="H196" s="568"/>
      <c r="I196" s="561"/>
      <c r="J196" s="491"/>
      <c r="K196" s="564"/>
      <c r="L196" s="491"/>
      <c r="M196" s="572"/>
      <c r="N196" s="561"/>
      <c r="O196" s="491"/>
      <c r="P196" s="491"/>
      <c r="Q196" s="568"/>
      <c r="R196" s="561"/>
      <c r="S196" s="496"/>
      <c r="T196" s="497"/>
      <c r="U196" s="491"/>
      <c r="V196" s="574"/>
      <c r="W196" s="576"/>
      <c r="X196" s="40"/>
      <c r="Y196" s="40"/>
      <c r="Z196" s="40"/>
      <c r="AA196" s="40"/>
      <c r="AB196" s="40"/>
      <c r="AC196" s="40"/>
      <c r="AD196" s="7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x14ac:dyDescent="0.3">
      <c r="A197" s="1"/>
      <c r="B197" s="73"/>
      <c r="C197" s="498">
        <v>13</v>
      </c>
      <c r="D197" s="500">
        <v>1</v>
      </c>
      <c r="E197" s="502">
        <v>17.25</v>
      </c>
      <c r="F197" s="504">
        <f>E197*D197</f>
        <v>17.25</v>
      </c>
      <c r="G197" s="506">
        <v>1</v>
      </c>
      <c r="H197" s="508">
        <f>G197*F197</f>
        <v>17.25</v>
      </c>
      <c r="I197" s="510"/>
      <c r="J197" s="512"/>
      <c r="K197" s="504">
        <v>0</v>
      </c>
      <c r="L197" s="553">
        <v>1</v>
      </c>
      <c r="M197" s="582">
        <f>L197*K197</f>
        <v>0</v>
      </c>
      <c r="N197" s="584"/>
      <c r="O197" s="514"/>
      <c r="P197" s="514">
        <v>1</v>
      </c>
      <c r="Q197" s="508">
        <f>P197*O197</f>
        <v>0</v>
      </c>
      <c r="R197" s="548"/>
      <c r="S197" s="549"/>
      <c r="T197" s="550"/>
      <c r="U197" s="553"/>
      <c r="V197" s="554">
        <v>0</v>
      </c>
      <c r="W197" s="556">
        <f>V197+Q197+M197+H197</f>
        <v>17.25</v>
      </c>
      <c r="X197" s="40"/>
      <c r="Y197" s="40"/>
      <c r="Z197" s="40"/>
      <c r="AA197" s="40"/>
      <c r="AB197" s="40"/>
      <c r="AC197" s="40"/>
      <c r="AD197" s="7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x14ac:dyDescent="0.3">
      <c r="A198" s="1"/>
      <c r="B198" s="73"/>
      <c r="C198" s="499"/>
      <c r="D198" s="501"/>
      <c r="E198" s="503"/>
      <c r="F198" s="505"/>
      <c r="G198" s="507"/>
      <c r="H198" s="509"/>
      <c r="I198" s="511"/>
      <c r="J198" s="513"/>
      <c r="K198" s="505"/>
      <c r="L198" s="513"/>
      <c r="M198" s="583"/>
      <c r="N198" s="511"/>
      <c r="O198" s="513"/>
      <c r="P198" s="513"/>
      <c r="Q198" s="509"/>
      <c r="R198" s="511"/>
      <c r="S198" s="551"/>
      <c r="T198" s="552"/>
      <c r="U198" s="513"/>
      <c r="V198" s="555"/>
      <c r="W198" s="557"/>
      <c r="X198" s="40"/>
      <c r="Y198" s="40"/>
      <c r="Z198" s="40"/>
      <c r="AA198" s="40"/>
      <c r="AB198" s="40"/>
      <c r="AC198" s="40"/>
      <c r="AD198" s="74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x14ac:dyDescent="0.3">
      <c r="A199" s="1"/>
      <c r="B199" s="73"/>
      <c r="C199" s="579">
        <v>14</v>
      </c>
      <c r="D199" s="612">
        <v>1</v>
      </c>
      <c r="E199" s="562">
        <v>17.25</v>
      </c>
      <c r="F199" s="563">
        <f>E199*D199</f>
        <v>17.25</v>
      </c>
      <c r="G199" s="565">
        <v>1</v>
      </c>
      <c r="H199" s="567">
        <f>G199*F199</f>
        <v>17.25</v>
      </c>
      <c r="I199" s="569"/>
      <c r="J199" s="570"/>
      <c r="K199" s="563">
        <v>0</v>
      </c>
      <c r="L199" s="490">
        <v>1</v>
      </c>
      <c r="M199" s="571">
        <f>L199*K199</f>
        <v>0</v>
      </c>
      <c r="N199" s="560"/>
      <c r="O199" s="577"/>
      <c r="P199" s="577">
        <v>1</v>
      </c>
      <c r="Q199" s="567">
        <f>P199*O199</f>
        <v>0</v>
      </c>
      <c r="R199" s="578"/>
      <c r="S199" s="494"/>
      <c r="T199" s="495"/>
      <c r="U199" s="490"/>
      <c r="V199" s="573">
        <v>0</v>
      </c>
      <c r="W199" s="575">
        <f>V199+Q199+M199+H199</f>
        <v>17.25</v>
      </c>
      <c r="X199" s="40"/>
      <c r="Y199" s="40"/>
      <c r="Z199" s="40"/>
      <c r="AA199" s="40"/>
      <c r="AB199" s="40"/>
      <c r="AC199" s="40"/>
      <c r="AD199" s="74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x14ac:dyDescent="0.3">
      <c r="A200" s="1"/>
      <c r="B200" s="73"/>
      <c r="C200" s="580"/>
      <c r="D200" s="613"/>
      <c r="E200" s="581"/>
      <c r="F200" s="564"/>
      <c r="G200" s="566"/>
      <c r="H200" s="568"/>
      <c r="I200" s="561"/>
      <c r="J200" s="491"/>
      <c r="K200" s="564"/>
      <c r="L200" s="491"/>
      <c r="M200" s="572"/>
      <c r="N200" s="561"/>
      <c r="O200" s="491"/>
      <c r="P200" s="491"/>
      <c r="Q200" s="568"/>
      <c r="R200" s="561"/>
      <c r="S200" s="496"/>
      <c r="T200" s="497"/>
      <c r="U200" s="491"/>
      <c r="V200" s="574"/>
      <c r="W200" s="576"/>
      <c r="X200" s="40"/>
      <c r="Y200" s="40"/>
      <c r="Z200" s="40"/>
      <c r="AA200" s="40"/>
      <c r="AB200" s="40"/>
      <c r="AC200" s="40"/>
      <c r="AD200" s="74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x14ac:dyDescent="0.3">
      <c r="A201" s="1"/>
      <c r="B201" s="73"/>
      <c r="C201" s="585"/>
      <c r="D201" s="584"/>
      <c r="E201" s="502"/>
      <c r="F201" s="504">
        <f>E201*D201</f>
        <v>0</v>
      </c>
      <c r="G201" s="506"/>
      <c r="H201" s="508">
        <f>G201*F201</f>
        <v>0</v>
      </c>
      <c r="I201" s="510"/>
      <c r="J201" s="512"/>
      <c r="K201" s="504">
        <v>0</v>
      </c>
      <c r="L201" s="553"/>
      <c r="M201" s="582">
        <f>L201*K201</f>
        <v>0</v>
      </c>
      <c r="N201" s="584"/>
      <c r="O201" s="514"/>
      <c r="P201" s="514"/>
      <c r="Q201" s="508">
        <f>P201*O201</f>
        <v>0</v>
      </c>
      <c r="R201" s="548"/>
      <c r="S201" s="549"/>
      <c r="T201" s="550"/>
      <c r="U201" s="553"/>
      <c r="V201" s="554">
        <v>0</v>
      </c>
      <c r="W201" s="556">
        <f>V201+Q201+M201+H201</f>
        <v>0</v>
      </c>
      <c r="X201" s="40"/>
      <c r="Y201" s="40"/>
      <c r="Z201" s="40"/>
      <c r="AA201" s="40"/>
      <c r="AB201" s="40"/>
      <c r="AC201" s="40"/>
      <c r="AD201" s="74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x14ac:dyDescent="0.3">
      <c r="A202" s="1"/>
      <c r="B202" s="73"/>
      <c r="C202" s="586"/>
      <c r="D202" s="511"/>
      <c r="E202" s="513"/>
      <c r="F202" s="505"/>
      <c r="G202" s="507"/>
      <c r="H202" s="509"/>
      <c r="I202" s="511"/>
      <c r="J202" s="513"/>
      <c r="K202" s="505"/>
      <c r="L202" s="513"/>
      <c r="M202" s="583"/>
      <c r="N202" s="511"/>
      <c r="O202" s="513"/>
      <c r="P202" s="513"/>
      <c r="Q202" s="509"/>
      <c r="R202" s="511"/>
      <c r="S202" s="551"/>
      <c r="T202" s="552"/>
      <c r="U202" s="513"/>
      <c r="V202" s="555"/>
      <c r="W202" s="557"/>
      <c r="X202" s="40"/>
      <c r="Y202" s="40"/>
      <c r="Z202" s="40"/>
      <c r="AA202" s="40"/>
      <c r="AB202" s="40"/>
      <c r="AC202" s="40"/>
      <c r="AD202" s="74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x14ac:dyDescent="0.3">
      <c r="A203" s="1"/>
      <c r="B203" s="73"/>
      <c r="C203" s="69" t="s">
        <v>64</v>
      </c>
      <c r="D203" s="62">
        <f>SUM(D185:D200)</f>
        <v>8</v>
      </c>
      <c r="E203" s="600"/>
      <c r="F203" s="63">
        <f>SUM(F185:F202)</f>
        <v>138</v>
      </c>
      <c r="G203" s="600"/>
      <c r="H203" s="606">
        <f>SUM(H185:H202)</f>
        <v>138</v>
      </c>
      <c r="I203" s="62">
        <f>SUM(I185:I202)</f>
        <v>0</v>
      </c>
      <c r="J203" s="600"/>
      <c r="K203" s="63">
        <f>SUM(K185:K202)</f>
        <v>0</v>
      </c>
      <c r="L203" s="600"/>
      <c r="M203" s="606">
        <f>SUM(M185:M202)</f>
        <v>0</v>
      </c>
      <c r="N203" s="62">
        <f>SUM(N185:N202)</f>
        <v>0</v>
      </c>
      <c r="O203" s="608"/>
      <c r="P203" s="609"/>
      <c r="Q203" s="64">
        <f>SUM(Q185:Q202)</f>
        <v>0</v>
      </c>
      <c r="R203" s="630">
        <v>0</v>
      </c>
      <c r="S203" s="632"/>
      <c r="T203" s="633"/>
      <c r="U203" s="634"/>
      <c r="V203" s="64">
        <v>0</v>
      </c>
      <c r="W203" s="627">
        <f>SUM(W185:W202)</f>
        <v>138</v>
      </c>
      <c r="X203" s="40"/>
      <c r="Y203" s="40"/>
      <c r="Z203" s="40"/>
      <c r="AA203" s="40"/>
      <c r="AB203" s="40"/>
      <c r="AC203" s="40"/>
      <c r="AD203" s="74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5" x14ac:dyDescent="0.3">
      <c r="A204" s="1"/>
      <c r="B204" s="73"/>
      <c r="C204" s="70" t="s">
        <v>65</v>
      </c>
      <c r="D204" s="65" t="s">
        <v>90</v>
      </c>
      <c r="E204" s="601"/>
      <c r="F204" s="66" t="s">
        <v>91</v>
      </c>
      <c r="G204" s="601"/>
      <c r="H204" s="607"/>
      <c r="I204" s="65" t="s">
        <v>92</v>
      </c>
      <c r="J204" s="601"/>
      <c r="K204" s="66" t="s">
        <v>93</v>
      </c>
      <c r="L204" s="601"/>
      <c r="M204" s="607"/>
      <c r="N204" s="65" t="s">
        <v>94</v>
      </c>
      <c r="O204" s="610"/>
      <c r="P204" s="611"/>
      <c r="Q204" s="67" t="s">
        <v>95</v>
      </c>
      <c r="R204" s="631"/>
      <c r="S204" s="635"/>
      <c r="T204" s="636"/>
      <c r="U204" s="637"/>
      <c r="V204" s="68" t="s">
        <v>96</v>
      </c>
      <c r="W204" s="628"/>
      <c r="X204" s="40"/>
      <c r="Y204" s="40"/>
      <c r="Z204" s="40"/>
      <c r="AA204" s="40"/>
      <c r="AB204" s="40"/>
      <c r="AC204" s="40"/>
      <c r="AD204" s="74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x14ac:dyDescent="0.3">
      <c r="A205" s="1"/>
      <c r="B205" s="73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74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x14ac:dyDescent="0.3">
      <c r="A206" s="1"/>
      <c r="B206" s="73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786" t="s">
        <v>151</v>
      </c>
      <c r="Q206" s="786"/>
      <c r="R206" s="787">
        <f>(0.2+(0.8/(D203)^(1/2)))*(D203*E199)</f>
        <v>66.632294321497426</v>
      </c>
      <c r="S206" s="787"/>
      <c r="T206" s="787"/>
      <c r="U206" s="787"/>
      <c r="V206" s="787"/>
      <c r="W206" s="788" t="s">
        <v>17</v>
      </c>
      <c r="X206" s="40"/>
      <c r="Y206" s="40"/>
      <c r="Z206" s="40"/>
      <c r="AA206" s="40"/>
      <c r="AB206" s="40"/>
      <c r="AC206" s="40"/>
      <c r="AD206" s="74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x14ac:dyDescent="0.3">
      <c r="A207" s="1"/>
      <c r="B207" s="73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786"/>
      <c r="Q207" s="786"/>
      <c r="R207" s="787"/>
      <c r="S207" s="787"/>
      <c r="T207" s="787"/>
      <c r="U207" s="787"/>
      <c r="V207" s="787"/>
      <c r="W207" s="788"/>
      <c r="X207" s="40"/>
      <c r="Y207" s="40"/>
      <c r="Z207" s="40"/>
      <c r="AA207" s="40"/>
      <c r="AB207" s="40"/>
      <c r="AC207" s="40"/>
      <c r="AD207" s="74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x14ac:dyDescent="0.3">
      <c r="A208" s="1"/>
      <c r="B208" s="73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74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x14ac:dyDescent="0.3">
      <c r="A209" s="1"/>
      <c r="B209" s="73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786" t="s">
        <v>153</v>
      </c>
      <c r="Q209" s="786"/>
      <c r="R209" s="787">
        <f>(R206*1000)/(3*230)</f>
        <v>96.568542494923804</v>
      </c>
      <c r="S209" s="787"/>
      <c r="T209" s="787"/>
      <c r="U209" s="787"/>
      <c r="V209" s="787"/>
      <c r="W209" s="788" t="s">
        <v>118</v>
      </c>
      <c r="X209" s="40"/>
      <c r="Y209" s="40"/>
      <c r="Z209" s="40"/>
      <c r="AA209" s="40"/>
      <c r="AB209" s="40"/>
      <c r="AC209" s="40"/>
      <c r="AD209" s="74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x14ac:dyDescent="0.3">
      <c r="A210" s="1"/>
      <c r="B210" s="73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786"/>
      <c r="Q210" s="786"/>
      <c r="R210" s="787"/>
      <c r="S210" s="787"/>
      <c r="T210" s="787"/>
      <c r="U210" s="787"/>
      <c r="V210" s="787"/>
      <c r="W210" s="788"/>
      <c r="X210" s="40"/>
      <c r="Y210" s="40"/>
      <c r="Z210" s="40"/>
      <c r="AA210" s="40"/>
      <c r="AB210" s="40"/>
      <c r="AC210" s="40"/>
      <c r="AD210" s="74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x14ac:dyDescent="0.3">
      <c r="A211" s="1"/>
      <c r="B211" s="73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74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5" thickBot="1" x14ac:dyDescent="0.35">
      <c r="A212" s="1"/>
      <c r="B212" s="75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7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x14ac:dyDescent="0.3">
      <c r="A215" s="1"/>
      <c r="B215" s="826" t="s">
        <v>196</v>
      </c>
      <c r="C215" s="827"/>
      <c r="D215" s="827"/>
      <c r="E215" s="827"/>
      <c r="F215" s="827"/>
      <c r="G215" s="827"/>
      <c r="H215" s="827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x14ac:dyDescent="0.3">
      <c r="A216" s="1"/>
      <c r="B216" s="828"/>
      <c r="C216" s="829"/>
      <c r="D216" s="829"/>
      <c r="E216" s="829"/>
      <c r="F216" s="829"/>
      <c r="G216" s="829"/>
      <c r="H216" s="829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74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x14ac:dyDescent="0.3">
      <c r="A217" s="1"/>
      <c r="B217" s="73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761" t="s">
        <v>119</v>
      </c>
      <c r="Z217" s="761"/>
      <c r="AA217" s="761"/>
      <c r="AB217" s="761"/>
      <c r="AC217" s="761"/>
      <c r="AD217" s="76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x14ac:dyDescent="0.3">
      <c r="A218" s="1"/>
      <c r="B218" s="73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761"/>
      <c r="Z218" s="761"/>
      <c r="AA218" s="761"/>
      <c r="AB218" s="761"/>
      <c r="AC218" s="761"/>
      <c r="AD218" s="76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5" thickBot="1" x14ac:dyDescent="0.35">
      <c r="A219" s="1"/>
      <c r="B219" s="73"/>
      <c r="C219" s="615" t="s">
        <v>50</v>
      </c>
      <c r="D219" s="624" t="s">
        <v>15</v>
      </c>
      <c r="E219" s="625"/>
      <c r="F219" s="625"/>
      <c r="G219" s="625"/>
      <c r="H219" s="626"/>
      <c r="I219" s="624" t="s">
        <v>51</v>
      </c>
      <c r="J219" s="625"/>
      <c r="K219" s="625"/>
      <c r="L219" s="625"/>
      <c r="M219" s="626"/>
      <c r="N219" s="624" t="s">
        <v>23</v>
      </c>
      <c r="O219" s="625"/>
      <c r="P219" s="625"/>
      <c r="Q219" s="626"/>
      <c r="R219" s="624" t="s">
        <v>52</v>
      </c>
      <c r="S219" s="625"/>
      <c r="T219" s="625"/>
      <c r="U219" s="625"/>
      <c r="V219" s="626"/>
      <c r="W219" s="649" t="s">
        <v>87</v>
      </c>
      <c r="X219" s="40"/>
      <c r="Y219" s="40"/>
      <c r="Z219" s="40"/>
      <c r="AA219" s="40"/>
      <c r="AB219" s="40"/>
      <c r="AC219" s="40"/>
      <c r="AD219" s="74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4.4" customHeight="1" x14ac:dyDescent="0.3">
      <c r="A220" s="1"/>
      <c r="B220" s="73"/>
      <c r="C220" s="830"/>
      <c r="D220" s="817" t="s">
        <v>53</v>
      </c>
      <c r="E220" s="53" t="s">
        <v>54</v>
      </c>
      <c r="F220" s="52" t="s">
        <v>55</v>
      </c>
      <c r="G220" s="619" t="s">
        <v>56</v>
      </c>
      <c r="H220" s="54" t="s">
        <v>55</v>
      </c>
      <c r="I220" s="817" t="s">
        <v>53</v>
      </c>
      <c r="J220" s="53" t="s">
        <v>54</v>
      </c>
      <c r="K220" s="52" t="s">
        <v>55</v>
      </c>
      <c r="L220" s="621" t="s">
        <v>56</v>
      </c>
      <c r="M220" s="52" t="s">
        <v>55</v>
      </c>
      <c r="N220" s="817" t="s">
        <v>53</v>
      </c>
      <c r="O220" s="53" t="s">
        <v>54</v>
      </c>
      <c r="P220" s="621" t="s">
        <v>56</v>
      </c>
      <c r="Q220" s="54" t="s">
        <v>55</v>
      </c>
      <c r="R220" s="55"/>
      <c r="S220" s="652" t="s">
        <v>57</v>
      </c>
      <c r="T220" s="821"/>
      <c r="U220" s="53" t="s">
        <v>54</v>
      </c>
      <c r="V220" s="54" t="s">
        <v>55</v>
      </c>
      <c r="W220" s="650"/>
      <c r="X220" s="40"/>
      <c r="Y220" s="763" t="s">
        <v>190</v>
      </c>
      <c r="Z220" s="764"/>
      <c r="AA220" s="767">
        <f>(W223*1000)/(3*230)</f>
        <v>25</v>
      </c>
      <c r="AB220" s="767"/>
      <c r="AC220" s="759" t="s">
        <v>118</v>
      </c>
      <c r="AD220" s="74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5" customHeight="1" thickBot="1" x14ac:dyDescent="0.35">
      <c r="A221" s="1"/>
      <c r="B221" s="73"/>
      <c r="C221" s="830"/>
      <c r="D221" s="818"/>
      <c r="E221" s="58" t="s">
        <v>58</v>
      </c>
      <c r="F221" s="57" t="s">
        <v>37</v>
      </c>
      <c r="G221" s="620"/>
      <c r="H221" s="59" t="s">
        <v>15</v>
      </c>
      <c r="I221" s="818"/>
      <c r="J221" s="58" t="s">
        <v>58</v>
      </c>
      <c r="K221" s="57" t="s">
        <v>37</v>
      </c>
      <c r="L221" s="622"/>
      <c r="M221" s="57" t="s">
        <v>59</v>
      </c>
      <c r="N221" s="818"/>
      <c r="O221" s="58" t="s">
        <v>58</v>
      </c>
      <c r="P221" s="622"/>
      <c r="Q221" s="59" t="s">
        <v>60</v>
      </c>
      <c r="R221" s="60" t="s">
        <v>53</v>
      </c>
      <c r="S221" s="822"/>
      <c r="T221" s="823"/>
      <c r="U221" s="58" t="s">
        <v>58</v>
      </c>
      <c r="V221" s="59" t="s">
        <v>61</v>
      </c>
      <c r="W221" s="650"/>
      <c r="X221" s="40"/>
      <c r="Y221" s="765"/>
      <c r="Z221" s="766"/>
      <c r="AA221" s="768"/>
      <c r="AB221" s="768"/>
      <c r="AC221" s="760"/>
      <c r="AD221" s="74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5.6" thickBot="1" x14ac:dyDescent="0.35">
      <c r="A222" s="1"/>
      <c r="B222" s="73"/>
      <c r="C222" s="831"/>
      <c r="D222" s="819"/>
      <c r="E222" s="58" t="s">
        <v>62</v>
      </c>
      <c r="F222" s="57" t="s">
        <v>63</v>
      </c>
      <c r="G222" s="820"/>
      <c r="H222" s="59" t="s">
        <v>63</v>
      </c>
      <c r="I222" s="819"/>
      <c r="J222" s="58" t="s">
        <v>62</v>
      </c>
      <c r="K222" s="57" t="s">
        <v>63</v>
      </c>
      <c r="L222" s="623"/>
      <c r="M222" s="57" t="s">
        <v>63</v>
      </c>
      <c r="N222" s="819"/>
      <c r="O222" s="58" t="s">
        <v>63</v>
      </c>
      <c r="P222" s="623"/>
      <c r="Q222" s="59" t="s">
        <v>63</v>
      </c>
      <c r="R222" s="60" t="s">
        <v>88</v>
      </c>
      <c r="S222" s="824"/>
      <c r="T222" s="825"/>
      <c r="U222" s="61" t="s">
        <v>89</v>
      </c>
      <c r="V222" s="59" t="s">
        <v>63</v>
      </c>
      <c r="W222" s="651"/>
      <c r="X222" s="40"/>
      <c r="Y222" s="40"/>
      <c r="Z222" s="40"/>
      <c r="AA222" s="40"/>
      <c r="AB222" s="40"/>
      <c r="AC222" s="40"/>
      <c r="AD222" s="74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4.4" customHeight="1" x14ac:dyDescent="0.3">
      <c r="A223" s="1"/>
      <c r="B223" s="73"/>
      <c r="C223" s="812">
        <v>11</v>
      </c>
      <c r="D223" s="500">
        <v>1</v>
      </c>
      <c r="E223" s="502">
        <v>17.25</v>
      </c>
      <c r="F223" s="809">
        <f>E223*D223</f>
        <v>17.25</v>
      </c>
      <c r="G223" s="815">
        <v>1</v>
      </c>
      <c r="H223" s="801">
        <f>G223*F223</f>
        <v>17.25</v>
      </c>
      <c r="I223" s="510"/>
      <c r="J223" s="512"/>
      <c r="K223" s="809">
        <v>0</v>
      </c>
      <c r="L223" s="553">
        <v>1</v>
      </c>
      <c r="M223" s="582">
        <f>L223*K223</f>
        <v>0</v>
      </c>
      <c r="N223" s="584"/>
      <c r="O223" s="514"/>
      <c r="P223" s="514">
        <v>1</v>
      </c>
      <c r="Q223" s="801">
        <f>P223*O223</f>
        <v>0</v>
      </c>
      <c r="R223" s="548"/>
      <c r="S223" s="549"/>
      <c r="T223" s="550"/>
      <c r="U223" s="553"/>
      <c r="V223" s="582">
        <v>0</v>
      </c>
      <c r="W223" s="791">
        <f>V223+Q223+M223+H223</f>
        <v>17.25</v>
      </c>
      <c r="X223" s="40"/>
      <c r="Y223" s="763" t="s">
        <v>189</v>
      </c>
      <c r="Z223" s="764"/>
      <c r="AA223" s="767">
        <f>(W225*1000)/(3*230)</f>
        <v>25</v>
      </c>
      <c r="AB223" s="767"/>
      <c r="AC223" s="759" t="s">
        <v>118</v>
      </c>
      <c r="AD223" s="74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5" customHeight="1" thickBot="1" x14ac:dyDescent="0.35">
      <c r="A224" s="1"/>
      <c r="B224" s="73"/>
      <c r="C224" s="813"/>
      <c r="D224" s="814"/>
      <c r="E224" s="503"/>
      <c r="F224" s="810"/>
      <c r="G224" s="816"/>
      <c r="H224" s="802"/>
      <c r="I224" s="807"/>
      <c r="J224" s="808"/>
      <c r="K224" s="810"/>
      <c r="L224" s="806"/>
      <c r="M224" s="790"/>
      <c r="N224" s="811"/>
      <c r="O224" s="800"/>
      <c r="P224" s="800"/>
      <c r="Q224" s="802"/>
      <c r="R224" s="803"/>
      <c r="S224" s="804"/>
      <c r="T224" s="805"/>
      <c r="U224" s="806"/>
      <c r="V224" s="790"/>
      <c r="W224" s="792"/>
      <c r="X224" s="40"/>
      <c r="Y224" s="765"/>
      <c r="Z224" s="766"/>
      <c r="AA224" s="768"/>
      <c r="AB224" s="768"/>
      <c r="AC224" s="760"/>
      <c r="AD224" s="74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5" thickBot="1" x14ac:dyDescent="0.35">
      <c r="A225" s="1"/>
      <c r="B225" s="73"/>
      <c r="C225" s="793">
        <v>12</v>
      </c>
      <c r="D225" s="612">
        <v>1</v>
      </c>
      <c r="E225" s="562">
        <v>17.25</v>
      </c>
      <c r="F225" s="783">
        <f>E225*D225</f>
        <v>17.25</v>
      </c>
      <c r="G225" s="796">
        <v>1</v>
      </c>
      <c r="H225" s="774">
        <f>G225*F225</f>
        <v>17.25</v>
      </c>
      <c r="I225" s="569"/>
      <c r="J225" s="570"/>
      <c r="K225" s="783">
        <v>0</v>
      </c>
      <c r="L225" s="490">
        <v>1</v>
      </c>
      <c r="M225" s="571">
        <f>L225*K225</f>
        <v>0</v>
      </c>
      <c r="N225" s="560"/>
      <c r="O225" s="577"/>
      <c r="P225" s="577">
        <v>1</v>
      </c>
      <c r="Q225" s="774">
        <f>P225*O225</f>
        <v>0</v>
      </c>
      <c r="R225" s="578"/>
      <c r="S225" s="494"/>
      <c r="T225" s="495"/>
      <c r="U225" s="490"/>
      <c r="V225" s="571">
        <v>0</v>
      </c>
      <c r="W225" s="781">
        <f>V225+Q225+M225+H225</f>
        <v>17.25</v>
      </c>
      <c r="X225" s="40"/>
      <c r="Y225" s="40"/>
      <c r="Z225" s="40"/>
      <c r="AA225" s="40"/>
      <c r="AB225" s="40"/>
      <c r="AC225" s="40"/>
      <c r="AD225" s="74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4.4" customHeight="1" x14ac:dyDescent="0.3">
      <c r="A226" s="1"/>
      <c r="B226" s="73"/>
      <c r="C226" s="794"/>
      <c r="D226" s="795"/>
      <c r="E226" s="581"/>
      <c r="F226" s="784"/>
      <c r="G226" s="797"/>
      <c r="H226" s="775"/>
      <c r="I226" s="798"/>
      <c r="J226" s="799"/>
      <c r="K226" s="784"/>
      <c r="L226" s="779"/>
      <c r="M226" s="780"/>
      <c r="N226" s="785"/>
      <c r="O226" s="789"/>
      <c r="P226" s="789"/>
      <c r="Q226" s="775"/>
      <c r="R226" s="776"/>
      <c r="S226" s="777"/>
      <c r="T226" s="778"/>
      <c r="U226" s="779"/>
      <c r="V226" s="780"/>
      <c r="W226" s="782"/>
      <c r="X226" s="40"/>
      <c r="Y226" s="763" t="s">
        <v>188</v>
      </c>
      <c r="Z226" s="764"/>
      <c r="AA226" s="767">
        <f>(W227*1000)/(3*230)</f>
        <v>25</v>
      </c>
      <c r="AB226" s="767"/>
      <c r="AC226" s="759" t="s">
        <v>118</v>
      </c>
      <c r="AD226" s="74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5" customHeight="1" thickBot="1" x14ac:dyDescent="0.35">
      <c r="A227" s="1"/>
      <c r="B227" s="73"/>
      <c r="C227" s="812">
        <v>13</v>
      </c>
      <c r="D227" s="500">
        <v>1</v>
      </c>
      <c r="E227" s="502">
        <v>17.25</v>
      </c>
      <c r="F227" s="809">
        <f>E227*D227</f>
        <v>17.25</v>
      </c>
      <c r="G227" s="815">
        <v>1</v>
      </c>
      <c r="H227" s="801">
        <f>G227*F227</f>
        <v>17.25</v>
      </c>
      <c r="I227" s="510"/>
      <c r="J227" s="512"/>
      <c r="K227" s="809">
        <v>0</v>
      </c>
      <c r="L227" s="553">
        <v>1</v>
      </c>
      <c r="M227" s="582">
        <f>L227*K227</f>
        <v>0</v>
      </c>
      <c r="N227" s="584"/>
      <c r="O227" s="514"/>
      <c r="P227" s="514">
        <v>1</v>
      </c>
      <c r="Q227" s="801">
        <f>P227*O227</f>
        <v>0</v>
      </c>
      <c r="R227" s="548"/>
      <c r="S227" s="549"/>
      <c r="T227" s="550"/>
      <c r="U227" s="553"/>
      <c r="V227" s="582">
        <v>0</v>
      </c>
      <c r="W227" s="791">
        <f>V227+Q227+M227+H227</f>
        <v>17.25</v>
      </c>
      <c r="X227" s="40"/>
      <c r="Y227" s="765"/>
      <c r="Z227" s="766"/>
      <c r="AA227" s="768"/>
      <c r="AB227" s="768"/>
      <c r="AC227" s="760"/>
      <c r="AD227" s="74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5" thickBot="1" x14ac:dyDescent="0.35">
      <c r="A228" s="1"/>
      <c r="B228" s="73"/>
      <c r="C228" s="813"/>
      <c r="D228" s="814"/>
      <c r="E228" s="503"/>
      <c r="F228" s="810"/>
      <c r="G228" s="816"/>
      <c r="H228" s="802"/>
      <c r="I228" s="807"/>
      <c r="J228" s="808"/>
      <c r="K228" s="810"/>
      <c r="L228" s="806"/>
      <c r="M228" s="790"/>
      <c r="N228" s="811"/>
      <c r="O228" s="800"/>
      <c r="P228" s="800"/>
      <c r="Q228" s="802"/>
      <c r="R228" s="803"/>
      <c r="S228" s="804"/>
      <c r="T228" s="805"/>
      <c r="U228" s="806"/>
      <c r="V228" s="790"/>
      <c r="W228" s="792"/>
      <c r="X228" s="40"/>
      <c r="Y228" s="40"/>
      <c r="Z228" s="40"/>
      <c r="AA228" s="87"/>
      <c r="AB228" s="40"/>
      <c r="AC228" s="40"/>
      <c r="AD228" s="74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4.4" customHeight="1" x14ac:dyDescent="0.3">
      <c r="A229" s="1"/>
      <c r="B229" s="73"/>
      <c r="C229" s="793">
        <v>14</v>
      </c>
      <c r="D229" s="612">
        <v>1</v>
      </c>
      <c r="E229" s="562">
        <v>17.25</v>
      </c>
      <c r="F229" s="783">
        <f>E229*D229</f>
        <v>17.25</v>
      </c>
      <c r="G229" s="796">
        <v>1</v>
      </c>
      <c r="H229" s="774">
        <f>G229*F229</f>
        <v>17.25</v>
      </c>
      <c r="I229" s="569"/>
      <c r="J229" s="570"/>
      <c r="K229" s="783">
        <v>0</v>
      </c>
      <c r="L229" s="490">
        <v>1</v>
      </c>
      <c r="M229" s="571">
        <f>L229*K229</f>
        <v>0</v>
      </c>
      <c r="N229" s="560"/>
      <c r="O229" s="577"/>
      <c r="P229" s="577">
        <v>1</v>
      </c>
      <c r="Q229" s="774">
        <f>P229*O229</f>
        <v>0</v>
      </c>
      <c r="R229" s="578"/>
      <c r="S229" s="494"/>
      <c r="T229" s="495"/>
      <c r="U229" s="490"/>
      <c r="V229" s="571">
        <v>0</v>
      </c>
      <c r="W229" s="781">
        <f>V229+Q229+M229+H229</f>
        <v>17.25</v>
      </c>
      <c r="X229" s="40"/>
      <c r="Y229" s="763" t="s">
        <v>187</v>
      </c>
      <c r="Z229" s="764"/>
      <c r="AA229" s="767">
        <f>(W229*1000)/(3*230)</f>
        <v>25</v>
      </c>
      <c r="AB229" s="767"/>
      <c r="AC229" s="759" t="s">
        <v>118</v>
      </c>
      <c r="AD229" s="74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5" customHeight="1" thickBot="1" x14ac:dyDescent="0.35">
      <c r="A230" s="1"/>
      <c r="B230" s="73"/>
      <c r="C230" s="794"/>
      <c r="D230" s="795"/>
      <c r="E230" s="581"/>
      <c r="F230" s="784"/>
      <c r="G230" s="797"/>
      <c r="H230" s="775"/>
      <c r="I230" s="798"/>
      <c r="J230" s="799"/>
      <c r="K230" s="784"/>
      <c r="L230" s="779"/>
      <c r="M230" s="780"/>
      <c r="N230" s="785"/>
      <c r="O230" s="789"/>
      <c r="P230" s="789"/>
      <c r="Q230" s="775"/>
      <c r="R230" s="776"/>
      <c r="S230" s="777"/>
      <c r="T230" s="778"/>
      <c r="U230" s="779"/>
      <c r="V230" s="780"/>
      <c r="W230" s="782"/>
      <c r="X230" s="40"/>
      <c r="Y230" s="765"/>
      <c r="Z230" s="766"/>
      <c r="AA230" s="768"/>
      <c r="AB230" s="768"/>
      <c r="AC230" s="760"/>
      <c r="AD230" s="74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5" thickBot="1" x14ac:dyDescent="0.35">
      <c r="A231" s="1"/>
      <c r="B231" s="73"/>
      <c r="C231" s="585"/>
      <c r="D231" s="584"/>
      <c r="E231" s="502"/>
      <c r="F231" s="504">
        <f>E231*D231</f>
        <v>0</v>
      </c>
      <c r="G231" s="506"/>
      <c r="H231" s="508">
        <f>G231*F231</f>
        <v>0</v>
      </c>
      <c r="I231" s="510"/>
      <c r="J231" s="512"/>
      <c r="K231" s="504">
        <v>0</v>
      </c>
      <c r="L231" s="553"/>
      <c r="M231" s="582">
        <f>L231*K231</f>
        <v>0</v>
      </c>
      <c r="N231" s="584"/>
      <c r="O231" s="514"/>
      <c r="P231" s="514"/>
      <c r="Q231" s="508">
        <f>P231*O231</f>
        <v>0</v>
      </c>
      <c r="R231" s="548"/>
      <c r="S231" s="549"/>
      <c r="T231" s="550"/>
      <c r="U231" s="553"/>
      <c r="V231" s="554">
        <v>0</v>
      </c>
      <c r="W231" s="556">
        <f>V231+Q231+M231+H231</f>
        <v>0</v>
      </c>
      <c r="X231" s="40"/>
      <c r="Y231" s="40"/>
      <c r="Z231" s="40"/>
      <c r="AA231" s="40"/>
      <c r="AB231" s="40"/>
      <c r="AC231" s="40"/>
      <c r="AD231" s="74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x14ac:dyDescent="0.3">
      <c r="A232" s="1"/>
      <c r="B232" s="73"/>
      <c r="C232" s="586"/>
      <c r="D232" s="511"/>
      <c r="E232" s="513"/>
      <c r="F232" s="505"/>
      <c r="G232" s="507"/>
      <c r="H232" s="509"/>
      <c r="I232" s="511"/>
      <c r="J232" s="513"/>
      <c r="K232" s="505"/>
      <c r="L232" s="513"/>
      <c r="M232" s="583"/>
      <c r="N232" s="511"/>
      <c r="O232" s="513"/>
      <c r="P232" s="513"/>
      <c r="Q232" s="509"/>
      <c r="R232" s="511"/>
      <c r="S232" s="551"/>
      <c r="T232" s="552"/>
      <c r="U232" s="513"/>
      <c r="V232" s="555"/>
      <c r="W232" s="557"/>
      <c r="X232" s="40"/>
      <c r="Y232" s="763" t="s">
        <v>159</v>
      </c>
      <c r="Z232" s="764"/>
      <c r="AA232" s="769" t="s">
        <v>160</v>
      </c>
      <c r="AB232" s="770"/>
      <c r="AC232" s="771"/>
      <c r="AD232" s="74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5" thickBot="1" x14ac:dyDescent="0.35">
      <c r="A233" s="1"/>
      <c r="B233" s="73"/>
      <c r="C233" s="69" t="s">
        <v>64</v>
      </c>
      <c r="D233" s="62">
        <f>SUM(D223:D230)</f>
        <v>4</v>
      </c>
      <c r="E233" s="600"/>
      <c r="F233" s="63">
        <f>SUM(F223:F232)</f>
        <v>69</v>
      </c>
      <c r="G233" s="600"/>
      <c r="H233" s="606">
        <f>SUM(H223:H232)</f>
        <v>69</v>
      </c>
      <c r="I233" s="62">
        <f>SUM(I223:I232)</f>
        <v>0</v>
      </c>
      <c r="J233" s="600"/>
      <c r="K233" s="63">
        <f>SUM(K223:K232)</f>
        <v>0</v>
      </c>
      <c r="L233" s="600"/>
      <c r="M233" s="606">
        <f>SUM(M223:M232)</f>
        <v>0</v>
      </c>
      <c r="N233" s="62">
        <f>SUM(N223:N232)</f>
        <v>0</v>
      </c>
      <c r="O233" s="608"/>
      <c r="P233" s="609"/>
      <c r="Q233" s="64">
        <f>SUM(Q223:Q232)</f>
        <v>0</v>
      </c>
      <c r="R233" s="630">
        <v>0</v>
      </c>
      <c r="S233" s="632"/>
      <c r="T233" s="633"/>
      <c r="U233" s="634"/>
      <c r="V233" s="64">
        <v>0</v>
      </c>
      <c r="W233" s="627">
        <f>SUM(W223:W232)</f>
        <v>69</v>
      </c>
      <c r="X233" s="40"/>
      <c r="Y233" s="765"/>
      <c r="Z233" s="766"/>
      <c r="AA233" s="772"/>
      <c r="AB233" s="772"/>
      <c r="AC233" s="773"/>
      <c r="AD233" s="74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5" x14ac:dyDescent="0.3">
      <c r="A234" s="1"/>
      <c r="B234" s="73"/>
      <c r="C234" s="70" t="s">
        <v>65</v>
      </c>
      <c r="D234" s="65" t="s">
        <v>90</v>
      </c>
      <c r="E234" s="601"/>
      <c r="F234" s="66" t="s">
        <v>91</v>
      </c>
      <c r="G234" s="601"/>
      <c r="H234" s="607"/>
      <c r="I234" s="65" t="s">
        <v>92</v>
      </c>
      <c r="J234" s="601"/>
      <c r="K234" s="66" t="s">
        <v>93</v>
      </c>
      <c r="L234" s="601"/>
      <c r="M234" s="607"/>
      <c r="N234" s="65" t="s">
        <v>94</v>
      </c>
      <c r="O234" s="610"/>
      <c r="P234" s="611"/>
      <c r="Q234" s="67" t="s">
        <v>95</v>
      </c>
      <c r="R234" s="631"/>
      <c r="S234" s="635"/>
      <c r="T234" s="636"/>
      <c r="U234" s="637"/>
      <c r="V234" s="68" t="s">
        <v>96</v>
      </c>
      <c r="W234" s="628"/>
      <c r="X234" s="40"/>
      <c r="Y234" s="40"/>
      <c r="Z234" s="40"/>
      <c r="AA234" s="40"/>
      <c r="AB234" s="40"/>
      <c r="AC234" s="40"/>
      <c r="AD234" s="74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x14ac:dyDescent="0.3">
      <c r="A235" s="1"/>
      <c r="B235" s="73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74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x14ac:dyDescent="0.3">
      <c r="A236" s="1"/>
      <c r="B236" s="73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786" t="s">
        <v>154</v>
      </c>
      <c r="Q236" s="786"/>
      <c r="R236" s="787">
        <f>(0.2+(0.8/(D233+N233)^(1/2)))*(D233*E229+Q233)</f>
        <v>41.400000000000006</v>
      </c>
      <c r="S236" s="787"/>
      <c r="T236" s="787"/>
      <c r="U236" s="787"/>
      <c r="V236" s="787"/>
      <c r="W236" s="788" t="s">
        <v>17</v>
      </c>
      <c r="X236" s="40"/>
      <c r="Y236" s="40"/>
      <c r="Z236" s="40"/>
      <c r="AA236" s="40"/>
      <c r="AB236" s="40"/>
      <c r="AC236" s="40"/>
      <c r="AD236" s="74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x14ac:dyDescent="0.3">
      <c r="A237" s="1"/>
      <c r="B237" s="73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786"/>
      <c r="Q237" s="786"/>
      <c r="R237" s="787"/>
      <c r="S237" s="787"/>
      <c r="T237" s="787"/>
      <c r="U237" s="787"/>
      <c r="V237" s="787"/>
      <c r="W237" s="788"/>
      <c r="X237" s="40"/>
      <c r="Y237" s="40"/>
      <c r="Z237" s="40"/>
      <c r="AA237" s="40"/>
      <c r="AB237" s="40"/>
      <c r="AC237" s="40"/>
      <c r="AD237" s="74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x14ac:dyDescent="0.3">
      <c r="A238" s="1"/>
      <c r="B238" s="73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74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x14ac:dyDescent="0.3">
      <c r="A239" s="1"/>
      <c r="B239" s="73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786" t="s">
        <v>152</v>
      </c>
      <c r="Q239" s="786"/>
      <c r="R239" s="787">
        <f>(R236*1000)/(3*230)</f>
        <v>60.000000000000007</v>
      </c>
      <c r="S239" s="787"/>
      <c r="T239" s="787"/>
      <c r="U239" s="787"/>
      <c r="V239" s="787"/>
      <c r="W239" s="788" t="s">
        <v>118</v>
      </c>
      <c r="X239" s="40"/>
      <c r="Y239" s="40"/>
      <c r="Z239" s="40"/>
      <c r="AA239" s="40"/>
      <c r="AB239" s="40"/>
      <c r="AC239" s="40"/>
      <c r="AD239" s="74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x14ac:dyDescent="0.3">
      <c r="A240" s="1"/>
      <c r="B240" s="73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786"/>
      <c r="Q240" s="786"/>
      <c r="R240" s="787"/>
      <c r="S240" s="787"/>
      <c r="T240" s="787"/>
      <c r="U240" s="787"/>
      <c r="V240" s="787"/>
      <c r="W240" s="788"/>
      <c r="X240" s="40"/>
      <c r="Y240" s="40"/>
      <c r="Z240" s="40"/>
      <c r="AA240" s="40"/>
      <c r="AB240" s="40"/>
      <c r="AC240" s="40"/>
      <c r="AD240" s="74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x14ac:dyDescent="0.3">
      <c r="A241" s="1"/>
      <c r="B241" s="73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74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5" thickBot="1" x14ac:dyDescent="0.35">
      <c r="A242" s="1"/>
      <c r="B242" s="75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7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</sheetData>
  <mergeCells count="1127">
    <mergeCell ref="R11:V11"/>
    <mergeCell ref="W11:W14"/>
    <mergeCell ref="D12:D14"/>
    <mergeCell ref="G12:G14"/>
    <mergeCell ref="I12:I14"/>
    <mergeCell ref="L12:L14"/>
    <mergeCell ref="N12:N14"/>
    <mergeCell ref="P12:P14"/>
    <mergeCell ref="S12:T14"/>
    <mergeCell ref="C11:C14"/>
    <mergeCell ref="D11:H11"/>
    <mergeCell ref="I11:M11"/>
    <mergeCell ref="N11:Q11"/>
    <mergeCell ref="V15:V16"/>
    <mergeCell ref="W15:W16"/>
    <mergeCell ref="C17:C18"/>
    <mergeCell ref="D17:D18"/>
    <mergeCell ref="E17:E18"/>
    <mergeCell ref="F17:F18"/>
    <mergeCell ref="G17:G18"/>
    <mergeCell ref="H17:H18"/>
    <mergeCell ref="I17:I18"/>
    <mergeCell ref="J17:J18"/>
    <mergeCell ref="O15:O16"/>
    <mergeCell ref="P15:P16"/>
    <mergeCell ref="Q15:Q16"/>
    <mergeCell ref="R15:R16"/>
    <mergeCell ref="S15:T16"/>
    <mergeCell ref="U15:U16"/>
    <mergeCell ref="I15:I16"/>
    <mergeCell ref="J15:J16"/>
    <mergeCell ref="K15:K16"/>
    <mergeCell ref="L15:L16"/>
    <mergeCell ref="M15:M16"/>
    <mergeCell ref="N15:N16"/>
    <mergeCell ref="C15:C16"/>
    <mergeCell ref="D15:D16"/>
    <mergeCell ref="E15:E16"/>
    <mergeCell ref="F15:F16"/>
    <mergeCell ref="G15:G16"/>
    <mergeCell ref="H15:H16"/>
    <mergeCell ref="N19:N20"/>
    <mergeCell ref="C19:C20"/>
    <mergeCell ref="D19:D20"/>
    <mergeCell ref="E19:E20"/>
    <mergeCell ref="F19:F20"/>
    <mergeCell ref="G19:G20"/>
    <mergeCell ref="H19:H20"/>
    <mergeCell ref="Q17:Q18"/>
    <mergeCell ref="O19:O20"/>
    <mergeCell ref="P19:P20"/>
    <mergeCell ref="Q19:Q20"/>
    <mergeCell ref="R17:R18"/>
    <mergeCell ref="S17:T18"/>
    <mergeCell ref="U17:U18"/>
    <mergeCell ref="V17:V18"/>
    <mergeCell ref="W17:W18"/>
    <mergeCell ref="K17:K18"/>
    <mergeCell ref="L17:L18"/>
    <mergeCell ref="M17:M18"/>
    <mergeCell ref="N17:N18"/>
    <mergeCell ref="O17:O18"/>
    <mergeCell ref="P17:P18"/>
    <mergeCell ref="B2:AQ4"/>
    <mergeCell ref="B7:H8"/>
    <mergeCell ref="P24:Q25"/>
    <mergeCell ref="P27:Q28"/>
    <mergeCell ref="AC15:AC16"/>
    <mergeCell ref="Y18:Z19"/>
    <mergeCell ref="Y21:Z22"/>
    <mergeCell ref="O21:P22"/>
    <mergeCell ref="R21:R22"/>
    <mergeCell ref="S21:U22"/>
    <mergeCell ref="W21:W22"/>
    <mergeCell ref="R24:V25"/>
    <mergeCell ref="W24:W25"/>
    <mergeCell ref="E21:E22"/>
    <mergeCell ref="G21:G22"/>
    <mergeCell ref="H21:H22"/>
    <mergeCell ref="J21:J22"/>
    <mergeCell ref="L21:L22"/>
    <mergeCell ref="M21:M22"/>
    <mergeCell ref="V19:V20"/>
    <mergeCell ref="W19:W20"/>
    <mergeCell ref="R19:R20"/>
    <mergeCell ref="S19:T20"/>
    <mergeCell ref="U19:U20"/>
    <mergeCell ref="I19:I20"/>
    <mergeCell ref="J19:J20"/>
    <mergeCell ref="K19:K20"/>
    <mergeCell ref="L19:L20"/>
    <mergeCell ref="M19:M20"/>
    <mergeCell ref="G41:G42"/>
    <mergeCell ref="H41:H42"/>
    <mergeCell ref="W37:W40"/>
    <mergeCell ref="D38:D40"/>
    <mergeCell ref="G38:G40"/>
    <mergeCell ref="I38:I40"/>
    <mergeCell ref="L38:L40"/>
    <mergeCell ref="N38:N40"/>
    <mergeCell ref="P38:P40"/>
    <mergeCell ref="S38:T40"/>
    <mergeCell ref="B33:H34"/>
    <mergeCell ref="C37:C40"/>
    <mergeCell ref="D37:H37"/>
    <mergeCell ref="I37:M37"/>
    <mergeCell ref="N37:Q37"/>
    <mergeCell ref="R37:V37"/>
    <mergeCell ref="R27:V28"/>
    <mergeCell ref="W27:W28"/>
    <mergeCell ref="C45:C46"/>
    <mergeCell ref="D45:D46"/>
    <mergeCell ref="E45:E46"/>
    <mergeCell ref="F45:F46"/>
    <mergeCell ref="G45:G46"/>
    <mergeCell ref="H45:H46"/>
    <mergeCell ref="Q43:Q44"/>
    <mergeCell ref="S43:T44"/>
    <mergeCell ref="U43:U44"/>
    <mergeCell ref="V43:V44"/>
    <mergeCell ref="K43:K44"/>
    <mergeCell ref="N43:N44"/>
    <mergeCell ref="O43:O44"/>
    <mergeCell ref="P43:P44"/>
    <mergeCell ref="V41:V42"/>
    <mergeCell ref="W41:W42"/>
    <mergeCell ref="O41:O42"/>
    <mergeCell ref="P41:P42"/>
    <mergeCell ref="Q41:Q42"/>
    <mergeCell ref="R41:R42"/>
    <mergeCell ref="S41:T42"/>
    <mergeCell ref="U41:U42"/>
    <mergeCell ref="I41:I42"/>
    <mergeCell ref="J41:J42"/>
    <mergeCell ref="K41:K42"/>
    <mergeCell ref="L41:L42"/>
    <mergeCell ref="M41:M42"/>
    <mergeCell ref="N41:N42"/>
    <mergeCell ref="C41:C42"/>
    <mergeCell ref="D41:D42"/>
    <mergeCell ref="E41:E42"/>
    <mergeCell ref="F41:F42"/>
    <mergeCell ref="R43:R44"/>
    <mergeCell ref="W43:W44"/>
    <mergeCell ref="E43:E44"/>
    <mergeCell ref="G43:G44"/>
    <mergeCell ref="H43:H44"/>
    <mergeCell ref="J43:J44"/>
    <mergeCell ref="L43:L44"/>
    <mergeCell ref="M43:M44"/>
    <mergeCell ref="V45:V46"/>
    <mergeCell ref="W45:W46"/>
    <mergeCell ref="O45:O46"/>
    <mergeCell ref="P45:P46"/>
    <mergeCell ref="Q45:Q46"/>
    <mergeCell ref="R45:R46"/>
    <mergeCell ref="S45:T46"/>
    <mergeCell ref="U45:U46"/>
    <mergeCell ref="I45:I46"/>
    <mergeCell ref="J45:J46"/>
    <mergeCell ref="K45:K46"/>
    <mergeCell ref="L45:L46"/>
    <mergeCell ref="M45:M46"/>
    <mergeCell ref="N45:N46"/>
    <mergeCell ref="D43:D44"/>
    <mergeCell ref="F43:F44"/>
    <mergeCell ref="I43:I44"/>
    <mergeCell ref="E47:E48"/>
    <mergeCell ref="G47:G48"/>
    <mergeCell ref="H47:H48"/>
    <mergeCell ref="W69:W70"/>
    <mergeCell ref="C43:C44"/>
    <mergeCell ref="W67:W68"/>
    <mergeCell ref="P67:P68"/>
    <mergeCell ref="Q67:Q68"/>
    <mergeCell ref="R67:R68"/>
    <mergeCell ref="S67:T68"/>
    <mergeCell ref="U67:U68"/>
    <mergeCell ref="V67:V68"/>
    <mergeCell ref="J67:J68"/>
    <mergeCell ref="K67:K68"/>
    <mergeCell ref="L67:L68"/>
    <mergeCell ref="M67:M68"/>
    <mergeCell ref="N67:N68"/>
    <mergeCell ref="O67:O68"/>
    <mergeCell ref="C67:C68"/>
    <mergeCell ref="D67:D68"/>
    <mergeCell ref="E67:E68"/>
    <mergeCell ref="F67:F68"/>
    <mergeCell ref="G67:G68"/>
    <mergeCell ref="H67:H68"/>
    <mergeCell ref="I67:I68"/>
    <mergeCell ref="P50:Q51"/>
    <mergeCell ref="R50:V51"/>
    <mergeCell ref="W50:W51"/>
    <mergeCell ref="P53:Q54"/>
    <mergeCell ref="G64:G66"/>
    <mergeCell ref="I64:I66"/>
    <mergeCell ref="L64:L66"/>
    <mergeCell ref="N64:N66"/>
    <mergeCell ref="P64:P66"/>
    <mergeCell ref="S64:T66"/>
    <mergeCell ref="R53:V54"/>
    <mergeCell ref="W53:W54"/>
    <mergeCell ref="B59:H60"/>
    <mergeCell ref="C63:C66"/>
    <mergeCell ref="D63:H63"/>
    <mergeCell ref="I63:M63"/>
    <mergeCell ref="N63:Q63"/>
    <mergeCell ref="R63:V63"/>
    <mergeCell ref="W63:W66"/>
    <mergeCell ref="D64:D66"/>
    <mergeCell ref="J47:J48"/>
    <mergeCell ref="L47:L48"/>
    <mergeCell ref="M47:M48"/>
    <mergeCell ref="O47:P48"/>
    <mergeCell ref="R47:R48"/>
    <mergeCell ref="S47:U48"/>
    <mergeCell ref="W47:W48"/>
    <mergeCell ref="V69:V70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O69:O70"/>
    <mergeCell ref="P69:P70"/>
    <mergeCell ref="Q69:Q70"/>
    <mergeCell ref="R69:R70"/>
    <mergeCell ref="S69:T70"/>
    <mergeCell ref="U69:U70"/>
    <mergeCell ref="I69:I70"/>
    <mergeCell ref="J69:J70"/>
    <mergeCell ref="K69:K70"/>
    <mergeCell ref="L69:L70"/>
    <mergeCell ref="M69:M70"/>
    <mergeCell ref="N69:N70"/>
    <mergeCell ref="C69:C70"/>
    <mergeCell ref="D69:D70"/>
    <mergeCell ref="E69:E70"/>
    <mergeCell ref="F69:F70"/>
    <mergeCell ref="G69:G70"/>
    <mergeCell ref="H69:H70"/>
    <mergeCell ref="R73:R74"/>
    <mergeCell ref="S73:U74"/>
    <mergeCell ref="W73:W74"/>
    <mergeCell ref="P76:Q77"/>
    <mergeCell ref="R76:V77"/>
    <mergeCell ref="W76:W77"/>
    <mergeCell ref="E73:E74"/>
    <mergeCell ref="G73:G74"/>
    <mergeCell ref="H73:H74"/>
    <mergeCell ref="J73:J74"/>
    <mergeCell ref="L73:L74"/>
    <mergeCell ref="M73:M74"/>
    <mergeCell ref="O73:P74"/>
    <mergeCell ref="R71:R72"/>
    <mergeCell ref="S71:T72"/>
    <mergeCell ref="U71:U72"/>
    <mergeCell ref="V71:V72"/>
    <mergeCell ref="W71:W72"/>
    <mergeCell ref="L71:L72"/>
    <mergeCell ref="M71:M72"/>
    <mergeCell ref="N71:N72"/>
    <mergeCell ref="O71:O72"/>
    <mergeCell ref="P71:P72"/>
    <mergeCell ref="Q71:Q72"/>
    <mergeCell ref="M93:M94"/>
    <mergeCell ref="N93:N94"/>
    <mergeCell ref="C93:C94"/>
    <mergeCell ref="D93:D94"/>
    <mergeCell ref="E93:E94"/>
    <mergeCell ref="F93:F94"/>
    <mergeCell ref="G93:G94"/>
    <mergeCell ref="H93:H94"/>
    <mergeCell ref="W89:W92"/>
    <mergeCell ref="D90:D92"/>
    <mergeCell ref="G90:G92"/>
    <mergeCell ref="I90:I92"/>
    <mergeCell ref="L90:L92"/>
    <mergeCell ref="N90:N92"/>
    <mergeCell ref="P90:P92"/>
    <mergeCell ref="S90:T92"/>
    <mergeCell ref="P79:Q80"/>
    <mergeCell ref="R79:V80"/>
    <mergeCell ref="W79:W80"/>
    <mergeCell ref="B85:H86"/>
    <mergeCell ref="C89:C92"/>
    <mergeCell ref="D89:H89"/>
    <mergeCell ref="I89:M89"/>
    <mergeCell ref="N89:Q89"/>
    <mergeCell ref="R89:V89"/>
    <mergeCell ref="Q95:Q96"/>
    <mergeCell ref="R95:R96"/>
    <mergeCell ref="S95:T96"/>
    <mergeCell ref="U95:U96"/>
    <mergeCell ref="V95:V96"/>
    <mergeCell ref="W95:W96"/>
    <mergeCell ref="K95:K96"/>
    <mergeCell ref="L95:L96"/>
    <mergeCell ref="M95:M96"/>
    <mergeCell ref="N95:N96"/>
    <mergeCell ref="O95:O96"/>
    <mergeCell ref="P95:P96"/>
    <mergeCell ref="V93:V94"/>
    <mergeCell ref="W93:W94"/>
    <mergeCell ref="C95:C96"/>
    <mergeCell ref="D95:D96"/>
    <mergeCell ref="E95:E96"/>
    <mergeCell ref="F95:F96"/>
    <mergeCell ref="G95:G96"/>
    <mergeCell ref="H95:H96"/>
    <mergeCell ref="I95:I96"/>
    <mergeCell ref="J95:J96"/>
    <mergeCell ref="O93:O94"/>
    <mergeCell ref="P93:P94"/>
    <mergeCell ref="Q93:Q94"/>
    <mergeCell ref="R93:R94"/>
    <mergeCell ref="S93:T94"/>
    <mergeCell ref="U93:U94"/>
    <mergeCell ref="I93:I94"/>
    <mergeCell ref="J93:J94"/>
    <mergeCell ref="K93:K94"/>
    <mergeCell ref="L93:L94"/>
    <mergeCell ref="P103:Q104"/>
    <mergeCell ref="R103:V104"/>
    <mergeCell ref="W103:W104"/>
    <mergeCell ref="B109:H110"/>
    <mergeCell ref="C113:C116"/>
    <mergeCell ref="D113:H113"/>
    <mergeCell ref="I113:M113"/>
    <mergeCell ref="N113:Q113"/>
    <mergeCell ref="R113:V113"/>
    <mergeCell ref="W113:W116"/>
    <mergeCell ref="O97:P98"/>
    <mergeCell ref="R97:R98"/>
    <mergeCell ref="S97:U98"/>
    <mergeCell ref="W97:W98"/>
    <mergeCell ref="P100:Q101"/>
    <mergeCell ref="R100:V101"/>
    <mergeCell ref="W100:W101"/>
    <mergeCell ref="E97:E98"/>
    <mergeCell ref="G97:G98"/>
    <mergeCell ref="H97:H98"/>
    <mergeCell ref="J97:J98"/>
    <mergeCell ref="L97:L98"/>
    <mergeCell ref="M97:M98"/>
    <mergeCell ref="R117:R118"/>
    <mergeCell ref="S117:T118"/>
    <mergeCell ref="U117:U118"/>
    <mergeCell ref="V117:V118"/>
    <mergeCell ref="W117:W118"/>
    <mergeCell ref="C119:C120"/>
    <mergeCell ref="D119:D120"/>
    <mergeCell ref="E119:E120"/>
    <mergeCell ref="F119:F120"/>
    <mergeCell ref="G119:G120"/>
    <mergeCell ref="L117:L118"/>
    <mergeCell ref="M117:M118"/>
    <mergeCell ref="N117:N118"/>
    <mergeCell ref="O117:O118"/>
    <mergeCell ref="P117:P118"/>
    <mergeCell ref="Q117:Q118"/>
    <mergeCell ref="S114:T116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D114:D116"/>
    <mergeCell ref="G114:G116"/>
    <mergeCell ref="I114:I116"/>
    <mergeCell ref="L114:L116"/>
    <mergeCell ref="N114:N116"/>
    <mergeCell ref="P114:P116"/>
    <mergeCell ref="J121:J122"/>
    <mergeCell ref="K121:K122"/>
    <mergeCell ref="L121:L122"/>
    <mergeCell ref="M121:M122"/>
    <mergeCell ref="N121:N122"/>
    <mergeCell ref="O121:O122"/>
    <mergeCell ref="U119:U120"/>
    <mergeCell ref="V119:V120"/>
    <mergeCell ref="W119:W120"/>
    <mergeCell ref="C121:C122"/>
    <mergeCell ref="D121:D122"/>
    <mergeCell ref="E121:E122"/>
    <mergeCell ref="F121:F122"/>
    <mergeCell ref="G121:G122"/>
    <mergeCell ref="H121:H122"/>
    <mergeCell ref="I121:I122"/>
    <mergeCell ref="N119:N120"/>
    <mergeCell ref="O119:O120"/>
    <mergeCell ref="P119:P120"/>
    <mergeCell ref="Q119:Q120"/>
    <mergeCell ref="R119:R120"/>
    <mergeCell ref="S119:T120"/>
    <mergeCell ref="H119:H120"/>
    <mergeCell ref="I119:I120"/>
    <mergeCell ref="J119:J120"/>
    <mergeCell ref="K119:K120"/>
    <mergeCell ref="L119:L120"/>
    <mergeCell ref="M119:M120"/>
    <mergeCell ref="R123:R124"/>
    <mergeCell ref="S123:T124"/>
    <mergeCell ref="U123:U124"/>
    <mergeCell ref="V123:V124"/>
    <mergeCell ref="W123:W124"/>
    <mergeCell ref="C125:C126"/>
    <mergeCell ref="D125:D126"/>
    <mergeCell ref="E125:E126"/>
    <mergeCell ref="F125:F126"/>
    <mergeCell ref="G125:G126"/>
    <mergeCell ref="L123:L124"/>
    <mergeCell ref="M123:M124"/>
    <mergeCell ref="N123:N124"/>
    <mergeCell ref="O123:O124"/>
    <mergeCell ref="P123:P124"/>
    <mergeCell ref="Q123:Q124"/>
    <mergeCell ref="W121:W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P121:P122"/>
    <mergeCell ref="Q121:Q122"/>
    <mergeCell ref="R121:R122"/>
    <mergeCell ref="S121:T122"/>
    <mergeCell ref="U121:U122"/>
    <mergeCell ref="V121:V122"/>
    <mergeCell ref="J127:J128"/>
    <mergeCell ref="K127:K128"/>
    <mergeCell ref="L127:L128"/>
    <mergeCell ref="M127:M128"/>
    <mergeCell ref="N127:N128"/>
    <mergeCell ref="O127:O128"/>
    <mergeCell ref="U125:U126"/>
    <mergeCell ref="V125:V126"/>
    <mergeCell ref="W125:W126"/>
    <mergeCell ref="C127:C128"/>
    <mergeCell ref="D127:D128"/>
    <mergeCell ref="E127:E128"/>
    <mergeCell ref="F127:F128"/>
    <mergeCell ref="G127:G128"/>
    <mergeCell ref="H127:H128"/>
    <mergeCell ref="I127:I128"/>
    <mergeCell ref="N125:N126"/>
    <mergeCell ref="O125:O126"/>
    <mergeCell ref="P125:P126"/>
    <mergeCell ref="Q125:Q126"/>
    <mergeCell ref="R125:R126"/>
    <mergeCell ref="S125:T126"/>
    <mergeCell ref="H125:H126"/>
    <mergeCell ref="I125:I126"/>
    <mergeCell ref="J125:J126"/>
    <mergeCell ref="K125:K126"/>
    <mergeCell ref="L125:L126"/>
    <mergeCell ref="M125:M126"/>
    <mergeCell ref="R129:R130"/>
    <mergeCell ref="S129:T130"/>
    <mergeCell ref="U129:U130"/>
    <mergeCell ref="V129:V130"/>
    <mergeCell ref="W129:W130"/>
    <mergeCell ref="C131:C132"/>
    <mergeCell ref="D131:D132"/>
    <mergeCell ref="E131:E132"/>
    <mergeCell ref="F131:F132"/>
    <mergeCell ref="G131:G132"/>
    <mergeCell ref="L129:L130"/>
    <mergeCell ref="M129:M130"/>
    <mergeCell ref="N129:N130"/>
    <mergeCell ref="O129:O130"/>
    <mergeCell ref="P129:P130"/>
    <mergeCell ref="Q129:Q130"/>
    <mergeCell ref="W127:W128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P127:P128"/>
    <mergeCell ref="Q127:Q128"/>
    <mergeCell ref="R127:R128"/>
    <mergeCell ref="S127:T128"/>
    <mergeCell ref="U127:U128"/>
    <mergeCell ref="V127:V128"/>
    <mergeCell ref="U131:U132"/>
    <mergeCell ref="V131:V132"/>
    <mergeCell ref="W131:W132"/>
    <mergeCell ref="C133:C134"/>
    <mergeCell ref="D133:D134"/>
    <mergeCell ref="E133:E134"/>
    <mergeCell ref="F133:F134"/>
    <mergeCell ref="G133:G134"/>
    <mergeCell ref="H133:H134"/>
    <mergeCell ref="I133:I134"/>
    <mergeCell ref="N131:N132"/>
    <mergeCell ref="O131:O132"/>
    <mergeCell ref="P131:P132"/>
    <mergeCell ref="Q131:Q132"/>
    <mergeCell ref="R131:R132"/>
    <mergeCell ref="S131:T132"/>
    <mergeCell ref="H131:H132"/>
    <mergeCell ref="I131:I132"/>
    <mergeCell ref="J131:J132"/>
    <mergeCell ref="K131:K132"/>
    <mergeCell ref="L131:L132"/>
    <mergeCell ref="M131:M132"/>
    <mergeCell ref="M135:M136"/>
    <mergeCell ref="O135:P136"/>
    <mergeCell ref="R135:R136"/>
    <mergeCell ref="S135:U136"/>
    <mergeCell ref="W135:W136"/>
    <mergeCell ref="E135:E136"/>
    <mergeCell ref="G135:G136"/>
    <mergeCell ref="H135:H136"/>
    <mergeCell ref="J135:J136"/>
    <mergeCell ref="L135:L136"/>
    <mergeCell ref="W133:W134"/>
    <mergeCell ref="P133:P134"/>
    <mergeCell ref="Q133:Q134"/>
    <mergeCell ref="R133:R134"/>
    <mergeCell ref="S133:T134"/>
    <mergeCell ref="U133:U134"/>
    <mergeCell ref="V133:V134"/>
    <mergeCell ref="J133:J134"/>
    <mergeCell ref="K133:K134"/>
    <mergeCell ref="L133:L134"/>
    <mergeCell ref="M133:M134"/>
    <mergeCell ref="N133:N134"/>
    <mergeCell ref="O133:O134"/>
    <mergeCell ref="W151:W154"/>
    <mergeCell ref="D152:D154"/>
    <mergeCell ref="G152:G154"/>
    <mergeCell ref="I152:I154"/>
    <mergeCell ref="L152:L154"/>
    <mergeCell ref="N152:N154"/>
    <mergeCell ref="P152:P154"/>
    <mergeCell ref="S152:T154"/>
    <mergeCell ref="B147:H148"/>
    <mergeCell ref="C151:C154"/>
    <mergeCell ref="D151:H151"/>
    <mergeCell ref="I151:M151"/>
    <mergeCell ref="N151:Q151"/>
    <mergeCell ref="R151:V151"/>
    <mergeCell ref="P138:Q139"/>
    <mergeCell ref="R138:V139"/>
    <mergeCell ref="W138:W139"/>
    <mergeCell ref="P141:Q142"/>
    <mergeCell ref="R141:V142"/>
    <mergeCell ref="W141:W142"/>
    <mergeCell ref="V155:V156"/>
    <mergeCell ref="W155:W156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O155:O156"/>
    <mergeCell ref="P155:P156"/>
    <mergeCell ref="Q155:Q156"/>
    <mergeCell ref="R155:R156"/>
    <mergeCell ref="S155:T156"/>
    <mergeCell ref="U155:U156"/>
    <mergeCell ref="I155:I156"/>
    <mergeCell ref="J155:J156"/>
    <mergeCell ref="K155:K156"/>
    <mergeCell ref="L155:L156"/>
    <mergeCell ref="M155:M156"/>
    <mergeCell ref="N155:N156"/>
    <mergeCell ref="C155:C156"/>
    <mergeCell ref="D155:D156"/>
    <mergeCell ref="E155:E156"/>
    <mergeCell ref="F155:F156"/>
    <mergeCell ref="G155:G156"/>
    <mergeCell ref="H155:H156"/>
    <mergeCell ref="I159:I160"/>
    <mergeCell ref="J159:J160"/>
    <mergeCell ref="C159:C160"/>
    <mergeCell ref="D159:D160"/>
    <mergeCell ref="E159:E160"/>
    <mergeCell ref="F159:F160"/>
    <mergeCell ref="G159:G160"/>
    <mergeCell ref="H159:H160"/>
    <mergeCell ref="Q157:Q158"/>
    <mergeCell ref="R157:R158"/>
    <mergeCell ref="S157:T158"/>
    <mergeCell ref="U157:U158"/>
    <mergeCell ref="V157:V158"/>
    <mergeCell ref="W157:W158"/>
    <mergeCell ref="K157:K158"/>
    <mergeCell ref="L157:L158"/>
    <mergeCell ref="M157:M158"/>
    <mergeCell ref="N157:N158"/>
    <mergeCell ref="O157:O158"/>
    <mergeCell ref="P157:P158"/>
    <mergeCell ref="Q159:Q160"/>
    <mergeCell ref="R159:R160"/>
    <mergeCell ref="S159:T160"/>
    <mergeCell ref="U159:U160"/>
    <mergeCell ref="V159:V160"/>
    <mergeCell ref="W159:W160"/>
    <mergeCell ref="K159:K160"/>
    <mergeCell ref="L159:L160"/>
    <mergeCell ref="M159:M160"/>
    <mergeCell ref="N159:N160"/>
    <mergeCell ref="O159:O160"/>
    <mergeCell ref="P159:P160"/>
    <mergeCell ref="J163:J164"/>
    <mergeCell ref="K163:K164"/>
    <mergeCell ref="L163:L164"/>
    <mergeCell ref="M163:M164"/>
    <mergeCell ref="N163:N164"/>
    <mergeCell ref="C163:C164"/>
    <mergeCell ref="D163:D164"/>
    <mergeCell ref="E163:E164"/>
    <mergeCell ref="F163:F164"/>
    <mergeCell ref="G163:G164"/>
    <mergeCell ref="H163:H164"/>
    <mergeCell ref="Q161:Q162"/>
    <mergeCell ref="R161:R162"/>
    <mergeCell ref="S161:T162"/>
    <mergeCell ref="U161:U162"/>
    <mergeCell ref="V161:V162"/>
    <mergeCell ref="K161:K162"/>
    <mergeCell ref="L161:L162"/>
    <mergeCell ref="M161:M162"/>
    <mergeCell ref="N161:N162"/>
    <mergeCell ref="O161:O162"/>
    <mergeCell ref="P161:P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V163:V164"/>
    <mergeCell ref="W163:W164"/>
    <mergeCell ref="O163:O164"/>
    <mergeCell ref="P163:P164"/>
    <mergeCell ref="Q163:Q164"/>
    <mergeCell ref="R163:R164"/>
    <mergeCell ref="S163:T164"/>
    <mergeCell ref="U163:U164"/>
    <mergeCell ref="W161:W162"/>
    <mergeCell ref="P171:Q172"/>
    <mergeCell ref="R171:V172"/>
    <mergeCell ref="W171:W172"/>
    <mergeCell ref="B177:H178"/>
    <mergeCell ref="C181:C184"/>
    <mergeCell ref="D181:H181"/>
    <mergeCell ref="I181:M181"/>
    <mergeCell ref="N181:Q181"/>
    <mergeCell ref="R181:V181"/>
    <mergeCell ref="W181:W184"/>
    <mergeCell ref="O165:P166"/>
    <mergeCell ref="R165:R166"/>
    <mergeCell ref="S165:U166"/>
    <mergeCell ref="W165:W166"/>
    <mergeCell ref="P168:Q169"/>
    <mergeCell ref="R168:V169"/>
    <mergeCell ref="W168:W169"/>
    <mergeCell ref="E165:E166"/>
    <mergeCell ref="G165:G166"/>
    <mergeCell ref="H165:H166"/>
    <mergeCell ref="J165:J166"/>
    <mergeCell ref="L165:L166"/>
    <mergeCell ref="M165:M166"/>
    <mergeCell ref="I163:I164"/>
    <mergeCell ref="R185:R186"/>
    <mergeCell ref="S185:T186"/>
    <mergeCell ref="U185:U186"/>
    <mergeCell ref="V185:V186"/>
    <mergeCell ref="W185:W186"/>
    <mergeCell ref="C187:C188"/>
    <mergeCell ref="D187:D188"/>
    <mergeCell ref="E187:E188"/>
    <mergeCell ref="F187:F188"/>
    <mergeCell ref="G187:G188"/>
    <mergeCell ref="L185:L186"/>
    <mergeCell ref="M185:M186"/>
    <mergeCell ref="N185:N186"/>
    <mergeCell ref="O185:O186"/>
    <mergeCell ref="P185:P186"/>
    <mergeCell ref="Q185:Q186"/>
    <mergeCell ref="S182:T184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D182:D184"/>
    <mergeCell ref="G182:G184"/>
    <mergeCell ref="I182:I184"/>
    <mergeCell ref="L182:L184"/>
    <mergeCell ref="N182:N184"/>
    <mergeCell ref="P182:P184"/>
    <mergeCell ref="J189:J190"/>
    <mergeCell ref="K189:K190"/>
    <mergeCell ref="L189:L190"/>
    <mergeCell ref="M189:M190"/>
    <mergeCell ref="N189:N190"/>
    <mergeCell ref="O189:O190"/>
    <mergeCell ref="U187:U188"/>
    <mergeCell ref="V187:V188"/>
    <mergeCell ref="W187:W188"/>
    <mergeCell ref="C189:C190"/>
    <mergeCell ref="D189:D190"/>
    <mergeCell ref="E189:E190"/>
    <mergeCell ref="F189:F190"/>
    <mergeCell ref="G189:G190"/>
    <mergeCell ref="H189:H190"/>
    <mergeCell ref="I189:I190"/>
    <mergeCell ref="N187:N188"/>
    <mergeCell ref="O187:O188"/>
    <mergeCell ref="P187:P188"/>
    <mergeCell ref="Q187:Q188"/>
    <mergeCell ref="R187:R188"/>
    <mergeCell ref="S187:T188"/>
    <mergeCell ref="H187:H188"/>
    <mergeCell ref="I187:I188"/>
    <mergeCell ref="J187:J188"/>
    <mergeCell ref="K187:K188"/>
    <mergeCell ref="L187:L188"/>
    <mergeCell ref="M187:M188"/>
    <mergeCell ref="R191:R192"/>
    <mergeCell ref="S191:T192"/>
    <mergeCell ref="U191:U192"/>
    <mergeCell ref="V191:V192"/>
    <mergeCell ref="W191:W192"/>
    <mergeCell ref="C193:C194"/>
    <mergeCell ref="D193:D194"/>
    <mergeCell ref="E193:E194"/>
    <mergeCell ref="F193:F194"/>
    <mergeCell ref="G193:G194"/>
    <mergeCell ref="L191:L192"/>
    <mergeCell ref="M191:M192"/>
    <mergeCell ref="N191:N192"/>
    <mergeCell ref="O191:O192"/>
    <mergeCell ref="P191:P192"/>
    <mergeCell ref="Q191:Q192"/>
    <mergeCell ref="W189:W190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P189:P190"/>
    <mergeCell ref="Q189:Q190"/>
    <mergeCell ref="R189:R190"/>
    <mergeCell ref="S189:T190"/>
    <mergeCell ref="U189:U190"/>
    <mergeCell ref="V189:V190"/>
    <mergeCell ref="J195:J196"/>
    <mergeCell ref="K195:K196"/>
    <mergeCell ref="L195:L196"/>
    <mergeCell ref="M195:M196"/>
    <mergeCell ref="N195:N196"/>
    <mergeCell ref="O195:O196"/>
    <mergeCell ref="U193:U194"/>
    <mergeCell ref="V193:V194"/>
    <mergeCell ref="W193:W194"/>
    <mergeCell ref="C195:C196"/>
    <mergeCell ref="D195:D196"/>
    <mergeCell ref="E195:E196"/>
    <mergeCell ref="F195:F196"/>
    <mergeCell ref="G195:G196"/>
    <mergeCell ref="H195:H196"/>
    <mergeCell ref="I195:I196"/>
    <mergeCell ref="N193:N194"/>
    <mergeCell ref="O193:O194"/>
    <mergeCell ref="P193:P194"/>
    <mergeCell ref="Q193:Q194"/>
    <mergeCell ref="R193:R194"/>
    <mergeCell ref="S193:T194"/>
    <mergeCell ref="H193:H194"/>
    <mergeCell ref="I193:I194"/>
    <mergeCell ref="J193:J194"/>
    <mergeCell ref="K193:K194"/>
    <mergeCell ref="L193:L194"/>
    <mergeCell ref="M193:M194"/>
    <mergeCell ref="R197:R198"/>
    <mergeCell ref="S197:T198"/>
    <mergeCell ref="U197:U198"/>
    <mergeCell ref="V197:V198"/>
    <mergeCell ref="W197:W198"/>
    <mergeCell ref="C199:C200"/>
    <mergeCell ref="D199:D200"/>
    <mergeCell ref="E199:E200"/>
    <mergeCell ref="F199:F200"/>
    <mergeCell ref="G199:G200"/>
    <mergeCell ref="L197:L198"/>
    <mergeCell ref="M197:M198"/>
    <mergeCell ref="N197:N198"/>
    <mergeCell ref="O197:O198"/>
    <mergeCell ref="P197:P198"/>
    <mergeCell ref="Q197:Q198"/>
    <mergeCell ref="W195:W196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P195:P196"/>
    <mergeCell ref="Q195:Q196"/>
    <mergeCell ref="R195:R196"/>
    <mergeCell ref="S195:T196"/>
    <mergeCell ref="U195:U196"/>
    <mergeCell ref="V195:V196"/>
    <mergeCell ref="U199:U200"/>
    <mergeCell ref="V199:V200"/>
    <mergeCell ref="W199:W200"/>
    <mergeCell ref="C201:C202"/>
    <mergeCell ref="D201:D202"/>
    <mergeCell ref="E201:E202"/>
    <mergeCell ref="F201:F202"/>
    <mergeCell ref="G201:G202"/>
    <mergeCell ref="H201:H202"/>
    <mergeCell ref="I201:I202"/>
    <mergeCell ref="N199:N200"/>
    <mergeCell ref="O199:O200"/>
    <mergeCell ref="P199:P200"/>
    <mergeCell ref="Q199:Q200"/>
    <mergeCell ref="R199:R200"/>
    <mergeCell ref="S199:T200"/>
    <mergeCell ref="H199:H200"/>
    <mergeCell ref="I199:I200"/>
    <mergeCell ref="J199:J200"/>
    <mergeCell ref="K199:K200"/>
    <mergeCell ref="L199:L200"/>
    <mergeCell ref="M199:M200"/>
    <mergeCell ref="W201:W202"/>
    <mergeCell ref="W203:W204"/>
    <mergeCell ref="P206:Q207"/>
    <mergeCell ref="R206:V207"/>
    <mergeCell ref="W206:W207"/>
    <mergeCell ref="P209:Q210"/>
    <mergeCell ref="R209:V210"/>
    <mergeCell ref="W209:W210"/>
    <mergeCell ref="E203:E204"/>
    <mergeCell ref="G203:G204"/>
    <mergeCell ref="H203:H204"/>
    <mergeCell ref="J203:J204"/>
    <mergeCell ref="L203:L204"/>
    <mergeCell ref="M203:M204"/>
    <mergeCell ref="O203:P204"/>
    <mergeCell ref="R203:R204"/>
    <mergeCell ref="S203:U204"/>
    <mergeCell ref="P201:P202"/>
    <mergeCell ref="Q201:Q202"/>
    <mergeCell ref="R201:R202"/>
    <mergeCell ref="S201:T202"/>
    <mergeCell ref="U201:U202"/>
    <mergeCell ref="V201:V202"/>
    <mergeCell ref="J201:J202"/>
    <mergeCell ref="K201:K202"/>
    <mergeCell ref="L201:L202"/>
    <mergeCell ref="M201:M202"/>
    <mergeCell ref="N201:N202"/>
    <mergeCell ref="O201:O202"/>
    <mergeCell ref="G223:G224"/>
    <mergeCell ref="H223:H224"/>
    <mergeCell ref="O225:O226"/>
    <mergeCell ref="P225:P226"/>
    <mergeCell ref="W219:W222"/>
    <mergeCell ref="D220:D222"/>
    <mergeCell ref="G220:G222"/>
    <mergeCell ref="I220:I222"/>
    <mergeCell ref="L220:L222"/>
    <mergeCell ref="N220:N222"/>
    <mergeCell ref="P220:P222"/>
    <mergeCell ref="S220:T222"/>
    <mergeCell ref="B215:H216"/>
    <mergeCell ref="C219:C222"/>
    <mergeCell ref="D219:H219"/>
    <mergeCell ref="I219:M219"/>
    <mergeCell ref="N219:Q219"/>
    <mergeCell ref="R219:V219"/>
    <mergeCell ref="E227:E228"/>
    <mergeCell ref="F227:F228"/>
    <mergeCell ref="G227:G228"/>
    <mergeCell ref="H227:H228"/>
    <mergeCell ref="Q229:Q230"/>
    <mergeCell ref="R229:R230"/>
    <mergeCell ref="V223:V224"/>
    <mergeCell ref="W223:W224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O223:O224"/>
    <mergeCell ref="P223:P224"/>
    <mergeCell ref="Q223:Q224"/>
    <mergeCell ref="R223:R224"/>
    <mergeCell ref="S223:T224"/>
    <mergeCell ref="U223:U224"/>
    <mergeCell ref="I223:I224"/>
    <mergeCell ref="J223:J224"/>
    <mergeCell ref="K223:K224"/>
    <mergeCell ref="L223:L224"/>
    <mergeCell ref="M223:M224"/>
    <mergeCell ref="N223:N224"/>
    <mergeCell ref="C223:C224"/>
    <mergeCell ref="D223:D224"/>
    <mergeCell ref="E223:E224"/>
    <mergeCell ref="F223:F224"/>
    <mergeCell ref="C231:C232"/>
    <mergeCell ref="D231:D232"/>
    <mergeCell ref="E231:E232"/>
    <mergeCell ref="F231:F232"/>
    <mergeCell ref="G231:G232"/>
    <mergeCell ref="H231:H232"/>
    <mergeCell ref="O229:O230"/>
    <mergeCell ref="P229:P230"/>
    <mergeCell ref="V227:V228"/>
    <mergeCell ref="W227:W228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O227:O228"/>
    <mergeCell ref="P227:P228"/>
    <mergeCell ref="Q227:Q228"/>
    <mergeCell ref="R227:R228"/>
    <mergeCell ref="S227:T228"/>
    <mergeCell ref="U227:U228"/>
    <mergeCell ref="I227:I228"/>
    <mergeCell ref="J227:J228"/>
    <mergeCell ref="K227:K228"/>
    <mergeCell ref="L227:L228"/>
    <mergeCell ref="M227:M228"/>
    <mergeCell ref="N227:N228"/>
    <mergeCell ref="C227:C228"/>
    <mergeCell ref="D227:D228"/>
    <mergeCell ref="P239:Q240"/>
    <mergeCell ref="R239:V240"/>
    <mergeCell ref="W239:W240"/>
    <mergeCell ref="Y9:AD10"/>
    <mergeCell ref="Y12:Z13"/>
    <mergeCell ref="AA12:AB13"/>
    <mergeCell ref="AC12:AC13"/>
    <mergeCell ref="Y15:Z16"/>
    <mergeCell ref="AA15:AB16"/>
    <mergeCell ref="O233:P234"/>
    <mergeCell ref="R233:R234"/>
    <mergeCell ref="S233:U234"/>
    <mergeCell ref="W233:W234"/>
    <mergeCell ref="P236:Q237"/>
    <mergeCell ref="R236:V237"/>
    <mergeCell ref="W236:W237"/>
    <mergeCell ref="AA117:AB118"/>
    <mergeCell ref="AC117:AC118"/>
    <mergeCell ref="Y93:Z94"/>
    <mergeCell ref="AA93:AB94"/>
    <mergeCell ref="AC93:AC94"/>
    <mergeCell ref="Y70:Z71"/>
    <mergeCell ref="AA67:AB68"/>
    <mergeCell ref="AC67:AC68"/>
    <mergeCell ref="V231:V232"/>
    <mergeCell ref="W231:W232"/>
    <mergeCell ref="O231:O232"/>
    <mergeCell ref="P231:P232"/>
    <mergeCell ref="Q231:Q232"/>
    <mergeCell ref="R231:R232"/>
    <mergeCell ref="S231:T232"/>
    <mergeCell ref="U231:U232"/>
    <mergeCell ref="E233:E234"/>
    <mergeCell ref="G233:G234"/>
    <mergeCell ref="H233:H234"/>
    <mergeCell ref="J233:J234"/>
    <mergeCell ref="L233:L234"/>
    <mergeCell ref="M233:M234"/>
    <mergeCell ref="Q225:Q226"/>
    <mergeCell ref="R225:R226"/>
    <mergeCell ref="S225:T226"/>
    <mergeCell ref="U225:U226"/>
    <mergeCell ref="V225:V226"/>
    <mergeCell ref="W225:W226"/>
    <mergeCell ref="K225:K226"/>
    <mergeCell ref="L225:L226"/>
    <mergeCell ref="M225:M226"/>
    <mergeCell ref="N225:N226"/>
    <mergeCell ref="Y117:Z118"/>
    <mergeCell ref="Y123:Z124"/>
    <mergeCell ref="S229:T230"/>
    <mergeCell ref="U229:U230"/>
    <mergeCell ref="V229:V230"/>
    <mergeCell ref="W229:W230"/>
    <mergeCell ref="K229:K230"/>
    <mergeCell ref="L229:L230"/>
    <mergeCell ref="M229:M230"/>
    <mergeCell ref="N229:N230"/>
    <mergeCell ref="I231:I232"/>
    <mergeCell ref="J231:J232"/>
    <mergeCell ref="K231:K232"/>
    <mergeCell ref="L231:L232"/>
    <mergeCell ref="M231:M232"/>
    <mergeCell ref="N231:N232"/>
    <mergeCell ref="Y41:Z42"/>
    <mergeCell ref="AA41:AB42"/>
    <mergeCell ref="AC41:AC42"/>
    <mergeCell ref="Y44:Z45"/>
    <mergeCell ref="AA44:AC45"/>
    <mergeCell ref="Y47:Z48"/>
    <mergeCell ref="AA47:AC48"/>
    <mergeCell ref="AA18:AC19"/>
    <mergeCell ref="AA21:AC22"/>
    <mergeCell ref="Y35:AD36"/>
    <mergeCell ref="Y38:Z39"/>
    <mergeCell ref="AA38:AB39"/>
    <mergeCell ref="AC38:AC39"/>
    <mergeCell ref="Y61:AD62"/>
    <mergeCell ref="Y64:Z65"/>
    <mergeCell ref="AA64:AB65"/>
    <mergeCell ref="AC64:AC65"/>
    <mergeCell ref="Y67:Z68"/>
    <mergeCell ref="Y223:Z224"/>
    <mergeCell ref="AA223:AB224"/>
    <mergeCell ref="AC223:AC224"/>
    <mergeCell ref="Y226:Z227"/>
    <mergeCell ref="Y229:Z230"/>
    <mergeCell ref="AA229:AB230"/>
    <mergeCell ref="AC229:AC230"/>
    <mergeCell ref="Y188:Z189"/>
    <mergeCell ref="Y191:Z192"/>
    <mergeCell ref="Y217:AD218"/>
    <mergeCell ref="Y220:Z221"/>
    <mergeCell ref="AA220:AB221"/>
    <mergeCell ref="AC220:AC221"/>
    <mergeCell ref="Y179:AD180"/>
    <mergeCell ref="Y182:Z183"/>
    <mergeCell ref="AA182:AB183"/>
    <mergeCell ref="AC182:AC183"/>
    <mergeCell ref="Y185:Z186"/>
    <mergeCell ref="AA185:AB186"/>
    <mergeCell ref="AC185:AC186"/>
    <mergeCell ref="Y155:Z156"/>
    <mergeCell ref="AA155:AB156"/>
    <mergeCell ref="AC155:AC156"/>
    <mergeCell ref="Y158:Z159"/>
    <mergeCell ref="Y161:Z162"/>
    <mergeCell ref="AA158:AB159"/>
    <mergeCell ref="AA161:AB162"/>
    <mergeCell ref="AA70:AB71"/>
    <mergeCell ref="AC70:AC71"/>
    <mergeCell ref="AA96:AB97"/>
    <mergeCell ref="AC96:AC97"/>
    <mergeCell ref="Y232:Z233"/>
    <mergeCell ref="AA232:AC233"/>
    <mergeCell ref="AC161:AC162"/>
    <mergeCell ref="AA188:AB189"/>
    <mergeCell ref="AC188:AC189"/>
    <mergeCell ref="AA191:AB192"/>
    <mergeCell ref="AC191:AC192"/>
    <mergeCell ref="AA226:AB227"/>
    <mergeCell ref="AC226:AC227"/>
    <mergeCell ref="Y126:Z127"/>
    <mergeCell ref="AA126:AC127"/>
    <mergeCell ref="Y194:Z195"/>
    <mergeCell ref="AA194:AC195"/>
    <mergeCell ref="AA120:AB121"/>
    <mergeCell ref="AA123:AB124"/>
    <mergeCell ref="AC120:AC121"/>
    <mergeCell ref="AC123:AC124"/>
    <mergeCell ref="Y164:Z165"/>
    <mergeCell ref="AA164:AC165"/>
    <mergeCell ref="AC158:AC159"/>
    <mergeCell ref="Y149:AD150"/>
    <mergeCell ref="Y152:Z153"/>
    <mergeCell ref="AA152:AB153"/>
    <mergeCell ref="AC152:AC153"/>
    <mergeCell ref="Y120:Z121"/>
    <mergeCell ref="Y96:Z97"/>
    <mergeCell ref="Y99:Z100"/>
    <mergeCell ref="AA99:AC100"/>
    <mergeCell ref="Y111:AD112"/>
    <mergeCell ref="Y114:Z115"/>
    <mergeCell ref="AA114:AB115"/>
    <mergeCell ref="AC114:AC115"/>
    <mergeCell ref="Y73:Z74"/>
    <mergeCell ref="AA73:AC74"/>
    <mergeCell ref="Y87:AD88"/>
    <mergeCell ref="Y90:Z91"/>
    <mergeCell ref="AA90:AB91"/>
    <mergeCell ref="AC90:AC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B94E-5FD7-4DFE-95BE-3E92254A29CB}">
  <dimension ref="A1:BH70"/>
  <sheetViews>
    <sheetView topLeftCell="A18" zoomScale="70" zoomScaleNormal="70" workbookViewId="0">
      <selection activeCell="H10" sqref="H10"/>
    </sheetView>
  </sheetViews>
  <sheetFormatPr defaultRowHeight="14.4" x14ac:dyDescent="0.3"/>
  <cols>
    <col min="2" max="2" width="23.77734375" customWidth="1"/>
    <col min="3" max="3" width="26.88671875" customWidth="1"/>
  </cols>
  <sheetData>
    <row r="1" spans="1:6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x14ac:dyDescent="0.3">
      <c r="A2" s="1"/>
      <c r="B2" s="737" t="s">
        <v>265</v>
      </c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3">
      <c r="A3" s="1"/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4.4" customHeight="1" x14ac:dyDescent="0.3">
      <c r="A4" s="1"/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3" customHeight="1" x14ac:dyDescent="0.3">
      <c r="A5" s="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s="1" customFormat="1" ht="14.4" customHeight="1" x14ac:dyDescent="0.3"/>
    <row r="7" spans="1:60" ht="15" customHeight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"/>
      <c r="B8" s="901" t="s">
        <v>280</v>
      </c>
      <c r="C8" s="902"/>
      <c r="D8" s="250" t="s">
        <v>213</v>
      </c>
      <c r="E8" s="250" t="s">
        <v>213</v>
      </c>
      <c r="F8" s="250" t="s">
        <v>213</v>
      </c>
      <c r="G8" s="250" t="s">
        <v>213</v>
      </c>
      <c r="H8" s="251" t="s">
        <v>213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"/>
      <c r="B9" s="903" t="s">
        <v>281</v>
      </c>
      <c r="C9" s="904"/>
      <c r="D9" s="252" t="s">
        <v>209</v>
      </c>
      <c r="E9" s="252" t="s">
        <v>210</v>
      </c>
      <c r="F9" s="252" t="s">
        <v>211</v>
      </c>
      <c r="G9" s="252" t="s">
        <v>215</v>
      </c>
      <c r="H9" s="253" t="s">
        <v>216</v>
      </c>
      <c r="I9" s="40"/>
      <c r="J9" s="1"/>
      <c r="K9" s="1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"/>
      <c r="B10" s="891" t="s">
        <v>283</v>
      </c>
      <c r="C10" s="892"/>
      <c r="D10" s="254">
        <v>15.334</v>
      </c>
      <c r="E10" s="255">
        <v>35.838000000000001</v>
      </c>
      <c r="F10" s="254">
        <v>37.476999999999997</v>
      </c>
      <c r="G10" s="254">
        <v>47.212000000000003</v>
      </c>
      <c r="H10" s="256">
        <v>82</v>
      </c>
      <c r="I10" s="163"/>
      <c r="J10" s="1"/>
      <c r="K10" s="1"/>
      <c r="L10" s="49"/>
      <c r="M10" s="49"/>
      <c r="N10" s="451"/>
      <c r="O10" s="451"/>
      <c r="P10" s="451"/>
      <c r="Q10" s="451"/>
      <c r="R10" s="163"/>
      <c r="S10" s="49"/>
      <c r="T10" s="49"/>
      <c r="U10" s="49"/>
      <c r="V10" s="40"/>
      <c r="W10" s="49"/>
      <c r="X10" s="49"/>
      <c r="Y10" s="451"/>
      <c r="Z10" s="451"/>
      <c r="AA10" s="451"/>
      <c r="AB10" s="45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"/>
      <c r="B11" s="903" t="s">
        <v>282</v>
      </c>
      <c r="C11" s="904"/>
      <c r="D11" s="257">
        <v>127.67</v>
      </c>
      <c r="E11" s="257">
        <v>135.16999999999999</v>
      </c>
      <c r="F11" s="257">
        <v>144.82</v>
      </c>
      <c r="G11" s="257">
        <v>66.63</v>
      </c>
      <c r="H11" s="258">
        <v>66.63</v>
      </c>
      <c r="I11" s="874"/>
      <c r="J11" s="40"/>
      <c r="K11" s="40"/>
      <c r="L11" s="40"/>
      <c r="M11" s="40"/>
      <c r="N11" s="40"/>
      <c r="O11" s="40"/>
      <c r="P11" s="40"/>
      <c r="Q11" s="40"/>
      <c r="R11" s="874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"/>
      <c r="B12" s="891" t="s">
        <v>284</v>
      </c>
      <c r="C12" s="892"/>
      <c r="D12" s="259">
        <f>D11*1000/(SQRT(3)*400)</f>
        <v>184.27577216859882</v>
      </c>
      <c r="E12" s="259">
        <f>E11*1000/(SQRT(3)*400)</f>
        <v>195.10108971590429</v>
      </c>
      <c r="F12" s="259">
        <f>F11*1000/(SQRT(3)*400)</f>
        <v>209.02966496010401</v>
      </c>
      <c r="G12" s="259">
        <f>G11*1000/(SQRT(3)*400)</f>
        <v>96.172121090261911</v>
      </c>
      <c r="H12" s="260">
        <f>H11*1000/(SQRT(3)*400)</f>
        <v>96.172121090261911</v>
      </c>
      <c r="I12" s="874"/>
      <c r="J12" s="1"/>
      <c r="K12" s="1"/>
      <c r="L12" s="164"/>
      <c r="M12" s="40"/>
      <c r="N12" s="40"/>
      <c r="O12" s="40"/>
      <c r="P12" s="40"/>
      <c r="Q12" s="40"/>
      <c r="R12" s="874"/>
      <c r="S12" s="164"/>
      <c r="T12" s="40"/>
      <c r="U12" s="40"/>
      <c r="V12" s="40"/>
      <c r="W12" s="164"/>
      <c r="X12" s="40"/>
      <c r="Y12" s="165"/>
      <c r="Z12" s="40"/>
      <c r="AA12" s="40"/>
      <c r="AB12" s="40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ht="14.4" customHeight="1" x14ac:dyDescent="0.3">
      <c r="A13" s="1"/>
      <c r="B13" s="893" t="s">
        <v>285</v>
      </c>
      <c r="C13" s="894"/>
      <c r="D13" s="261">
        <v>95</v>
      </c>
      <c r="E13" s="261">
        <v>95</v>
      </c>
      <c r="F13" s="261">
        <v>185</v>
      </c>
      <c r="G13" s="261">
        <v>35</v>
      </c>
      <c r="H13" s="262">
        <v>35</v>
      </c>
      <c r="I13" s="40"/>
      <c r="J13" s="1"/>
      <c r="K13" s="1"/>
      <c r="L13" s="321"/>
      <c r="M13" s="321"/>
      <c r="N13" s="321"/>
      <c r="O13" s="321"/>
      <c r="P13" s="321"/>
      <c r="Q13" s="321"/>
      <c r="R13" s="40"/>
      <c r="S13" s="864"/>
      <c r="T13" s="864"/>
      <c r="U13" s="864"/>
      <c r="V13" s="40"/>
      <c r="W13" s="864"/>
      <c r="X13" s="864"/>
      <c r="Y13" s="864"/>
      <c r="Z13" s="864"/>
      <c r="AA13" s="864"/>
      <c r="AB13" s="86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ht="14.4" customHeight="1" thickBot="1" x14ac:dyDescent="0.35">
      <c r="A14" s="1"/>
      <c r="B14" s="895" t="s">
        <v>286</v>
      </c>
      <c r="C14" s="896"/>
      <c r="D14" s="263">
        <v>95</v>
      </c>
      <c r="E14" s="263">
        <v>95</v>
      </c>
      <c r="F14" s="263">
        <v>95</v>
      </c>
      <c r="G14" s="263">
        <v>35</v>
      </c>
      <c r="H14" s="264">
        <v>35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"/>
      <c r="B15" s="878" t="s">
        <v>221</v>
      </c>
      <c r="C15" s="265" t="s">
        <v>287</v>
      </c>
      <c r="D15" s="266">
        <f>($C$47*D10/D13)*D12</f>
        <v>1.0508572643474556</v>
      </c>
      <c r="E15" s="266">
        <f>($C$47*E10/E13)*E12</f>
        <v>2.6003002179465153</v>
      </c>
      <c r="F15" s="266">
        <f>($C$47*F10/F13)*F12</f>
        <v>1.4960449835057721</v>
      </c>
      <c r="G15" s="266">
        <f>($C$47*G10/G13)*G12</f>
        <v>4.583288403762058</v>
      </c>
      <c r="H15" s="267">
        <f>($C$47*H10/H13)*H12</f>
        <v>7.9604687178786913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"/>
      <c r="B16" s="879"/>
      <c r="C16" s="268" t="s">
        <v>288</v>
      </c>
      <c r="D16" s="269">
        <f>(D15/230)*100</f>
        <v>0.45689446275976331</v>
      </c>
      <c r="E16" s="269">
        <f>(E15/230)*100</f>
        <v>1.1305653121506589</v>
      </c>
      <c r="F16" s="269">
        <f>(F15/230)*100</f>
        <v>0.65045434065468355</v>
      </c>
      <c r="G16" s="269">
        <f>(G15/230)*100</f>
        <v>1.9927340885921989</v>
      </c>
      <c r="H16" s="270">
        <f>(H15/230)*100</f>
        <v>3.4610733555994311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ht="14.4" customHeight="1" thickBot="1" x14ac:dyDescent="0.35">
      <c r="A17" s="1"/>
      <c r="B17" s="880"/>
      <c r="C17" s="271" t="s">
        <v>224</v>
      </c>
      <c r="D17" s="272" t="str">
        <f>IF(D16&lt;=5,"OK","NOK")</f>
        <v>OK</v>
      </c>
      <c r="E17" s="272" t="str">
        <f>IF(E16&lt;=5,"OK","NOK")</f>
        <v>OK</v>
      </c>
      <c r="F17" s="272" t="str">
        <f>IF(F16&lt;=5,"OK","NOK")</f>
        <v>OK</v>
      </c>
      <c r="G17" s="272" t="str">
        <f>IF(G16&lt;=5,"OK","NOK")</f>
        <v>OK</v>
      </c>
      <c r="H17" s="273" t="str">
        <f>IF(H16&lt;=5,"OK","NOK")</f>
        <v>OK</v>
      </c>
      <c r="I17" s="1"/>
      <c r="J17" s="1"/>
      <c r="K17" s="1"/>
      <c r="L17" s="1"/>
      <c r="M17" s="1"/>
      <c r="N17" s="1"/>
      <c r="O17" s="1"/>
      <c r="P17" s="1"/>
      <c r="Q17" s="1"/>
      <c r="R17" s="40"/>
      <c r="S17" s="322"/>
      <c r="T17" s="322"/>
      <c r="U17" s="322"/>
      <c r="V17" s="322"/>
      <c r="W17" s="322"/>
      <c r="X17" s="32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"/>
      <c r="B18" s="881" t="s">
        <v>225</v>
      </c>
      <c r="C18" s="274" t="s">
        <v>226</v>
      </c>
      <c r="D18" s="275">
        <v>235</v>
      </c>
      <c r="E18" s="275">
        <v>235</v>
      </c>
      <c r="F18" s="275">
        <v>310</v>
      </c>
      <c r="G18" s="275">
        <v>130</v>
      </c>
      <c r="H18" s="276">
        <v>130</v>
      </c>
      <c r="I18" s="1"/>
      <c r="J18" s="1"/>
      <c r="K18" s="1"/>
      <c r="L18" s="1"/>
      <c r="M18" s="1"/>
      <c r="N18" s="1"/>
      <c r="O18" s="1"/>
      <c r="P18" s="1"/>
      <c r="Q18" s="1"/>
      <c r="R18" s="40"/>
      <c r="S18" s="160"/>
      <c r="T18" s="160"/>
      <c r="U18" s="160"/>
      <c r="V18" s="160"/>
      <c r="W18" s="160"/>
      <c r="X18" s="160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ht="14.4" customHeight="1" x14ac:dyDescent="0.3">
      <c r="A19" s="1"/>
      <c r="B19" s="882"/>
      <c r="C19" s="277" t="s">
        <v>279</v>
      </c>
      <c r="D19" s="278">
        <v>200</v>
      </c>
      <c r="E19" s="278">
        <v>200</v>
      </c>
      <c r="F19" s="278">
        <v>250</v>
      </c>
      <c r="G19" s="278">
        <v>100</v>
      </c>
      <c r="H19" s="279">
        <v>100</v>
      </c>
      <c r="I19" s="1"/>
      <c r="J19" s="1"/>
      <c r="K19" s="1"/>
      <c r="L19" s="1"/>
      <c r="M19" s="1"/>
      <c r="N19" s="1"/>
      <c r="O19" s="1"/>
      <c r="P19" s="1"/>
      <c r="Q19" s="1"/>
      <c r="R19" s="40"/>
      <c r="S19" s="162"/>
      <c r="T19" s="162"/>
      <c r="U19" s="161"/>
      <c r="V19" s="161"/>
      <c r="W19" s="161"/>
      <c r="X19" s="16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"/>
      <c r="B20" s="882"/>
      <c r="C20" s="280" t="s">
        <v>232</v>
      </c>
      <c r="D20" s="261">
        <f>C55*D19</f>
        <v>320</v>
      </c>
      <c r="E20" s="261">
        <f>C55*E19</f>
        <v>320</v>
      </c>
      <c r="F20" s="261">
        <f>C55*F19</f>
        <v>400</v>
      </c>
      <c r="G20" s="261">
        <f>C55*G19</f>
        <v>160</v>
      </c>
      <c r="H20" s="262">
        <f>C55*H19</f>
        <v>160</v>
      </c>
      <c r="I20" s="1"/>
      <c r="J20" s="1"/>
      <c r="K20" s="1"/>
      <c r="L20" s="1"/>
      <c r="M20" s="1"/>
      <c r="N20" s="1"/>
      <c r="O20" s="1"/>
      <c r="P20" s="1"/>
      <c r="Q20" s="1"/>
      <c r="R20" s="40"/>
      <c r="S20" s="40"/>
      <c r="T20" s="40"/>
      <c r="U20" s="40"/>
      <c r="V20" s="40"/>
      <c r="W20" s="40"/>
      <c r="X20" s="40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"/>
      <c r="B21" s="882"/>
      <c r="C21" s="277" t="s">
        <v>234</v>
      </c>
      <c r="D21" s="278">
        <f>1.45*D18</f>
        <v>340.75</v>
      </c>
      <c r="E21" s="269">
        <f>1.45*E18</f>
        <v>340.75</v>
      </c>
      <c r="F21" s="269">
        <f>1.45*F18</f>
        <v>449.5</v>
      </c>
      <c r="G21" s="269">
        <f>1.45*G18</f>
        <v>188.5</v>
      </c>
      <c r="H21" s="270">
        <f>1.45*H18</f>
        <v>188.5</v>
      </c>
      <c r="I21" s="1"/>
      <c r="J21" s="1"/>
      <c r="K21" s="1"/>
      <c r="L21" s="1"/>
      <c r="M21" s="1"/>
      <c r="N21" s="1"/>
      <c r="O21" s="1"/>
      <c r="P21" s="1"/>
      <c r="Q21" s="1"/>
      <c r="R21" s="40"/>
      <c r="S21" s="40"/>
      <c r="T21" s="40"/>
      <c r="U21" s="40"/>
      <c r="V21" s="40"/>
      <c r="W21" s="40"/>
      <c r="X21" s="40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4.4" customHeight="1" x14ac:dyDescent="0.3">
      <c r="A22" s="1"/>
      <c r="B22" s="882"/>
      <c r="C22" s="281" t="s">
        <v>235</v>
      </c>
      <c r="D22" s="282" t="str">
        <f>IF(D12&lt;=D19,"OK","NOK")</f>
        <v>OK</v>
      </c>
      <c r="E22" s="282" t="str">
        <f>IF(E12&lt;=E19,"OK","NOK")</f>
        <v>OK</v>
      </c>
      <c r="F22" s="282" t="str">
        <f>IF(F12&lt;=F19,"OK","NOK")</f>
        <v>OK</v>
      </c>
      <c r="G22" s="282" t="str">
        <f>IF(G12&lt;=G19,"OK","NOK")</f>
        <v>OK</v>
      </c>
      <c r="H22" s="283" t="str">
        <f>IF(H12&lt;=H19,"OK","NOK")</f>
        <v>OK</v>
      </c>
      <c r="I22" s="1"/>
      <c r="J22" s="1"/>
      <c r="K22" s="1"/>
      <c r="L22" s="1"/>
      <c r="M22" s="1"/>
      <c r="N22" s="1"/>
      <c r="O22" s="1"/>
      <c r="P22" s="1"/>
      <c r="Q22" s="1"/>
      <c r="R22" s="40"/>
      <c r="S22" s="49"/>
      <c r="T22" s="49"/>
      <c r="U22" s="451"/>
      <c r="V22" s="451"/>
      <c r="W22" s="451"/>
      <c r="X22" s="451"/>
      <c r="Y22" s="1"/>
      <c r="Z22" s="50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ht="14.4" customHeight="1" x14ac:dyDescent="0.3">
      <c r="A23" s="1"/>
      <c r="B23" s="882"/>
      <c r="C23" s="281" t="s">
        <v>236</v>
      </c>
      <c r="D23" s="282" t="str">
        <f>IF(D19&lt;=D18,"OK","NOK")</f>
        <v>OK</v>
      </c>
      <c r="E23" s="282" t="str">
        <f>IF(E19&lt;=E18,"OK","NOK")</f>
        <v>OK</v>
      </c>
      <c r="F23" s="282" t="str">
        <f>IF(F19&lt;=F18,"OK","NOK")</f>
        <v>OK</v>
      </c>
      <c r="G23" s="282" t="str">
        <f>IF(G19&lt;=G18,"OK","NOK")</f>
        <v>OK</v>
      </c>
      <c r="H23" s="283" t="str">
        <f>IF(H19&lt;=H18,"OK","NOK")</f>
        <v>OK</v>
      </c>
      <c r="I23" s="1"/>
      <c r="J23" s="1"/>
      <c r="K23" s="1"/>
      <c r="L23" s="1"/>
      <c r="M23" s="1"/>
      <c r="N23" s="1"/>
      <c r="O23" s="1"/>
      <c r="P23" s="1"/>
      <c r="Q23" s="1"/>
      <c r="R23" s="875"/>
      <c r="S23" s="40"/>
      <c r="T23" s="40"/>
      <c r="U23" s="40"/>
      <c r="V23" s="40"/>
      <c r="W23" s="40"/>
      <c r="X23" s="40"/>
      <c r="Y23" s="1"/>
      <c r="Z23" s="876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ht="14.4" customHeight="1" thickBot="1" x14ac:dyDescent="0.5">
      <c r="A24" s="1"/>
      <c r="B24" s="883"/>
      <c r="C24" s="284" t="s">
        <v>238</v>
      </c>
      <c r="D24" s="272" t="str">
        <f>IF(D20&lt;=D21,"OK","NOK")</f>
        <v>OK</v>
      </c>
      <c r="E24" s="272" t="str">
        <f>IF(E20&lt;=E21,"OK","NOK")</f>
        <v>OK</v>
      </c>
      <c r="F24" s="272" t="str">
        <f>IF(F20&lt;=F21,"OK","NOK")</f>
        <v>OK</v>
      </c>
      <c r="G24" s="272" t="str">
        <f>IF(G20&lt;=G21,"OK","NOK")</f>
        <v>OK</v>
      </c>
      <c r="H24" s="273" t="str">
        <f>IF(H20&lt;=H21,"OK","NOK")</f>
        <v>OK</v>
      </c>
      <c r="I24" s="1"/>
      <c r="J24" s="323"/>
      <c r="K24" s="324"/>
      <c r="L24" s="877"/>
      <c r="M24" s="877"/>
      <c r="N24" s="877"/>
      <c r="O24" s="40"/>
      <c r="P24" s="1"/>
      <c r="Q24" s="1"/>
      <c r="R24" s="875"/>
      <c r="S24" s="164"/>
      <c r="T24" s="40"/>
      <c r="U24" s="165"/>
      <c r="V24" s="40"/>
      <c r="W24" s="40"/>
      <c r="X24" s="40"/>
      <c r="Y24" s="1"/>
      <c r="Z24" s="876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ht="16.2" x14ac:dyDescent="0.45">
      <c r="A25" s="1"/>
      <c r="B25" s="898" t="s">
        <v>240</v>
      </c>
      <c r="C25" s="285" t="s">
        <v>241</v>
      </c>
      <c r="D25" s="266">
        <f>(1.05*1.05*$C$49)/((D29))</f>
        <v>15.514284344667855</v>
      </c>
      <c r="E25" s="266">
        <f>(1.05*1.05*$C$49)/((E29))</f>
        <v>10.502445056422694</v>
      </c>
      <c r="F25" s="266">
        <f>(1.05*1.05*$C$49)/((F29))</f>
        <v>13.878375131514153</v>
      </c>
      <c r="G25" s="266">
        <f>(1.05*1.05*$C$49)/((G29))</f>
        <v>4.3481351232987464</v>
      </c>
      <c r="H25" s="286">
        <f>(1.05*1.05*$C$49)/((H29))</f>
        <v>2.7107502005061557</v>
      </c>
      <c r="I25" s="1"/>
      <c r="J25" s="323"/>
      <c r="K25" s="324"/>
      <c r="L25" s="877"/>
      <c r="M25" s="877"/>
      <c r="N25" s="877"/>
      <c r="O25" s="40"/>
      <c r="P25" s="1"/>
      <c r="Q25" s="1"/>
      <c r="R25" s="40"/>
      <c r="S25" s="864"/>
      <c r="T25" s="864"/>
      <c r="U25" s="864"/>
      <c r="V25" s="864"/>
      <c r="W25" s="864"/>
      <c r="X25" s="864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"/>
      <c r="B26" s="899"/>
      <c r="C26" s="287" t="s">
        <v>242</v>
      </c>
      <c r="D26" s="269">
        <f>(($C$47*D10)/D13)*1000</f>
        <v>5.7026338947368416</v>
      </c>
      <c r="E26" s="269">
        <f>(($C$47*E10)/E13)*1000</f>
        <v>13.327963578947369</v>
      </c>
      <c r="F26" s="269">
        <f>(($C$47*F10)/F13)*1000</f>
        <v>7.1570941081081072</v>
      </c>
      <c r="G26" s="269">
        <f>(($C$47*G10)/G13)*1000</f>
        <v>47.657141714285721</v>
      </c>
      <c r="H26" s="270">
        <f>(($C$47*H10)/H13)*1000</f>
        <v>82.773142857142858</v>
      </c>
      <c r="I26" s="1"/>
      <c r="J26" s="325"/>
      <c r="K26" s="325"/>
      <c r="L26" s="325"/>
      <c r="M26" s="325"/>
      <c r="N26" s="325"/>
      <c r="O26" s="1"/>
      <c r="P26" s="1"/>
      <c r="Q26" s="1"/>
      <c r="R26" s="40"/>
      <c r="S26" s="40"/>
      <c r="T26" s="40"/>
      <c r="U26" s="40"/>
      <c r="V26" s="40"/>
      <c r="W26" s="40"/>
      <c r="X26" s="40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"/>
      <c r="B27" s="899"/>
      <c r="C27" s="288" t="s">
        <v>243</v>
      </c>
      <c r="D27" s="257">
        <f>0.08*D10</f>
        <v>1.22672</v>
      </c>
      <c r="E27" s="257">
        <f>0.08*E10</f>
        <v>2.8670400000000003</v>
      </c>
      <c r="F27" s="257">
        <f>0.08*F10</f>
        <v>2.9981599999999999</v>
      </c>
      <c r="G27" s="257">
        <f>0.08*G10</f>
        <v>3.7769600000000003</v>
      </c>
      <c r="H27" s="258">
        <f>0.08*H10</f>
        <v>6.5600000000000005</v>
      </c>
      <c r="I27" s="1"/>
      <c r="J27" s="1"/>
      <c r="K27" s="1"/>
      <c r="L27" s="325"/>
      <c r="M27" s="1"/>
      <c r="N27" s="1"/>
      <c r="O27" s="1"/>
      <c r="P27" s="1"/>
      <c r="Q27" s="1"/>
      <c r="R27" s="40"/>
      <c r="S27" s="40"/>
      <c r="T27" s="163"/>
      <c r="U27" s="163"/>
      <c r="V27" s="40"/>
      <c r="W27" s="40"/>
      <c r="X27" s="40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"/>
      <c r="B28" s="899"/>
      <c r="C28" s="287" t="s">
        <v>245</v>
      </c>
      <c r="D28" s="269">
        <f>SQRT(D26*D26+D27*D27)</f>
        <v>5.8330845438585479</v>
      </c>
      <c r="E28" s="269">
        <f>SQRT(E26*E26+E27*E27)</f>
        <v>13.632847520725358</v>
      </c>
      <c r="F28" s="269">
        <f>SQRT(F26*F26+F27*F27)</f>
        <v>7.7597009902389784</v>
      </c>
      <c r="G28" s="269">
        <f>SQRT(G26*G26+G27*G27)</f>
        <v>47.806574686094301</v>
      </c>
      <c r="H28" s="270">
        <f>SQRT(H26*H26+H27*H27)</f>
        <v>83.032685000841568</v>
      </c>
      <c r="I28" s="1"/>
      <c r="J28" s="1"/>
      <c r="K28" s="1"/>
      <c r="L28" s="325"/>
      <c r="M28" s="1"/>
      <c r="N28" s="1"/>
      <c r="O28" s="1"/>
      <c r="P28" s="1"/>
      <c r="Q28" s="1"/>
      <c r="R28" s="40"/>
      <c r="S28" s="322"/>
      <c r="T28" s="322"/>
      <c r="U28" s="322"/>
      <c r="V28" s="322"/>
      <c r="W28" s="322"/>
      <c r="X28" s="32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"/>
      <c r="B29" s="899"/>
      <c r="C29" s="288" t="s">
        <v>247</v>
      </c>
      <c r="D29" s="257">
        <f>D28+($F$43+$F$49)*1000</f>
        <v>16.344614702588707</v>
      </c>
      <c r="E29" s="257">
        <f>E28+($F$43+$F$49)*1000</f>
        <v>24.144377679455516</v>
      </c>
      <c r="F29" s="257">
        <f>F28+($F$43+$F$49)*1000</f>
        <v>18.271231148969136</v>
      </c>
      <c r="G29" s="257">
        <f>G28+($F$43+$F$49)*1000</f>
        <v>58.318104844824461</v>
      </c>
      <c r="H29" s="258">
        <f>H28+($F$43+$F$49)*1000</f>
        <v>93.544215159571721</v>
      </c>
      <c r="I29" s="1"/>
      <c r="J29" s="1"/>
      <c r="K29" s="1"/>
      <c r="L29" s="1"/>
      <c r="M29" s="1"/>
      <c r="N29" s="1"/>
      <c r="O29" s="1"/>
      <c r="P29" s="1"/>
      <c r="Q29" s="1"/>
      <c r="R29" s="40"/>
      <c r="S29" s="160"/>
      <c r="T29" s="160"/>
      <c r="U29" s="160"/>
      <c r="V29" s="160"/>
      <c r="W29" s="160"/>
      <c r="X29" s="160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"/>
      <c r="B30" s="899"/>
      <c r="C30" s="287" t="s">
        <v>248</v>
      </c>
      <c r="D30" s="289">
        <f>((0.95*1.05*$C$49)/D29)*1000</f>
        <v>14036.733454699484</v>
      </c>
      <c r="E30" s="289">
        <f>((0.95*1.05*$C$49)/E29)*1000</f>
        <v>9502.2121939062454</v>
      </c>
      <c r="F30" s="289">
        <f>((0.95*1.05*$C$49)/F29)*1000</f>
        <v>12556.625118988994</v>
      </c>
      <c r="G30" s="289">
        <f>((0.95*1.05*$C$49)/G29)*1000</f>
        <v>3934.027016317913</v>
      </c>
      <c r="H30" s="290">
        <f>((0.95*1.05*$C$49)/H29)*1000</f>
        <v>2452.5835147436642</v>
      </c>
      <c r="I30" s="1"/>
      <c r="J30" s="1"/>
      <c r="K30" s="1"/>
      <c r="L30" s="1"/>
      <c r="M30" s="1"/>
      <c r="N30" s="1"/>
      <c r="O30" s="1"/>
      <c r="P30" s="1"/>
      <c r="Q30" s="1"/>
      <c r="R30" s="40"/>
      <c r="S30" s="161"/>
      <c r="T30" s="161"/>
      <c r="U30" s="161"/>
      <c r="V30" s="161"/>
      <c r="W30" s="40"/>
      <c r="X30" s="4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"/>
      <c r="B31" s="899"/>
      <c r="C31" s="288" t="s">
        <v>249</v>
      </c>
      <c r="D31" s="291">
        <f>((0.95*1.05*$C$50)/D29)*1000</f>
        <v>24411.710355999105</v>
      </c>
      <c r="E31" s="291">
        <f>((0.95*1.05*$C$50)/E29)*1000</f>
        <v>16525.586424184778</v>
      </c>
      <c r="F31" s="291">
        <f>((0.95*1.05*$C$50)/F29)*1000</f>
        <v>21837.608902589556</v>
      </c>
      <c r="G31" s="291">
        <f>((0.95*1.05*$C$50)/G29)*1000</f>
        <v>6841.7861153355007</v>
      </c>
      <c r="H31" s="292">
        <f>((0.95*1.05*$C$50)/H29)*1000</f>
        <v>4265.3626343368078</v>
      </c>
      <c r="I31" s="1"/>
      <c r="J31" s="1"/>
      <c r="K31" s="1"/>
      <c r="L31" s="1"/>
      <c r="M31" s="1"/>
      <c r="N31" s="1"/>
      <c r="O31" s="1"/>
      <c r="P31" s="1"/>
      <c r="Q31" s="1"/>
      <c r="R31" s="40"/>
      <c r="S31" s="40"/>
      <c r="T31" s="40"/>
      <c r="U31" s="40"/>
      <c r="V31" s="40"/>
      <c r="W31" s="40"/>
      <c r="X31" s="4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"/>
      <c r="B32" s="899"/>
      <c r="C32" s="287" t="s">
        <v>251</v>
      </c>
      <c r="D32" s="246">
        <f>IF(D30&lt;D31,D30,D31)</f>
        <v>14036.733454699484</v>
      </c>
      <c r="E32" s="246">
        <f>IF(E30&lt;E31,E30,E31)</f>
        <v>9502.2121939062454</v>
      </c>
      <c r="F32" s="246">
        <f>IF(F30&lt;F31,F30,F31)</f>
        <v>12556.625118988994</v>
      </c>
      <c r="G32" s="246">
        <f>IF(G30&lt;G31,G30,G31)</f>
        <v>3934.027016317913</v>
      </c>
      <c r="H32" s="247">
        <f>IF(H30&lt;H31,H30,H31)</f>
        <v>2452.5835147436642</v>
      </c>
      <c r="I32" s="1"/>
      <c r="J32" s="1"/>
      <c r="K32" s="1"/>
      <c r="L32" s="50"/>
      <c r="M32" s="1"/>
      <c r="N32" s="1"/>
      <c r="O32" s="1"/>
      <c r="P32" s="1"/>
      <c r="Q32" s="1"/>
      <c r="R32" s="40"/>
      <c r="S32" s="40"/>
      <c r="T32" s="40"/>
      <c r="U32" s="40"/>
      <c r="V32" s="40"/>
      <c r="W32" s="40"/>
      <c r="X32" s="4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"/>
      <c r="B33" s="899"/>
      <c r="C33" s="288" t="s">
        <v>253</v>
      </c>
      <c r="D33" s="257">
        <f>D32/D19</f>
        <v>70.18366727349742</v>
      </c>
      <c r="E33" s="257">
        <f>E32/E19</f>
        <v>47.511060969531229</v>
      </c>
      <c r="F33" s="257">
        <f>F32/F19</f>
        <v>50.226500475955973</v>
      </c>
      <c r="G33" s="257">
        <f>G32/G19</f>
        <v>39.340270163179127</v>
      </c>
      <c r="H33" s="258">
        <f>H32/H19</f>
        <v>24.525835147436641</v>
      </c>
      <c r="I33" s="1"/>
      <c r="J33" s="1"/>
      <c r="K33" s="326"/>
      <c r="L33" s="50"/>
      <c r="M33" s="1"/>
      <c r="N33" s="1"/>
      <c r="O33" s="1"/>
      <c r="P33" s="1"/>
      <c r="Q33" s="1"/>
      <c r="R33" s="40"/>
      <c r="S33" s="451"/>
      <c r="T33" s="451"/>
      <c r="U33" s="451"/>
      <c r="V33" s="451"/>
      <c r="W33" s="49"/>
      <c r="X33" s="4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"/>
      <c r="B34" s="899"/>
      <c r="C34" s="287" t="s">
        <v>255</v>
      </c>
      <c r="D34" s="278">
        <v>76</v>
      </c>
      <c r="E34" s="278">
        <v>76</v>
      </c>
      <c r="F34" s="278">
        <v>76</v>
      </c>
      <c r="G34" s="278">
        <v>76</v>
      </c>
      <c r="H34" s="279">
        <v>76</v>
      </c>
      <c r="I34" s="1"/>
      <c r="J34" s="1"/>
      <c r="K34" s="1"/>
      <c r="L34" s="1"/>
      <c r="M34" s="1"/>
      <c r="N34" s="1"/>
      <c r="O34" s="1"/>
      <c r="P34" s="1"/>
      <c r="Q34" s="1"/>
      <c r="R34" s="884"/>
      <c r="S34" s="40"/>
      <c r="T34" s="40"/>
      <c r="U34" s="40"/>
      <c r="V34" s="40"/>
      <c r="W34" s="40"/>
      <c r="X34" s="4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"/>
      <c r="B35" s="899"/>
      <c r="C35" s="293" t="s">
        <v>257</v>
      </c>
      <c r="D35" s="257">
        <f>((D34*D14)/D32)^2</f>
        <v>0.26457103050493291</v>
      </c>
      <c r="E35" s="257">
        <f>((E34*E14)/E32)^2</f>
        <v>0.57733109115283177</v>
      </c>
      <c r="F35" s="257">
        <f>((F34*F14)/F32)^2</f>
        <v>0.33061955588986552</v>
      </c>
      <c r="G35" s="257">
        <f>((G34*G14)/G32)^2</f>
        <v>0.45718144627658902</v>
      </c>
      <c r="H35" s="258">
        <f>((H34*H14)/H32)^2</f>
        <v>1.1762934092596011</v>
      </c>
      <c r="I35" s="1"/>
      <c r="J35" s="1"/>
      <c r="K35" s="1"/>
      <c r="L35" s="1"/>
      <c r="M35" s="1"/>
      <c r="N35" s="1"/>
      <c r="O35" s="1"/>
      <c r="P35" s="1"/>
      <c r="Q35" s="1"/>
      <c r="R35" s="884"/>
      <c r="S35" s="164"/>
      <c r="T35" s="40"/>
      <c r="U35" s="164"/>
      <c r="V35" s="40"/>
      <c r="W35" s="40"/>
      <c r="X35" s="4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"/>
      <c r="B36" s="899"/>
      <c r="C36" s="294" t="s">
        <v>259</v>
      </c>
      <c r="D36" s="278">
        <v>1.4999999999999999E-2</v>
      </c>
      <c r="E36" s="278">
        <v>5.2999999999999999E-2</v>
      </c>
      <c r="F36" s="278">
        <v>1E-3</v>
      </c>
      <c r="G36" s="278">
        <v>4.0000000000000001E-3</v>
      </c>
      <c r="H36" s="279">
        <v>7.0000000000000001E-3</v>
      </c>
      <c r="I36" s="1"/>
      <c r="J36" s="1"/>
      <c r="K36" s="1"/>
      <c r="L36" s="1"/>
      <c r="M36" s="1"/>
      <c r="N36" s="1"/>
      <c r="O36" s="1"/>
      <c r="P36" s="1"/>
      <c r="Q36" s="1"/>
      <c r="R36" s="40"/>
      <c r="S36" s="864"/>
      <c r="T36" s="864"/>
      <c r="U36" s="864"/>
      <c r="V36" s="864"/>
      <c r="W36" s="864"/>
      <c r="X36" s="864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"/>
      <c r="B37" s="899"/>
      <c r="C37" s="293" t="s">
        <v>261</v>
      </c>
      <c r="D37" s="261">
        <v>120</v>
      </c>
      <c r="E37" s="261">
        <v>120</v>
      </c>
      <c r="F37" s="261">
        <v>120</v>
      </c>
      <c r="G37" s="261">
        <v>120</v>
      </c>
      <c r="H37" s="262">
        <v>120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3">
      <c r="A38" s="1"/>
      <c r="B38" s="899"/>
      <c r="C38" s="295" t="s">
        <v>262</v>
      </c>
      <c r="D38" s="296" t="str">
        <f>IF(D36&lt;5,"OK","NOK")</f>
        <v>OK</v>
      </c>
      <c r="E38" s="296" t="str">
        <f>IF(E36&lt;5,"OK","NOK")</f>
        <v>OK</v>
      </c>
      <c r="F38" s="296" t="str">
        <f>IF(F36&lt;5,"OK","NOK")</f>
        <v>OK</v>
      </c>
      <c r="G38" s="296" t="str">
        <f>IF(G36&lt;5,"OK","NOK")</f>
        <v>OK</v>
      </c>
      <c r="H38" s="297" t="str">
        <f>IF(H36&lt;5,"OK","NOK")</f>
        <v>OK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3">
      <c r="A39" s="1"/>
      <c r="B39" s="899"/>
      <c r="C39" s="295" t="s">
        <v>263</v>
      </c>
      <c r="D39" s="296" t="str">
        <f>IF(D36&lt;D35,"OK","NOK")</f>
        <v>OK</v>
      </c>
      <c r="E39" s="296" t="str">
        <f>IF(E36&lt;E35,"OK","NOK")</f>
        <v>OK</v>
      </c>
      <c r="F39" s="296" t="str">
        <f>IF(F36&lt;F35,"OK","NOK")</f>
        <v>OK</v>
      </c>
      <c r="G39" s="296" t="str">
        <f>IF(G36&lt;G35,"OK","NOK")</f>
        <v>OK</v>
      </c>
      <c r="H39" s="297" t="str">
        <f>IF(H36&lt;H35,"OK","NOK")</f>
        <v>OK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5" thickBot="1" x14ac:dyDescent="0.35">
      <c r="A40" s="1"/>
      <c r="B40" s="900"/>
      <c r="C40" s="298" t="s">
        <v>264</v>
      </c>
      <c r="D40" s="299" t="str">
        <f>IF(D25&lt;=D37,"OK","NOK")</f>
        <v>OK</v>
      </c>
      <c r="E40" s="299" t="str">
        <f>IF(E25&lt;=E37,"OK","NOK")</f>
        <v>OK</v>
      </c>
      <c r="F40" s="299" t="str">
        <f>IF(F25&lt;=F37,"OK","NOK")</f>
        <v>OK</v>
      </c>
      <c r="G40" s="299" t="str">
        <f>IF(G25&lt;=G37,"OK","NOK")</f>
        <v>OK</v>
      </c>
      <c r="H40" s="300" t="str">
        <f>IF(H25&lt;=H37,"OK","NOK")</f>
        <v>OK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5" thickBot="1" x14ac:dyDescent="0.35">
      <c r="A41" s="1"/>
      <c r="B41" s="328"/>
      <c r="C41" s="328"/>
      <c r="D41" s="328"/>
      <c r="E41" s="328"/>
      <c r="F41" s="328"/>
      <c r="G41" s="328"/>
      <c r="H41" s="32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5.6" x14ac:dyDescent="0.3">
      <c r="A42" s="1"/>
      <c r="B42" s="885" t="s">
        <v>137</v>
      </c>
      <c r="C42" s="311" t="s">
        <v>293</v>
      </c>
      <c r="D42" s="311" t="s">
        <v>294</v>
      </c>
      <c r="E42" s="311" t="s">
        <v>295</v>
      </c>
      <c r="F42" s="311" t="s">
        <v>296</v>
      </c>
      <c r="G42" s="887" t="s">
        <v>292</v>
      </c>
      <c r="H42" s="88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5" thickBot="1" x14ac:dyDescent="0.35">
      <c r="A43" s="1"/>
      <c r="B43" s="886"/>
      <c r="C43" s="301">
        <v>630000</v>
      </c>
      <c r="D43" s="301">
        <f>4%</f>
        <v>0.04</v>
      </c>
      <c r="E43" s="301">
        <v>400</v>
      </c>
      <c r="F43" s="302">
        <f>D43*((E43)^2/C43)</f>
        <v>1.0158730158730159E-2</v>
      </c>
      <c r="G43" s="889">
        <f>(C50*1.05*1.05)/(SQRT(3)*(F43+F49))/1000</f>
        <v>24.222112753123969</v>
      </c>
      <c r="H43" s="89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5" thickBot="1" x14ac:dyDescent="0.35">
      <c r="A44" s="1"/>
      <c r="B44" s="328"/>
      <c r="C44" s="328"/>
      <c r="D44" s="328"/>
      <c r="E44" s="329"/>
      <c r="F44" s="328"/>
      <c r="G44" s="328"/>
      <c r="H44" s="328"/>
      <c r="I44" s="1"/>
      <c r="J44" s="1"/>
      <c r="K44" s="1"/>
      <c r="L44" s="1"/>
      <c r="M44" s="1"/>
      <c r="N44" s="1"/>
      <c r="O44" s="1"/>
      <c r="P44" s="1"/>
      <c r="Q44" s="897"/>
      <c r="R44" s="897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"/>
      <c r="B45" s="865" t="s">
        <v>297</v>
      </c>
      <c r="C45" s="866"/>
      <c r="D45" s="867" t="s">
        <v>228</v>
      </c>
      <c r="E45" s="868"/>
      <c r="F45" s="869"/>
      <c r="G45" s="328"/>
      <c r="H45" s="328"/>
      <c r="I45" s="1"/>
      <c r="J45" s="1"/>
      <c r="K45" s="1"/>
      <c r="L45" s="1"/>
      <c r="M45" s="32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6.2" x14ac:dyDescent="0.45">
      <c r="A46" s="1"/>
      <c r="B46" s="303" t="s">
        <v>289</v>
      </c>
      <c r="C46" s="304">
        <v>2.1551250000000001E-2</v>
      </c>
      <c r="D46" s="870" t="s">
        <v>231</v>
      </c>
      <c r="E46" s="870"/>
      <c r="F46" s="871"/>
      <c r="G46" s="328"/>
      <c r="H46" s="32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6.8" thickBot="1" x14ac:dyDescent="0.5">
      <c r="A47" s="1"/>
      <c r="B47" s="305" t="s">
        <v>290</v>
      </c>
      <c r="C47" s="306">
        <v>3.533E-2</v>
      </c>
      <c r="D47" s="872" t="s">
        <v>231</v>
      </c>
      <c r="E47" s="872"/>
      <c r="F47" s="873"/>
      <c r="G47" s="328"/>
      <c r="H47" s="32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5" thickBot="1" x14ac:dyDescent="0.35">
      <c r="A48" s="1"/>
      <c r="B48" s="328"/>
      <c r="C48" s="328"/>
      <c r="D48" s="328"/>
      <c r="E48" s="328"/>
      <c r="F48" s="328"/>
      <c r="G48" s="328"/>
      <c r="H48" s="32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6.2" thickBot="1" x14ac:dyDescent="0.35">
      <c r="A49" s="1"/>
      <c r="B49" s="312" t="s">
        <v>244</v>
      </c>
      <c r="C49" s="307">
        <v>230</v>
      </c>
      <c r="D49" s="328"/>
      <c r="E49" s="248" t="s">
        <v>291</v>
      </c>
      <c r="F49" s="308">
        <f>(1.05*C50)^2/(500*10^6)</f>
        <v>3.5280000000000001E-4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5" thickBot="1" x14ac:dyDescent="0.35">
      <c r="A50" s="1"/>
      <c r="B50" s="313" t="s">
        <v>246</v>
      </c>
      <c r="C50" s="309">
        <v>400</v>
      </c>
      <c r="D50" s="328"/>
      <c r="E50" s="328"/>
      <c r="F50" s="328"/>
      <c r="G50" s="328"/>
      <c r="H50" s="32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5" thickBot="1" x14ac:dyDescent="0.35">
      <c r="A51" s="1"/>
      <c r="B51" s="328"/>
      <c r="C51" s="328"/>
      <c r="D51" s="328"/>
      <c r="E51" s="328"/>
      <c r="F51" s="328"/>
      <c r="G51" s="328"/>
      <c r="H51" s="32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"/>
      <c r="B52" s="316"/>
      <c r="C52" s="317" t="s">
        <v>250</v>
      </c>
      <c r="D52" s="328"/>
      <c r="E52" s="328"/>
      <c r="F52" s="328"/>
      <c r="G52" s="328"/>
      <c r="H52" s="32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"/>
      <c r="B53" s="314" t="s">
        <v>252</v>
      </c>
      <c r="C53" s="310">
        <v>1.45</v>
      </c>
      <c r="D53" s="328"/>
      <c r="E53" s="328"/>
      <c r="F53" s="328"/>
      <c r="G53" s="328"/>
      <c r="H53" s="32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"/>
      <c r="B54" s="318" t="s">
        <v>254</v>
      </c>
      <c r="C54" s="319">
        <v>1.3</v>
      </c>
      <c r="D54" s="328"/>
      <c r="E54" s="328"/>
      <c r="F54" s="328"/>
      <c r="G54" s="328"/>
      <c r="H54" s="32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"/>
      <c r="B55" s="314" t="s">
        <v>256</v>
      </c>
      <c r="C55" s="310">
        <v>1.6</v>
      </c>
      <c r="D55" s="328"/>
      <c r="E55" s="328"/>
      <c r="F55" s="328"/>
      <c r="G55" s="328"/>
      <c r="H55" s="32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"/>
      <c r="B56" s="318" t="s">
        <v>258</v>
      </c>
      <c r="C56" s="320">
        <v>1.9</v>
      </c>
      <c r="D56" s="328"/>
      <c r="E56" s="328"/>
      <c r="F56" s="328"/>
      <c r="G56" s="328"/>
      <c r="H56" s="32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5" thickBot="1" x14ac:dyDescent="0.35">
      <c r="A57" s="1"/>
      <c r="B57" s="315" t="s">
        <v>260</v>
      </c>
      <c r="C57" s="249">
        <v>2.1</v>
      </c>
      <c r="D57" s="328"/>
      <c r="E57" s="328"/>
      <c r="F57" s="328"/>
      <c r="G57" s="328"/>
      <c r="H57" s="32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</sheetData>
  <mergeCells count="34">
    <mergeCell ref="B2:AQ4"/>
    <mergeCell ref="B8:C8"/>
    <mergeCell ref="B9:C9"/>
    <mergeCell ref="B10:C10"/>
    <mergeCell ref="B11:C11"/>
    <mergeCell ref="Y10:AB10"/>
    <mergeCell ref="B12:C12"/>
    <mergeCell ref="B13:C13"/>
    <mergeCell ref="B14:C14"/>
    <mergeCell ref="Q44:R44"/>
    <mergeCell ref="B25:B40"/>
    <mergeCell ref="L25:N25"/>
    <mergeCell ref="R11:R12"/>
    <mergeCell ref="D47:F47"/>
    <mergeCell ref="N10:Q10"/>
    <mergeCell ref="I11:I12"/>
    <mergeCell ref="U22:X22"/>
    <mergeCell ref="R23:R24"/>
    <mergeCell ref="L24:N24"/>
    <mergeCell ref="S25:X25"/>
    <mergeCell ref="S33:V33"/>
    <mergeCell ref="R34:R35"/>
    <mergeCell ref="S36:X36"/>
    <mergeCell ref="G42:H42"/>
    <mergeCell ref="G43:H43"/>
    <mergeCell ref="S13:U13"/>
    <mergeCell ref="W13:AB13"/>
    <mergeCell ref="B45:C45"/>
    <mergeCell ref="D45:F45"/>
    <mergeCell ref="D46:F46"/>
    <mergeCell ref="Z23:Z24"/>
    <mergeCell ref="B15:B17"/>
    <mergeCell ref="B18:B24"/>
    <mergeCell ref="B42:B4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4CF6-C362-4663-8F36-81D503058077}">
  <dimension ref="B6:AK43"/>
  <sheetViews>
    <sheetView zoomScale="55" zoomScaleNormal="55" workbookViewId="0">
      <selection activeCell="H19" sqref="H19"/>
    </sheetView>
  </sheetViews>
  <sheetFormatPr defaultRowHeight="14.4" x14ac:dyDescent="0.3"/>
  <cols>
    <col min="2" max="3" width="20.77734375" customWidth="1"/>
    <col min="4" max="4" width="24.77734375" customWidth="1"/>
    <col min="5" max="6" width="17.6640625" customWidth="1"/>
  </cols>
  <sheetData>
    <row r="6" spans="2:37" ht="15" thickBot="1" x14ac:dyDescent="0.35"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156"/>
      <c r="X6" s="156"/>
      <c r="Y6" s="156"/>
      <c r="Z6" s="156"/>
    </row>
    <row r="7" spans="2:37" ht="15" x14ac:dyDescent="0.35"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B8" s="965" t="s">
        <v>267</v>
      </c>
      <c r="C8" s="966"/>
      <c r="D8" s="331">
        <v>1</v>
      </c>
      <c r="E8" s="331">
        <v>2</v>
      </c>
      <c r="F8" s="331">
        <v>3</v>
      </c>
      <c r="G8" s="332">
        <v>4</v>
      </c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B9" s="967" t="s">
        <v>278</v>
      </c>
      <c r="C9" s="938"/>
      <c r="D9" s="171" t="s">
        <v>211</v>
      </c>
      <c r="E9" s="171" t="s">
        <v>211</v>
      </c>
      <c r="F9" s="171" t="s">
        <v>211</v>
      </c>
      <c r="G9" s="150" t="s">
        <v>211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B10" s="967" t="s">
        <v>214</v>
      </c>
      <c r="C10" s="938"/>
      <c r="D10" s="171" t="s">
        <v>306</v>
      </c>
      <c r="E10" s="171" t="s">
        <v>307</v>
      </c>
      <c r="F10" s="171" t="s">
        <v>307</v>
      </c>
      <c r="G10" s="150" t="s">
        <v>305</v>
      </c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B11" s="968" t="s">
        <v>217</v>
      </c>
      <c r="C11" s="940"/>
      <c r="D11" s="169">
        <v>11.605</v>
      </c>
      <c r="E11" s="169">
        <v>13.97</v>
      </c>
      <c r="F11" s="169">
        <v>16.39</v>
      </c>
      <c r="G11" s="206">
        <v>26.785</v>
      </c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  <c r="AJ11" t="s">
        <v>258</v>
      </c>
      <c r="AK11">
        <v>1.9</v>
      </c>
    </row>
    <row r="12" spans="2:37" ht="15" x14ac:dyDescent="0.35">
      <c r="B12" s="968" t="s">
        <v>29</v>
      </c>
      <c r="C12" s="940"/>
      <c r="D12" s="171">
        <f>20.7+69.55</f>
        <v>90.25</v>
      </c>
      <c r="E12" s="171">
        <v>13.8</v>
      </c>
      <c r="F12" s="171">
        <v>13.8</v>
      </c>
      <c r="G12" s="150">
        <v>61.13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B13" s="968" t="s">
        <v>218</v>
      </c>
      <c r="C13" s="940"/>
      <c r="D13" s="109">
        <f>D12*1000/(SQRT(3)*$AC$19)</f>
        <v>130.26465448590932</v>
      </c>
      <c r="E13" s="109">
        <f>E12*1000/(SQRT(3)*$AC$19)</f>
        <v>19.918584287042091</v>
      </c>
      <c r="F13" s="109">
        <f>F12*1000/(SQRT(3)*$AC$19)</f>
        <v>19.918584287042091</v>
      </c>
      <c r="G13" s="159">
        <f>G12*1000/(SQRT(3)*$AC$19)</f>
        <v>88.233554888904564</v>
      </c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B14" s="968" t="s">
        <v>268</v>
      </c>
      <c r="C14" s="940"/>
      <c r="D14" s="174" t="s">
        <v>269</v>
      </c>
      <c r="E14" s="174" t="s">
        <v>270</v>
      </c>
      <c r="F14" s="174" t="s">
        <v>270</v>
      </c>
      <c r="G14" s="219" t="s">
        <v>269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957" t="s">
        <v>219</v>
      </c>
      <c r="C15" s="918"/>
      <c r="D15" s="179">
        <v>70</v>
      </c>
      <c r="E15" s="179">
        <v>16</v>
      </c>
      <c r="F15" s="179">
        <v>16</v>
      </c>
      <c r="G15" s="220">
        <v>70</v>
      </c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14.4" customHeight="1" thickBot="1" x14ac:dyDescent="0.35">
      <c r="B16" s="958" t="s">
        <v>220</v>
      </c>
      <c r="C16" s="920"/>
      <c r="D16" s="183">
        <v>70</v>
      </c>
      <c r="E16" s="184">
        <v>16</v>
      </c>
      <c r="F16" s="184">
        <v>16</v>
      </c>
      <c r="G16" s="221">
        <v>70</v>
      </c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  <c r="AB16" s="132"/>
      <c r="AC16" s="132"/>
      <c r="AD16" s="132"/>
      <c r="AE16" s="132"/>
      <c r="AF16" s="132"/>
    </row>
    <row r="17" spans="2:34" ht="15" thickBot="1" x14ac:dyDescent="0.35">
      <c r="B17" s="962" t="s">
        <v>221</v>
      </c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189">
        <f>'[1]Canalizações Principais'!$C$12</f>
        <v>0.45689446275976331</v>
      </c>
      <c r="G17" s="222">
        <f>'[1]Canalizações Principais'!$C$12</f>
        <v>0.45689446275976331</v>
      </c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  <c r="AB17" s="132"/>
      <c r="AC17" s="132"/>
      <c r="AD17" s="132"/>
      <c r="AE17" s="132"/>
      <c r="AF17" s="132"/>
    </row>
    <row r="18" spans="2:34" x14ac:dyDescent="0.3">
      <c r="B18" s="963"/>
      <c r="C18" s="191" t="s">
        <v>222</v>
      </c>
      <c r="D18" s="115">
        <f>($AC$9*D11/D15)*D13</f>
        <v>0.76298734385523115</v>
      </c>
      <c r="E18" s="115">
        <f t="shared" ref="E18:G18" si="0">($AC$9*E11/E15)*E13</f>
        <v>0.6144386532856827</v>
      </c>
      <c r="F18" s="115">
        <f t="shared" si="0"/>
        <v>0.72087684519343875</v>
      </c>
      <c r="G18" s="223">
        <f t="shared" si="0"/>
        <v>1.1928093238973796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  <c r="AB18" s="140" t="s">
        <v>244</v>
      </c>
      <c r="AC18" s="141">
        <v>230</v>
      </c>
      <c r="AD18" s="132"/>
    </row>
    <row r="19" spans="2:34" ht="15" thickBot="1" x14ac:dyDescent="0.35">
      <c r="B19" s="963"/>
      <c r="C19" s="117" t="s">
        <v>223</v>
      </c>
      <c r="D19" s="115">
        <f t="shared" ref="D19:G19" si="1">D17+(D18/230)*100</f>
        <v>0.78862809052290728</v>
      </c>
      <c r="E19" s="115">
        <f t="shared" si="1"/>
        <v>0.72404170331875584</v>
      </c>
      <c r="F19" s="115">
        <f t="shared" si="1"/>
        <v>0.77031917806125838</v>
      </c>
      <c r="G19" s="223">
        <f t="shared" si="1"/>
        <v>0.97550721228036308</v>
      </c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  <c r="AB19" s="142" t="s">
        <v>246</v>
      </c>
      <c r="AC19" s="143">
        <v>400</v>
      </c>
      <c r="AD19" s="132"/>
    </row>
    <row r="20" spans="2:34" ht="14.4" customHeight="1" thickBot="1" x14ac:dyDescent="0.35">
      <c r="B20" s="964"/>
      <c r="C20" s="118" t="s">
        <v>272</v>
      </c>
      <c r="D20" s="193" t="str">
        <f>IF(D19&lt;=8,"OK","NOK")</f>
        <v>OK</v>
      </c>
      <c r="E20" s="193" t="str">
        <f t="shared" ref="E20:G20" si="2">IF(E19&lt;=8,"OK","NOK")</f>
        <v>OK</v>
      </c>
      <c r="F20" s="193" t="str">
        <f t="shared" si="2"/>
        <v>OK</v>
      </c>
      <c r="G20" s="224" t="str">
        <f t="shared" si="2"/>
        <v>OK</v>
      </c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2:34" x14ac:dyDescent="0.3">
      <c r="B21" s="914" t="s">
        <v>225</v>
      </c>
      <c r="C21" s="121" t="s">
        <v>226</v>
      </c>
      <c r="D21" s="195">
        <v>195</v>
      </c>
      <c r="E21" s="196">
        <v>95</v>
      </c>
      <c r="F21" s="196">
        <v>95</v>
      </c>
      <c r="G21" s="225">
        <v>195</v>
      </c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2:34" x14ac:dyDescent="0.3">
      <c r="B22" s="915"/>
      <c r="C22" s="124" t="s">
        <v>229</v>
      </c>
      <c r="D22" s="111">
        <v>160</v>
      </c>
      <c r="E22" s="124">
        <v>20</v>
      </c>
      <c r="F22" s="124">
        <v>20</v>
      </c>
      <c r="G22" s="206">
        <v>160</v>
      </c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2:34" x14ac:dyDescent="0.3">
      <c r="B23" s="915"/>
      <c r="C23" s="124" t="s">
        <v>232</v>
      </c>
      <c r="D23" s="111">
        <f>$AK$10*D22</f>
        <v>256</v>
      </c>
      <c r="E23" s="111">
        <f t="shared" ref="E23:G23" si="3">$AK$10*E22</f>
        <v>32</v>
      </c>
      <c r="F23" s="111">
        <f t="shared" si="3"/>
        <v>32</v>
      </c>
      <c r="G23" s="150">
        <f t="shared" si="3"/>
        <v>256</v>
      </c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2:34" ht="15" thickBot="1" x14ac:dyDescent="0.35">
      <c r="B24" s="915"/>
      <c r="C24" s="124" t="s">
        <v>234</v>
      </c>
      <c r="D24" s="124">
        <f>1.45*D21</f>
        <v>282.75</v>
      </c>
      <c r="E24" s="124">
        <f t="shared" ref="E24:G24" si="4">1.45*E21</f>
        <v>137.75</v>
      </c>
      <c r="F24" s="124">
        <f t="shared" si="4"/>
        <v>137.75</v>
      </c>
      <c r="G24" s="206">
        <f t="shared" si="4"/>
        <v>282.75</v>
      </c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132"/>
    </row>
    <row r="25" spans="2:34" ht="14.4" customHeight="1" x14ac:dyDescent="0.3">
      <c r="B25" s="915"/>
      <c r="C25" s="133" t="s">
        <v>235</v>
      </c>
      <c r="D25" s="199" t="str">
        <f t="shared" ref="D25:G25" si="5">IF(D13&lt;=D22,"OK","NOK")</f>
        <v>OK</v>
      </c>
      <c r="E25" s="199" t="str">
        <f t="shared" si="5"/>
        <v>OK</v>
      </c>
      <c r="F25" s="199" t="str">
        <f t="shared" si="5"/>
        <v>OK</v>
      </c>
      <c r="G25" s="226" t="str">
        <f t="shared" si="5"/>
        <v>OK</v>
      </c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94"/>
      <c r="AC25" s="948" t="s">
        <v>273</v>
      </c>
      <c r="AD25" s="949"/>
      <c r="AE25" s="949"/>
      <c r="AF25" s="949"/>
      <c r="AG25" s="949" t="s">
        <v>274</v>
      </c>
      <c r="AH25" s="952"/>
    </row>
    <row r="26" spans="2:34" ht="14.4" customHeight="1" x14ac:dyDescent="0.3">
      <c r="B26" s="915"/>
      <c r="C26" s="200" t="s">
        <v>236</v>
      </c>
      <c r="D26" s="199" t="str">
        <f t="shared" ref="D26:G26" si="6">IF(D22&lt;=D21,"OK","NOK")</f>
        <v>OK</v>
      </c>
      <c r="E26" s="199" t="str">
        <f t="shared" si="6"/>
        <v>OK</v>
      </c>
      <c r="F26" s="199" t="str">
        <f t="shared" si="6"/>
        <v>OK</v>
      </c>
      <c r="G26" s="226" t="str">
        <f t="shared" si="6"/>
        <v>OK</v>
      </c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94"/>
      <c r="AC26" s="950"/>
      <c r="AD26" s="951"/>
      <c r="AE26" s="951"/>
      <c r="AF26" s="951"/>
      <c r="AG26" s="951"/>
      <c r="AH26" s="953"/>
    </row>
    <row r="27" spans="2:34" ht="14.4" customHeight="1" thickBot="1" x14ac:dyDescent="0.35">
      <c r="B27" s="916"/>
      <c r="C27" s="201" t="s">
        <v>238</v>
      </c>
      <c r="D27" s="193" t="str">
        <f t="shared" ref="D27:G27" si="7">IF(D23&lt;=D24,"OK","NOK")</f>
        <v>OK</v>
      </c>
      <c r="E27" s="193" t="str">
        <f t="shared" si="7"/>
        <v>OK</v>
      </c>
      <c r="F27" s="193" t="str">
        <f t="shared" si="7"/>
        <v>OK</v>
      </c>
      <c r="G27" s="224" t="str">
        <f t="shared" si="7"/>
        <v>OK</v>
      </c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94"/>
      <c r="AC27" s="954" t="s">
        <v>75</v>
      </c>
      <c r="AD27" s="955"/>
      <c r="AE27" s="955"/>
      <c r="AF27" s="955"/>
      <c r="AG27" s="955">
        <v>1</v>
      </c>
      <c r="AH27" s="956"/>
    </row>
    <row r="28" spans="2:34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 t="shared" ref="E28:G28" si="8">(1.05*1.05*$AC$18)/((E32))</f>
        <v>2.2771503283936405</v>
      </c>
      <c r="F28" s="115">
        <f t="shared" si="8"/>
        <v>4.0957768388481011</v>
      </c>
      <c r="G28" s="227">
        <f t="shared" si="8"/>
        <v>2.2771503283936405</v>
      </c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AC28" s="954" t="s">
        <v>76</v>
      </c>
      <c r="AD28" s="955"/>
      <c r="AE28" s="955"/>
      <c r="AF28" s="955"/>
      <c r="AG28" s="955">
        <v>0.75</v>
      </c>
      <c r="AH28" s="956"/>
    </row>
    <row r="29" spans="2:34" x14ac:dyDescent="0.3">
      <c r="B29" s="906"/>
      <c r="C29" s="139" t="s">
        <v>242</v>
      </c>
      <c r="D29" s="139">
        <f>($AC$9*D11/D15)*1000</f>
        <v>5.8572092857142861</v>
      </c>
      <c r="E29" s="139">
        <f t="shared" ref="E29:G29" si="9">($AC$9*E11/E15)*1000</f>
        <v>30.847506249999999</v>
      </c>
      <c r="F29" s="139">
        <f t="shared" si="9"/>
        <v>36.191168750000003</v>
      </c>
      <c r="G29" s="139">
        <f t="shared" si="9"/>
        <v>13.518772142857143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155"/>
      <c r="AC29" s="954" t="s">
        <v>77</v>
      </c>
      <c r="AD29" s="955"/>
      <c r="AE29" s="955"/>
      <c r="AF29" s="955"/>
      <c r="AG29" s="955">
        <v>0.56000000000000005</v>
      </c>
      <c r="AH29" s="956"/>
    </row>
    <row r="30" spans="2:34" x14ac:dyDescent="0.3">
      <c r="B30" s="906"/>
      <c r="C30" s="139" t="s">
        <v>243</v>
      </c>
      <c r="D30" s="139">
        <f>(0.08*D11)</f>
        <v>0.9284</v>
      </c>
      <c r="E30" s="139">
        <f t="shared" ref="E30:G30" si="10">(0.08*E11)</f>
        <v>1.1176000000000001</v>
      </c>
      <c r="F30" s="139">
        <f t="shared" si="10"/>
        <v>1.3112000000000001</v>
      </c>
      <c r="G30" s="139">
        <f t="shared" si="10"/>
        <v>2.1428000000000003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155"/>
      <c r="AC30" s="954" t="s">
        <v>78</v>
      </c>
      <c r="AD30" s="955"/>
      <c r="AE30" s="955"/>
      <c r="AF30" s="955"/>
      <c r="AG30" s="955">
        <v>0.48</v>
      </c>
      <c r="AH30" s="956"/>
    </row>
    <row r="31" spans="2:34" x14ac:dyDescent="0.3">
      <c r="B31" s="906"/>
      <c r="C31" s="139" t="s">
        <v>245</v>
      </c>
      <c r="D31" s="139">
        <f>SQRT(D29*D29+D30*D30)</f>
        <v>5.9303311186355909</v>
      </c>
      <c r="E31" s="139">
        <f t="shared" ref="E31:G31" si="11">SQRT(E29*E29+E30*E30)</f>
        <v>30.867744841562185</v>
      </c>
      <c r="F31" s="139">
        <f t="shared" si="11"/>
        <v>36.21491323931312</v>
      </c>
      <c r="G31" s="139">
        <f t="shared" si="11"/>
        <v>13.687541491827169</v>
      </c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155"/>
      <c r="AC31" s="954" t="s">
        <v>79</v>
      </c>
      <c r="AD31" s="955"/>
      <c r="AE31" s="955"/>
      <c r="AF31" s="955"/>
      <c r="AG31" s="955">
        <v>0.43</v>
      </c>
      <c r="AH31" s="956"/>
    </row>
    <row r="32" spans="2:34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139">
        <f>'[1]Canalizações Principais'!$C$25+[1]Ramais!E26</f>
        <v>61.911332081099324</v>
      </c>
      <c r="G32" s="139">
        <f>'[1]Canalizações Principais'!$C$25+[1]Ramais!F26</f>
        <v>111.35628457998126</v>
      </c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155"/>
      <c r="AC32" s="954" t="s">
        <v>80</v>
      </c>
      <c r="AD32" s="955"/>
      <c r="AE32" s="955"/>
      <c r="AF32" s="955"/>
      <c r="AG32" s="955">
        <v>0.4</v>
      </c>
      <c r="AH32" s="956"/>
    </row>
    <row r="33" spans="2:34" x14ac:dyDescent="0.3">
      <c r="B33" s="906"/>
      <c r="C33" s="139" t="s">
        <v>248</v>
      </c>
      <c r="D33" s="144">
        <f>((0.95*1.05*$AC$18)/D32)*1000</f>
        <v>3705.7028541959003</v>
      </c>
      <c r="E33" s="144">
        <f t="shared" ref="E33:G33" si="12">((0.95*1.05*$AC$18)/E32)*1000</f>
        <v>2060.2788685466271</v>
      </c>
      <c r="F33" s="144">
        <f t="shared" si="12"/>
        <v>3705.7028541959003</v>
      </c>
      <c r="G33" s="228">
        <f t="shared" si="12"/>
        <v>2060.2788685466271</v>
      </c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155"/>
      <c r="AC33" s="954" t="s">
        <v>81</v>
      </c>
      <c r="AD33" s="955"/>
      <c r="AE33" s="955"/>
      <c r="AF33" s="955"/>
      <c r="AG33" s="955">
        <v>0.38</v>
      </c>
      <c r="AH33" s="956"/>
    </row>
    <row r="34" spans="2:34" x14ac:dyDescent="0.3">
      <c r="B34" s="906"/>
      <c r="C34" s="139" t="s">
        <v>249</v>
      </c>
      <c r="D34" s="144">
        <f>((0.95*1.05*$AC$19)/D32)*1000</f>
        <v>6444.7006159928715</v>
      </c>
      <c r="E34" s="144">
        <f t="shared" ref="E34:G34" si="13">((0.95*1.05*$AC$19)/E32)*1000</f>
        <v>3583.0936844289167</v>
      </c>
      <c r="F34" s="144">
        <f t="shared" si="13"/>
        <v>6444.7006159928715</v>
      </c>
      <c r="G34" s="228">
        <f t="shared" si="13"/>
        <v>3583.0936844289167</v>
      </c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155"/>
      <c r="AC34" s="954" t="s">
        <v>276</v>
      </c>
      <c r="AD34" s="955"/>
      <c r="AE34" s="955"/>
      <c r="AF34" s="955"/>
      <c r="AG34" s="955">
        <v>0.37</v>
      </c>
      <c r="AH34" s="956"/>
    </row>
    <row r="35" spans="2:34" x14ac:dyDescent="0.3">
      <c r="B35" s="906"/>
      <c r="C35" s="139" t="s">
        <v>251</v>
      </c>
      <c r="D35" s="147">
        <f>IF(D33&lt;D34,D33,D34)</f>
        <v>3705.7028541959003</v>
      </c>
      <c r="E35" s="147">
        <f t="shared" ref="E35:G35" si="14">IF(E33&lt;E34,E33,E34)</f>
        <v>2060.2788685466271</v>
      </c>
      <c r="F35" s="147">
        <f t="shared" si="14"/>
        <v>3705.7028541959003</v>
      </c>
      <c r="G35" s="229">
        <f t="shared" si="14"/>
        <v>2060.2788685466271</v>
      </c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155"/>
      <c r="AC35" s="954" t="s">
        <v>83</v>
      </c>
      <c r="AD35" s="955"/>
      <c r="AE35" s="955"/>
      <c r="AF35" s="955"/>
      <c r="AG35" s="955">
        <v>0.36</v>
      </c>
      <c r="AH35" s="956"/>
    </row>
    <row r="36" spans="2:34" ht="15" thickBot="1" x14ac:dyDescent="0.35">
      <c r="B36" s="906"/>
      <c r="C36" s="139" t="s">
        <v>253</v>
      </c>
      <c r="D36" s="139">
        <f>D35/D22</f>
        <v>23.160642838724378</v>
      </c>
      <c r="E36" s="139">
        <f t="shared" ref="E36:G36" si="15">E35/E22</f>
        <v>103.01394342733136</v>
      </c>
      <c r="F36" s="139">
        <f t="shared" si="15"/>
        <v>185.28514270979502</v>
      </c>
      <c r="G36" s="139">
        <f t="shared" si="15"/>
        <v>12.876742928416419</v>
      </c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155"/>
      <c r="AC36" s="959" t="s">
        <v>277</v>
      </c>
      <c r="AD36" s="960"/>
      <c r="AE36" s="960"/>
      <c r="AF36" s="960"/>
      <c r="AG36" s="960">
        <v>0.34</v>
      </c>
      <c r="AH36" s="961"/>
    </row>
    <row r="37" spans="2:34" x14ac:dyDescent="0.3">
      <c r="B37" s="906"/>
      <c r="C37" s="139" t="s">
        <v>255</v>
      </c>
      <c r="D37" s="139">
        <v>76</v>
      </c>
      <c r="E37" s="139">
        <v>76</v>
      </c>
      <c r="F37" s="139">
        <v>76</v>
      </c>
      <c r="G37" s="139">
        <v>76</v>
      </c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155"/>
    </row>
    <row r="38" spans="2:34" x14ac:dyDescent="0.3">
      <c r="B38" s="906"/>
      <c r="C38" s="150" t="s">
        <v>257</v>
      </c>
      <c r="D38" s="158">
        <f>(D37*D16/D35)^2</f>
        <v>2.0610194040209548</v>
      </c>
      <c r="E38" s="158">
        <f t="shared" ref="E38:G38" si="16">(E37*E16/E35)^2</f>
        <v>0.34834945349272384</v>
      </c>
      <c r="F38" s="158">
        <f t="shared" si="16"/>
        <v>0.10767774845497236</v>
      </c>
      <c r="G38" s="158">
        <f t="shared" si="16"/>
        <v>6.6676262582591663</v>
      </c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</row>
    <row r="39" spans="2:34" x14ac:dyDescent="0.3">
      <c r="B39" s="906"/>
      <c r="C39" s="150" t="s">
        <v>259</v>
      </c>
      <c r="D39" s="150">
        <v>1.6E-2</v>
      </c>
      <c r="E39" s="150">
        <v>1E-3</v>
      </c>
      <c r="F39" s="150">
        <v>1.6E-2</v>
      </c>
      <c r="G39" s="150">
        <v>1E-3</v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2:34" x14ac:dyDescent="0.3">
      <c r="B40" s="906"/>
      <c r="C40" s="206" t="s">
        <v>261</v>
      </c>
      <c r="D40" s="150">
        <v>120</v>
      </c>
      <c r="E40" s="150">
        <v>120</v>
      </c>
      <c r="F40" s="150">
        <v>120</v>
      </c>
      <c r="G40" s="150">
        <v>120</v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2:34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:G41" si="17">IF(E39&lt;5,"OK","NOK")</f>
        <v>OK</v>
      </c>
      <c r="F41" s="207" t="str">
        <f t="shared" si="17"/>
        <v>OK</v>
      </c>
      <c r="G41" s="230" t="str">
        <f t="shared" si="17"/>
        <v>OK</v>
      </c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2:34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:G42" si="18">IF(E39&lt;E38,"OK","NOK")</f>
        <v>OK</v>
      </c>
      <c r="F42" s="207" t="str">
        <f t="shared" si="18"/>
        <v>OK</v>
      </c>
      <c r="G42" s="230" t="str">
        <f t="shared" si="18"/>
        <v>OK</v>
      </c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</row>
    <row r="43" spans="2:34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:G43" si="19">IF(E28&lt;=E40,"OK","NOK")</f>
        <v>OK</v>
      </c>
      <c r="F43" s="208" t="str">
        <f t="shared" si="19"/>
        <v>OK</v>
      </c>
      <c r="G43" s="231" t="str">
        <f t="shared" si="19"/>
        <v>OK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155"/>
    </row>
  </sheetData>
  <mergeCells count="42">
    <mergeCell ref="AC34:AF34"/>
    <mergeCell ref="AG34:AH34"/>
    <mergeCell ref="AC35:AF35"/>
    <mergeCell ref="B8:C8"/>
    <mergeCell ref="B9:C9"/>
    <mergeCell ref="B10:C10"/>
    <mergeCell ref="B11:C11"/>
    <mergeCell ref="B12:C12"/>
    <mergeCell ref="AG35:AH35"/>
    <mergeCell ref="B28:B43"/>
    <mergeCell ref="AC28:AF28"/>
    <mergeCell ref="AG28:AH28"/>
    <mergeCell ref="AC29:AF29"/>
    <mergeCell ref="AG29:AH29"/>
    <mergeCell ref="AC30:AF30"/>
    <mergeCell ref="AG30:AH30"/>
    <mergeCell ref="AC31:AF31"/>
    <mergeCell ref="AG31:AH31"/>
    <mergeCell ref="AC32:AF32"/>
    <mergeCell ref="AC36:AF36"/>
    <mergeCell ref="AG36:AH36"/>
    <mergeCell ref="AG32:AH32"/>
    <mergeCell ref="AC33:AF33"/>
    <mergeCell ref="AG33:AH33"/>
    <mergeCell ref="AD13:AF13"/>
    <mergeCell ref="AD14:AF14"/>
    <mergeCell ref="B21:B27"/>
    <mergeCell ref="AC25:AF26"/>
    <mergeCell ref="AG25:AH26"/>
    <mergeCell ref="AC27:AF27"/>
    <mergeCell ref="AG27:AH27"/>
    <mergeCell ref="B15:C15"/>
    <mergeCell ref="B16:C16"/>
    <mergeCell ref="B17:B20"/>
    <mergeCell ref="B13:C13"/>
    <mergeCell ref="B14:C14"/>
    <mergeCell ref="AB7:AC7"/>
    <mergeCell ref="AD7:AF7"/>
    <mergeCell ref="AD8:AF8"/>
    <mergeCell ref="AD9:AF9"/>
    <mergeCell ref="AB12:AC12"/>
    <mergeCell ref="AD12:AF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C1C4-EFE3-4B71-A29B-5F96E587BE7D}">
  <dimension ref="A1:AQ60"/>
  <sheetViews>
    <sheetView zoomScale="55" zoomScaleNormal="55" workbookViewId="0">
      <selection activeCell="H25" sqref="H25"/>
    </sheetView>
  </sheetViews>
  <sheetFormatPr defaultRowHeight="14.4" x14ac:dyDescent="0.3"/>
  <cols>
    <col min="2" max="2" width="20.77734375" customWidth="1"/>
    <col min="3" max="3" width="26.77734375" customWidth="1"/>
  </cols>
  <sheetData>
    <row r="1" spans="1:43" x14ac:dyDescent="0.3">
      <c r="A1" s="1"/>
    </row>
    <row r="2" spans="1:43" ht="14.4" customHeight="1" x14ac:dyDescent="0.3">
      <c r="A2" s="1"/>
      <c r="B2" s="737" t="s">
        <v>302</v>
      </c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</row>
    <row r="3" spans="1:43" ht="14.4" customHeight="1" x14ac:dyDescent="0.3">
      <c r="A3" s="1"/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</row>
    <row r="4" spans="1:43" ht="14.4" customHeight="1" x14ac:dyDescent="0.3">
      <c r="A4" s="1"/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</row>
    <row r="5" spans="1:43" ht="4.95" customHeight="1" x14ac:dyDescent="0.3">
      <c r="A5" s="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1:4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" thickBot="1" x14ac:dyDescent="0.35">
      <c r="A7" s="1"/>
      <c r="B7" s="333"/>
      <c r="C7" s="232"/>
      <c r="D7" s="232"/>
      <c r="E7" s="232"/>
      <c r="F7" s="232"/>
      <c r="G7" s="232"/>
      <c r="H7" s="348"/>
      <c r="I7" s="348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156"/>
      <c r="X7" s="156"/>
      <c r="Y7" s="156"/>
      <c r="Z7" s="156"/>
    </row>
    <row r="8" spans="1:43" x14ac:dyDescent="0.3">
      <c r="A8" s="1"/>
      <c r="B8" s="935" t="s">
        <v>267</v>
      </c>
      <c r="C8" s="936"/>
      <c r="D8" s="342">
        <v>1</v>
      </c>
      <c r="E8" s="342">
        <v>2</v>
      </c>
      <c r="F8" s="342">
        <v>3</v>
      </c>
      <c r="G8" s="343">
        <v>4</v>
      </c>
      <c r="H8" s="349"/>
      <c r="I8" s="349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132"/>
      <c r="X8" s="132"/>
      <c r="Y8" s="132"/>
      <c r="Z8" s="132"/>
    </row>
    <row r="9" spans="1:43" x14ac:dyDescent="0.3">
      <c r="A9" s="1"/>
      <c r="B9" s="937" t="s">
        <v>278</v>
      </c>
      <c r="C9" s="938"/>
      <c r="D9" s="171" t="s">
        <v>209</v>
      </c>
      <c r="E9" s="171" t="s">
        <v>209</v>
      </c>
      <c r="F9" s="171" t="s">
        <v>209</v>
      </c>
      <c r="G9" s="112" t="s">
        <v>209</v>
      </c>
      <c r="H9" s="40"/>
      <c r="I9" s="40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</row>
    <row r="10" spans="1:43" x14ac:dyDescent="0.3">
      <c r="A10" s="1"/>
      <c r="B10" s="937" t="s">
        <v>214</v>
      </c>
      <c r="C10" s="938"/>
      <c r="D10" s="171" t="s">
        <v>298</v>
      </c>
      <c r="E10" s="171" t="s">
        <v>299</v>
      </c>
      <c r="F10" s="330" t="s">
        <v>159</v>
      </c>
      <c r="G10" s="344" t="s">
        <v>159</v>
      </c>
      <c r="H10" s="40"/>
      <c r="I10" s="40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</row>
    <row r="11" spans="1:43" x14ac:dyDescent="0.3">
      <c r="A11" s="1"/>
      <c r="B11" s="939" t="s">
        <v>217</v>
      </c>
      <c r="C11" s="940"/>
      <c r="D11" s="169">
        <v>12.65</v>
      </c>
      <c r="E11" s="169">
        <v>39.280999999999999</v>
      </c>
      <c r="F11" s="330" t="s">
        <v>300</v>
      </c>
      <c r="G11" s="344" t="s">
        <v>300</v>
      </c>
      <c r="H11" s="349"/>
      <c r="I11" s="349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132"/>
      <c r="X11" s="132"/>
      <c r="Y11" s="132"/>
      <c r="Z11" s="132"/>
    </row>
    <row r="12" spans="1:43" x14ac:dyDescent="0.3">
      <c r="A12" s="1"/>
      <c r="B12" s="939" t="s">
        <v>29</v>
      </c>
      <c r="C12" s="940"/>
      <c r="D12" s="171">
        <v>118.16</v>
      </c>
      <c r="E12" s="171">
        <v>118.16</v>
      </c>
      <c r="F12" s="330" t="s">
        <v>300</v>
      </c>
      <c r="G12" s="344" t="s">
        <v>301</v>
      </c>
      <c r="H12" s="40"/>
      <c r="I12" s="40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</row>
    <row r="13" spans="1:43" x14ac:dyDescent="0.3">
      <c r="A13" s="1"/>
      <c r="B13" s="939" t="s">
        <v>218</v>
      </c>
      <c r="C13" s="940"/>
      <c r="D13" s="109">
        <f>D12*1000/(SQRT(3)*$C$57)</f>
        <v>170.54926951861546</v>
      </c>
      <c r="E13" s="109">
        <f>E12*1000/(SQRT(3)*$C$57)</f>
        <v>170.54926951861546</v>
      </c>
      <c r="F13" s="330" t="s">
        <v>300</v>
      </c>
      <c r="G13" s="344" t="s">
        <v>301</v>
      </c>
      <c r="H13" s="350"/>
      <c r="I13" s="350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173"/>
      <c r="X13" s="173"/>
      <c r="Y13" s="173"/>
      <c r="Z13" s="173"/>
    </row>
    <row r="14" spans="1:43" x14ac:dyDescent="0.3">
      <c r="A14" s="1"/>
      <c r="B14" s="939" t="s">
        <v>268</v>
      </c>
      <c r="C14" s="940"/>
      <c r="D14" s="174" t="s">
        <v>269</v>
      </c>
      <c r="E14" s="174" t="s">
        <v>269</v>
      </c>
      <c r="F14" s="330" t="s">
        <v>300</v>
      </c>
      <c r="G14" s="344" t="s">
        <v>301</v>
      </c>
      <c r="H14" s="351"/>
      <c r="I14" s="351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173"/>
      <c r="X14" s="173"/>
      <c r="Y14" s="173"/>
      <c r="Z14" s="173"/>
    </row>
    <row r="15" spans="1:43" x14ac:dyDescent="0.3">
      <c r="A15" s="1"/>
      <c r="B15" s="917" t="s">
        <v>219</v>
      </c>
      <c r="C15" s="918"/>
      <c r="D15" s="179">
        <v>95</v>
      </c>
      <c r="E15" s="179">
        <v>95</v>
      </c>
      <c r="F15" s="330" t="s">
        <v>300</v>
      </c>
      <c r="G15" s="344" t="s">
        <v>301</v>
      </c>
      <c r="H15" s="352"/>
      <c r="I15" s="352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181"/>
      <c r="X15" s="181"/>
      <c r="Y15" s="181"/>
      <c r="Z15" s="181"/>
      <c r="AA15" s="157"/>
    </row>
    <row r="16" spans="1:43" ht="14.4" customHeight="1" thickBot="1" x14ac:dyDescent="0.35">
      <c r="A16" s="1"/>
      <c r="B16" s="919" t="s">
        <v>220</v>
      </c>
      <c r="C16" s="920"/>
      <c r="D16" s="183">
        <v>95</v>
      </c>
      <c r="E16" s="184">
        <v>95</v>
      </c>
      <c r="F16" s="362" t="s">
        <v>300</v>
      </c>
      <c r="G16" s="363" t="s">
        <v>301</v>
      </c>
      <c r="H16" s="352"/>
      <c r="I16" s="352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186"/>
      <c r="X16" s="186"/>
      <c r="Y16" s="186"/>
      <c r="Z16" s="186"/>
    </row>
    <row r="17" spans="1:37" x14ac:dyDescent="0.3">
      <c r="A17" s="1"/>
      <c r="B17" s="906" t="s">
        <v>221</v>
      </c>
      <c r="C17" s="358" t="s">
        <v>271</v>
      </c>
      <c r="D17" s="359">
        <f>'[1]Canalizações Principais'!$C$12</f>
        <v>0.45689446275976331</v>
      </c>
      <c r="E17" s="359">
        <f>'[1]Canalizações Principais'!$C$12</f>
        <v>0.45689446275976331</v>
      </c>
      <c r="F17" s="360" t="s">
        <v>300</v>
      </c>
      <c r="G17" s="361" t="s">
        <v>301</v>
      </c>
      <c r="H17" s="351"/>
      <c r="I17" s="351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186"/>
      <c r="X17" s="186"/>
      <c r="Y17" s="186"/>
      <c r="Z17" s="186"/>
    </row>
    <row r="18" spans="1:37" x14ac:dyDescent="0.3">
      <c r="A18" s="1"/>
      <c r="B18" s="906"/>
      <c r="C18" s="191" t="s">
        <v>222</v>
      </c>
      <c r="D18" s="115">
        <f>($C$47*D11/D15)*D13</f>
        <v>0.80234365268392061</v>
      </c>
      <c r="E18" s="115">
        <f>($C$47*E11/E15)*E13</f>
        <v>2.4914514641167655</v>
      </c>
      <c r="F18" s="330" t="s">
        <v>300</v>
      </c>
      <c r="G18" s="344" t="s">
        <v>301</v>
      </c>
      <c r="H18" s="353"/>
      <c r="I18" s="353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192"/>
      <c r="X18" s="192"/>
      <c r="Y18" s="192"/>
      <c r="Z18" s="192"/>
    </row>
    <row r="19" spans="1:37" x14ac:dyDescent="0.3">
      <c r="A19" s="1"/>
      <c r="B19" s="906"/>
      <c r="C19" s="117" t="s">
        <v>223</v>
      </c>
      <c r="D19" s="115">
        <f t="shared" ref="D19:E19" si="0">D17+(D18/230)*100</f>
        <v>0.80573952914407654</v>
      </c>
      <c r="E19" s="115">
        <f t="shared" si="0"/>
        <v>1.5401342297670526</v>
      </c>
      <c r="F19" s="330" t="s">
        <v>300</v>
      </c>
      <c r="G19" s="344" t="s">
        <v>301</v>
      </c>
      <c r="H19" s="353"/>
      <c r="I19" s="353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192"/>
      <c r="X19" s="192"/>
      <c r="Y19" s="192"/>
      <c r="Z19" s="192"/>
    </row>
    <row r="20" spans="1:37" ht="14.4" customHeight="1" thickBot="1" x14ac:dyDescent="0.35">
      <c r="A20" s="1"/>
      <c r="B20" s="907"/>
      <c r="C20" s="209" t="s">
        <v>272</v>
      </c>
      <c r="D20" s="341" t="str">
        <f>IF(D19&lt;=8,"OK","NOK")</f>
        <v>OK</v>
      </c>
      <c r="E20" s="341" t="str">
        <f t="shared" ref="E20" si="1">IF(E19&lt;=8,"OK","NOK")</f>
        <v>OK</v>
      </c>
      <c r="F20" s="337" t="s">
        <v>300</v>
      </c>
      <c r="G20" s="345" t="s">
        <v>301</v>
      </c>
      <c r="H20" s="49"/>
      <c r="I20" s="49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94"/>
      <c r="X20" s="194"/>
      <c r="Y20" s="194"/>
      <c r="Z20" s="194"/>
    </row>
    <row r="21" spans="1:37" x14ac:dyDescent="0.3">
      <c r="A21" s="1"/>
      <c r="B21" s="914" t="s">
        <v>225</v>
      </c>
      <c r="C21" s="121" t="s">
        <v>226</v>
      </c>
      <c r="D21" s="195">
        <v>235</v>
      </c>
      <c r="E21" s="196">
        <v>235</v>
      </c>
      <c r="F21" s="330" t="s">
        <v>300</v>
      </c>
      <c r="G21" s="344" t="s">
        <v>301</v>
      </c>
      <c r="H21" s="354"/>
      <c r="I21" s="354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198"/>
      <c r="X21" s="198"/>
      <c r="Y21" s="198"/>
      <c r="Z21" s="198"/>
    </row>
    <row r="22" spans="1:37" x14ac:dyDescent="0.3">
      <c r="A22" s="1"/>
      <c r="B22" s="915"/>
      <c r="C22" s="124" t="s">
        <v>229</v>
      </c>
      <c r="D22" s="111">
        <v>200</v>
      </c>
      <c r="E22" s="124">
        <v>200</v>
      </c>
      <c r="F22" s="330" t="s">
        <v>300</v>
      </c>
      <c r="G22" s="344" t="s">
        <v>301</v>
      </c>
      <c r="H22" s="349"/>
      <c r="I22" s="349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132"/>
      <c r="X22" s="132"/>
      <c r="Y22" s="132"/>
      <c r="Z22" s="132"/>
    </row>
    <row r="23" spans="1:37" x14ac:dyDescent="0.3">
      <c r="A23" s="1"/>
      <c r="B23" s="915"/>
      <c r="C23" s="124" t="s">
        <v>232</v>
      </c>
      <c r="D23" s="111">
        <f>$K$48*D22</f>
        <v>320</v>
      </c>
      <c r="E23" s="111">
        <f>$K$48*E22</f>
        <v>320</v>
      </c>
      <c r="F23" s="330" t="s">
        <v>300</v>
      </c>
      <c r="G23" s="344" t="s">
        <v>301</v>
      </c>
      <c r="H23" s="40"/>
      <c r="I23" s="40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32"/>
      <c r="X23" s="132"/>
      <c r="Y23" s="132"/>
      <c r="Z23" s="132"/>
    </row>
    <row r="24" spans="1:37" x14ac:dyDescent="0.3">
      <c r="A24" s="1"/>
      <c r="B24" s="915"/>
      <c r="C24" s="124" t="s">
        <v>234</v>
      </c>
      <c r="D24" s="124">
        <f>1.45*D21</f>
        <v>340.75</v>
      </c>
      <c r="E24" s="124">
        <f t="shared" ref="E24" si="2">1.45*E21</f>
        <v>340.75</v>
      </c>
      <c r="F24" s="330" t="s">
        <v>300</v>
      </c>
      <c r="G24" s="344" t="s">
        <v>301</v>
      </c>
      <c r="H24" s="349"/>
      <c r="I24" s="349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132"/>
      <c r="X24" s="132"/>
      <c r="Y24" s="132"/>
      <c r="Z24" s="132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</row>
    <row r="25" spans="1:37" x14ac:dyDescent="0.3">
      <c r="A25" s="1"/>
      <c r="B25" s="915"/>
      <c r="C25" s="210" t="s">
        <v>235</v>
      </c>
      <c r="D25" s="339" t="str">
        <f t="shared" ref="D25:E25" si="3">IF(D13&lt;=D22,"OK","NOK")</f>
        <v>OK</v>
      </c>
      <c r="E25" s="339" t="str">
        <f t="shared" si="3"/>
        <v>OK</v>
      </c>
      <c r="F25" s="337" t="s">
        <v>300</v>
      </c>
      <c r="G25" s="345" t="s">
        <v>301</v>
      </c>
      <c r="H25" s="49"/>
      <c r="I25" s="49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94"/>
      <c r="X25" s="194"/>
      <c r="Y25" s="194"/>
      <c r="Z25" s="194"/>
      <c r="AB25" s="166"/>
      <c r="AC25" s="335"/>
      <c r="AD25" s="335"/>
      <c r="AE25" s="335"/>
      <c r="AF25" s="335"/>
      <c r="AG25" s="335"/>
      <c r="AH25" s="335"/>
      <c r="AI25" s="166"/>
      <c r="AJ25" s="166"/>
      <c r="AK25" s="166"/>
    </row>
    <row r="26" spans="1:37" x14ac:dyDescent="0.3">
      <c r="A26" s="1"/>
      <c r="B26" s="915"/>
      <c r="C26" s="340" t="s">
        <v>236</v>
      </c>
      <c r="D26" s="339" t="str">
        <f t="shared" ref="D26:E26" si="4">IF(D22&lt;=D21,"OK","NOK")</f>
        <v>OK</v>
      </c>
      <c r="E26" s="339" t="str">
        <f t="shared" si="4"/>
        <v>OK</v>
      </c>
      <c r="F26" s="337" t="s">
        <v>300</v>
      </c>
      <c r="G26" s="345" t="s">
        <v>301</v>
      </c>
      <c r="H26" s="49"/>
      <c r="I26" s="49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94"/>
      <c r="X26" s="194"/>
      <c r="Y26" s="194"/>
      <c r="Z26" s="194"/>
      <c r="AB26" s="166"/>
      <c r="AC26" s="335"/>
      <c r="AD26" s="335"/>
      <c r="AE26" s="335"/>
      <c r="AF26" s="335"/>
      <c r="AG26" s="335"/>
      <c r="AH26" s="335"/>
      <c r="AI26" s="166"/>
      <c r="AJ26" s="166"/>
      <c r="AK26" s="166"/>
    </row>
    <row r="27" spans="1:37" ht="14.4" customHeight="1" thickBot="1" x14ac:dyDescent="0.35">
      <c r="A27" s="1"/>
      <c r="B27" s="916"/>
      <c r="C27" s="211" t="s">
        <v>238</v>
      </c>
      <c r="D27" s="341" t="str">
        <f t="shared" ref="D27:E27" si="5">IF(D23&lt;=D24,"OK","NOK")</f>
        <v>OK</v>
      </c>
      <c r="E27" s="341" t="str">
        <f t="shared" si="5"/>
        <v>OK</v>
      </c>
      <c r="F27" s="337" t="s">
        <v>300</v>
      </c>
      <c r="G27" s="345" t="s">
        <v>301</v>
      </c>
      <c r="H27" s="49"/>
      <c r="I27" s="49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94"/>
      <c r="X27" s="194"/>
      <c r="Y27" s="194"/>
      <c r="Z27" s="194"/>
      <c r="AB27" s="166"/>
      <c r="AC27" s="335"/>
      <c r="AD27" s="335"/>
      <c r="AE27" s="335"/>
      <c r="AF27" s="335"/>
      <c r="AG27" s="335"/>
      <c r="AH27" s="335"/>
      <c r="AI27" s="166"/>
      <c r="AJ27" s="166"/>
      <c r="AK27" s="166"/>
    </row>
    <row r="28" spans="1:37" x14ac:dyDescent="0.3">
      <c r="A28" s="1"/>
      <c r="B28" s="905" t="s">
        <v>240</v>
      </c>
      <c r="C28" s="137" t="s">
        <v>275</v>
      </c>
      <c r="D28" s="115">
        <f>(1.05*1.05*$C$56)/((D32))</f>
        <v>4.0957768388481011</v>
      </c>
      <c r="E28" s="115">
        <f>(1.05*1.05*$C$56)/((E32))</f>
        <v>2.2771503283936405</v>
      </c>
      <c r="F28" s="330" t="s">
        <v>300</v>
      </c>
      <c r="G28" s="344" t="s">
        <v>301</v>
      </c>
      <c r="H28" s="353"/>
      <c r="I28" s="353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AB28" s="166"/>
      <c r="AC28" s="335"/>
      <c r="AD28" s="335"/>
      <c r="AE28" s="335"/>
      <c r="AF28" s="335"/>
      <c r="AG28" s="335"/>
      <c r="AH28" s="335"/>
      <c r="AI28" s="166"/>
      <c r="AJ28" s="166"/>
      <c r="AK28" s="166"/>
    </row>
    <row r="29" spans="1:37" x14ac:dyDescent="0.3">
      <c r="A29" s="1"/>
      <c r="B29" s="906"/>
      <c r="C29" s="139" t="s">
        <v>242</v>
      </c>
      <c r="D29" s="139">
        <f>($C$47*D11/D15)*1000</f>
        <v>4.7044684210526322</v>
      </c>
      <c r="E29" s="139">
        <f>($C$47*E11/E15)*1000</f>
        <v>14.608397157894736</v>
      </c>
      <c r="F29" s="330" t="s">
        <v>300</v>
      </c>
      <c r="G29" s="344" t="s">
        <v>301</v>
      </c>
      <c r="H29" s="355"/>
      <c r="I29" s="355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155"/>
      <c r="X29" s="155"/>
      <c r="Y29" s="155"/>
      <c r="Z29" s="155"/>
      <c r="AB29" s="166"/>
      <c r="AC29" s="335"/>
      <c r="AD29" s="335"/>
      <c r="AE29" s="335"/>
      <c r="AF29" s="335"/>
      <c r="AG29" s="335"/>
      <c r="AH29" s="335"/>
      <c r="AI29" s="166"/>
      <c r="AJ29" s="166"/>
      <c r="AK29" s="166"/>
    </row>
    <row r="30" spans="1:37" x14ac:dyDescent="0.3">
      <c r="A30" s="1"/>
      <c r="B30" s="906"/>
      <c r="C30" s="139" t="s">
        <v>243</v>
      </c>
      <c r="D30" s="139">
        <f>(0.08*D11)</f>
        <v>1.012</v>
      </c>
      <c r="E30" s="139">
        <f t="shared" ref="E30" si="6">(0.08*E11)</f>
        <v>3.1424799999999999</v>
      </c>
      <c r="F30" s="330" t="s">
        <v>300</v>
      </c>
      <c r="G30" s="344" t="s">
        <v>301</v>
      </c>
      <c r="H30" s="355"/>
      <c r="I30" s="355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55"/>
      <c r="X30" s="155"/>
      <c r="Y30" s="155"/>
      <c r="Z30" s="155"/>
      <c r="AB30" s="166"/>
      <c r="AC30" s="335"/>
      <c r="AD30" s="335"/>
      <c r="AE30" s="335"/>
      <c r="AF30" s="335"/>
      <c r="AG30" s="335"/>
      <c r="AH30" s="335"/>
      <c r="AI30" s="166"/>
      <c r="AJ30" s="166"/>
      <c r="AK30" s="166"/>
    </row>
    <row r="31" spans="1:37" x14ac:dyDescent="0.3">
      <c r="A31" s="1"/>
      <c r="B31" s="906"/>
      <c r="C31" s="139" t="s">
        <v>245</v>
      </c>
      <c r="D31" s="139">
        <f>SQRT(D29*D29+D30*D30)</f>
        <v>4.8120855275734078</v>
      </c>
      <c r="E31" s="139">
        <f t="shared" ref="E31" si="7">SQRT(E29*E29+E30*E30)</f>
        <v>14.942571668664902</v>
      </c>
      <c r="F31" s="330" t="s">
        <v>300</v>
      </c>
      <c r="G31" s="344" t="s">
        <v>301</v>
      </c>
      <c r="H31" s="355"/>
      <c r="I31" s="355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55"/>
      <c r="X31" s="155"/>
      <c r="Y31" s="155"/>
      <c r="Z31" s="155"/>
      <c r="AB31" s="166"/>
      <c r="AC31" s="335"/>
      <c r="AD31" s="335"/>
      <c r="AE31" s="335"/>
      <c r="AF31" s="335"/>
      <c r="AG31" s="335"/>
      <c r="AH31" s="335"/>
      <c r="AI31" s="166"/>
      <c r="AJ31" s="166"/>
      <c r="AK31" s="166"/>
    </row>
    <row r="32" spans="1:37" x14ac:dyDescent="0.3">
      <c r="A32" s="1"/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330" t="s">
        <v>300</v>
      </c>
      <c r="G32" s="344" t="s">
        <v>301</v>
      </c>
      <c r="H32" s="355"/>
      <c r="I32" s="355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155"/>
      <c r="X32" s="155"/>
      <c r="Y32" s="155"/>
      <c r="Z32" s="155"/>
      <c r="AB32" s="166"/>
      <c r="AC32" s="335"/>
      <c r="AD32" s="335"/>
      <c r="AE32" s="335"/>
      <c r="AF32" s="335"/>
      <c r="AG32" s="335"/>
      <c r="AH32" s="335"/>
      <c r="AI32" s="166"/>
      <c r="AJ32" s="166"/>
      <c r="AK32" s="166"/>
    </row>
    <row r="33" spans="1:37" x14ac:dyDescent="0.3">
      <c r="A33" s="1"/>
      <c r="B33" s="906"/>
      <c r="C33" s="139" t="s">
        <v>248</v>
      </c>
      <c r="D33" s="144">
        <f>((0.95*1.05*$C$56)/D32)*1000</f>
        <v>3705.7028541959003</v>
      </c>
      <c r="E33" s="144">
        <f>((0.95*1.05*$C$56)/E32)*1000</f>
        <v>2060.2788685466271</v>
      </c>
      <c r="F33" s="330" t="s">
        <v>300</v>
      </c>
      <c r="G33" s="344" t="s">
        <v>301</v>
      </c>
      <c r="H33" s="356"/>
      <c r="I33" s="356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155"/>
      <c r="X33" s="155"/>
      <c r="Y33" s="155"/>
      <c r="Z33" s="155"/>
      <c r="AB33" s="166"/>
      <c r="AC33" s="335"/>
      <c r="AD33" s="335"/>
      <c r="AE33" s="335"/>
      <c r="AF33" s="335"/>
      <c r="AG33" s="335"/>
      <c r="AH33" s="335"/>
      <c r="AI33" s="166"/>
      <c r="AJ33" s="166"/>
      <c r="AK33" s="166"/>
    </row>
    <row r="34" spans="1:37" x14ac:dyDescent="0.3">
      <c r="A34" s="1"/>
      <c r="B34" s="906"/>
      <c r="C34" s="139" t="s">
        <v>249</v>
      </c>
      <c r="D34" s="144">
        <f>((0.95*1.05*$C$57)/D32)*1000</f>
        <v>6444.7006159928715</v>
      </c>
      <c r="E34" s="144">
        <f>((0.95*1.05*$C$57)/E32)*1000</f>
        <v>3583.0936844289167</v>
      </c>
      <c r="F34" s="330" t="s">
        <v>300</v>
      </c>
      <c r="G34" s="344" t="s">
        <v>301</v>
      </c>
      <c r="H34" s="356"/>
      <c r="I34" s="356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155"/>
      <c r="X34" s="155"/>
      <c r="Y34" s="155"/>
      <c r="Z34" s="155"/>
      <c r="AB34" s="166"/>
      <c r="AC34" s="335"/>
      <c r="AD34" s="335"/>
      <c r="AE34" s="335"/>
      <c r="AF34" s="335"/>
      <c r="AG34" s="335"/>
      <c r="AH34" s="335"/>
      <c r="AI34" s="166"/>
      <c r="AJ34" s="166"/>
      <c r="AK34" s="166"/>
    </row>
    <row r="35" spans="1:37" x14ac:dyDescent="0.3">
      <c r="A35" s="1"/>
      <c r="B35" s="906"/>
      <c r="C35" s="139" t="s">
        <v>251</v>
      </c>
      <c r="D35" s="147">
        <f>IF(D33&lt;D34,D33,D34)</f>
        <v>3705.7028541959003</v>
      </c>
      <c r="E35" s="147">
        <f t="shared" ref="E35" si="8">IF(E33&lt;E34,E33,E34)</f>
        <v>2060.2788685466271</v>
      </c>
      <c r="F35" s="330" t="s">
        <v>300</v>
      </c>
      <c r="G35" s="344" t="s">
        <v>301</v>
      </c>
      <c r="H35" s="357"/>
      <c r="I35" s="357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155"/>
      <c r="X35" s="155"/>
      <c r="Y35" s="155"/>
      <c r="Z35" s="155"/>
      <c r="AB35" s="166"/>
      <c r="AC35" s="335"/>
      <c r="AD35" s="335"/>
      <c r="AE35" s="335"/>
      <c r="AF35" s="335"/>
      <c r="AG35" s="335"/>
      <c r="AH35" s="335"/>
      <c r="AI35" s="166"/>
      <c r="AJ35" s="166"/>
      <c r="AK35" s="166"/>
    </row>
    <row r="36" spans="1:37" x14ac:dyDescent="0.3">
      <c r="A36" s="1"/>
      <c r="B36" s="906"/>
      <c r="C36" s="139" t="s">
        <v>253</v>
      </c>
      <c r="D36" s="139">
        <f>D35/D22</f>
        <v>18.5285142709795</v>
      </c>
      <c r="E36" s="139">
        <f t="shared" ref="E36" si="9">E35/E22</f>
        <v>10.301394342733136</v>
      </c>
      <c r="F36" s="330" t="s">
        <v>300</v>
      </c>
      <c r="G36" s="344" t="s">
        <v>301</v>
      </c>
      <c r="H36" s="355"/>
      <c r="I36" s="355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155"/>
      <c r="X36" s="155"/>
      <c r="Y36" s="155"/>
      <c r="Z36" s="155"/>
      <c r="AB36" s="166"/>
      <c r="AC36" s="335"/>
      <c r="AD36" s="335"/>
      <c r="AE36" s="335"/>
      <c r="AF36" s="335"/>
      <c r="AG36" s="335"/>
      <c r="AH36" s="335"/>
      <c r="AI36" s="166"/>
      <c r="AJ36" s="166"/>
      <c r="AK36" s="166"/>
    </row>
    <row r="37" spans="1:37" x14ac:dyDescent="0.3">
      <c r="A37" s="1"/>
      <c r="B37" s="906"/>
      <c r="C37" s="139" t="s">
        <v>255</v>
      </c>
      <c r="D37" s="139">
        <v>76</v>
      </c>
      <c r="E37" s="139">
        <v>76</v>
      </c>
      <c r="F37" s="330" t="s">
        <v>300</v>
      </c>
      <c r="G37" s="344" t="s">
        <v>301</v>
      </c>
      <c r="H37" s="355"/>
      <c r="I37" s="355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155"/>
      <c r="X37" s="155"/>
      <c r="Y37" s="155"/>
      <c r="Z37" s="155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</row>
    <row r="38" spans="1:37" x14ac:dyDescent="0.3">
      <c r="A38" s="1"/>
      <c r="B38" s="906"/>
      <c r="C38" s="150" t="s">
        <v>257</v>
      </c>
      <c r="D38" s="158">
        <f>(D37*D16/D35)^2</f>
        <v>3.7960612492426775</v>
      </c>
      <c r="E38" s="158">
        <f t="shared" ref="E38" si="10">(E37*E16/E35)^2</f>
        <v>12.28067897567122</v>
      </c>
      <c r="F38" s="330" t="s">
        <v>300</v>
      </c>
      <c r="G38" s="344" t="s">
        <v>301</v>
      </c>
      <c r="H38" s="353"/>
      <c r="I38" s="353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</row>
    <row r="39" spans="1:37" x14ac:dyDescent="0.3">
      <c r="A39" s="1"/>
      <c r="B39" s="906"/>
      <c r="C39" s="150" t="s">
        <v>259</v>
      </c>
      <c r="D39" s="150">
        <v>1.6E-2</v>
      </c>
      <c r="E39" s="150">
        <v>1E-3</v>
      </c>
      <c r="F39" s="330" t="s">
        <v>300</v>
      </c>
      <c r="G39" s="344" t="s">
        <v>301</v>
      </c>
      <c r="H39" s="40"/>
      <c r="I39" s="40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</row>
    <row r="40" spans="1:37" x14ac:dyDescent="0.3">
      <c r="A40" s="1"/>
      <c r="B40" s="906"/>
      <c r="C40" s="206" t="s">
        <v>261</v>
      </c>
      <c r="D40" s="150">
        <v>120</v>
      </c>
      <c r="E40" s="150">
        <v>120</v>
      </c>
      <c r="F40" s="330" t="s">
        <v>300</v>
      </c>
      <c r="G40" s="344" t="s">
        <v>301</v>
      </c>
      <c r="H40" s="40"/>
      <c r="I40" s="40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1:37" x14ac:dyDescent="0.3">
      <c r="A41" s="1"/>
      <c r="B41" s="906"/>
      <c r="C41" s="212" t="s">
        <v>262</v>
      </c>
      <c r="D41" s="336" t="str">
        <f>IF(D39&lt;5,"OK","NOK")</f>
        <v>OK</v>
      </c>
      <c r="E41" s="336" t="str">
        <f t="shared" ref="E41" si="11">IF(E39&lt;5,"OK","NOK")</f>
        <v>OK</v>
      </c>
      <c r="F41" s="337" t="s">
        <v>300</v>
      </c>
      <c r="G41" s="345" t="s">
        <v>301</v>
      </c>
      <c r="H41" s="322"/>
      <c r="I41" s="322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1:37" x14ac:dyDescent="0.3">
      <c r="A42" s="1"/>
      <c r="B42" s="906"/>
      <c r="C42" s="212" t="s">
        <v>263</v>
      </c>
      <c r="D42" s="336" t="str">
        <f>IF(D39&lt;D38,"OK","NOK")</f>
        <v>OK</v>
      </c>
      <c r="E42" s="336" t="str">
        <f t="shared" ref="E42" si="12">IF(E39&lt;E38,"OK","NOK")</f>
        <v>OK</v>
      </c>
      <c r="F42" s="337" t="s">
        <v>300</v>
      </c>
      <c r="G42" s="345" t="s">
        <v>301</v>
      </c>
      <c r="H42" s="322"/>
      <c r="I42" s="322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</row>
    <row r="43" spans="1:37" ht="15" thickBot="1" x14ac:dyDescent="0.35">
      <c r="A43" s="1"/>
      <c r="B43" s="907"/>
      <c r="C43" s="213" t="s">
        <v>264</v>
      </c>
      <c r="D43" s="338" t="str">
        <f>IF(D28&lt;=D40,"OK","NOK")</f>
        <v>OK</v>
      </c>
      <c r="E43" s="338" t="str">
        <f t="shared" ref="E43" si="13">IF(E28&lt;=E40,"OK","NOK")</f>
        <v>OK</v>
      </c>
      <c r="F43" s="346" t="s">
        <v>300</v>
      </c>
      <c r="G43" s="347" t="s">
        <v>301</v>
      </c>
      <c r="H43" s="322"/>
      <c r="I43" s="322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55"/>
      <c r="X43" s="155"/>
      <c r="Y43" s="155"/>
      <c r="Z43" s="155"/>
    </row>
    <row r="44" spans="1:37" ht="15" thickBot="1" x14ac:dyDescent="0.35">
      <c r="A44" s="1"/>
      <c r="H44" s="1"/>
      <c r="I44" s="1"/>
    </row>
    <row r="45" spans="1:37" ht="15" x14ac:dyDescent="0.35">
      <c r="A45" s="1"/>
      <c r="B45" s="921" t="s">
        <v>227</v>
      </c>
      <c r="C45" s="922"/>
      <c r="D45" s="923" t="s">
        <v>228</v>
      </c>
      <c r="E45" s="924"/>
      <c r="F45" s="925"/>
      <c r="K45" s="146" t="s">
        <v>250</v>
      </c>
    </row>
    <row r="46" spans="1:37" ht="16.2" x14ac:dyDescent="0.45">
      <c r="A46" s="1"/>
      <c r="B46" s="125" t="s">
        <v>230</v>
      </c>
      <c r="C46" s="126">
        <v>2.1551250000000001E-2</v>
      </c>
      <c r="D46" s="926" t="s">
        <v>231</v>
      </c>
      <c r="E46" s="927"/>
      <c r="F46" s="928"/>
      <c r="J46" t="s">
        <v>252</v>
      </c>
      <c r="K46">
        <v>1.45</v>
      </c>
    </row>
    <row r="47" spans="1:37" ht="16.8" thickBot="1" x14ac:dyDescent="0.5">
      <c r="A47" s="1"/>
      <c r="B47" s="127" t="s">
        <v>233</v>
      </c>
      <c r="C47" s="128">
        <v>3.533E-2</v>
      </c>
      <c r="D47" s="929" t="s">
        <v>231</v>
      </c>
      <c r="E47" s="930"/>
      <c r="F47" s="931"/>
      <c r="J47" t="s">
        <v>254</v>
      </c>
      <c r="K47" s="149">
        <v>1.3</v>
      </c>
    </row>
    <row r="48" spans="1:37" ht="16.2" x14ac:dyDescent="0.45">
      <c r="A48" s="1"/>
      <c r="B48" s="129"/>
      <c r="C48" s="130"/>
      <c r="D48" s="131"/>
      <c r="E48" s="131"/>
      <c r="F48" s="132"/>
      <c r="J48" t="s">
        <v>256</v>
      </c>
      <c r="K48">
        <v>1.6</v>
      </c>
    </row>
    <row r="49" spans="1:11" ht="15" thickBot="1" x14ac:dyDescent="0.35">
      <c r="A49" s="1"/>
      <c r="J49" t="s">
        <v>258</v>
      </c>
      <c r="K49">
        <v>1.9</v>
      </c>
    </row>
    <row r="50" spans="1:11" ht="15" x14ac:dyDescent="0.35">
      <c r="A50" s="1"/>
      <c r="B50" s="921" t="s">
        <v>237</v>
      </c>
      <c r="C50" s="922"/>
      <c r="D50" s="932" t="s">
        <v>228</v>
      </c>
      <c r="E50" s="933"/>
      <c r="F50" s="934"/>
      <c r="J50" t="s">
        <v>260</v>
      </c>
      <c r="K50" s="151">
        <v>2.1</v>
      </c>
    </row>
    <row r="51" spans="1:11" ht="16.2" x14ac:dyDescent="0.45">
      <c r="A51" s="1"/>
      <c r="B51" s="125" t="s">
        <v>230</v>
      </c>
      <c r="C51" s="126">
        <v>2.5861499999999999E-2</v>
      </c>
      <c r="D51" s="908" t="s">
        <v>239</v>
      </c>
      <c r="E51" s="909"/>
      <c r="F51" s="910"/>
    </row>
    <row r="52" spans="1:11" ht="16.8" thickBot="1" x14ac:dyDescent="0.35">
      <c r="A52" s="1"/>
      <c r="B52" s="176" t="s">
        <v>233</v>
      </c>
      <c r="C52" s="177">
        <v>4.2396000000000003E-2</v>
      </c>
      <c r="D52" s="911" t="s">
        <v>239</v>
      </c>
      <c r="E52" s="912"/>
      <c r="F52" s="913"/>
    </row>
    <row r="53" spans="1:11" x14ac:dyDescent="0.3">
      <c r="A53" s="1"/>
      <c r="B53" s="157"/>
      <c r="C53" s="157"/>
      <c r="D53" s="157"/>
      <c r="E53" s="157"/>
      <c r="F53" s="157"/>
      <c r="G53" s="157"/>
      <c r="H53" s="157"/>
      <c r="I53" s="157"/>
      <c r="J53" s="157"/>
      <c r="K53" s="157"/>
    </row>
    <row r="54" spans="1:11" x14ac:dyDescent="0.3">
      <c r="A54" s="1"/>
      <c r="B54" s="132"/>
      <c r="C54" s="132"/>
      <c r="D54" s="132"/>
      <c r="E54" s="132"/>
      <c r="F54" s="132"/>
    </row>
    <row r="55" spans="1:11" ht="15" thickBot="1" x14ac:dyDescent="0.35">
      <c r="A55" s="1"/>
      <c r="B55" s="132"/>
      <c r="C55" s="132"/>
      <c r="D55" s="132"/>
      <c r="E55" s="132"/>
      <c r="F55" s="132"/>
    </row>
    <row r="56" spans="1:11" x14ac:dyDescent="0.3">
      <c r="A56" s="1"/>
      <c r="B56" s="140" t="s">
        <v>244</v>
      </c>
      <c r="C56" s="141">
        <v>230</v>
      </c>
      <c r="D56" s="132"/>
    </row>
    <row r="57" spans="1:11" ht="15" thickBot="1" x14ac:dyDescent="0.35">
      <c r="A57" s="1"/>
      <c r="B57" s="142" t="s">
        <v>246</v>
      </c>
      <c r="C57" s="143">
        <v>400</v>
      </c>
      <c r="D57" s="132"/>
    </row>
    <row r="58" spans="1:11" x14ac:dyDescent="0.3">
      <c r="A58" s="1"/>
    </row>
    <row r="59" spans="1:11" x14ac:dyDescent="0.3">
      <c r="A59" s="1"/>
    </row>
    <row r="60" spans="1:11" x14ac:dyDescent="0.3">
      <c r="A60" s="1"/>
    </row>
  </sheetData>
  <mergeCells count="21">
    <mergeCell ref="B12:C12"/>
    <mergeCell ref="B13:C13"/>
    <mergeCell ref="B14:C14"/>
    <mergeCell ref="B2:AQ4"/>
    <mergeCell ref="B8:C8"/>
    <mergeCell ref="B9:C9"/>
    <mergeCell ref="B10:C10"/>
    <mergeCell ref="B11:C11"/>
    <mergeCell ref="B28:B43"/>
    <mergeCell ref="D51:F51"/>
    <mergeCell ref="D52:F52"/>
    <mergeCell ref="B21:B27"/>
    <mergeCell ref="B15:C15"/>
    <mergeCell ref="B16:C16"/>
    <mergeCell ref="B45:C45"/>
    <mergeCell ref="D45:F45"/>
    <mergeCell ref="D46:F46"/>
    <mergeCell ref="D47:F47"/>
    <mergeCell ref="B50:C50"/>
    <mergeCell ref="D50:F50"/>
    <mergeCell ref="B17:B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4070-7981-4A7F-A73A-6A3953E08FD5}">
  <dimension ref="B5:AK45"/>
  <sheetViews>
    <sheetView zoomScale="55" zoomScaleNormal="55" workbookViewId="0">
      <selection activeCell="F45" sqref="F45"/>
    </sheetView>
  </sheetViews>
  <sheetFormatPr defaultRowHeight="14.4" x14ac:dyDescent="0.3"/>
  <sheetData>
    <row r="5" spans="2:37" ht="15" thickBot="1" x14ac:dyDescent="0.35"/>
    <row r="6" spans="2:37" ht="15" thickBot="1" x14ac:dyDescent="0.35">
      <c r="C6" s="941"/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3"/>
      <c r="W6" s="156"/>
      <c r="X6" s="156"/>
      <c r="Y6" s="156"/>
      <c r="Z6" s="156"/>
    </row>
    <row r="7" spans="2:37" ht="15" x14ac:dyDescent="0.35">
      <c r="C7" s="944"/>
      <c r="D7" s="945"/>
      <c r="E7" s="945"/>
      <c r="F7" s="945"/>
      <c r="G7" s="945"/>
      <c r="H7" s="946"/>
      <c r="I7" s="946"/>
      <c r="J7" s="946"/>
      <c r="K7" s="946"/>
      <c r="L7" s="946"/>
      <c r="M7" s="946"/>
      <c r="N7" s="946"/>
      <c r="O7" s="946"/>
      <c r="P7" s="946"/>
      <c r="Q7" s="946"/>
      <c r="R7" s="946"/>
      <c r="S7" s="946"/>
      <c r="T7" s="946"/>
      <c r="U7" s="946"/>
      <c r="V7" s="947"/>
      <c r="W7" s="156"/>
      <c r="X7" s="156"/>
      <c r="Y7" s="156"/>
      <c r="Z7" s="156"/>
      <c r="AB7" s="921" t="s">
        <v>227</v>
      </c>
      <c r="AC7" s="922"/>
      <c r="AD7" s="923" t="s">
        <v>228</v>
      </c>
      <c r="AE7" s="924"/>
      <c r="AF7" s="925"/>
      <c r="AK7" s="146" t="s">
        <v>250</v>
      </c>
    </row>
    <row r="8" spans="2:37" ht="16.2" x14ac:dyDescent="0.45">
      <c r="C8" s="105" t="s">
        <v>267</v>
      </c>
      <c r="D8" s="169">
        <v>1</v>
      </c>
      <c r="E8" s="169">
        <v>2</v>
      </c>
      <c r="F8" s="169">
        <v>3</v>
      </c>
      <c r="G8" s="206">
        <v>4</v>
      </c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132"/>
      <c r="Y8" s="132"/>
      <c r="Z8" s="132"/>
      <c r="AB8" s="125" t="s">
        <v>230</v>
      </c>
      <c r="AC8" s="126">
        <v>2.1551250000000001E-2</v>
      </c>
      <c r="AD8" s="926" t="s">
        <v>231</v>
      </c>
      <c r="AE8" s="927"/>
      <c r="AF8" s="928"/>
      <c r="AJ8" t="s">
        <v>252</v>
      </c>
      <c r="AK8">
        <v>1.45</v>
      </c>
    </row>
    <row r="9" spans="2:37" ht="16.8" thickBot="1" x14ac:dyDescent="0.5">
      <c r="C9" s="106" t="s">
        <v>212</v>
      </c>
      <c r="D9" s="171" t="s">
        <v>210</v>
      </c>
      <c r="E9" s="171" t="s">
        <v>210</v>
      </c>
      <c r="F9" s="171" t="s">
        <v>210</v>
      </c>
      <c r="G9" s="150" t="s">
        <v>210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AB9" s="127" t="s">
        <v>233</v>
      </c>
      <c r="AC9" s="128">
        <v>3.533E-2</v>
      </c>
      <c r="AD9" s="929" t="s">
        <v>231</v>
      </c>
      <c r="AE9" s="930"/>
      <c r="AF9" s="931"/>
      <c r="AJ9" t="s">
        <v>254</v>
      </c>
      <c r="AK9" s="149">
        <v>1.3</v>
      </c>
    </row>
    <row r="10" spans="2:37" ht="16.2" x14ac:dyDescent="0.45">
      <c r="C10" s="106" t="s">
        <v>214</v>
      </c>
      <c r="D10" s="171" t="s">
        <v>304</v>
      </c>
      <c r="E10" s="171" t="s">
        <v>303</v>
      </c>
      <c r="F10" s="171" t="s">
        <v>159</v>
      </c>
      <c r="G10" s="150" t="s">
        <v>159</v>
      </c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AB10" s="129"/>
      <c r="AC10" s="130"/>
      <c r="AD10" s="131"/>
      <c r="AE10" s="131"/>
      <c r="AF10" s="132"/>
      <c r="AJ10" t="s">
        <v>256</v>
      </c>
      <c r="AK10">
        <v>1.6</v>
      </c>
    </row>
    <row r="11" spans="2:37" ht="15" thickBot="1" x14ac:dyDescent="0.35">
      <c r="C11" s="172" t="s">
        <v>217</v>
      </c>
      <c r="D11" s="169">
        <v>39.270000000000003</v>
      </c>
      <c r="E11" s="169">
        <v>12.628</v>
      </c>
      <c r="F11" s="330" t="s">
        <v>300</v>
      </c>
      <c r="G11" s="330" t="s">
        <v>300</v>
      </c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132"/>
      <c r="Y11" s="132"/>
      <c r="Z11" s="132"/>
      <c r="AJ11" t="s">
        <v>258</v>
      </c>
      <c r="AK11">
        <v>1.9</v>
      </c>
    </row>
    <row r="12" spans="2:37" ht="15" x14ac:dyDescent="0.35">
      <c r="C12" s="172" t="s">
        <v>29</v>
      </c>
      <c r="D12" s="171">
        <v>117.22</v>
      </c>
      <c r="E12" s="171">
        <v>117.2</v>
      </c>
      <c r="F12" s="330" t="s">
        <v>300</v>
      </c>
      <c r="G12" s="330" t="s">
        <v>300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AB12" s="921" t="s">
        <v>237</v>
      </c>
      <c r="AC12" s="922"/>
      <c r="AD12" s="932" t="s">
        <v>228</v>
      </c>
      <c r="AE12" s="933"/>
      <c r="AF12" s="934"/>
      <c r="AJ12" t="s">
        <v>260</v>
      </c>
      <c r="AK12" s="151">
        <v>2.1</v>
      </c>
    </row>
    <row r="13" spans="2:37" ht="16.2" x14ac:dyDescent="0.45">
      <c r="C13" s="172" t="s">
        <v>218</v>
      </c>
      <c r="D13" s="109">
        <f>D12*1000/(SQRT(3)*$AC$19)</f>
        <v>169.19249638601983</v>
      </c>
      <c r="E13" s="109">
        <f>E12*1000/(SQRT(3)*$AC$19)</f>
        <v>169.16362887256037</v>
      </c>
      <c r="F13" s="330" t="s">
        <v>300</v>
      </c>
      <c r="G13" s="330" t="s">
        <v>300</v>
      </c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173"/>
      <c r="Y13" s="173"/>
      <c r="Z13" s="173"/>
      <c r="AB13" s="125" t="s">
        <v>230</v>
      </c>
      <c r="AC13" s="126">
        <v>2.5861499999999999E-2</v>
      </c>
      <c r="AD13" s="908" t="s">
        <v>239</v>
      </c>
      <c r="AE13" s="909"/>
      <c r="AF13" s="910"/>
    </row>
    <row r="14" spans="2:37" ht="16.8" thickBot="1" x14ac:dyDescent="0.35">
      <c r="C14" s="172" t="s">
        <v>268</v>
      </c>
      <c r="D14" s="174" t="s">
        <v>269</v>
      </c>
      <c r="E14" s="174" t="s">
        <v>269</v>
      </c>
      <c r="F14" s="330" t="s">
        <v>300</v>
      </c>
      <c r="G14" s="330" t="s">
        <v>300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4"/>
      <c r="X14" s="173"/>
      <c r="Y14" s="173"/>
      <c r="Z14" s="173"/>
      <c r="AB14" s="176" t="s">
        <v>233</v>
      </c>
      <c r="AC14" s="177">
        <v>4.2396000000000003E-2</v>
      </c>
      <c r="AD14" s="911" t="s">
        <v>239</v>
      </c>
      <c r="AE14" s="912"/>
      <c r="AF14" s="913"/>
    </row>
    <row r="15" spans="2:37" x14ac:dyDescent="0.3">
      <c r="B15" s="157"/>
      <c r="C15" s="178" t="s">
        <v>219</v>
      </c>
      <c r="D15" s="179">
        <v>95</v>
      </c>
      <c r="E15" s="179">
        <v>95</v>
      </c>
      <c r="F15" s="330" t="s">
        <v>300</v>
      </c>
      <c r="G15" s="330" t="s">
        <v>300</v>
      </c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42"/>
      <c r="X15" s="181"/>
      <c r="Y15" s="181"/>
      <c r="Z15" s="181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</row>
    <row r="16" spans="2:37" ht="14.4" customHeight="1" thickBot="1" x14ac:dyDescent="0.35">
      <c r="C16" s="182" t="s">
        <v>220</v>
      </c>
      <c r="D16" s="183">
        <v>95</v>
      </c>
      <c r="E16" s="184">
        <v>95</v>
      </c>
      <c r="F16" s="330" t="s">
        <v>300</v>
      </c>
      <c r="G16" s="330" t="s">
        <v>300</v>
      </c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43"/>
      <c r="X16" s="186"/>
      <c r="Y16" s="186"/>
      <c r="Z16" s="186"/>
      <c r="AB16" s="132"/>
      <c r="AC16" s="132"/>
      <c r="AD16" s="132"/>
      <c r="AE16" s="132"/>
      <c r="AF16" s="132"/>
    </row>
    <row r="17" spans="2:35" ht="15" thickBot="1" x14ac:dyDescent="0.35">
      <c r="B17" s="187"/>
      <c r="C17" s="188" t="s">
        <v>271</v>
      </c>
      <c r="D17" s="189">
        <f>'[1]Canalizações Principais'!$C$12</f>
        <v>0.45689446275976331</v>
      </c>
      <c r="E17" s="189">
        <f>'[1]Canalizações Principais'!$C$12</f>
        <v>0.45689446275976331</v>
      </c>
      <c r="F17" s="330" t="s">
        <v>300</v>
      </c>
      <c r="G17" s="330" t="s">
        <v>300</v>
      </c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43"/>
      <c r="X17" s="186"/>
      <c r="Y17" s="186"/>
      <c r="Z17" s="186"/>
      <c r="AB17" s="132"/>
      <c r="AC17" s="132"/>
      <c r="AD17" s="132"/>
      <c r="AE17" s="132"/>
      <c r="AF17" s="132"/>
    </row>
    <row r="18" spans="2:35" x14ac:dyDescent="0.3">
      <c r="B18" s="915" t="s">
        <v>221</v>
      </c>
      <c r="C18" s="191" t="s">
        <v>222</v>
      </c>
      <c r="D18" s="115">
        <f>($AC$9*D11/D15)*D13</f>
        <v>2.4709390435545373</v>
      </c>
      <c r="E18" s="115">
        <f>($AC$9*E11/E15)*E13</f>
        <v>0.79444090663028555</v>
      </c>
      <c r="F18" s="330" t="s">
        <v>300</v>
      </c>
      <c r="G18" s="330" t="s">
        <v>300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44"/>
      <c r="X18" s="192"/>
      <c r="Y18" s="192"/>
      <c r="Z18" s="192"/>
      <c r="AB18" s="140" t="s">
        <v>244</v>
      </c>
      <c r="AC18" s="141">
        <v>230</v>
      </c>
      <c r="AD18" s="132"/>
    </row>
    <row r="19" spans="2:35" ht="15" thickBot="1" x14ac:dyDescent="0.35">
      <c r="B19" s="915"/>
      <c r="C19" s="117" t="s">
        <v>223</v>
      </c>
      <c r="D19" s="115">
        <f t="shared" ref="D19:E19" si="0">D17+(D18/230)*100</f>
        <v>1.5312157860443447</v>
      </c>
      <c r="E19" s="115">
        <f t="shared" si="0"/>
        <v>0.80230355259901787</v>
      </c>
      <c r="F19" s="330" t="s">
        <v>300</v>
      </c>
      <c r="G19" s="330" t="s">
        <v>300</v>
      </c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44"/>
      <c r="X19" s="192"/>
      <c r="Y19" s="192"/>
      <c r="Z19" s="192"/>
      <c r="AB19" s="142" t="s">
        <v>246</v>
      </c>
      <c r="AC19" s="143">
        <v>400</v>
      </c>
      <c r="AD19" s="132"/>
    </row>
    <row r="20" spans="2:35" ht="14.4" customHeight="1" thickBot="1" x14ac:dyDescent="0.35">
      <c r="B20" s="916"/>
      <c r="C20" s="118" t="s">
        <v>272</v>
      </c>
      <c r="D20" s="193" t="str">
        <f>IF(D19&lt;=8,"OK","NOK")</f>
        <v>OK</v>
      </c>
      <c r="E20" s="193" t="str">
        <f t="shared" ref="E20" si="1">IF(E19&lt;=8,"OK","NOK")</f>
        <v>OK</v>
      </c>
      <c r="F20" s="330" t="s">
        <v>300</v>
      </c>
      <c r="G20" s="330" t="s">
        <v>300</v>
      </c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94"/>
      <c r="Y20" s="194"/>
      <c r="Z20" s="194"/>
    </row>
    <row r="21" spans="2:35" x14ac:dyDescent="0.3">
      <c r="B21" s="914" t="s">
        <v>225</v>
      </c>
      <c r="C21" s="121" t="s">
        <v>226</v>
      </c>
      <c r="D21" s="195">
        <v>235</v>
      </c>
      <c r="E21" s="196">
        <v>235</v>
      </c>
      <c r="F21" s="330" t="s">
        <v>300</v>
      </c>
      <c r="G21" s="330" t="s">
        <v>300</v>
      </c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45"/>
      <c r="X21" s="198"/>
      <c r="Y21" s="198"/>
      <c r="Z21" s="198"/>
    </row>
    <row r="22" spans="2:35" ht="14.4" customHeight="1" x14ac:dyDescent="0.3">
      <c r="B22" s="915"/>
      <c r="C22" s="124" t="s">
        <v>229</v>
      </c>
      <c r="D22" s="111">
        <v>200</v>
      </c>
      <c r="E22" s="124">
        <v>200</v>
      </c>
      <c r="F22" s="330" t="s">
        <v>300</v>
      </c>
      <c r="G22" s="330" t="s">
        <v>300</v>
      </c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132"/>
      <c r="Y22" s="132"/>
      <c r="Z22" s="132"/>
    </row>
    <row r="23" spans="2:35" x14ac:dyDescent="0.3">
      <c r="B23" s="915"/>
      <c r="C23" s="124" t="s">
        <v>232</v>
      </c>
      <c r="D23" s="111">
        <f>$AK$10*D22</f>
        <v>320</v>
      </c>
      <c r="E23" s="111">
        <f>$AK$10*E22</f>
        <v>320</v>
      </c>
      <c r="F23" s="330" t="s">
        <v>300</v>
      </c>
      <c r="G23" s="330" t="s">
        <v>300</v>
      </c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233"/>
      <c r="X23" s="132"/>
      <c r="Y23" s="132"/>
      <c r="Z23" s="132"/>
      <c r="AA23" s="166"/>
      <c r="AB23" s="166"/>
      <c r="AC23" s="166"/>
      <c r="AD23" s="166"/>
      <c r="AE23" s="166"/>
      <c r="AF23" s="166"/>
      <c r="AG23" s="166"/>
      <c r="AH23" s="166"/>
      <c r="AI23" s="166"/>
    </row>
    <row r="24" spans="2:35" x14ac:dyDescent="0.3">
      <c r="B24" s="915"/>
      <c r="C24" s="124" t="s">
        <v>234</v>
      </c>
      <c r="D24" s="124">
        <f>1.45*D21</f>
        <v>340.75</v>
      </c>
      <c r="E24" s="124">
        <f t="shared" ref="E24" si="2">1.45*E21</f>
        <v>340.75</v>
      </c>
      <c r="F24" s="330" t="s">
        <v>300</v>
      </c>
      <c r="G24" s="330" t="s">
        <v>300</v>
      </c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132"/>
      <c r="Y24" s="132"/>
      <c r="Z24" s="132"/>
      <c r="AA24" s="166"/>
      <c r="AB24" s="166"/>
      <c r="AC24" s="166"/>
      <c r="AD24" s="166"/>
      <c r="AE24" s="166"/>
      <c r="AF24" s="166"/>
      <c r="AG24" s="166"/>
      <c r="AH24" s="166"/>
      <c r="AI24" s="166"/>
    </row>
    <row r="25" spans="2:35" ht="14.4" customHeight="1" x14ac:dyDescent="0.3">
      <c r="B25" s="915"/>
      <c r="C25" s="133" t="s">
        <v>235</v>
      </c>
      <c r="D25" s="199" t="str">
        <f t="shared" ref="D25:E25" si="3">IF(D13&lt;=D22,"OK","NOK")</f>
        <v>OK</v>
      </c>
      <c r="E25" s="199" t="str">
        <f t="shared" si="3"/>
        <v>OK</v>
      </c>
      <c r="F25" s="330" t="s">
        <v>300</v>
      </c>
      <c r="G25" s="330" t="s">
        <v>300</v>
      </c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94"/>
      <c r="Y25" s="194"/>
      <c r="Z25" s="194"/>
      <c r="AA25" s="166"/>
      <c r="AB25" s="166"/>
      <c r="AC25" s="335"/>
      <c r="AD25" s="335"/>
      <c r="AE25" s="335"/>
      <c r="AF25" s="335"/>
      <c r="AG25" s="335"/>
      <c r="AH25" s="335"/>
      <c r="AI25" s="166"/>
    </row>
    <row r="26" spans="2:35" ht="14.4" customHeight="1" x14ac:dyDescent="0.3">
      <c r="B26" s="915"/>
      <c r="C26" s="200" t="s">
        <v>236</v>
      </c>
      <c r="D26" s="199" t="str">
        <f t="shared" ref="D26:E26" si="4">IF(D22&lt;=D21,"OK","NOK")</f>
        <v>OK</v>
      </c>
      <c r="E26" s="199" t="str">
        <f t="shared" si="4"/>
        <v>OK</v>
      </c>
      <c r="F26" s="330" t="s">
        <v>300</v>
      </c>
      <c r="G26" s="330" t="s">
        <v>300</v>
      </c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94"/>
      <c r="Y26" s="194"/>
      <c r="Z26" s="194"/>
      <c r="AA26" s="166"/>
      <c r="AB26" s="166"/>
      <c r="AC26" s="335"/>
      <c r="AD26" s="335"/>
      <c r="AE26" s="335"/>
      <c r="AF26" s="335"/>
      <c r="AG26" s="335"/>
      <c r="AH26" s="335"/>
      <c r="AI26" s="166"/>
    </row>
    <row r="27" spans="2:35" ht="14.4" customHeight="1" thickBot="1" x14ac:dyDescent="0.35">
      <c r="B27" s="916"/>
      <c r="C27" s="201" t="s">
        <v>238</v>
      </c>
      <c r="D27" s="193" t="str">
        <f t="shared" ref="D27:E27" si="5">IF(D23&lt;=D24,"OK","NOK")</f>
        <v>OK</v>
      </c>
      <c r="E27" s="193" t="str">
        <f t="shared" si="5"/>
        <v>OK</v>
      </c>
      <c r="F27" s="330" t="s">
        <v>300</v>
      </c>
      <c r="G27" s="330" t="s">
        <v>300</v>
      </c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94"/>
      <c r="Y27" s="194"/>
      <c r="Z27" s="194"/>
      <c r="AA27" s="166"/>
      <c r="AB27" s="166"/>
      <c r="AC27" s="334"/>
      <c r="AD27" s="334"/>
      <c r="AE27" s="334"/>
      <c r="AF27" s="334"/>
      <c r="AG27" s="334"/>
      <c r="AH27" s="334"/>
      <c r="AI27" s="166"/>
    </row>
    <row r="28" spans="2:35" x14ac:dyDescent="0.3">
      <c r="B28" s="905" t="s">
        <v>240</v>
      </c>
      <c r="C28" s="137" t="s">
        <v>275</v>
      </c>
      <c r="D28" s="115">
        <f>(1.05*1.05*$AC$18)/((D32))</f>
        <v>4.0957768388481011</v>
      </c>
      <c r="E28" s="115">
        <f>(1.05*1.05*$AC$18)/((E32))</f>
        <v>2.2771503283936405</v>
      </c>
      <c r="F28" s="330" t="s">
        <v>300</v>
      </c>
      <c r="G28" s="330" t="s">
        <v>300</v>
      </c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166"/>
      <c r="AA28" s="166"/>
      <c r="AB28" s="166"/>
      <c r="AC28" s="334"/>
      <c r="AD28" s="334"/>
      <c r="AE28" s="334"/>
      <c r="AF28" s="334"/>
      <c r="AG28" s="334"/>
      <c r="AH28" s="334"/>
      <c r="AI28" s="166"/>
    </row>
    <row r="29" spans="2:35" x14ac:dyDescent="0.3">
      <c r="B29" s="906"/>
      <c r="C29" s="139" t="s">
        <v>242</v>
      </c>
      <c r="D29" s="139">
        <f>($AC$9*D11/D15)*1000</f>
        <v>14.604306315789476</v>
      </c>
      <c r="E29" s="139">
        <f>($AC$9*E11/E15)*1000</f>
        <v>4.6962867368421053</v>
      </c>
      <c r="F29" s="330" t="s">
        <v>300</v>
      </c>
      <c r="G29" s="330" t="s">
        <v>300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155"/>
      <c r="Y29" s="155"/>
      <c r="Z29" s="155"/>
      <c r="AA29" s="166"/>
      <c r="AB29" s="166"/>
      <c r="AC29" s="334"/>
      <c r="AD29" s="334"/>
      <c r="AE29" s="334"/>
      <c r="AF29" s="334"/>
      <c r="AG29" s="334"/>
      <c r="AH29" s="334"/>
      <c r="AI29" s="166"/>
    </row>
    <row r="30" spans="2:35" x14ac:dyDescent="0.3">
      <c r="B30" s="906"/>
      <c r="C30" s="139" t="s">
        <v>243</v>
      </c>
      <c r="D30" s="139">
        <f>(0.08*D11)</f>
        <v>3.1416000000000004</v>
      </c>
      <c r="E30" s="139">
        <f t="shared" ref="E30" si="6">(0.08*E11)</f>
        <v>1.01024</v>
      </c>
      <c r="F30" s="330" t="s">
        <v>300</v>
      </c>
      <c r="G30" s="330" t="s">
        <v>300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155"/>
      <c r="Y30" s="155"/>
      <c r="Z30" s="155"/>
      <c r="AA30" s="166"/>
      <c r="AB30" s="166"/>
      <c r="AC30" s="334"/>
      <c r="AD30" s="334"/>
      <c r="AE30" s="334"/>
      <c r="AF30" s="334"/>
      <c r="AG30" s="334"/>
      <c r="AH30" s="334"/>
      <c r="AI30" s="166"/>
    </row>
    <row r="31" spans="2:35" x14ac:dyDescent="0.3">
      <c r="B31" s="906"/>
      <c r="C31" s="139" t="s">
        <v>245</v>
      </c>
      <c r="D31" s="139">
        <f>SQRT(D29*D29+D30*D30)</f>
        <v>14.938387246467014</v>
      </c>
      <c r="E31" s="139">
        <f t="shared" ref="E31" si="7">SQRT(E29*E29+E30*E30)</f>
        <v>4.8037166831776279</v>
      </c>
      <c r="F31" s="330" t="s">
        <v>300</v>
      </c>
      <c r="G31" s="330" t="s">
        <v>300</v>
      </c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155"/>
      <c r="Y31" s="155"/>
      <c r="Z31" s="155"/>
      <c r="AA31" s="166"/>
      <c r="AB31" s="166"/>
      <c r="AC31" s="334"/>
      <c r="AD31" s="334"/>
      <c r="AE31" s="334"/>
      <c r="AF31" s="334"/>
      <c r="AG31" s="334"/>
      <c r="AH31" s="334"/>
      <c r="AI31" s="166"/>
    </row>
    <row r="32" spans="2:35" x14ac:dyDescent="0.3">
      <c r="B32" s="906"/>
      <c r="C32" s="139" t="s">
        <v>247</v>
      </c>
      <c r="D32" s="139">
        <f>'[1]Canalizações Principais'!$C$25+[1]Ramais!C26</f>
        <v>61.911332081099324</v>
      </c>
      <c r="E32" s="139">
        <f>'[1]Canalizações Principais'!$C$25+[1]Ramais!D26</f>
        <v>111.35628457998126</v>
      </c>
      <c r="F32" s="330" t="s">
        <v>300</v>
      </c>
      <c r="G32" s="330" t="s">
        <v>300</v>
      </c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155"/>
      <c r="Y32" s="155"/>
      <c r="Z32" s="155"/>
      <c r="AA32" s="166"/>
      <c r="AB32" s="166"/>
      <c r="AC32" s="334"/>
      <c r="AD32" s="334"/>
      <c r="AE32" s="334"/>
      <c r="AF32" s="334"/>
      <c r="AG32" s="334"/>
      <c r="AH32" s="334"/>
      <c r="AI32" s="166"/>
    </row>
    <row r="33" spans="2:35" x14ac:dyDescent="0.3">
      <c r="B33" s="906"/>
      <c r="C33" s="139" t="s">
        <v>248</v>
      </c>
      <c r="D33" s="144">
        <f>((0.95*1.05*$AC$18)/D32)*1000</f>
        <v>3705.7028541959003</v>
      </c>
      <c r="E33" s="144">
        <f>((0.95*1.05*$AC$18)/E32)*1000</f>
        <v>2060.2788685466271</v>
      </c>
      <c r="F33" s="330" t="s">
        <v>300</v>
      </c>
      <c r="G33" s="330" t="s">
        <v>300</v>
      </c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39"/>
      <c r="X33" s="155"/>
      <c r="Y33" s="155"/>
      <c r="Z33" s="155"/>
      <c r="AA33" s="166"/>
      <c r="AB33" s="166"/>
      <c r="AC33" s="334"/>
      <c r="AD33" s="334"/>
      <c r="AE33" s="334"/>
      <c r="AF33" s="334"/>
      <c r="AG33" s="334"/>
      <c r="AH33" s="334"/>
      <c r="AI33" s="166"/>
    </row>
    <row r="34" spans="2:35" x14ac:dyDescent="0.3">
      <c r="B34" s="906"/>
      <c r="C34" s="139" t="s">
        <v>249</v>
      </c>
      <c r="D34" s="144">
        <f>((0.95*1.05*$AC$19)/D32)*1000</f>
        <v>6444.7006159928715</v>
      </c>
      <c r="E34" s="144">
        <f>((0.95*1.05*$AC$19)/E32)*1000</f>
        <v>3583.0936844289167</v>
      </c>
      <c r="F34" s="330" t="s">
        <v>300</v>
      </c>
      <c r="G34" s="330" t="s">
        <v>300</v>
      </c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39"/>
      <c r="X34" s="155"/>
      <c r="Y34" s="155"/>
      <c r="Z34" s="155"/>
      <c r="AA34" s="166"/>
      <c r="AB34" s="166"/>
      <c r="AC34" s="334"/>
      <c r="AD34" s="334"/>
      <c r="AE34" s="334"/>
      <c r="AF34" s="334"/>
      <c r="AG34" s="334"/>
      <c r="AH34" s="334"/>
      <c r="AI34" s="166"/>
    </row>
    <row r="35" spans="2:35" x14ac:dyDescent="0.3">
      <c r="B35" s="906"/>
      <c r="C35" s="139" t="s">
        <v>251</v>
      </c>
      <c r="D35" s="147">
        <f>IF(D33&lt;D34,D33,D34)</f>
        <v>3705.7028541959003</v>
      </c>
      <c r="E35" s="147">
        <f t="shared" ref="E35" si="8">IF(E33&lt;E34,E33,E34)</f>
        <v>2060.2788685466271</v>
      </c>
      <c r="F35" s="330" t="s">
        <v>300</v>
      </c>
      <c r="G35" s="330" t="s">
        <v>300</v>
      </c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39"/>
      <c r="X35" s="155"/>
      <c r="Y35" s="155"/>
      <c r="Z35" s="155"/>
      <c r="AA35" s="166"/>
      <c r="AB35" s="166"/>
      <c r="AC35" s="334"/>
      <c r="AD35" s="334"/>
      <c r="AE35" s="334"/>
      <c r="AF35" s="334"/>
      <c r="AG35" s="334"/>
      <c r="AH35" s="334"/>
      <c r="AI35" s="166"/>
    </row>
    <row r="36" spans="2:35" x14ac:dyDescent="0.3">
      <c r="B36" s="906"/>
      <c r="C36" s="139" t="s">
        <v>253</v>
      </c>
      <c r="D36" s="139">
        <f>D35/D22</f>
        <v>18.5285142709795</v>
      </c>
      <c r="E36" s="139">
        <f t="shared" ref="E36" si="9">E35/E22</f>
        <v>10.301394342733136</v>
      </c>
      <c r="F36" s="330" t="s">
        <v>300</v>
      </c>
      <c r="G36" s="330" t="s">
        <v>300</v>
      </c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155"/>
      <c r="Y36" s="155"/>
      <c r="Z36" s="155"/>
      <c r="AA36" s="166"/>
      <c r="AB36" s="166"/>
      <c r="AC36" s="334"/>
      <c r="AD36" s="334"/>
      <c r="AE36" s="334"/>
      <c r="AF36" s="334"/>
      <c r="AG36" s="334"/>
      <c r="AH36" s="334"/>
      <c r="AI36" s="166"/>
    </row>
    <row r="37" spans="2:35" x14ac:dyDescent="0.3">
      <c r="B37" s="906"/>
      <c r="C37" s="139" t="s">
        <v>255</v>
      </c>
      <c r="D37" s="139">
        <v>76</v>
      </c>
      <c r="E37" s="139">
        <v>76</v>
      </c>
      <c r="F37" s="330" t="s">
        <v>300</v>
      </c>
      <c r="G37" s="330" t="s">
        <v>300</v>
      </c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155"/>
      <c r="Y37" s="155"/>
      <c r="Z37" s="155"/>
      <c r="AA37" s="166"/>
      <c r="AB37" s="166"/>
      <c r="AC37" s="166"/>
      <c r="AD37" s="166"/>
      <c r="AE37" s="166"/>
      <c r="AF37" s="166"/>
      <c r="AG37" s="166"/>
      <c r="AH37" s="166"/>
      <c r="AI37" s="166"/>
    </row>
    <row r="38" spans="2:35" x14ac:dyDescent="0.3">
      <c r="B38" s="906"/>
      <c r="C38" s="150" t="s">
        <v>257</v>
      </c>
      <c r="D38" s="158">
        <f>(D37*D16/D35)^2</f>
        <v>3.7960612492426775</v>
      </c>
      <c r="E38" s="158">
        <f t="shared" ref="E38" si="10">(E37*E16/E35)^2</f>
        <v>12.28067897567122</v>
      </c>
      <c r="F38" s="330" t="s">
        <v>300</v>
      </c>
      <c r="G38" s="330" t="s">
        <v>300</v>
      </c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166"/>
    </row>
    <row r="39" spans="2:35" x14ac:dyDescent="0.3">
      <c r="B39" s="906"/>
      <c r="C39" s="150" t="s">
        <v>259</v>
      </c>
      <c r="D39" s="150">
        <v>1.6E-2</v>
      </c>
      <c r="E39" s="150">
        <v>1E-3</v>
      </c>
      <c r="F39" s="330" t="s">
        <v>300</v>
      </c>
      <c r="G39" s="330" t="s">
        <v>300</v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</row>
    <row r="40" spans="2:35" x14ac:dyDescent="0.3">
      <c r="B40" s="906"/>
      <c r="C40" s="206" t="s">
        <v>261</v>
      </c>
      <c r="D40" s="150">
        <v>120</v>
      </c>
      <c r="E40" s="150">
        <v>120</v>
      </c>
      <c r="F40" s="330" t="s">
        <v>300</v>
      </c>
      <c r="G40" s="330" t="s">
        <v>300</v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</row>
    <row r="41" spans="2:35" x14ac:dyDescent="0.3">
      <c r="B41" s="906"/>
      <c r="C41" s="152" t="s">
        <v>262</v>
      </c>
      <c r="D41" s="207" t="str">
        <f>IF(D39&lt;5,"OK","NOK")</f>
        <v>OK</v>
      </c>
      <c r="E41" s="207" t="str">
        <f t="shared" ref="E41" si="11">IF(E39&lt;5,"OK","NOK")</f>
        <v>OK</v>
      </c>
      <c r="F41" s="330" t="s">
        <v>300</v>
      </c>
      <c r="G41" s="330" t="s">
        <v>300</v>
      </c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6"/>
    </row>
    <row r="42" spans="2:35" x14ac:dyDescent="0.3">
      <c r="B42" s="906"/>
      <c r="C42" s="152" t="s">
        <v>263</v>
      </c>
      <c r="D42" s="207" t="str">
        <f>IF(D39&lt;D38,"OK","NOK")</f>
        <v>OK</v>
      </c>
      <c r="E42" s="207" t="str">
        <f t="shared" ref="E42" si="12">IF(E39&lt;E38,"OK","NOK")</f>
        <v>OK</v>
      </c>
      <c r="F42" s="330" t="s">
        <v>300</v>
      </c>
      <c r="G42" s="330" t="s">
        <v>300</v>
      </c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6"/>
    </row>
    <row r="43" spans="2:35" ht="15" thickBot="1" x14ac:dyDescent="0.35">
      <c r="B43" s="907"/>
      <c r="C43" s="154" t="s">
        <v>264</v>
      </c>
      <c r="D43" s="208" t="str">
        <f>IF(D28&lt;=D40,"OK","NOK")</f>
        <v>OK</v>
      </c>
      <c r="E43" s="208" t="str">
        <f t="shared" ref="E43" si="13">IF(E28&lt;=E40,"OK","NOK")</f>
        <v>OK</v>
      </c>
      <c r="F43" s="330" t="s">
        <v>300</v>
      </c>
      <c r="G43" s="330" t="s">
        <v>300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239"/>
      <c r="X43" s="155"/>
      <c r="Y43" s="155"/>
      <c r="Z43" s="155"/>
    </row>
    <row r="44" spans="2:35" x14ac:dyDescent="0.3"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</row>
    <row r="45" spans="2:35" x14ac:dyDescent="0.3"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</row>
  </sheetData>
  <mergeCells count="12">
    <mergeCell ref="B28:B43"/>
    <mergeCell ref="AD13:AF13"/>
    <mergeCell ref="AD14:AF14"/>
    <mergeCell ref="B18:B20"/>
    <mergeCell ref="B21:B27"/>
    <mergeCell ref="AB12:AC12"/>
    <mergeCell ref="AD12:AF12"/>
    <mergeCell ref="C6:V7"/>
    <mergeCell ref="AB7:AC7"/>
    <mergeCell ref="AD7:AF7"/>
    <mergeCell ref="AD8:AF8"/>
    <mergeCell ref="AD9:A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Balanço_Inicial</vt:lpstr>
      <vt:lpstr>BalançoCargas</vt:lpstr>
      <vt:lpstr>Balanço_Final</vt:lpstr>
      <vt:lpstr>Correntes_CC</vt:lpstr>
      <vt:lpstr>Canalizações_Inicio</vt:lpstr>
      <vt:lpstr>Canalizações_Principais</vt:lpstr>
      <vt:lpstr>Ramais_AD3</vt:lpstr>
      <vt:lpstr>Ramais_AD1</vt:lpstr>
      <vt:lpstr>Ramais_AD2</vt:lpstr>
      <vt:lpstr>Ramais _AD3.1</vt:lpstr>
      <vt:lpstr>Ramais_AD4</vt:lpstr>
      <vt:lpstr>Ramais_AD4.1</vt:lpstr>
      <vt:lpstr>Ramais_AD5</vt:lpstr>
      <vt:lpstr>Ramais_AD5.1</vt:lpstr>
      <vt:lpstr>Folha11</vt:lpstr>
      <vt:lpstr>Folha12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2021-10-28T15:26:04Z</dcterms:created>
  <dcterms:modified xsi:type="dcterms:W3CDTF">2022-02-05T17:01:59Z</dcterms:modified>
</cp:coreProperties>
</file>