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63e80899664ef9/桌面/Physics/Activities/Lab report/"/>
    </mc:Choice>
  </mc:AlternateContent>
  <xr:revisionPtr revIDLastSave="1" documentId="13_ncr:1_{D2EE29B9-50F3-4743-A7DC-3B57CDF9BFEF}" xr6:coauthVersionLast="38" xr6:coauthVersionMax="38" xr10:uidLastSave="{88204A61-92E9-4461-A595-62C5DF96E889}"/>
  <bookViews>
    <workbookView xWindow="0" yWindow="0" windowWidth="20520" windowHeight="9405" activeTab="1" xr2:uid="{123D6A88-9451-4E22-85E8-4A8ECF04958E}"/>
  </bookViews>
  <sheets>
    <sheet name="Sheet1" sheetId="1" r:id="rId1"/>
    <sheet name="Raw Dat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2" l="1"/>
  <c r="U13" i="2"/>
  <c r="T25" i="2"/>
  <c r="T12" i="2"/>
  <c r="S13" i="2"/>
  <c r="X13" i="2"/>
  <c r="Y25" i="2"/>
  <c r="R4" i="2" l="1"/>
  <c r="S3" i="2"/>
  <c r="N26" i="2"/>
  <c r="AD6" i="2"/>
  <c r="AB18" i="2"/>
  <c r="AB19" i="2"/>
  <c r="AB21" i="2"/>
  <c r="AB22" i="2"/>
  <c r="AB23" i="2"/>
  <c r="AB24" i="2"/>
  <c r="AB17" i="2"/>
  <c r="N18" i="2"/>
  <c r="N19" i="2"/>
  <c r="N20" i="2"/>
  <c r="N21" i="2"/>
  <c r="N22" i="2"/>
  <c r="N23" i="2"/>
  <c r="N24" i="2"/>
  <c r="N17" i="2"/>
  <c r="M4" i="2"/>
  <c r="M5" i="2"/>
  <c r="M6" i="2"/>
  <c r="M7" i="2"/>
  <c r="M8" i="2"/>
  <c r="M9" i="2"/>
  <c r="M10" i="2"/>
  <c r="M11" i="2"/>
  <c r="AB4" i="2"/>
  <c r="AB5" i="2"/>
  <c r="AB6" i="2"/>
  <c r="AB7" i="2"/>
  <c r="AB8" i="2"/>
  <c r="AB9" i="2"/>
  <c r="AB10" i="2"/>
  <c r="AB3" i="2"/>
  <c r="M3" i="2"/>
  <c r="N12" i="2" s="1"/>
  <c r="X8" i="2"/>
  <c r="Y8" i="2"/>
  <c r="X9" i="2"/>
  <c r="Y9" i="2"/>
  <c r="X10" i="2"/>
  <c r="Y10" i="2"/>
  <c r="Y11" i="2"/>
  <c r="X6" i="2"/>
  <c r="Y6" i="2"/>
  <c r="X7" i="2"/>
  <c r="Y7" i="2"/>
  <c r="R11" i="2"/>
  <c r="S11" i="2"/>
  <c r="S25" i="2" l="1"/>
  <c r="S12" i="2"/>
  <c r="Y17" i="2"/>
  <c r="Y5" i="2"/>
  <c r="X5" i="2"/>
  <c r="Y4" i="2"/>
  <c r="X4" i="2"/>
  <c r="Y3" i="2"/>
  <c r="X3" i="2"/>
  <c r="Y24" i="2"/>
  <c r="X24" i="2"/>
  <c r="Y23" i="2"/>
  <c r="X23" i="2"/>
  <c r="Y22" i="2"/>
  <c r="X22" i="2"/>
  <c r="Y21" i="2"/>
  <c r="X21" i="2"/>
  <c r="Y20" i="2"/>
  <c r="AB20" i="2" s="1"/>
  <c r="AB26" i="2" s="1"/>
  <c r="X20" i="2"/>
  <c r="Y19" i="2"/>
  <c r="X19" i="2"/>
  <c r="Y18" i="2"/>
  <c r="X18" i="2"/>
  <c r="X17" i="2"/>
  <c r="R17" i="2"/>
  <c r="R3" i="2"/>
  <c r="S18" i="2"/>
  <c r="S19" i="2"/>
  <c r="S20" i="2"/>
  <c r="S21" i="2"/>
  <c r="S22" i="2"/>
  <c r="S23" i="2"/>
  <c r="S24" i="2"/>
  <c r="S17" i="2"/>
  <c r="S4" i="2"/>
  <c r="S5" i="2"/>
  <c r="S6" i="2"/>
  <c r="S7" i="2"/>
  <c r="S8" i="2"/>
  <c r="S9" i="2"/>
  <c r="S10" i="2"/>
  <c r="R24" i="2"/>
  <c r="R23" i="2"/>
  <c r="R22" i="2"/>
  <c r="R21" i="2"/>
  <c r="R20" i="2"/>
  <c r="R19" i="2"/>
  <c r="R18" i="2"/>
  <c r="R9" i="2"/>
  <c r="R10" i="2"/>
  <c r="R5" i="2"/>
  <c r="R6" i="2"/>
  <c r="R7" i="2"/>
  <c r="R8" i="2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<sst xmlns="http://schemas.openxmlformats.org/spreadsheetml/2006/main" count="65" uniqueCount="23">
  <si>
    <t>center of mass of ruler</t>
    <phoneticPr fontId="1" type="noConversion"/>
  </si>
  <si>
    <t>50.15+-.25</t>
    <phoneticPr fontId="1" type="noConversion"/>
  </si>
  <si>
    <t>parallel</t>
    <phoneticPr fontId="1" type="noConversion"/>
  </si>
  <si>
    <t>the reason for stopping here is that as d get smaller, d2 smaller, not accurate</t>
    <phoneticPr fontId="1" type="noConversion"/>
  </si>
  <si>
    <t>too close and small</t>
    <phoneticPr fontId="1" type="noConversion"/>
  </si>
  <si>
    <t>three: too slipery</t>
    <phoneticPr fontId="1" type="noConversion"/>
  </si>
  <si>
    <t>20,6</t>
    <phoneticPr fontId="1" type="noConversion"/>
  </si>
  <si>
    <t>,aa of ruler 55.66</t>
    <phoneticPr fontId="1" type="noConversion"/>
  </si>
  <si>
    <t>m1/g</t>
    <phoneticPr fontId="1" type="noConversion"/>
  </si>
  <si>
    <t>D1/cm</t>
    <phoneticPr fontId="1" type="noConversion"/>
  </si>
  <si>
    <t>D2/cm</t>
    <phoneticPr fontId="1" type="noConversion"/>
  </si>
  <si>
    <t>uncertainty for ruler/cm</t>
    <phoneticPr fontId="1" type="noConversion"/>
  </si>
  <si>
    <t>m2/g</t>
    <phoneticPr fontId="1" type="noConversion"/>
  </si>
  <si>
    <t>m1/g</t>
    <phoneticPr fontId="1" type="noConversion"/>
  </si>
  <si>
    <t>position of mass</t>
    <phoneticPr fontId="1" type="noConversion"/>
  </si>
  <si>
    <t>position of pivot</t>
    <phoneticPr fontId="1" type="noConversion"/>
  </si>
  <si>
    <t>uncertainty</t>
    <phoneticPr fontId="1" type="noConversion"/>
  </si>
  <si>
    <t>Experiment 1</t>
    <phoneticPr fontId="1" type="noConversion"/>
  </si>
  <si>
    <t>Experiment 2</t>
    <phoneticPr fontId="1" type="noConversion"/>
  </si>
  <si>
    <t>Experiment 3</t>
    <phoneticPr fontId="1" type="noConversion"/>
  </si>
  <si>
    <t>Experiment 4</t>
    <phoneticPr fontId="1" type="noConversion"/>
  </si>
  <si>
    <t>trials</t>
    <phoneticPr fontId="1" type="noConversion"/>
  </si>
  <si>
    <t>trails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</si>
</sst>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5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.00_ "/>
      <alignment horizontal="center" vertical="center" textRotation="0" wrapText="0" indent="0" justifyLastLine="0" shrinkToFit="0" readingOrder="0"/>
    </dxf>
    <dxf>
      <numFmt numFmtId="176" formatCode="0.00_ "/>
      <alignment horizontal="center" vertical="center" textRotation="0" wrapText="0" indent="0" justifyLastLine="0" shrinkToFit="0" readingOrder="0"/>
    </dxf>
    <dxf>
      <numFmt numFmtId="176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.00_ "/>
      <alignment horizontal="center" vertical="center" textRotation="0" wrapText="0" indent="0" justifyLastLine="0" shrinkToFit="0" readingOrder="0"/>
    </dxf>
    <dxf>
      <numFmt numFmtId="176" formatCode="0.00_ "/>
      <alignment horizontal="center" vertical="center" textRotation="0" wrapText="0" indent="0" justifyLastLine="0" shrinkToFit="0" readingOrder="0"/>
    </dxf>
    <dxf>
      <numFmt numFmtId="176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.00_ "/>
      <alignment horizontal="center" vertical="center" textRotation="0" wrapText="0" indent="0" justifyLastLine="0" shrinkToFit="0" readingOrder="0"/>
    </dxf>
    <dxf>
      <numFmt numFmtId="176" formatCode="0.00_ "/>
      <alignment horizontal="center" vertical="center" textRotation="0" wrapText="0" indent="0" justifyLastLine="0" shrinkToFit="0" readingOrder="0"/>
    </dxf>
    <dxf>
      <numFmt numFmtId="176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.00_ "/>
      <alignment horizontal="center" vertical="center" textRotation="0" wrapText="0" indent="0" justifyLastLine="0" shrinkToFit="0" readingOrder="0"/>
    </dxf>
    <dxf>
      <numFmt numFmtId="176" formatCode="0.00_ "/>
      <alignment horizontal="center" vertical="center" textRotation="0" wrapText="0" indent="0" justifyLastLine="0" shrinkToFit="0" readingOrder="0"/>
    </dxf>
    <dxf>
      <numFmt numFmtId="176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.00_ "/>
      <alignment horizontal="center" vertical="center" textRotation="0" wrapText="0" indent="0" justifyLastLine="0" shrinkToFit="0" readingOrder="0"/>
    </dxf>
    <dxf>
      <numFmt numFmtId="176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.00_ "/>
      <alignment horizontal="center" vertical="center" textRotation="0" wrapText="0" indent="0" justifyLastLine="0" shrinkToFit="0" readingOrder="0"/>
    </dxf>
    <dxf>
      <numFmt numFmtId="176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.00_ "/>
      <alignment horizontal="center" vertical="center" textRotation="0" wrapText="0" indent="0" justifyLastLine="0" shrinkToFit="0" readingOrder="0"/>
    </dxf>
    <dxf>
      <numFmt numFmtId="176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.00_ "/>
      <alignment horizontal="center" vertical="center" textRotation="0" wrapText="0" indent="0" justifyLastLine="0" shrinkToFit="0" readingOrder="0"/>
    </dxf>
    <dxf>
      <numFmt numFmtId="176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Experiment</a:t>
            </a:r>
            <a:r>
              <a:rPr lang="en-US" altLang="zh-CN" baseline="0"/>
              <a:t> 1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Data'!$S$2</c:f>
              <c:strCache>
                <c:ptCount val="1"/>
                <c:pt idx="0">
                  <c:v>D1/cm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'Raw Data'!$R$3:$R$11</c:f>
              <c:numCache>
                <c:formatCode>0.00_ </c:formatCode>
                <c:ptCount val="9"/>
                <c:pt idx="0">
                  <c:v>7.2999999999999972</c:v>
                </c:pt>
                <c:pt idx="1">
                  <c:v>6.6499999999999986</c:v>
                </c:pt>
                <c:pt idx="2">
                  <c:v>5.75</c:v>
                </c:pt>
                <c:pt idx="3">
                  <c:v>5.0499999999999972</c:v>
                </c:pt>
                <c:pt idx="4">
                  <c:v>4.25</c:v>
                </c:pt>
                <c:pt idx="5">
                  <c:v>3.5499999999999972</c:v>
                </c:pt>
                <c:pt idx="6">
                  <c:v>2.7999999999999972</c:v>
                </c:pt>
                <c:pt idx="7">
                  <c:v>2</c:v>
                </c:pt>
                <c:pt idx="8">
                  <c:v>1.25</c:v>
                </c:pt>
              </c:numCache>
            </c:numRef>
          </c:xVal>
          <c:yVal>
            <c:numRef>
              <c:f>'Raw Data'!$S$3:$S$11</c:f>
              <c:numCache>
                <c:formatCode>0.00_ </c:formatCode>
                <c:ptCount val="9"/>
                <c:pt idx="0">
                  <c:v>37.85</c:v>
                </c:pt>
                <c:pt idx="1">
                  <c:v>33.5</c:v>
                </c:pt>
                <c:pt idx="2">
                  <c:v>29.4</c:v>
                </c:pt>
                <c:pt idx="3">
                  <c:v>25.1</c:v>
                </c:pt>
                <c:pt idx="4">
                  <c:v>20.9</c:v>
                </c:pt>
                <c:pt idx="5">
                  <c:v>16.600000000000001</c:v>
                </c:pt>
                <c:pt idx="6">
                  <c:v>12.350000000000001</c:v>
                </c:pt>
                <c:pt idx="7">
                  <c:v>8.1499999999999986</c:v>
                </c:pt>
                <c:pt idx="8">
                  <c:v>3.8999999999999986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E-413E-97D9-7DF8648A4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96120"/>
        <c:axId val="692257840"/>
      </c:scatterChart>
      <c:valAx>
        <c:axId val="51959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D1/cm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257840"/>
        <c:crosses val="autoZero"/>
        <c:crossBetween val="midCat"/>
      </c:valAx>
      <c:valAx>
        <c:axId val="6922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D2/cm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59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Experiment</a:t>
            </a:r>
            <a:r>
              <a:rPr lang="en-US" altLang="zh-CN" baseline="0"/>
              <a:t> 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'Raw Data'!$X$3:$X$10</c:f>
              <c:numCache>
                <c:formatCode>0.00_ </c:formatCode>
                <c:ptCount val="8"/>
                <c:pt idx="0">
                  <c:v>21.849999999999998</c:v>
                </c:pt>
                <c:pt idx="1">
                  <c:v>18.899999999999999</c:v>
                </c:pt>
                <c:pt idx="2">
                  <c:v>16.649999999999999</c:v>
                </c:pt>
                <c:pt idx="3">
                  <c:v>14.649999999999999</c:v>
                </c:pt>
                <c:pt idx="4">
                  <c:v>12.25</c:v>
                </c:pt>
                <c:pt idx="5">
                  <c:v>9.8999999999999986</c:v>
                </c:pt>
                <c:pt idx="6">
                  <c:v>7.5499999999999972</c:v>
                </c:pt>
                <c:pt idx="7">
                  <c:v>5.1499999999999986</c:v>
                </c:pt>
              </c:numCache>
            </c:numRef>
          </c:xVal>
          <c:yVal>
            <c:numRef>
              <c:f>'Raw Data'!$Y$3:$Y$10</c:f>
              <c:numCache>
                <c:formatCode>0.00_ </c:formatCode>
                <c:ptCount val="8"/>
                <c:pt idx="0">
                  <c:v>23.3</c:v>
                </c:pt>
                <c:pt idx="1">
                  <c:v>21.25</c:v>
                </c:pt>
                <c:pt idx="2">
                  <c:v>18.5</c:v>
                </c:pt>
                <c:pt idx="3">
                  <c:v>15.5</c:v>
                </c:pt>
                <c:pt idx="4">
                  <c:v>12.899999999999999</c:v>
                </c:pt>
                <c:pt idx="5">
                  <c:v>10.25</c:v>
                </c:pt>
                <c:pt idx="6">
                  <c:v>7.6000000000000014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0-4D92-B5C3-B86955B8F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05224"/>
        <c:axId val="525289656"/>
      </c:scatterChart>
      <c:valAx>
        <c:axId val="52380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D1/cm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289656"/>
        <c:crosses val="autoZero"/>
        <c:crossBetween val="midCat"/>
      </c:valAx>
      <c:valAx>
        <c:axId val="52528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D2/cm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80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Experiment</a:t>
            </a:r>
            <a:r>
              <a:rPr lang="en-US" altLang="zh-CN" baseline="0"/>
              <a:t> 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'Raw Data'!$R$17:$R$24</c:f>
              <c:numCache>
                <c:formatCode>0.00_ </c:formatCode>
                <c:ptCount val="8"/>
                <c:pt idx="0">
                  <c:v>29.45</c:v>
                </c:pt>
                <c:pt idx="1">
                  <c:v>26.349999999999998</c:v>
                </c:pt>
                <c:pt idx="2">
                  <c:v>22.95</c:v>
                </c:pt>
                <c:pt idx="3">
                  <c:v>19.7</c:v>
                </c:pt>
                <c:pt idx="4">
                  <c:v>16.600000000000001</c:v>
                </c:pt>
                <c:pt idx="5">
                  <c:v>13.350000000000001</c:v>
                </c:pt>
                <c:pt idx="6">
                  <c:v>10.149999999999999</c:v>
                </c:pt>
                <c:pt idx="7">
                  <c:v>6.8999999999999986</c:v>
                </c:pt>
              </c:numCache>
            </c:numRef>
          </c:xVal>
          <c:yVal>
            <c:numRef>
              <c:f>'Raw Data'!$S$17:$S$24</c:f>
              <c:numCache>
                <c:formatCode>0.00_ </c:formatCode>
                <c:ptCount val="8"/>
                <c:pt idx="0">
                  <c:v>15.7</c:v>
                </c:pt>
                <c:pt idx="1">
                  <c:v>13.8</c:v>
                </c:pt>
                <c:pt idx="2">
                  <c:v>12.2</c:v>
                </c:pt>
                <c:pt idx="3">
                  <c:v>10.45</c:v>
                </c:pt>
                <c:pt idx="4">
                  <c:v>8.5499999999999972</c:v>
                </c:pt>
                <c:pt idx="5">
                  <c:v>6.7999999999999972</c:v>
                </c:pt>
                <c:pt idx="6">
                  <c:v>5</c:v>
                </c:pt>
                <c:pt idx="7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71-4DF5-8DC8-8FD046A07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22304"/>
        <c:axId val="691920992"/>
      </c:scatterChart>
      <c:valAx>
        <c:axId val="69192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D1/cm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920992"/>
        <c:crosses val="autoZero"/>
        <c:crossBetween val="midCat"/>
      </c:valAx>
      <c:valAx>
        <c:axId val="6919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D2/cm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92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Experiment 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'Raw Data'!$X$17:$X$24</c:f>
              <c:numCache>
                <c:formatCode>0.00_ </c:formatCode>
                <c:ptCount val="8"/>
                <c:pt idx="0">
                  <c:v>33.65</c:v>
                </c:pt>
                <c:pt idx="1">
                  <c:v>29.549999999999997</c:v>
                </c:pt>
                <c:pt idx="2">
                  <c:v>26</c:v>
                </c:pt>
                <c:pt idx="3">
                  <c:v>22.349999999999998</c:v>
                </c:pt>
                <c:pt idx="4">
                  <c:v>18.7</c:v>
                </c:pt>
                <c:pt idx="5">
                  <c:v>15.100000000000001</c:v>
                </c:pt>
                <c:pt idx="6">
                  <c:v>11.449999999999996</c:v>
                </c:pt>
                <c:pt idx="7">
                  <c:v>7.6499999999999986</c:v>
                </c:pt>
              </c:numCache>
            </c:numRef>
          </c:xVal>
          <c:yVal>
            <c:numRef>
              <c:f>'Raw Data'!$Y$17:$Y$24</c:f>
              <c:numCache>
                <c:formatCode>0.00_ </c:formatCode>
                <c:ptCount val="8"/>
                <c:pt idx="0">
                  <c:v>11.5</c:v>
                </c:pt>
                <c:pt idx="1">
                  <c:v>10.600000000000001</c:v>
                </c:pt>
                <c:pt idx="2">
                  <c:v>9.1499999999999986</c:v>
                </c:pt>
                <c:pt idx="3">
                  <c:v>7.8000000000000007</c:v>
                </c:pt>
                <c:pt idx="4">
                  <c:v>6.4499999999999993</c:v>
                </c:pt>
                <c:pt idx="5">
                  <c:v>5.0499999999999972</c:v>
                </c:pt>
                <c:pt idx="6">
                  <c:v>3.7000000000000028</c:v>
                </c:pt>
                <c:pt idx="7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0-4D00-B810-8354ACA5A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65016"/>
        <c:axId val="609763376"/>
      </c:scatterChart>
      <c:valAx>
        <c:axId val="60976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D1/cm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763376"/>
        <c:crosses val="autoZero"/>
        <c:crossBetween val="midCat"/>
      </c:valAx>
      <c:valAx>
        <c:axId val="6097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D2/cm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76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605391</xdr:colOff>
      <xdr:row>27</xdr:row>
      <xdr:rowOff>705</xdr:rowOff>
    </xdr:from>
    <xdr:to>
      <xdr:col>20</xdr:col>
      <xdr:colOff>502076</xdr:colOff>
      <xdr:row>42</xdr:row>
      <xdr:rowOff>90512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7A35D2B-35DC-4067-B3CA-B3290573C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130528</xdr:colOff>
      <xdr:row>26</xdr:row>
      <xdr:rowOff>162983</xdr:rowOff>
    </xdr:from>
    <xdr:to>
      <xdr:col>26</xdr:col>
      <xdr:colOff>610306</xdr:colOff>
      <xdr:row>42</xdr:row>
      <xdr:rowOff>83960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51A0FB8-64CD-4B76-BFC2-3F6E50CCD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624416</xdr:colOff>
      <xdr:row>44</xdr:row>
      <xdr:rowOff>13054</xdr:rowOff>
    </xdr:from>
    <xdr:to>
      <xdr:col>20</xdr:col>
      <xdr:colOff>539749</xdr:colOff>
      <xdr:row>59</xdr:row>
      <xdr:rowOff>110420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ED425FF-CEF4-497F-B910-2052F27C4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121706</xdr:colOff>
      <xdr:row>44</xdr:row>
      <xdr:rowOff>4234</xdr:rowOff>
    </xdr:from>
    <xdr:to>
      <xdr:col>26</xdr:col>
      <xdr:colOff>601484</xdr:colOff>
      <xdr:row>59</xdr:row>
      <xdr:rowOff>101600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1BBBF5F-A548-468E-A4A4-EE1CCD909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BA7C4A-B68B-45B0-9453-3C667691B770}" name="表2" displayName="表2" ref="A2:E11" totalsRowShown="0" headerRowDxfId="50" dataDxfId="49">
  <autoFilter ref="A2:E11" xr:uid="{786C391A-3B76-4922-BB06-4291B3F9B3C8}"/>
  <tableColumns count="5">
    <tableColumn id="1" xr3:uid="{66A18650-9AB8-492A-83EA-4B3779B4516D}" name="trials" dataDxfId="55"/>
    <tableColumn id="2" xr3:uid="{8296D178-C30A-413E-931C-65A7DA5F19CD}" name="m1/g" dataDxfId="54"/>
    <tableColumn id="3" xr3:uid="{B7424C43-80A6-4D6D-A14D-3613B3FB3D89}" name="position of mass" dataDxfId="53"/>
    <tableColumn id="4" xr3:uid="{58733E98-DDDD-4142-B3E2-6A4CD1765B52}" name="position of pivot" dataDxfId="52"/>
    <tableColumn id="5" xr3:uid="{BBF5D0EE-DBAF-4B95-8DD6-2920DEEF90D9}" name="uncertainty" dataDxfId="5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360030-2C3B-4653-B56E-E556128D97ED}" name="表3" displayName="表3" ref="G2:K10" totalsRowShown="0" headerRowDxfId="43" dataDxfId="42">
  <autoFilter ref="G2:K10" xr:uid="{DB68110E-7E3F-441A-AFC7-A2C209833F46}"/>
  <tableColumns count="5">
    <tableColumn id="1" xr3:uid="{784585C5-18D3-4738-97D5-E027A063B36D}" name="trials" dataDxfId="48"/>
    <tableColumn id="2" xr3:uid="{2634E6B8-EBA3-4AB2-8520-85E83FBF06BD}" name="m1/g" dataDxfId="47"/>
    <tableColumn id="3" xr3:uid="{F4484C33-81D2-4D62-AC1A-2E36D0F30C07}" name="position of mass" dataDxfId="46"/>
    <tableColumn id="4" xr3:uid="{5000092D-F757-4406-A0D0-B973977428AE}" name="position of pivot" dataDxfId="45"/>
    <tableColumn id="5" xr3:uid="{542A4E34-5EA3-4F52-AE0F-6A0001332E45}" name="uncertainty" dataDxfId="4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F2143E-DD0D-444D-B95B-5B9CF7B5A598}" name="表4" displayName="表4" ref="A16:E24" totalsRowShown="0" headerRowDxfId="36" dataDxfId="35">
  <autoFilter ref="A16:E24" xr:uid="{B415342B-8DBC-436B-B826-605A779DFC42}"/>
  <tableColumns count="5">
    <tableColumn id="1" xr3:uid="{C2022F4C-7752-43A7-92EE-E0764006EC34}" name="trails" dataDxfId="41"/>
    <tableColumn id="2" xr3:uid="{934BBC0B-0536-4343-A091-13363A3FE62B}" name="m1/g" dataDxfId="40"/>
    <tableColumn id="3" xr3:uid="{8991007E-E83B-4CAD-AF36-012E5F832516}" name="position of mass" dataDxfId="39"/>
    <tableColumn id="4" xr3:uid="{5B4C1D97-E495-4FE6-826A-86F946BBFE52}" name="position of pivot" dataDxfId="38"/>
    <tableColumn id="5" xr3:uid="{5DD44DBA-231E-4BE7-B59B-BFDAFEF9A823}" name="uncertainty" dataDxfId="37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4CC0F-76C6-401F-9F63-B39112400451}" name="表5" displayName="表5" ref="G16:K24" totalsRowShown="0" headerRowDxfId="29" dataDxfId="28">
  <autoFilter ref="G16:K24" xr:uid="{470A0A08-3049-4C9E-9A60-44E6DA70CF15}"/>
  <tableColumns count="5">
    <tableColumn id="1" xr3:uid="{574CFE68-8C55-4B40-85A9-9E32978C11E4}" name="trails" dataDxfId="34"/>
    <tableColumn id="2" xr3:uid="{9A91D510-6455-4951-A2A8-1A9B652A4D81}" name="m1/g" dataDxfId="33"/>
    <tableColumn id="3" xr3:uid="{7A6AD085-B2D2-4AA3-BC55-125A70DBB89C}" name="position of mass" dataDxfId="32"/>
    <tableColumn id="4" xr3:uid="{64971C1A-7269-477C-9B88-43E98734863A}" name="position of pivot" dataDxfId="31"/>
    <tableColumn id="5" xr3:uid="{6B9ABEAC-DED6-46F1-B64A-2E293877E941}" name="uncertainty" dataDxfId="30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3783ED3-A79D-4342-AC5D-6B67F251E731}" name="表6" displayName="表6" ref="P2:T11" totalsRowShown="0" headerRowDxfId="22" dataDxfId="21">
  <autoFilter ref="P2:T11" xr:uid="{3C281BC7-F3C3-422E-99E7-2C8C4B7FA8A3}"/>
  <tableColumns count="5">
    <tableColumn id="1" xr3:uid="{61F5ABB8-6E99-4B44-82E7-1B11AAA8A59C}" name="trials" dataDxfId="27"/>
    <tableColumn id="2" xr3:uid="{B60049F7-10F6-47DE-A2DE-9F68AF54AB6C}" name="m1/g" dataDxfId="26"/>
    <tableColumn id="3" xr3:uid="{B2E7A603-BE6D-4A24-A642-66B1E13DEAC8}" name="D2/cm" dataDxfId="25">
      <calculatedColumnFormula xml:space="preserve"> 50.15-D3</calculatedColumnFormula>
    </tableColumn>
    <tableColumn id="4" xr3:uid="{FD0BB83E-E51C-4292-8286-DB2044864162}" name="D1/cm" dataDxfId="24">
      <calculatedColumnFormula xml:space="preserve"> D3-C3</calculatedColumnFormula>
    </tableColumn>
    <tableColumn id="5" xr3:uid="{D2E9A3BF-281A-4A86-998A-6EBA81B09F8B}" name="uncertainty for ruler/cm" dataDxfId="23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CB8262-AFBF-4F4A-8148-D747266618C1}" name="表7" displayName="表7" ref="V2:Z10" totalsRowShown="0" headerRowDxfId="14" dataDxfId="15">
  <autoFilter ref="V2:Z10" xr:uid="{E446C364-171F-4A9D-B6C6-7A28FE8C038A}"/>
  <tableColumns count="5">
    <tableColumn id="1" xr3:uid="{57973026-01C9-4962-B9BE-38904628A8B9}" name="trials" dataDxfId="20"/>
    <tableColumn id="2" xr3:uid="{B3F5EDAE-A7B4-4E78-841A-F4F73B9047C7}" name="m1/g" dataDxfId="19"/>
    <tableColumn id="3" xr3:uid="{66E6AA5C-EF45-4436-A4F8-1A091531E960}" name="D2/cm" dataDxfId="18">
      <calculatedColumnFormula xml:space="preserve"> 50.15-J3</calculatedColumnFormula>
    </tableColumn>
    <tableColumn id="4" xr3:uid="{5E9BABB7-FFC9-4E41-94F2-8398840B3371}" name="D1/cm" dataDxfId="17">
      <calculatedColumnFormula xml:space="preserve"> J3-I3</calculatedColumnFormula>
    </tableColumn>
    <tableColumn id="5" xr3:uid="{72CAD1FE-C1F0-448F-B449-2F74A0275D2E}" name="uncertainty for ruler/cm" dataDxfId="16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61DA2D-89EB-4566-90C4-D741DCA88308}" name="表8" displayName="表8" ref="P16:T24" totalsRowShown="0" headerRowDxfId="7" dataDxfId="8">
  <autoFilter ref="P16:T24" xr:uid="{3896B2CB-05C6-4B8E-BFBF-2B62718438ED}"/>
  <tableColumns count="5">
    <tableColumn id="1" xr3:uid="{49E21921-C838-4030-BC3A-02C09328DD01}" name="trials" dataDxfId="13"/>
    <tableColumn id="2" xr3:uid="{0D53796E-2AC5-4D73-B7A5-47222674C30D}" name="m1/g" dataDxfId="12"/>
    <tableColumn id="3" xr3:uid="{48ECF98D-A4C8-4DCB-95F1-7A51BE1C824C}" name="D2/cm" dataDxfId="11">
      <calculatedColumnFormula xml:space="preserve"> 50.15-D17</calculatedColumnFormula>
    </tableColumn>
    <tableColumn id="4" xr3:uid="{70485E3B-FB3D-4FB4-94F2-AC4A51AD7EA1}" name="D1/cm" dataDxfId="10">
      <calculatedColumnFormula xml:space="preserve"> D17-C17</calculatedColumnFormula>
    </tableColumn>
    <tableColumn id="5" xr3:uid="{BBD2A618-038F-4DB2-B563-E04B15066191}" name="uncertainty for ruler/cm" dataDxfId="9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A7BAA4B-9790-4355-89F0-2AC0D651EF39}" name="表9" displayName="表9" ref="V16:Z24" totalsRowShown="0" headerRowDxfId="0" dataDxfId="1">
  <autoFilter ref="V16:Z24" xr:uid="{E21F3E8F-D056-4184-85D9-C91EF66961EB}"/>
  <tableColumns count="5">
    <tableColumn id="1" xr3:uid="{647443C0-60C3-467E-8CD6-85EA93BCC027}" name="trials" dataDxfId="6"/>
    <tableColumn id="2" xr3:uid="{75D41B6B-7893-4434-B4AB-E1041D77B60F}" name="m1/g" dataDxfId="5"/>
    <tableColumn id="3" xr3:uid="{67FA0A90-2D1F-4D29-837B-DD3264F8D54C}" name="D2/cm" dataDxfId="4">
      <calculatedColumnFormula xml:space="preserve"> 50.15-J17</calculatedColumnFormula>
    </tableColumn>
    <tableColumn id="4" xr3:uid="{F88BDD79-3AE0-4BD1-AFA1-E404E7CC7522}" name="D1/cm" dataDxfId="3">
      <calculatedColumnFormula xml:space="preserve"> J17-I17</calculatedColumnFormula>
    </tableColumn>
    <tableColumn id="5" xr3:uid="{D2533B97-4597-4AA3-9A70-548938CA0A2E}" name="uncertainty for ruler/cm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CE809-A135-4553-89FC-53ABD3CF57BF}">
  <dimension ref="A1:W29"/>
  <sheetViews>
    <sheetView zoomScale="70" workbookViewId="0">
      <selection activeCell="I3" sqref="I3"/>
    </sheetView>
  </sheetViews>
  <sheetFormatPr defaultRowHeight="13.9" x14ac:dyDescent="0.4"/>
  <cols>
    <col min="6" max="6" width="21" customWidth="1"/>
  </cols>
  <sheetData>
    <row r="1" spans="1:14" x14ac:dyDescent="0.4">
      <c r="B1" t="s">
        <v>8</v>
      </c>
      <c r="C1" t="s">
        <v>12</v>
      </c>
      <c r="D1" t="s">
        <v>9</v>
      </c>
      <c r="E1" t="s">
        <v>10</v>
      </c>
      <c r="F1" t="s">
        <v>11</v>
      </c>
    </row>
    <row r="2" spans="1:14" x14ac:dyDescent="0.4">
      <c r="A2">
        <v>1</v>
      </c>
      <c r="B2">
        <v>10</v>
      </c>
      <c r="D2">
        <f xml:space="preserve"> 50.15-R17</f>
        <v>45.15</v>
      </c>
      <c r="F2">
        <v>0.25</v>
      </c>
    </row>
    <row r="3" spans="1:14" x14ac:dyDescent="0.4">
      <c r="A3">
        <v>2</v>
      </c>
      <c r="B3">
        <v>10</v>
      </c>
      <c r="D3">
        <f t="shared" ref="D3:D7" si="0" xml:space="preserve"> 50.15-R18</f>
        <v>40.15</v>
      </c>
      <c r="F3">
        <v>0.25</v>
      </c>
      <c r="H3" t="s">
        <v>7</v>
      </c>
      <c r="K3">
        <v>16.5</v>
      </c>
      <c r="N3">
        <v>24.5</v>
      </c>
    </row>
    <row r="4" spans="1:14" x14ac:dyDescent="0.4">
      <c r="A4">
        <v>3</v>
      </c>
      <c r="B4">
        <v>10</v>
      </c>
      <c r="D4">
        <f t="shared" si="0"/>
        <v>35.15</v>
      </c>
      <c r="F4">
        <v>0.25</v>
      </c>
      <c r="K4" t="s">
        <v>6</v>
      </c>
      <c r="N4">
        <v>27.3</v>
      </c>
    </row>
    <row r="5" spans="1:14" x14ac:dyDescent="0.4">
      <c r="A5">
        <v>4</v>
      </c>
      <c r="B5">
        <v>10</v>
      </c>
      <c r="D5">
        <f t="shared" si="0"/>
        <v>30.15</v>
      </c>
      <c r="F5">
        <v>0.25</v>
      </c>
      <c r="K5">
        <v>24.15</v>
      </c>
    </row>
    <row r="6" spans="1:14" x14ac:dyDescent="0.4">
      <c r="A6">
        <v>5</v>
      </c>
      <c r="B6">
        <v>10</v>
      </c>
      <c r="D6">
        <f t="shared" si="0"/>
        <v>25.15</v>
      </c>
      <c r="F6">
        <v>0.25</v>
      </c>
      <c r="K6">
        <v>27.75</v>
      </c>
    </row>
    <row r="7" spans="1:14" x14ac:dyDescent="0.4">
      <c r="A7">
        <v>6</v>
      </c>
      <c r="B7">
        <v>10</v>
      </c>
      <c r="D7">
        <f t="shared" si="0"/>
        <v>20.149999999999999</v>
      </c>
      <c r="F7">
        <v>0.25</v>
      </c>
      <c r="K7">
        <v>31.45</v>
      </c>
    </row>
    <row r="8" spans="1:14" x14ac:dyDescent="0.4">
      <c r="K8">
        <v>35.049999999999997</v>
      </c>
    </row>
    <row r="9" spans="1:14" x14ac:dyDescent="0.4">
      <c r="K9">
        <v>38.700000000000003</v>
      </c>
    </row>
    <row r="11" spans="1:14" x14ac:dyDescent="0.4">
      <c r="K11">
        <v>42.3</v>
      </c>
    </row>
    <row r="17" spans="6:23" x14ac:dyDescent="0.4">
      <c r="R17">
        <v>5</v>
      </c>
      <c r="S17">
        <v>10</v>
      </c>
      <c r="W17">
        <v>100</v>
      </c>
    </row>
    <row r="18" spans="6:23" x14ac:dyDescent="0.4">
      <c r="M18">
        <v>10</v>
      </c>
      <c r="N18">
        <v>50</v>
      </c>
      <c r="R18">
        <v>10</v>
      </c>
    </row>
    <row r="19" spans="6:23" x14ac:dyDescent="0.4">
      <c r="M19">
        <v>15</v>
      </c>
      <c r="R19">
        <v>15</v>
      </c>
    </row>
    <row r="20" spans="6:23" x14ac:dyDescent="0.4">
      <c r="G20" t="s">
        <v>2</v>
      </c>
      <c r="M20">
        <v>20</v>
      </c>
      <c r="R20">
        <v>20</v>
      </c>
    </row>
    <row r="21" spans="6:23" x14ac:dyDescent="0.4">
      <c r="M21">
        <v>25</v>
      </c>
      <c r="R21">
        <v>25</v>
      </c>
    </row>
    <row r="22" spans="6:23" x14ac:dyDescent="0.4">
      <c r="M22">
        <v>30</v>
      </c>
      <c r="R22">
        <v>30</v>
      </c>
    </row>
    <row r="23" spans="6:23" x14ac:dyDescent="0.4">
      <c r="R23">
        <v>35</v>
      </c>
    </row>
    <row r="24" spans="6:23" x14ac:dyDescent="0.4">
      <c r="H24" t="s">
        <v>5</v>
      </c>
      <c r="R24">
        <v>40</v>
      </c>
    </row>
    <row r="25" spans="6:23" x14ac:dyDescent="0.4">
      <c r="R25">
        <v>45</v>
      </c>
      <c r="U25" t="s">
        <v>4</v>
      </c>
    </row>
    <row r="26" spans="6:23" x14ac:dyDescent="0.4">
      <c r="L26" t="s">
        <v>3</v>
      </c>
    </row>
    <row r="29" spans="6:23" x14ac:dyDescent="0.4">
      <c r="F29" t="s">
        <v>0</v>
      </c>
      <c r="I29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D1DBD-4023-4A13-960F-10668B0017AB}">
  <dimension ref="A1:AD26"/>
  <sheetViews>
    <sheetView tabSelected="1" topLeftCell="N8" zoomScale="119" zoomScaleNormal="65" workbookViewId="0">
      <selection activeCell="U13" sqref="U13"/>
    </sheetView>
  </sheetViews>
  <sheetFormatPr defaultRowHeight="13.9" x14ac:dyDescent="0.4"/>
  <cols>
    <col min="1" max="2" width="9.06640625" style="1"/>
    <col min="3" max="3" width="16.265625" style="1" customWidth="1"/>
    <col min="4" max="4" width="16.33203125" style="1" customWidth="1"/>
    <col min="5" max="5" width="12.06640625" style="1" customWidth="1"/>
    <col min="6" max="8" width="9.06640625" style="1"/>
    <col min="9" max="9" width="16.265625" style="1" customWidth="1"/>
    <col min="10" max="10" width="16.33203125" style="1" customWidth="1"/>
    <col min="11" max="11" width="12.06640625" style="1" customWidth="1"/>
    <col min="12" max="13" width="9.06640625" style="1"/>
    <col min="14" max="19" width="9" style="1" customWidth="1"/>
    <col min="20" max="20" width="22.19921875" style="1" customWidth="1"/>
    <col min="21" max="24" width="9" style="1" customWidth="1"/>
    <col min="25" max="25" width="9.06640625" style="1"/>
    <col min="26" max="26" width="22.53125" style="1" customWidth="1"/>
    <col min="27" max="27" width="20.3984375" style="1" customWidth="1"/>
    <col min="28" max="16384" width="9.06640625" style="1"/>
  </cols>
  <sheetData>
    <row r="1" spans="1:30" x14ac:dyDescent="0.4">
      <c r="C1" s="1" t="s">
        <v>17</v>
      </c>
      <c r="I1" s="1" t="s">
        <v>18</v>
      </c>
      <c r="Q1" s="1" t="s">
        <v>17</v>
      </c>
      <c r="X1" s="1" t="s">
        <v>18</v>
      </c>
    </row>
    <row r="2" spans="1:30" x14ac:dyDescent="0.4">
      <c r="A2" s="1" t="s">
        <v>21</v>
      </c>
      <c r="B2" s="1" t="s">
        <v>8</v>
      </c>
      <c r="C2" s="1" t="s">
        <v>14</v>
      </c>
      <c r="D2" s="1" t="s">
        <v>15</v>
      </c>
      <c r="E2" s="1" t="s">
        <v>16</v>
      </c>
      <c r="G2" s="1" t="s">
        <v>21</v>
      </c>
      <c r="H2" s="1" t="s">
        <v>8</v>
      </c>
      <c r="I2" s="1" t="s">
        <v>14</v>
      </c>
      <c r="J2" s="1" t="s">
        <v>15</v>
      </c>
      <c r="K2" s="1" t="s">
        <v>16</v>
      </c>
      <c r="P2" s="1" t="s">
        <v>21</v>
      </c>
      <c r="Q2" s="1" t="s">
        <v>8</v>
      </c>
      <c r="R2" s="1" t="s">
        <v>10</v>
      </c>
      <c r="S2" s="1" t="s">
        <v>9</v>
      </c>
      <c r="T2" s="1" t="s">
        <v>11</v>
      </c>
      <c r="V2" s="1" t="s">
        <v>21</v>
      </c>
      <c r="W2" s="1" t="s">
        <v>8</v>
      </c>
      <c r="X2" s="1" t="s">
        <v>10</v>
      </c>
      <c r="Y2" s="1" t="s">
        <v>9</v>
      </c>
      <c r="Z2" s="1" t="s">
        <v>11</v>
      </c>
    </row>
    <row r="3" spans="1:30" x14ac:dyDescent="0.4">
      <c r="A3" s="1">
        <v>1</v>
      </c>
      <c r="B3" s="1">
        <v>10</v>
      </c>
      <c r="C3" s="2">
        <v>5</v>
      </c>
      <c r="D3" s="2">
        <v>42.85</v>
      </c>
      <c r="E3" s="1">
        <v>0.25</v>
      </c>
      <c r="G3" s="1">
        <v>1</v>
      </c>
      <c r="H3" s="1">
        <v>50</v>
      </c>
      <c r="I3" s="2">
        <v>5</v>
      </c>
      <c r="J3" s="2">
        <v>28.3</v>
      </c>
      <c r="K3" s="1">
        <v>0.25</v>
      </c>
      <c r="M3" s="1">
        <f xml:space="preserve"> 表6[[#This Row],[D1/cm]]/表6[[#This Row],[D2/cm]]*表6[[#This Row],[m1/g]]</f>
        <v>51.849315068493169</v>
      </c>
      <c r="P3" s="1">
        <v>1</v>
      </c>
      <c r="Q3" s="1">
        <v>10</v>
      </c>
      <c r="R3" s="2">
        <f t="shared" ref="R3:R11" si="0" xml:space="preserve"> 50.15-D3</f>
        <v>7.2999999999999972</v>
      </c>
      <c r="S3" s="2">
        <f xml:space="preserve"> D3-C3</f>
        <v>37.85</v>
      </c>
      <c r="T3" s="2">
        <v>0.5</v>
      </c>
      <c r="V3" s="1">
        <v>1</v>
      </c>
      <c r="W3" s="1">
        <v>50</v>
      </c>
      <c r="X3" s="2">
        <f t="shared" ref="X3:X10" si="1" xml:space="preserve"> 50.15-J3</f>
        <v>21.849999999999998</v>
      </c>
      <c r="Y3" s="2">
        <f t="shared" ref="Y3:Y10" si="2" xml:space="preserve"> J3-I3</f>
        <v>23.3</v>
      </c>
      <c r="Z3" s="2">
        <v>0.5</v>
      </c>
      <c r="AA3" s="2"/>
      <c r="AB3" s="1">
        <f>表7[[#This Row],[D1/cm]]/表7[[#This Row],[D2/cm]]*表7[[#This Row],[m1/g]]</f>
        <v>53.318077803203664</v>
      </c>
    </row>
    <row r="4" spans="1:30" x14ac:dyDescent="0.4">
      <c r="A4" s="1">
        <v>2</v>
      </c>
      <c r="B4" s="1">
        <v>10</v>
      </c>
      <c r="C4" s="2">
        <v>10</v>
      </c>
      <c r="D4" s="2">
        <v>43.5</v>
      </c>
      <c r="E4" s="1">
        <v>0.25</v>
      </c>
      <c r="G4" s="1">
        <v>2</v>
      </c>
      <c r="H4" s="1">
        <v>50</v>
      </c>
      <c r="I4" s="2">
        <v>10</v>
      </c>
      <c r="J4" s="2">
        <v>31.25</v>
      </c>
      <c r="K4" s="1">
        <v>0.25</v>
      </c>
      <c r="M4" s="1">
        <f xml:space="preserve"> 表6[[#This Row],[D1/cm]]/表6[[#This Row],[D2/cm]]*表6[[#This Row],[m1/g]]</f>
        <v>50.375939849624068</v>
      </c>
      <c r="P4" s="1">
        <v>2</v>
      </c>
      <c r="Q4" s="1">
        <v>10</v>
      </c>
      <c r="R4" s="2">
        <f xml:space="preserve"> 50.15-D4</f>
        <v>6.6499999999999986</v>
      </c>
      <c r="S4" s="2">
        <f t="shared" ref="S3:S11" si="3" xml:space="preserve"> D4-C4</f>
        <v>33.5</v>
      </c>
      <c r="T4" s="2">
        <v>0.5</v>
      </c>
      <c r="V4" s="1">
        <v>2</v>
      </c>
      <c r="W4" s="1">
        <v>50</v>
      </c>
      <c r="X4" s="2">
        <f t="shared" si="1"/>
        <v>18.899999999999999</v>
      </c>
      <c r="Y4" s="2">
        <f t="shared" si="2"/>
        <v>21.25</v>
      </c>
      <c r="Z4" s="2">
        <v>0.5</v>
      </c>
      <c r="AA4" s="2"/>
      <c r="AB4" s="1">
        <f>表7[[#This Row],[D1/cm]]/表7[[#This Row],[D2/cm]]*表7[[#This Row],[m1/g]]</f>
        <v>56.216931216931222</v>
      </c>
    </row>
    <row r="5" spans="1:30" x14ac:dyDescent="0.4">
      <c r="A5" s="1">
        <v>3</v>
      </c>
      <c r="B5" s="1">
        <v>10</v>
      </c>
      <c r="C5" s="2">
        <v>15</v>
      </c>
      <c r="D5" s="2">
        <v>44.4</v>
      </c>
      <c r="E5" s="1">
        <v>0.25</v>
      </c>
      <c r="G5" s="1">
        <v>3</v>
      </c>
      <c r="H5" s="1">
        <v>50</v>
      </c>
      <c r="I5" s="2">
        <v>15</v>
      </c>
      <c r="J5" s="2">
        <v>33.5</v>
      </c>
      <c r="K5" s="1">
        <v>0.25</v>
      </c>
      <c r="M5" s="1">
        <f xml:space="preserve"> 表6[[#This Row],[D1/cm]]/表6[[#This Row],[D2/cm]]*表6[[#This Row],[m1/g]]</f>
        <v>51.130434782608695</v>
      </c>
      <c r="P5" s="1">
        <v>3</v>
      </c>
      <c r="Q5" s="1">
        <v>10</v>
      </c>
      <c r="R5" s="2">
        <f t="shared" si="0"/>
        <v>5.75</v>
      </c>
      <c r="S5" s="2">
        <f t="shared" si="3"/>
        <v>29.4</v>
      </c>
      <c r="T5" s="2">
        <v>0.5</v>
      </c>
      <c r="V5" s="1">
        <v>3</v>
      </c>
      <c r="W5" s="1">
        <v>50</v>
      </c>
      <c r="X5" s="2">
        <f t="shared" si="1"/>
        <v>16.649999999999999</v>
      </c>
      <c r="Y5" s="2">
        <f t="shared" si="2"/>
        <v>18.5</v>
      </c>
      <c r="Z5" s="2">
        <v>0.5</v>
      </c>
      <c r="AA5" s="2"/>
      <c r="AB5" s="1">
        <f>表7[[#This Row],[D1/cm]]/表7[[#This Row],[D2/cm]]*表7[[#This Row],[m1/g]]</f>
        <v>55.555555555555557</v>
      </c>
    </row>
    <row r="6" spans="1:30" x14ac:dyDescent="0.4">
      <c r="A6" s="1">
        <v>4</v>
      </c>
      <c r="B6" s="1">
        <v>10</v>
      </c>
      <c r="C6" s="2">
        <v>20</v>
      </c>
      <c r="D6" s="2">
        <v>45.1</v>
      </c>
      <c r="E6" s="1">
        <v>0.25</v>
      </c>
      <c r="G6" s="1">
        <v>4</v>
      </c>
      <c r="H6" s="1">
        <v>50</v>
      </c>
      <c r="I6" s="2">
        <v>20</v>
      </c>
      <c r="J6" s="2">
        <v>35.5</v>
      </c>
      <c r="K6" s="1">
        <v>0.25</v>
      </c>
      <c r="M6" s="1">
        <f xml:space="preserve"> 表6[[#This Row],[D1/cm]]/表6[[#This Row],[D2/cm]]*表6[[#This Row],[m1/g]]</f>
        <v>49.702970297029729</v>
      </c>
      <c r="P6" s="1">
        <v>4</v>
      </c>
      <c r="Q6" s="1">
        <v>10</v>
      </c>
      <c r="R6" s="2">
        <f t="shared" si="0"/>
        <v>5.0499999999999972</v>
      </c>
      <c r="S6" s="2">
        <f t="shared" si="3"/>
        <v>25.1</v>
      </c>
      <c r="T6" s="2">
        <v>0.5</v>
      </c>
      <c r="V6" s="1">
        <v>4</v>
      </c>
      <c r="W6" s="1">
        <v>50</v>
      </c>
      <c r="X6" s="2">
        <f t="shared" si="1"/>
        <v>14.649999999999999</v>
      </c>
      <c r="Y6" s="2">
        <f t="shared" si="2"/>
        <v>15.5</v>
      </c>
      <c r="Z6" s="2">
        <v>0.5</v>
      </c>
      <c r="AA6" s="2"/>
      <c r="AB6" s="1">
        <f>表7[[#This Row],[D1/cm]]/表7[[#This Row],[D2/cm]]*表7[[#This Row],[m1/g]]</f>
        <v>52.901023890784991</v>
      </c>
      <c r="AD6" s="1">
        <f xml:space="preserve"> AVERAGE(AB3:AB10)</f>
        <v>52.660892700855626</v>
      </c>
    </row>
    <row r="7" spans="1:30" x14ac:dyDescent="0.4">
      <c r="A7" s="1">
        <v>5</v>
      </c>
      <c r="B7" s="1">
        <v>10</v>
      </c>
      <c r="C7" s="2">
        <v>25</v>
      </c>
      <c r="D7" s="2">
        <v>45.9</v>
      </c>
      <c r="E7" s="1">
        <v>0.25</v>
      </c>
      <c r="G7" s="1">
        <v>5</v>
      </c>
      <c r="H7" s="1">
        <v>50</v>
      </c>
      <c r="I7" s="2">
        <v>25</v>
      </c>
      <c r="J7" s="2">
        <v>37.9</v>
      </c>
      <c r="K7" s="1">
        <v>0.25</v>
      </c>
      <c r="M7" s="1">
        <f xml:space="preserve"> 表6[[#This Row],[D1/cm]]/表6[[#This Row],[D2/cm]]*表6[[#This Row],[m1/g]]</f>
        <v>49.17647058823529</v>
      </c>
      <c r="P7" s="1">
        <v>5</v>
      </c>
      <c r="Q7" s="1">
        <v>10</v>
      </c>
      <c r="R7" s="2">
        <f t="shared" si="0"/>
        <v>4.25</v>
      </c>
      <c r="S7" s="2">
        <f t="shared" si="3"/>
        <v>20.9</v>
      </c>
      <c r="T7" s="2">
        <v>0.5</v>
      </c>
      <c r="V7" s="1">
        <v>5</v>
      </c>
      <c r="W7" s="1">
        <v>50</v>
      </c>
      <c r="X7" s="2">
        <f t="shared" si="1"/>
        <v>12.25</v>
      </c>
      <c r="Y7" s="2">
        <f t="shared" si="2"/>
        <v>12.899999999999999</v>
      </c>
      <c r="Z7" s="2">
        <v>0.5</v>
      </c>
      <c r="AA7" s="2"/>
      <c r="AB7" s="1">
        <f>表7[[#This Row],[D1/cm]]/表7[[#This Row],[D2/cm]]*表7[[#This Row],[m1/g]]</f>
        <v>52.653061224489797</v>
      </c>
    </row>
    <row r="8" spans="1:30" x14ac:dyDescent="0.4">
      <c r="A8" s="1">
        <v>6</v>
      </c>
      <c r="B8" s="1">
        <v>10</v>
      </c>
      <c r="C8" s="2">
        <v>30</v>
      </c>
      <c r="D8" s="2">
        <v>46.6</v>
      </c>
      <c r="E8" s="1">
        <v>0.25</v>
      </c>
      <c r="G8" s="1">
        <v>6</v>
      </c>
      <c r="H8" s="1">
        <v>50</v>
      </c>
      <c r="I8" s="2">
        <v>30</v>
      </c>
      <c r="J8" s="2">
        <v>40.25</v>
      </c>
      <c r="K8" s="1">
        <v>0.25</v>
      </c>
      <c r="M8" s="1">
        <f xml:space="preserve"> 表6[[#This Row],[D1/cm]]/表6[[#This Row],[D2/cm]]*表6[[#This Row],[m1/g]]</f>
        <v>46.760563380281738</v>
      </c>
      <c r="P8" s="1">
        <v>6</v>
      </c>
      <c r="Q8" s="1">
        <v>10</v>
      </c>
      <c r="R8" s="2">
        <f t="shared" si="0"/>
        <v>3.5499999999999972</v>
      </c>
      <c r="S8" s="2">
        <f t="shared" si="3"/>
        <v>16.600000000000001</v>
      </c>
      <c r="T8" s="2">
        <v>0.5</v>
      </c>
      <c r="V8" s="1">
        <v>6</v>
      </c>
      <c r="W8" s="1">
        <v>50</v>
      </c>
      <c r="X8" s="2">
        <f t="shared" si="1"/>
        <v>9.8999999999999986</v>
      </c>
      <c r="Y8" s="2">
        <f t="shared" si="2"/>
        <v>10.25</v>
      </c>
      <c r="Z8" s="2">
        <v>0.5</v>
      </c>
      <c r="AA8" s="2"/>
      <c r="AB8" s="1">
        <f>表7[[#This Row],[D1/cm]]/表7[[#This Row],[D2/cm]]*表7[[#This Row],[m1/g]]</f>
        <v>51.767676767676775</v>
      </c>
    </row>
    <row r="9" spans="1:30" x14ac:dyDescent="0.4">
      <c r="A9" s="1">
        <v>7</v>
      </c>
      <c r="B9" s="1">
        <v>10</v>
      </c>
      <c r="C9" s="2">
        <v>35</v>
      </c>
      <c r="D9" s="2">
        <v>47.35</v>
      </c>
      <c r="E9" s="1">
        <v>0.25</v>
      </c>
      <c r="G9" s="1">
        <v>7</v>
      </c>
      <c r="H9" s="1">
        <v>50</v>
      </c>
      <c r="I9" s="2">
        <v>35</v>
      </c>
      <c r="J9" s="2">
        <v>42.6</v>
      </c>
      <c r="K9" s="1">
        <v>0.25</v>
      </c>
      <c r="M9" s="1">
        <f xml:space="preserve"> 表6[[#This Row],[D1/cm]]/表6[[#This Row],[D2/cm]]*表6[[#This Row],[m1/g]]</f>
        <v>44.107142857142911</v>
      </c>
      <c r="P9" s="1">
        <v>7</v>
      </c>
      <c r="Q9" s="1">
        <v>10</v>
      </c>
      <c r="R9" s="2">
        <f t="shared" si="0"/>
        <v>2.7999999999999972</v>
      </c>
      <c r="S9" s="2">
        <f t="shared" si="3"/>
        <v>12.350000000000001</v>
      </c>
      <c r="T9" s="2">
        <v>0.5</v>
      </c>
      <c r="V9" s="1">
        <v>7</v>
      </c>
      <c r="W9" s="1">
        <v>50</v>
      </c>
      <c r="X9" s="2">
        <f t="shared" si="1"/>
        <v>7.5499999999999972</v>
      </c>
      <c r="Y9" s="2">
        <f t="shared" si="2"/>
        <v>7.6000000000000014</v>
      </c>
      <c r="Z9" s="2">
        <v>0.5</v>
      </c>
      <c r="AA9" s="2"/>
      <c r="AB9" s="1">
        <f>表7[[#This Row],[D1/cm]]/表7[[#This Row],[D2/cm]]*表7[[#This Row],[m1/g]]</f>
        <v>50.331125827814596</v>
      </c>
    </row>
    <row r="10" spans="1:30" x14ac:dyDescent="0.4">
      <c r="A10" s="1">
        <v>8</v>
      </c>
      <c r="B10" s="1">
        <v>10</v>
      </c>
      <c r="C10" s="2">
        <v>40</v>
      </c>
      <c r="D10" s="2">
        <v>48.15</v>
      </c>
      <c r="E10" s="1">
        <v>0.25</v>
      </c>
      <c r="G10" s="1">
        <v>8</v>
      </c>
      <c r="H10" s="1">
        <v>50</v>
      </c>
      <c r="I10" s="2">
        <v>40</v>
      </c>
      <c r="J10" s="2">
        <v>45</v>
      </c>
      <c r="K10" s="1">
        <v>0.25</v>
      </c>
      <c r="M10" s="1">
        <f xml:space="preserve"> 表6[[#This Row],[D1/cm]]/表6[[#This Row],[D2/cm]]*表6[[#This Row],[m1/g]]</f>
        <v>40.749999999999993</v>
      </c>
      <c r="P10" s="1">
        <v>8</v>
      </c>
      <c r="Q10" s="1">
        <v>10</v>
      </c>
      <c r="R10" s="2">
        <f t="shared" si="0"/>
        <v>2</v>
      </c>
      <c r="S10" s="2">
        <f t="shared" si="3"/>
        <v>8.1499999999999986</v>
      </c>
      <c r="T10" s="2">
        <v>0.5</v>
      </c>
      <c r="V10" s="1">
        <v>8</v>
      </c>
      <c r="W10" s="1">
        <v>50</v>
      </c>
      <c r="X10" s="2">
        <f t="shared" si="1"/>
        <v>5.1499999999999986</v>
      </c>
      <c r="Y10" s="2">
        <f t="shared" si="2"/>
        <v>5</v>
      </c>
      <c r="Z10" s="2">
        <v>0.5</v>
      </c>
      <c r="AA10" s="2"/>
      <c r="AB10" s="1">
        <f>表7[[#This Row],[D1/cm]]/表7[[#This Row],[D2/cm]]*表7[[#This Row],[m1/g]]</f>
        <v>48.54368932038836</v>
      </c>
    </row>
    <row r="11" spans="1:30" x14ac:dyDescent="0.4">
      <c r="A11" s="1">
        <v>9</v>
      </c>
      <c r="B11" s="1">
        <v>10</v>
      </c>
      <c r="C11" s="2">
        <v>45</v>
      </c>
      <c r="D11" s="2">
        <v>48.9</v>
      </c>
      <c r="E11" s="1">
        <v>0.25</v>
      </c>
      <c r="I11" s="2"/>
      <c r="J11" s="2"/>
      <c r="M11" s="1">
        <f xml:space="preserve"> 表6[[#This Row],[D1/cm]]/表6[[#This Row],[D2/cm]]*表6[[#This Row],[m1/g]]</f>
        <v>31.199999999999989</v>
      </c>
      <c r="P11" s="1">
        <v>9</v>
      </c>
      <c r="Q11" s="1">
        <v>10</v>
      </c>
      <c r="R11" s="2">
        <f t="shared" si="0"/>
        <v>1.25</v>
      </c>
      <c r="S11" s="2">
        <f t="shared" si="3"/>
        <v>3.8999999999999986</v>
      </c>
      <c r="T11" s="2">
        <v>0.5</v>
      </c>
      <c r="X11" s="2" t="s">
        <v>12</v>
      </c>
      <c r="Y11" s="2">
        <f>1.1372*W3</f>
        <v>56.86</v>
      </c>
    </row>
    <row r="12" spans="1:30" x14ac:dyDescent="0.4">
      <c r="C12" s="2"/>
      <c r="D12" s="2"/>
      <c r="I12" s="2"/>
      <c r="J12" s="2"/>
      <c r="N12" s="1">
        <f xml:space="preserve"> AVERAGE(M3:M11)</f>
        <v>46.116981869268393</v>
      </c>
      <c r="R12" s="2" t="s">
        <v>12</v>
      </c>
      <c r="S12" s="2">
        <f>5.5835*Q3</f>
        <v>55.835000000000001</v>
      </c>
      <c r="T12" s="2">
        <f>S12+1.5*S13</f>
        <v>56.907499999999999</v>
      </c>
    </row>
    <row r="13" spans="1:30" x14ac:dyDescent="0.4">
      <c r="C13" s="2"/>
      <c r="D13" s="2"/>
      <c r="I13" s="2"/>
      <c r="J13" s="2"/>
      <c r="S13" s="2">
        <f>S12-S25</f>
        <v>0.71499999999999631</v>
      </c>
      <c r="U13" s="2">
        <f xml:space="preserve"> AVERAGE(S12,S25,Y11)</f>
        <v>55.938333333333333</v>
      </c>
      <c r="V13" s="1">
        <f>(Y11-S25)/2</f>
        <v>0.86999999999999744</v>
      </c>
      <c r="X13" s="1">
        <f>(55-55.65)/55.65*100</f>
        <v>-1.1680143755615429</v>
      </c>
    </row>
    <row r="15" spans="1:30" x14ac:dyDescent="0.4">
      <c r="C15" s="1" t="s">
        <v>19</v>
      </c>
      <c r="I15" s="1" t="s">
        <v>20</v>
      </c>
      <c r="Q15" s="1" t="s">
        <v>19</v>
      </c>
      <c r="X15" s="1" t="s">
        <v>20</v>
      </c>
    </row>
    <row r="16" spans="1:30" x14ac:dyDescent="0.4">
      <c r="A16" s="1" t="s">
        <v>22</v>
      </c>
      <c r="B16" s="1" t="s">
        <v>13</v>
      </c>
      <c r="C16" s="1" t="s">
        <v>14</v>
      </c>
      <c r="D16" s="1" t="s">
        <v>15</v>
      </c>
      <c r="E16" s="1" t="s">
        <v>16</v>
      </c>
      <c r="G16" s="1" t="s">
        <v>22</v>
      </c>
      <c r="H16" s="1" t="s">
        <v>13</v>
      </c>
      <c r="I16" s="1" t="s">
        <v>14</v>
      </c>
      <c r="J16" s="1" t="s">
        <v>15</v>
      </c>
      <c r="K16" s="1" t="s">
        <v>16</v>
      </c>
      <c r="P16" s="1" t="s">
        <v>21</v>
      </c>
      <c r="Q16" s="1" t="s">
        <v>8</v>
      </c>
      <c r="R16" s="1" t="s">
        <v>10</v>
      </c>
      <c r="S16" s="1" t="s">
        <v>9</v>
      </c>
      <c r="T16" s="1" t="s">
        <v>11</v>
      </c>
      <c r="V16" s="1" t="s">
        <v>21</v>
      </c>
      <c r="W16" s="1" t="s">
        <v>8</v>
      </c>
      <c r="X16" s="1" t="s">
        <v>10</v>
      </c>
      <c r="Y16" s="1" t="s">
        <v>9</v>
      </c>
      <c r="Z16" s="1" t="s">
        <v>11</v>
      </c>
    </row>
    <row r="17" spans="1:28" x14ac:dyDescent="0.4">
      <c r="A17" s="1">
        <v>1</v>
      </c>
      <c r="B17" s="1">
        <v>100</v>
      </c>
      <c r="C17" s="2">
        <v>5</v>
      </c>
      <c r="D17" s="2">
        <v>20.7</v>
      </c>
      <c r="E17" s="1">
        <v>0.25</v>
      </c>
      <c r="G17" s="1">
        <v>1</v>
      </c>
      <c r="H17" s="1">
        <v>150</v>
      </c>
      <c r="I17" s="2">
        <v>5</v>
      </c>
      <c r="J17" s="2">
        <v>16.5</v>
      </c>
      <c r="K17" s="1">
        <v>0.25</v>
      </c>
      <c r="N17" s="1">
        <f>表8[[#This Row],[D1/cm]]/表8[[#This Row],[D2/cm]]*表8[[#This Row],[m1/g]]</f>
        <v>53.310696095076402</v>
      </c>
      <c r="P17" s="1">
        <v>1</v>
      </c>
      <c r="Q17" s="1">
        <v>100</v>
      </c>
      <c r="R17" s="2">
        <f t="shared" ref="R17:R24" si="4" xml:space="preserve"> 50.15-D17</f>
        <v>29.45</v>
      </c>
      <c r="S17" s="2">
        <f t="shared" ref="S17:S24" si="5" xml:space="preserve"> D17-C17</f>
        <v>15.7</v>
      </c>
      <c r="T17" s="2">
        <v>0.5</v>
      </c>
      <c r="V17" s="1">
        <v>1</v>
      </c>
      <c r="W17" s="1">
        <v>150</v>
      </c>
      <c r="X17" s="2">
        <f t="shared" ref="X17:X24" si="6" xml:space="preserve"> 50.15-J17</f>
        <v>33.65</v>
      </c>
      <c r="Y17" s="2">
        <f t="shared" ref="Y17:Y24" si="7" xml:space="preserve"> J17-I17</f>
        <v>11.5</v>
      </c>
      <c r="Z17" s="2">
        <v>0.5</v>
      </c>
      <c r="AA17" s="2"/>
      <c r="AB17" s="1">
        <f>表9[[#This Row],[D1/cm]]/表9[[#This Row],[D2/cm]]*表9[[#This Row],[m1/g]]</f>
        <v>51.263001485884104</v>
      </c>
    </row>
    <row r="18" spans="1:28" x14ac:dyDescent="0.4">
      <c r="A18" s="1">
        <v>2</v>
      </c>
      <c r="B18" s="1">
        <v>100</v>
      </c>
      <c r="C18" s="2">
        <v>10</v>
      </c>
      <c r="D18" s="2">
        <v>23.8</v>
      </c>
      <c r="E18" s="1">
        <v>0.25</v>
      </c>
      <c r="G18" s="1">
        <v>2</v>
      </c>
      <c r="H18" s="1">
        <v>150</v>
      </c>
      <c r="I18" s="2">
        <v>10</v>
      </c>
      <c r="J18" s="2">
        <v>20.6</v>
      </c>
      <c r="K18" s="1">
        <v>0.25</v>
      </c>
      <c r="N18" s="1">
        <f>表8[[#This Row],[D1/cm]]/表8[[#This Row],[D2/cm]]*表8[[#This Row],[m1/g]]</f>
        <v>52.371916508538909</v>
      </c>
      <c r="P18" s="1">
        <v>2</v>
      </c>
      <c r="Q18" s="1">
        <v>100</v>
      </c>
      <c r="R18" s="2">
        <f t="shared" si="4"/>
        <v>26.349999999999998</v>
      </c>
      <c r="S18" s="2">
        <f t="shared" si="5"/>
        <v>13.8</v>
      </c>
      <c r="T18" s="2">
        <v>0.5</v>
      </c>
      <c r="V18" s="1">
        <v>2</v>
      </c>
      <c r="W18" s="1">
        <v>150</v>
      </c>
      <c r="X18" s="2">
        <f t="shared" si="6"/>
        <v>29.549999999999997</v>
      </c>
      <c r="Y18" s="2">
        <f t="shared" si="7"/>
        <v>10.600000000000001</v>
      </c>
      <c r="Z18" s="2">
        <v>0.5</v>
      </c>
      <c r="AA18" s="2"/>
      <c r="AB18" s="1">
        <f>表9[[#This Row],[D1/cm]]/表9[[#This Row],[D2/cm]]*表9[[#This Row],[m1/g]]</f>
        <v>53.807106598984781</v>
      </c>
    </row>
    <row r="19" spans="1:28" x14ac:dyDescent="0.4">
      <c r="A19" s="1">
        <v>3</v>
      </c>
      <c r="B19" s="1">
        <v>100</v>
      </c>
      <c r="C19" s="2">
        <v>15</v>
      </c>
      <c r="D19" s="2">
        <v>27.2</v>
      </c>
      <c r="E19" s="1">
        <v>0.25</v>
      </c>
      <c r="G19" s="1">
        <v>3</v>
      </c>
      <c r="H19" s="1">
        <v>150</v>
      </c>
      <c r="I19" s="2">
        <v>15</v>
      </c>
      <c r="J19" s="2">
        <v>24.15</v>
      </c>
      <c r="K19" s="1">
        <v>0.25</v>
      </c>
      <c r="N19" s="1">
        <f>表8[[#This Row],[D1/cm]]/表8[[#This Row],[D2/cm]]*表8[[#This Row],[m1/g]]</f>
        <v>53.159041394335517</v>
      </c>
      <c r="P19" s="1">
        <v>3</v>
      </c>
      <c r="Q19" s="1">
        <v>100</v>
      </c>
      <c r="R19" s="2">
        <f t="shared" si="4"/>
        <v>22.95</v>
      </c>
      <c r="S19" s="2">
        <f t="shared" si="5"/>
        <v>12.2</v>
      </c>
      <c r="T19" s="2">
        <v>0.5</v>
      </c>
      <c r="V19" s="1">
        <v>3</v>
      </c>
      <c r="W19" s="1">
        <v>150</v>
      </c>
      <c r="X19" s="2">
        <f t="shared" si="6"/>
        <v>26</v>
      </c>
      <c r="Y19" s="2">
        <f t="shared" si="7"/>
        <v>9.1499999999999986</v>
      </c>
      <c r="Z19" s="2">
        <v>0.5</v>
      </c>
      <c r="AA19" s="2"/>
      <c r="AB19" s="1">
        <f>表9[[#This Row],[D1/cm]]/表9[[#This Row],[D2/cm]]*表9[[#This Row],[m1/g]]</f>
        <v>52.788461538461533</v>
      </c>
    </row>
    <row r="20" spans="1:28" x14ac:dyDescent="0.4">
      <c r="A20" s="1">
        <v>4</v>
      </c>
      <c r="B20" s="1">
        <v>100</v>
      </c>
      <c r="C20" s="2">
        <v>20</v>
      </c>
      <c r="D20" s="2">
        <v>30.45</v>
      </c>
      <c r="E20" s="1">
        <v>0.25</v>
      </c>
      <c r="G20" s="1">
        <v>4</v>
      </c>
      <c r="H20" s="1">
        <v>150</v>
      </c>
      <c r="I20" s="2">
        <v>20</v>
      </c>
      <c r="J20" s="2">
        <v>27.8</v>
      </c>
      <c r="K20" s="1">
        <v>0.25</v>
      </c>
      <c r="N20" s="1">
        <f>表8[[#This Row],[D1/cm]]/表8[[#This Row],[D2/cm]]*表8[[#This Row],[m1/g]]</f>
        <v>53.045685279187815</v>
      </c>
      <c r="P20" s="1">
        <v>4</v>
      </c>
      <c r="Q20" s="1">
        <v>100</v>
      </c>
      <c r="R20" s="2">
        <f t="shared" si="4"/>
        <v>19.7</v>
      </c>
      <c r="S20" s="2">
        <f t="shared" si="5"/>
        <v>10.45</v>
      </c>
      <c r="T20" s="2">
        <v>0.5</v>
      </c>
      <c r="V20" s="1">
        <v>4</v>
      </c>
      <c r="W20" s="1">
        <v>150</v>
      </c>
      <c r="X20" s="2">
        <f t="shared" si="6"/>
        <v>22.349999999999998</v>
      </c>
      <c r="Y20" s="2">
        <f t="shared" si="7"/>
        <v>7.8000000000000007</v>
      </c>
      <c r="Z20" s="2">
        <v>0.5</v>
      </c>
      <c r="AA20" s="2"/>
      <c r="AB20" s="1">
        <f>表9[[#This Row],[D1/cm]]/表9[[#This Row],[D2/cm]]*表9[[#This Row],[m1/g]]</f>
        <v>52.348993288590613</v>
      </c>
    </row>
    <row r="21" spans="1:28" x14ac:dyDescent="0.4">
      <c r="A21" s="1">
        <v>5</v>
      </c>
      <c r="B21" s="1">
        <v>100</v>
      </c>
      <c r="C21" s="2">
        <v>25</v>
      </c>
      <c r="D21" s="2">
        <v>33.549999999999997</v>
      </c>
      <c r="E21" s="1">
        <v>0.25</v>
      </c>
      <c r="G21" s="1">
        <v>5</v>
      </c>
      <c r="H21" s="1">
        <v>150</v>
      </c>
      <c r="I21" s="2">
        <v>25</v>
      </c>
      <c r="J21" s="2">
        <v>31.45</v>
      </c>
      <c r="K21" s="1">
        <v>0.25</v>
      </c>
      <c r="N21" s="1">
        <f>表8[[#This Row],[D1/cm]]/表8[[#This Row],[D2/cm]]*表8[[#This Row],[m1/g]]</f>
        <v>51.506024096385516</v>
      </c>
      <c r="P21" s="1">
        <v>5</v>
      </c>
      <c r="Q21" s="1">
        <v>100</v>
      </c>
      <c r="R21" s="2">
        <f t="shared" si="4"/>
        <v>16.600000000000001</v>
      </c>
      <c r="S21" s="2">
        <f t="shared" si="5"/>
        <v>8.5499999999999972</v>
      </c>
      <c r="T21" s="2">
        <v>0.5</v>
      </c>
      <c r="V21" s="1">
        <v>5</v>
      </c>
      <c r="W21" s="1">
        <v>150</v>
      </c>
      <c r="X21" s="2">
        <f t="shared" si="6"/>
        <v>18.7</v>
      </c>
      <c r="Y21" s="2">
        <f t="shared" si="7"/>
        <v>6.4499999999999993</v>
      </c>
      <c r="Z21" s="2">
        <v>0.5</v>
      </c>
      <c r="AA21" s="2"/>
      <c r="AB21" s="1">
        <f>表9[[#This Row],[D1/cm]]/表9[[#This Row],[D2/cm]]*表9[[#This Row],[m1/g]]</f>
        <v>51.737967914438499</v>
      </c>
    </row>
    <row r="22" spans="1:28" x14ac:dyDescent="0.4">
      <c r="A22" s="1">
        <v>6</v>
      </c>
      <c r="B22" s="1">
        <v>100</v>
      </c>
      <c r="C22" s="2">
        <v>30</v>
      </c>
      <c r="D22" s="2">
        <v>36.799999999999997</v>
      </c>
      <c r="E22" s="1">
        <v>0.25</v>
      </c>
      <c r="G22" s="1">
        <v>6</v>
      </c>
      <c r="H22" s="1">
        <v>150</v>
      </c>
      <c r="I22" s="2">
        <v>30</v>
      </c>
      <c r="J22" s="2">
        <v>35.049999999999997</v>
      </c>
      <c r="K22" s="1">
        <v>0.25</v>
      </c>
      <c r="N22" s="1">
        <f>表8[[#This Row],[D1/cm]]/表8[[#This Row],[D2/cm]]*表8[[#This Row],[m1/g]]</f>
        <v>50.936329588014949</v>
      </c>
      <c r="P22" s="1">
        <v>6</v>
      </c>
      <c r="Q22" s="1">
        <v>100</v>
      </c>
      <c r="R22" s="2">
        <f t="shared" si="4"/>
        <v>13.350000000000001</v>
      </c>
      <c r="S22" s="2">
        <f t="shared" si="5"/>
        <v>6.7999999999999972</v>
      </c>
      <c r="T22" s="2">
        <v>0.5</v>
      </c>
      <c r="V22" s="1">
        <v>6</v>
      </c>
      <c r="W22" s="1">
        <v>150</v>
      </c>
      <c r="X22" s="2">
        <f t="shared" si="6"/>
        <v>15.100000000000001</v>
      </c>
      <c r="Y22" s="2">
        <f t="shared" si="7"/>
        <v>5.0499999999999972</v>
      </c>
      <c r="Z22" s="2">
        <v>0.5</v>
      </c>
      <c r="AA22" s="2"/>
      <c r="AB22" s="1">
        <f>表9[[#This Row],[D1/cm]]/表9[[#This Row],[D2/cm]]*表9[[#This Row],[m1/g]]</f>
        <v>50.165562913907252</v>
      </c>
    </row>
    <row r="23" spans="1:28" x14ac:dyDescent="0.4">
      <c r="A23" s="1">
        <v>7</v>
      </c>
      <c r="B23" s="1">
        <v>100</v>
      </c>
      <c r="C23" s="2">
        <v>35</v>
      </c>
      <c r="D23" s="2">
        <v>40</v>
      </c>
      <c r="E23" s="1">
        <v>0.25</v>
      </c>
      <c r="G23" s="1">
        <v>7</v>
      </c>
      <c r="H23" s="1">
        <v>150</v>
      </c>
      <c r="I23" s="2">
        <v>35</v>
      </c>
      <c r="J23" s="2">
        <v>38.700000000000003</v>
      </c>
      <c r="K23" s="1">
        <v>0.25</v>
      </c>
      <c r="N23" s="1">
        <f>表8[[#This Row],[D1/cm]]/表8[[#This Row],[D2/cm]]*表8[[#This Row],[m1/g]]</f>
        <v>49.26108374384237</v>
      </c>
      <c r="P23" s="1">
        <v>7</v>
      </c>
      <c r="Q23" s="1">
        <v>100</v>
      </c>
      <c r="R23" s="2">
        <f t="shared" si="4"/>
        <v>10.149999999999999</v>
      </c>
      <c r="S23" s="2">
        <f t="shared" si="5"/>
        <v>5</v>
      </c>
      <c r="T23" s="2">
        <v>0.5</v>
      </c>
      <c r="V23" s="1">
        <v>7</v>
      </c>
      <c r="W23" s="1">
        <v>150</v>
      </c>
      <c r="X23" s="2">
        <f t="shared" si="6"/>
        <v>11.449999999999996</v>
      </c>
      <c r="Y23" s="2">
        <f t="shared" si="7"/>
        <v>3.7000000000000028</v>
      </c>
      <c r="Z23" s="2">
        <v>0.5</v>
      </c>
      <c r="AA23" s="2"/>
      <c r="AB23" s="1">
        <f>表9[[#This Row],[D1/cm]]/表9[[#This Row],[D2/cm]]*表9[[#This Row],[m1/g]]</f>
        <v>48.471615720524071</v>
      </c>
    </row>
    <row r="24" spans="1:28" x14ac:dyDescent="0.4">
      <c r="A24" s="1">
        <v>8</v>
      </c>
      <c r="B24" s="1">
        <v>100</v>
      </c>
      <c r="C24" s="2">
        <v>40</v>
      </c>
      <c r="D24" s="2">
        <v>43.25</v>
      </c>
      <c r="E24" s="1">
        <v>0.25</v>
      </c>
      <c r="G24" s="1">
        <v>8</v>
      </c>
      <c r="H24" s="1">
        <v>150</v>
      </c>
      <c r="I24" s="2">
        <v>40</v>
      </c>
      <c r="J24" s="2">
        <v>42.5</v>
      </c>
      <c r="K24" s="1">
        <v>0.25</v>
      </c>
      <c r="N24" s="1">
        <f>表8[[#This Row],[D1/cm]]/表8[[#This Row],[D2/cm]]*表8[[#This Row],[m1/g]]</f>
        <v>47.101449275362327</v>
      </c>
      <c r="P24" s="1">
        <v>8</v>
      </c>
      <c r="Q24" s="1">
        <v>100</v>
      </c>
      <c r="R24" s="2">
        <f t="shared" si="4"/>
        <v>6.8999999999999986</v>
      </c>
      <c r="S24" s="2">
        <f t="shared" si="5"/>
        <v>3.25</v>
      </c>
      <c r="T24" s="2">
        <v>0.5</v>
      </c>
      <c r="V24" s="1">
        <v>8</v>
      </c>
      <c r="W24" s="1">
        <v>150</v>
      </c>
      <c r="X24" s="2">
        <f t="shared" si="6"/>
        <v>7.6499999999999986</v>
      </c>
      <c r="Y24" s="2">
        <f t="shared" si="7"/>
        <v>2.5</v>
      </c>
      <c r="Z24" s="2">
        <v>0.5</v>
      </c>
      <c r="AA24" s="2"/>
      <c r="AB24" s="1">
        <f>表9[[#This Row],[D1/cm]]/表9[[#This Row],[D2/cm]]*表9[[#This Row],[m1/g]]</f>
        <v>49.019607843137265</v>
      </c>
    </row>
    <row r="25" spans="1:28" x14ac:dyDescent="0.4">
      <c r="R25" s="2" t="s">
        <v>12</v>
      </c>
      <c r="S25" s="2">
        <f>0.5512*Q17</f>
        <v>55.120000000000005</v>
      </c>
      <c r="T25" s="2">
        <f>S25-1.5*S13</f>
        <v>54.047500000000014</v>
      </c>
      <c r="X25" s="2" t="s">
        <v>12</v>
      </c>
      <c r="Y25" s="2">
        <f>0.3596*W17</f>
        <v>53.94</v>
      </c>
    </row>
    <row r="26" spans="1:28" x14ac:dyDescent="0.4">
      <c r="N26" s="1">
        <f xml:space="preserve"> AVERAGE(N17:N24)</f>
        <v>51.336528247592973</v>
      </c>
      <c r="AB26" s="1">
        <f xml:space="preserve"> AVERAGE(AB17:AB24)</f>
        <v>51.200289662991011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Huang</dc:creator>
  <cp:lastModifiedBy>Maggie Huang</cp:lastModifiedBy>
  <dcterms:created xsi:type="dcterms:W3CDTF">2018-11-22T05:17:22Z</dcterms:created>
  <dcterms:modified xsi:type="dcterms:W3CDTF">2018-12-05T05:34:09Z</dcterms:modified>
</cp:coreProperties>
</file>