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abcad\Standard Parts - SJTUVEX\Standard Parts-SJTUVEX\Motion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F24" i="1" l="1"/>
  <c r="F25" i="1" s="1"/>
  <c r="F26" i="1" s="1"/>
  <c r="F27" i="1" s="1"/>
  <c r="F28" i="1" s="1"/>
  <c r="F29" i="1" s="1"/>
  <c r="J2" i="1"/>
  <c r="I2" i="1"/>
  <c r="E6" i="1" l="1"/>
  <c r="E3" i="1"/>
  <c r="G3" i="1"/>
  <c r="B8" i="1"/>
  <c r="B24" i="1"/>
  <c r="F6" i="1"/>
  <c r="E10" i="1"/>
  <c r="F7" i="1"/>
  <c r="F8" i="1"/>
  <c r="F9" i="1"/>
  <c r="F10" i="1"/>
  <c r="E7" i="1"/>
  <c r="B17" i="1"/>
  <c r="E8" i="1"/>
  <c r="B12" i="1"/>
  <c r="E9" i="1"/>
  <c r="K3" i="1" l="1"/>
  <c r="C32" i="1"/>
  <c r="D32" i="1"/>
  <c r="D24" i="1"/>
  <c r="C24" i="1"/>
  <c r="B13" i="1"/>
  <c r="B9" i="1"/>
  <c r="E32" i="1" l="1"/>
  <c r="B20" i="1" s="1"/>
  <c r="E24" i="1"/>
  <c r="G24" i="1" s="1"/>
  <c r="B25" i="1" s="1"/>
  <c r="D25" i="1" l="1"/>
  <c r="C25" i="1"/>
  <c r="E25" i="1" l="1"/>
  <c r="G25" i="1" s="1"/>
  <c r="H25" i="1" s="1"/>
  <c r="B26" i="1" s="1"/>
  <c r="D26" i="1" s="1"/>
  <c r="C26" i="1" l="1"/>
  <c r="E26" i="1" l="1"/>
  <c r="G26" i="1" s="1"/>
  <c r="H26" i="1" l="1"/>
  <c r="B27" i="1" s="1"/>
  <c r="D27" i="1" s="1"/>
  <c r="C27" i="1" l="1"/>
  <c r="E27" i="1" l="1"/>
  <c r="G27" i="1" s="1"/>
  <c r="H27" i="1" s="1"/>
  <c r="B28" i="1" s="1"/>
  <c r="D28" i="1" s="1"/>
  <c r="C28" i="1" l="1"/>
  <c r="E28" i="1" l="1"/>
  <c r="G28" i="1" s="1"/>
  <c r="H28" i="1" s="1"/>
  <c r="B29" i="1" s="1"/>
  <c r="B16" i="1" l="1"/>
  <c r="D29" i="1"/>
  <c r="C29" i="1"/>
  <c r="E29" i="1" l="1"/>
  <c r="G29" i="1" s="1"/>
  <c r="H29" i="1" l="1"/>
</calcChain>
</file>

<file path=xl/sharedStrings.xml><?xml version="1.0" encoding="utf-8"?>
<sst xmlns="http://schemas.openxmlformats.org/spreadsheetml/2006/main" count="40" uniqueCount="34">
  <si>
    <t>同步带轮计算手册</t>
    <phoneticPr fontId="3" type="noConversion"/>
  </si>
  <si>
    <t>同步带类型</t>
    <phoneticPr fontId="3" type="noConversion"/>
  </si>
  <si>
    <t>节距</t>
    <phoneticPr fontId="3" type="noConversion"/>
  </si>
  <si>
    <t>节线差a</t>
    <phoneticPr fontId="3" type="noConversion"/>
  </si>
  <si>
    <t>齿形参数</t>
    <phoneticPr fontId="3" type="noConversion"/>
  </si>
  <si>
    <t>皮带齿数</t>
    <phoneticPr fontId="3" type="noConversion"/>
  </si>
  <si>
    <t>C</t>
    <phoneticPr fontId="3" type="noConversion"/>
  </si>
  <si>
    <t>Target</t>
    <phoneticPr fontId="3" type="noConversion"/>
  </si>
  <si>
    <t>节径(mm)</t>
    <phoneticPr fontId="3" type="noConversion"/>
  </si>
  <si>
    <t>外径(mm)</t>
    <phoneticPr fontId="3" type="noConversion"/>
  </si>
  <si>
    <t>中心距(mm)</t>
    <phoneticPr fontId="3" type="noConversion"/>
  </si>
  <si>
    <t>Hg(mm)</t>
    <phoneticPr fontId="3" type="noConversion"/>
  </si>
  <si>
    <t>X(mm)</t>
    <phoneticPr fontId="3" type="noConversion"/>
  </si>
  <si>
    <t>R1(mm)</t>
    <phoneticPr fontId="3" type="noConversion"/>
  </si>
  <si>
    <t>R2(mm)</t>
    <phoneticPr fontId="3" type="noConversion"/>
  </si>
  <si>
    <t>Φ(°)</t>
    <phoneticPr fontId="3" type="noConversion"/>
  </si>
  <si>
    <t>α</t>
    <phoneticPr fontId="3" type="noConversion"/>
  </si>
  <si>
    <t>Length-Straight</t>
    <phoneticPr fontId="3" type="noConversion"/>
  </si>
  <si>
    <t>大带轮齿数</t>
    <phoneticPr fontId="3" type="noConversion"/>
  </si>
  <si>
    <t>小带轮齿数</t>
    <phoneticPr fontId="3" type="noConversion"/>
  </si>
  <si>
    <t>大带轮</t>
    <phoneticPr fontId="3" type="noConversion"/>
  </si>
  <si>
    <t>小带轮</t>
    <phoneticPr fontId="3" type="noConversion"/>
  </si>
  <si>
    <t>Teeth'</t>
    <phoneticPr fontId="3" type="noConversion"/>
  </si>
  <si>
    <t>Y</t>
    <phoneticPr fontId="3" type="noConversion"/>
  </si>
  <si>
    <t>deltaY/deltaC</t>
    <phoneticPr fontId="3" type="noConversion"/>
  </si>
  <si>
    <t>带高hs(mm)</t>
    <phoneticPr fontId="3" type="noConversion"/>
  </si>
  <si>
    <t>齿高ht(mm)</t>
    <phoneticPr fontId="3" type="noConversion"/>
  </si>
  <si>
    <t>皮带节线长度(mm)</t>
    <phoneticPr fontId="3" type="noConversion"/>
  </si>
  <si>
    <t>同步带轮齿形</t>
    <phoneticPr fontId="3" type="noConversion"/>
  </si>
  <si>
    <t>同步带齿形</t>
    <phoneticPr fontId="3" type="noConversion"/>
  </si>
  <si>
    <t>中心距（mm）</t>
    <phoneticPr fontId="3" type="noConversion"/>
  </si>
  <si>
    <t>Teeth</t>
    <phoneticPr fontId="3" type="noConversion"/>
  </si>
  <si>
    <t>a(mm)</t>
    <phoneticPr fontId="3" type="noConversion"/>
  </si>
  <si>
    <t>H3M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</si>
</sst>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0_ "/>
    <numFmt numFmtId="177" formatCode="0.00_);[Red]\(0.00\)"/>
    <numFmt numFmtId="178" formatCode="0.00_ "/>
  </numFmts>
  <fonts count="17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Calibri"/>
      <family val="2"/>
    </font>
    <font>
      <sz val="14"/>
      <color rgb="FF006100"/>
      <name val="等线"/>
      <family val="3"/>
      <charset val="134"/>
      <scheme val="minor"/>
    </font>
    <font>
      <b/>
      <sz val="14"/>
      <color rgb="FFFA7D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4"/>
      <color rgb="FFFA7D00"/>
      <name val="等线"/>
      <family val="2"/>
      <charset val="134"/>
      <scheme val="minor"/>
    </font>
    <font>
      <sz val="14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4"/>
      <color rgb="FF9C57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4" borderId="8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9" fillId="3" borderId="3" xfId="2" applyNumberFormat="1" applyFont="1" applyBorder="1" applyAlignment="1" applyProtection="1">
      <alignment horizontal="center" vertical="center"/>
    </xf>
    <xf numFmtId="177" fontId="13" fillId="3" borderId="1" xfId="2" applyNumberFormat="1" applyFont="1" applyAlignment="1" applyProtection="1">
      <alignment horizontal="center" vertical="center"/>
    </xf>
    <xf numFmtId="178" fontId="13" fillId="3" borderId="1" xfId="2" applyNumberFormat="1" applyFont="1" applyAlignment="1" applyProtection="1">
      <alignment horizontal="center" vertical="center"/>
    </xf>
    <xf numFmtId="0" fontId="11" fillId="4" borderId="8" xfId="3" applyFont="1" applyAlignment="1" applyProtection="1">
      <alignment horizontal="center" vertical="center"/>
    </xf>
    <xf numFmtId="0" fontId="16" fillId="5" borderId="10" xfId="4" applyFont="1" applyBorder="1" applyAlignment="1" applyProtection="1">
      <alignment horizontal="center" vertical="center"/>
    </xf>
    <xf numFmtId="0" fontId="16" fillId="5" borderId="0" xfId="4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8" fillId="2" borderId="0" xfId="1" applyFont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4" fillId="2" borderId="0" xfId="1" applyFont="1" applyAlignment="1" applyProtection="1">
      <alignment horizontal="center" vertical="center"/>
      <protection locked="0"/>
    </xf>
    <xf numFmtId="178" fontId="6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</cellXfs>
  <cellStyles count="5">
    <cellStyle name="常规" xfId="0" builtinId="0"/>
    <cellStyle name="好" xfId="1" builtinId="26"/>
    <cellStyle name="计算" xfId="2" builtinId="22"/>
    <cellStyle name="适中" xfId="4" builtinId="28"/>
    <cellStyle name="注释" xfId="3" builtinId="1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10</xdr:row>
      <xdr:rowOff>4944</xdr:rowOff>
    </xdr:from>
    <xdr:to>
      <xdr:col>6</xdr:col>
      <xdr:colOff>0</xdr:colOff>
      <xdr:row>17</xdr:row>
      <xdr:rowOff>8260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7765116-387B-4BDD-BD94-DD70350E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7680" y="2771004"/>
          <a:ext cx="4251960" cy="1763536"/>
        </a:xfrm>
        <a:prstGeom prst="rect">
          <a:avLst/>
        </a:prstGeom>
      </xdr:spPr>
    </xdr:pic>
    <xdr:clientData/>
  </xdr:twoCellAnchor>
  <xdr:twoCellAnchor editAs="oneCell">
    <xdr:from>
      <xdr:col>6</xdr:col>
      <xdr:colOff>632460</xdr:colOff>
      <xdr:row>10</xdr:row>
      <xdr:rowOff>21877</xdr:rowOff>
    </xdr:from>
    <xdr:to>
      <xdr:col>10</xdr:col>
      <xdr:colOff>640080</xdr:colOff>
      <xdr:row>16</xdr:row>
      <xdr:rowOff>246006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2073B5D-CDF8-43FE-B922-BD5D0A16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7840" y="2787937"/>
          <a:ext cx="3169920" cy="1732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0"/>
  <sheetViews>
    <sheetView tabSelected="1" topLeftCell="A2" zoomScaleNormal="100" workbookViewId="0">
      <selection activeCell="G5" sqref="G5"/>
    </sheetView>
  </sheetViews>
  <sheetFormatPr defaultRowHeight="13.8" x14ac:dyDescent="0.25"/>
  <cols>
    <col min="1" max="1" width="23.77734375" style="9" customWidth="1"/>
    <col min="2" max="7" width="20.77734375" style="9" customWidth="1"/>
    <col min="8" max="8" width="25.33203125" style="9" customWidth="1"/>
    <col min="9" max="9" width="20.5546875" style="9" hidden="1" customWidth="1"/>
    <col min="10" max="10" width="6.44140625" style="9" hidden="1" customWidth="1"/>
    <col min="11" max="11" width="19.6640625" style="9" customWidth="1"/>
    <col min="12" max="48" width="20.77734375" style="9" customWidth="1"/>
    <col min="49" max="16384" width="8.88671875" style="9"/>
  </cols>
  <sheetData>
    <row r="1" spans="1:21" ht="40.049999999999997" customHeight="1" x14ac:dyDescent="0.25">
      <c r="A1" s="24" t="s">
        <v>0</v>
      </c>
      <c r="B1" s="24"/>
      <c r="C1" s="24"/>
      <c r="D1" s="24"/>
      <c r="E1" s="24"/>
      <c r="F1" s="24"/>
      <c r="G1" s="24"/>
      <c r="H1" s="7"/>
      <c r="I1" s="8" t="s">
        <v>2</v>
      </c>
      <c r="J1" s="8" t="s">
        <v>3</v>
      </c>
      <c r="K1" s="7"/>
    </row>
    <row r="2" spans="1:21" ht="19.95" customHeight="1" thickBot="1" x14ac:dyDescent="0.3">
      <c r="A2" s="10"/>
      <c r="B2" s="10"/>
      <c r="C2" s="10"/>
      <c r="D2" s="10"/>
      <c r="E2" s="10"/>
      <c r="F2" s="10"/>
      <c r="G2" s="10"/>
      <c r="H2" s="10"/>
      <c r="I2" s="10">
        <f>IF($B$4="H3M",3,5)</f>
        <v>3</v>
      </c>
      <c r="J2" s="10">
        <f>IF($B$4="H3M",0.381,0.572)</f>
        <v>0.38100000000000001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9.95" customHeight="1" thickBot="1" x14ac:dyDescent="0.3">
      <c r="A3" s="10"/>
      <c r="B3" s="10"/>
      <c r="C3" s="10"/>
      <c r="D3" s="12" t="s">
        <v>25</v>
      </c>
      <c r="E3" s="5">
        <f>IF($I$2=3,2.4,3.8)</f>
        <v>2.4</v>
      </c>
      <c r="F3" s="12" t="s">
        <v>26</v>
      </c>
      <c r="G3" s="6">
        <f>IF($I$2=3,1.21,2.08)</f>
        <v>1.21</v>
      </c>
      <c r="H3" s="12" t="s">
        <v>32</v>
      </c>
      <c r="I3" s="10"/>
      <c r="J3" s="10"/>
      <c r="K3" s="6">
        <f>(E3-G3)/2</f>
        <v>0.59499999999999997</v>
      </c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1:21" ht="19.95" customHeight="1" thickTop="1" thickBot="1" x14ac:dyDescent="0.3">
      <c r="A4" s="13" t="s">
        <v>1</v>
      </c>
      <c r="B4" s="14" t="s">
        <v>33</v>
      </c>
      <c r="C4" s="10"/>
      <c r="D4" s="25"/>
      <c r="E4" s="25"/>
      <c r="F4" s="10"/>
      <c r="G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</row>
    <row r="5" spans="1:21" ht="19.95" customHeight="1" thickTop="1" x14ac:dyDescent="0.25">
      <c r="A5" s="10"/>
      <c r="B5" s="10"/>
      <c r="C5" s="10"/>
      <c r="D5" s="15" t="s">
        <v>4</v>
      </c>
      <c r="E5" s="10" t="s">
        <v>20</v>
      </c>
      <c r="F5" s="10" t="s">
        <v>21</v>
      </c>
      <c r="G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</row>
    <row r="6" spans="1:21" ht="19.95" customHeight="1" thickBot="1" x14ac:dyDescent="0.3">
      <c r="A6" s="10"/>
      <c r="B6" s="10"/>
      <c r="C6" s="10"/>
      <c r="D6" s="16" t="s">
        <v>11</v>
      </c>
      <c r="E6" s="4">
        <f>IF($I$2=3,CHOOSE(IF($B$7&lt;=13,1,IF($B$7&lt;=25,2,IF($B$7&lt;=80,3,IF($B$7&lt;=200,4,5)))),1.19,1.179,1.219,1.234,0),CHOOSE(IF(B7&lt;=16,1,IF(B7&lt;=31,2,IF(B7&lt;=79,3,IF(B7&lt;=200,4,5)))),1.989,2.009,2.052,2.056,0))</f>
        <v>1.2190000000000001</v>
      </c>
      <c r="F6" s="4">
        <f>IF($I$2=3,CHOOSE(IF(B11&lt;=13,1,IF(B11&lt;=25,2,IF(B11&lt;=80,3,IF(B11&lt;=200,4,5)))),1.19,1.179,1.219,1.234,0),CHOOSE(IF(B11&lt;=16,1,IF(B11&lt;=31,2,IF(B11&lt;=79,3,IF(B11&lt;=200,4,5)))),1.989,2.009,2.052,2.056,0))</f>
        <v>1.2190000000000001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</row>
    <row r="7" spans="1:21" ht="19.95" customHeight="1" thickTop="1" thickBot="1" x14ac:dyDescent="0.3">
      <c r="A7" s="13" t="s">
        <v>18</v>
      </c>
      <c r="B7" s="17">
        <v>61</v>
      </c>
      <c r="C7" s="10"/>
      <c r="D7" s="18" t="s">
        <v>12</v>
      </c>
      <c r="E7" s="4">
        <f>IF($I$2=3,CHOOSE(IF(B7&lt;=13,1,IF(B7&lt;=25,2,IF(B7&lt;=80,3,IF(B7&lt;=200,4,5)))),0.029,0.112,0.028,0.074,0),CHOOSE(IF(B7&lt;=16,1,IF(B7&lt;=31,2,IF(B7&lt;=79,3,IF(B7&lt;=200,4,5)))),0.307,0.32,0.081,0.028,0))</f>
        <v>2.8000000000000001E-2</v>
      </c>
      <c r="F7" s="4">
        <f>IF($I$2=3,CHOOSE(IF(B11&lt;=13,1,IF(B11&lt;=25,2,IF(B11&lt;=80,3,IF(B11&lt;=200,4,5)))),0.029,0.112,0.028,0.074,0),CHOOSE(IF(B11&lt;=16,1,IF(B11&lt;=31,2,IF(B11&lt;=79,3,IF(B11&lt;=200,4,5)))),0.307,0.32,0.081,0.028,0))</f>
        <v>2.8000000000000001E-2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</row>
    <row r="8" spans="1:21" ht="19.95" customHeight="1" thickTop="1" x14ac:dyDescent="0.25">
      <c r="A8" s="19" t="s">
        <v>8</v>
      </c>
      <c r="B8" s="1">
        <f>B7*$I$2/PI()</f>
        <v>58.250709171633694</v>
      </c>
      <c r="C8" s="10"/>
      <c r="D8" s="18" t="s">
        <v>13</v>
      </c>
      <c r="E8" s="4">
        <f>IF($I$2=3,CHOOSE(IF(B7&lt;=13,1,IF(B7&lt;=25,2,IF(B7&lt;=80,3,IF(B7&lt;=200,4,5)))),0.991,0.889,0.927,0.925,0),CHOOSE(IF(B7&lt;=16,1,IF(B7&lt;=31,2,IF(B7&lt;=79,3,IF(B7&lt;=200,4,5)))),1.265,1.27,1.438,1.552,0))</f>
        <v>0.92700000000000005</v>
      </c>
      <c r="F8" s="4">
        <f>IF($I$2=3,CHOOSE(IF(B11&lt;=13,1,IF(B11&lt;=25,2,IF(B11&lt;=80,3,IF(B11&lt;=200,4,5)))),0.991,0.889,0.927,0.925,0),CHOOSE(IF(B11&lt;=16,1,IF(B11&lt;=31,2,IF(B11&lt;=79,3,IF(B11&lt;=200,4,5)))),1.265,1.27,1.438,1.552,0))</f>
        <v>0.92700000000000005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</row>
    <row r="9" spans="1:21" ht="19.95" customHeight="1" x14ac:dyDescent="0.25">
      <c r="A9" s="19" t="s">
        <v>9</v>
      </c>
      <c r="B9" s="1">
        <f>B8-2*J2</f>
        <v>57.488709171633694</v>
      </c>
      <c r="C9" s="10"/>
      <c r="D9" s="18" t="s">
        <v>14</v>
      </c>
      <c r="E9" s="4">
        <f>IF($I$2=3,CHOOSE(IF(B7&lt;=13,1,IF(B7&lt;=25,2,IF(B7&lt;=80,3,IF(B7&lt;=200,4,5)))),0.181,0.229,0.191,0.301,0),CHOOSE(IF(B7&lt;=16,1,IF(B7&lt;=31,2,IF(B7&lt;=79,3,IF(B7&lt;=200,4,5)))),0.432,0.508,0.488,0.569,0))</f>
        <v>0.191</v>
      </c>
      <c r="F9" s="4">
        <f>IF($I$2=3,CHOOSE(IF(B11&lt;=13,1,IF(B11&lt;=25,2,IF(B11&lt;=80,3,IF(B11&lt;=200,4,5)))),0.181,0.229,0.191,0.301,0),CHOOSE(IF(B11&lt;=16,1,IF(B11&lt;=31,2,IF(B11&lt;=79,3,IF(B11&lt;=200,4,5)))),0.432,0.508,0.488,0.569,0))</f>
        <v>0.191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</row>
    <row r="10" spans="1:21" ht="19.95" customHeight="1" thickBot="1" x14ac:dyDescent="0.3">
      <c r="A10" s="10"/>
      <c r="B10" s="10"/>
      <c r="C10" s="10"/>
      <c r="D10" s="20" t="s">
        <v>15</v>
      </c>
      <c r="E10" s="4">
        <f>IF($I$2=3,CHOOSE(IF(B7&lt;=13,1,IF(B7&lt;=25,2,IF(B7&lt;=80,3,IF(B7&lt;=200,4,5)))),15,9,8,4,0),CHOOSE(IF(B7&lt;=16,1,IF(B7&lt;=31,2,IF(B7&lt;=79,3,IF(B7&lt;=200,4,5)))),10,6,2,5,0))</f>
        <v>8</v>
      </c>
      <c r="F10" s="4">
        <f>IF($I$2=3,CHOOSE(IF(B11&lt;=13,1,IF(B11&lt;=25,2,IF(B11&lt;=80,3,IF(B11&lt;=200,4,5)))),15,9,8,4,0),CHOOSE(IF(B11&lt;=16,1,IF(B11&lt;=31,2,IF(B11&lt;=79,3,IF(B11&lt;=200,4,5)))),10,6,2,5,0))</f>
        <v>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</row>
    <row r="11" spans="1:21" ht="19.95" customHeight="1" thickTop="1" thickBot="1" x14ac:dyDescent="0.3">
      <c r="A11" s="13" t="s">
        <v>19</v>
      </c>
      <c r="B11" s="17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</row>
    <row r="12" spans="1:21" ht="19.95" customHeight="1" thickTop="1" x14ac:dyDescent="0.25">
      <c r="A12" s="19" t="s">
        <v>8</v>
      </c>
      <c r="B12" s="1">
        <f>B11*$I$2/PI()</f>
        <v>28.647889756541161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1"/>
    </row>
    <row r="13" spans="1:21" ht="19.95" customHeight="1" x14ac:dyDescent="0.25">
      <c r="A13" s="21" t="s">
        <v>9</v>
      </c>
      <c r="B13" s="1">
        <f>B12-2*J2</f>
        <v>27.885889756541161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/>
    </row>
    <row r="14" spans="1:21" ht="19.95" customHeight="1" thickBo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1"/>
    </row>
    <row r="15" spans="1:21" ht="19.95" customHeight="1" thickTop="1" thickBot="1" x14ac:dyDescent="0.3">
      <c r="A15" s="13" t="s">
        <v>5</v>
      </c>
      <c r="B15" s="22">
        <v>247.29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1"/>
    </row>
    <row r="16" spans="1:21" ht="19.95" customHeight="1" thickTop="1" x14ac:dyDescent="0.25">
      <c r="A16" s="10" t="s">
        <v>10</v>
      </c>
      <c r="B16" s="2">
        <f>B29</f>
        <v>302.32259652004342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1"/>
    </row>
    <row r="17" spans="1:21" ht="19.95" customHeight="1" x14ac:dyDescent="0.25">
      <c r="A17" s="10" t="s">
        <v>27</v>
      </c>
      <c r="B17" s="3">
        <f>B15*$I$2</f>
        <v>741.87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</row>
    <row r="18" spans="1:21" ht="19.95" customHeight="1" thickBo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</row>
    <row r="19" spans="1:21" ht="19.95" customHeight="1" thickTop="1" thickBot="1" x14ac:dyDescent="0.3">
      <c r="A19" s="13" t="s">
        <v>30</v>
      </c>
      <c r="B19" s="22">
        <v>303.10000000000002</v>
      </c>
      <c r="C19" s="10"/>
      <c r="D19" s="10"/>
      <c r="E19" s="8" t="s">
        <v>28</v>
      </c>
      <c r="F19" s="10"/>
      <c r="G19" s="10"/>
      <c r="H19" s="8" t="s">
        <v>29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1"/>
    </row>
    <row r="20" spans="1:21" ht="19.95" customHeight="1" thickTop="1" x14ac:dyDescent="0.25">
      <c r="A20" s="10" t="s">
        <v>5</v>
      </c>
      <c r="B20" s="3">
        <f>E32</f>
        <v>247.80764906805359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</row>
    <row r="21" spans="1:21" ht="19.9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1:21" ht="19.8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1"/>
    </row>
    <row r="23" spans="1:21" ht="14.4" hidden="1" customHeight="1" x14ac:dyDescent="0.25">
      <c r="A23" s="10"/>
      <c r="B23" s="10" t="s">
        <v>6</v>
      </c>
      <c r="C23" s="10" t="s">
        <v>16</v>
      </c>
      <c r="D23" s="10" t="s">
        <v>17</v>
      </c>
      <c r="E23" s="10" t="s">
        <v>22</v>
      </c>
      <c r="F23" s="10" t="s">
        <v>7</v>
      </c>
      <c r="G23" s="10" t="s">
        <v>23</v>
      </c>
      <c r="H23" s="10" t="s">
        <v>24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1"/>
    </row>
    <row r="24" spans="1:21" ht="16.8" hidden="1" customHeight="1" x14ac:dyDescent="0.25">
      <c r="A24" s="10"/>
      <c r="B24" s="23">
        <f>B15*$I$2/2</f>
        <v>370.935</v>
      </c>
      <c r="C24" s="10">
        <f t="shared" ref="C24:C29" si="0">ACOS(($B$8-$B$12)/(2*B24))</f>
        <v>1.5308827558399767</v>
      </c>
      <c r="D24" s="10">
        <f>SQRT(B24^2-($B$8/2-$B$12/2)^2)</f>
        <v>370.63957222033019</v>
      </c>
      <c r="E24" s="10">
        <f>(2*D24+(PI()-C24)*$B$7*$I$2/PI()+C24*$B$11*$I$2/PI())/$I$2</f>
        <v>292.98689955795015</v>
      </c>
      <c r="F24" s="10">
        <f>B15</f>
        <v>247.29</v>
      </c>
      <c r="G24" s="10">
        <f t="shared" ref="G24:G29" si="1">E24-F24</f>
        <v>45.696899557950161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1"/>
    </row>
    <row r="25" spans="1:21" ht="24.6" hidden="1" customHeight="1" x14ac:dyDescent="0.25">
      <c r="A25" s="10"/>
      <c r="B25" s="23">
        <f>IF(G24&gt;0,B24-$I$2/10,B24+$I$2/10)</f>
        <v>370.63499999999999</v>
      </c>
      <c r="C25" s="10">
        <f t="shared" si="0"/>
        <v>1.5308504317430098</v>
      </c>
      <c r="D25" s="10">
        <f t="shared" ref="D25:D29" si="2">SQRT(B25^2-($B$8/2-$B$12/2)^2)</f>
        <v>370.33933290385096</v>
      </c>
      <c r="E25" s="10">
        <f t="shared" ref="E25:E29" si="3">(2*D25+(PI()-C25)*$B$7*$I$2/PI()+C25*$B$11*$I$2/PI())/$I$2</f>
        <v>292.78705897509906</v>
      </c>
      <c r="F25" s="10">
        <f>F24</f>
        <v>247.29</v>
      </c>
      <c r="G25" s="10">
        <f t="shared" si="1"/>
        <v>45.497058975099065</v>
      </c>
      <c r="H25" s="10">
        <f>(G25-G24)/(B25-B24)</f>
        <v>0.66613527617029278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1"/>
    </row>
    <row r="26" spans="1:21" ht="18" hidden="1" customHeight="1" x14ac:dyDescent="0.25">
      <c r="A26" s="10"/>
      <c r="B26" s="10">
        <f>IF(ABS(G25)&lt;0.0000001,B25,B25-G25/H25)</f>
        <v>302.33497055752969</v>
      </c>
      <c r="C26" s="10">
        <f t="shared" si="0"/>
        <v>1.5218197604932175</v>
      </c>
      <c r="D26" s="10">
        <f t="shared" si="2"/>
        <v>301.97243697511811</v>
      </c>
      <c r="E26" s="10">
        <f t="shared" si="3"/>
        <v>247.29823946601201</v>
      </c>
      <c r="F26" s="10">
        <f t="shared" ref="F26:F29" si="4">F25</f>
        <v>247.29</v>
      </c>
      <c r="G26" s="10">
        <f t="shared" si="1"/>
        <v>8.2394660120144181E-3</v>
      </c>
      <c r="H26" s="10">
        <f>(G26-G25)/(B26-B25)</f>
        <v>0.66601463982387699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1"/>
    </row>
    <row r="27" spans="1:21" ht="19.8" hidden="1" customHeight="1" x14ac:dyDescent="0.25">
      <c r="A27" s="10"/>
      <c r="B27" s="10">
        <f>IF(ABS(G26)&lt;0.0000001,B26,B26-G26/H26)</f>
        <v>302.32259925888349</v>
      </c>
      <c r="C27" s="10">
        <f t="shared" si="0"/>
        <v>1.5218177547262448</v>
      </c>
      <c r="D27" s="10">
        <f t="shared" si="2"/>
        <v>301.96005082347699</v>
      </c>
      <c r="E27" s="10">
        <f t="shared" si="3"/>
        <v>247.29000182370382</v>
      </c>
      <c r="F27" s="10">
        <f t="shared" si="4"/>
        <v>247.29</v>
      </c>
      <c r="G27" s="10">
        <f t="shared" si="1"/>
        <v>1.8237038261759153E-6</v>
      </c>
      <c r="H27" s="10">
        <f>(G27-G26)/(B27-B26)</f>
        <v>0.66586722572717649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1"/>
    </row>
    <row r="28" spans="1:21" ht="18.600000000000001" hidden="1" customHeight="1" x14ac:dyDescent="0.25">
      <c r="A28" s="10"/>
      <c r="B28" s="10">
        <f>IF(ABS(G27)&lt;0.0000001,B27,B27-G27/H27)</f>
        <v>302.32259652004342</v>
      </c>
      <c r="C28" s="10">
        <f t="shared" si="0"/>
        <v>1.5218177542821767</v>
      </c>
      <c r="D28" s="10">
        <f t="shared" si="2"/>
        <v>301.96004808134853</v>
      </c>
      <c r="E28" s="10">
        <f t="shared" si="3"/>
        <v>247.29000000000005</v>
      </c>
      <c r="F28" s="10">
        <f t="shared" si="4"/>
        <v>247.29</v>
      </c>
      <c r="G28" s="10">
        <f t="shared" si="1"/>
        <v>0</v>
      </c>
      <c r="H28" s="10">
        <f>(G28-G27)/(B28-B27)</f>
        <v>0.66586722179301794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1"/>
    </row>
    <row r="29" spans="1:21" ht="28.8" hidden="1" customHeight="1" x14ac:dyDescent="0.25">
      <c r="A29" s="10"/>
      <c r="B29" s="10">
        <f>IF(ABS(G28)&lt;0.0000001,B28,B28-G28/H28)</f>
        <v>302.32259652004342</v>
      </c>
      <c r="C29" s="10">
        <f t="shared" si="0"/>
        <v>1.5218177542821767</v>
      </c>
      <c r="D29" s="10">
        <f t="shared" si="2"/>
        <v>301.96004808134853</v>
      </c>
      <c r="E29" s="10">
        <f t="shared" si="3"/>
        <v>247.29000000000005</v>
      </c>
      <c r="F29" s="10">
        <f t="shared" si="4"/>
        <v>247.29</v>
      </c>
      <c r="G29" s="10">
        <f t="shared" si="1"/>
        <v>0</v>
      </c>
      <c r="H29" s="10" t="e">
        <f>(G29-G28)/(B29-B28)</f>
        <v>#DIV/0!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1" ht="19.9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1"/>
    </row>
    <row r="31" spans="1:21" ht="19.95" hidden="1" customHeight="1" x14ac:dyDescent="0.25">
      <c r="A31" s="10"/>
      <c r="B31" s="10" t="s">
        <v>6</v>
      </c>
      <c r="C31" s="10" t="s">
        <v>16</v>
      </c>
      <c r="D31" s="10" t="s">
        <v>17</v>
      </c>
      <c r="E31" s="10" t="s">
        <v>31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1"/>
    </row>
    <row r="32" spans="1:21" ht="19.95" hidden="1" customHeight="1" x14ac:dyDescent="0.25">
      <c r="A32" s="10"/>
      <c r="B32" s="10">
        <f>B19</f>
        <v>303.10000000000002</v>
      </c>
      <c r="C32" s="10">
        <f>ACOS(($B$8-$B$12)/(2*B32))</f>
        <v>1.52194347672222</v>
      </c>
      <c r="D32" s="10">
        <f>SQRT(B32^2-($B$8/2-$B$12/2)^2)</f>
        <v>302.73838255277337</v>
      </c>
      <c r="E32" s="10">
        <f>(D32*2+(PI()-C32)*$B$8+C32*$B$12)/$I$2</f>
        <v>247.80764906805359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1"/>
    </row>
    <row r="33" spans="1:21" ht="19.9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1"/>
    </row>
    <row r="34" spans="1:21" ht="19.9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1"/>
    </row>
    <row r="35" spans="1:21" ht="19.9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1"/>
    </row>
    <row r="36" spans="1:21" ht="19.9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1"/>
    </row>
    <row r="37" spans="1:21" ht="19.9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1"/>
    </row>
    <row r="38" spans="1:21" ht="19.9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/>
    </row>
    <row r="39" spans="1:21" ht="19.9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9.9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1"/>
    </row>
    <row r="41" spans="1:21" ht="19.9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1"/>
    </row>
    <row r="42" spans="1:21" ht="19.9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1"/>
    </row>
    <row r="43" spans="1:21" ht="19.9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1"/>
    </row>
    <row r="44" spans="1:21" ht="19.9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1"/>
    </row>
    <row r="45" spans="1:21" ht="19.9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1"/>
    </row>
    <row r="46" spans="1:21" ht="19.9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1"/>
    </row>
    <row r="47" spans="1:21" ht="19.9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1"/>
    </row>
    <row r="48" spans="1:21" ht="19.9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1"/>
    </row>
    <row r="49" spans="1:21" ht="19.9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1"/>
    </row>
    <row r="50" spans="1:21" ht="19.9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1"/>
    </row>
    <row r="51" spans="1:21" ht="19.9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1"/>
    </row>
    <row r="52" spans="1:21" ht="19.9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1:21" ht="19.9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1"/>
    </row>
    <row r="54" spans="1:21" ht="19.9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1"/>
    </row>
    <row r="55" spans="1:21" ht="19.9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1"/>
    </row>
    <row r="56" spans="1:21" ht="19.9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1"/>
    </row>
    <row r="57" spans="1:21" ht="19.9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1"/>
    </row>
    <row r="58" spans="1:21" ht="19.9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1"/>
    </row>
    <row r="59" spans="1:21" ht="19.9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1"/>
    </row>
    <row r="60" spans="1:21" ht="19.9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1"/>
    </row>
    <row r="61" spans="1:21" ht="19.9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1"/>
    </row>
    <row r="62" spans="1:21" ht="19.9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1"/>
    </row>
    <row r="63" spans="1:21" ht="19.9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1"/>
    </row>
    <row r="64" spans="1:21" ht="19.9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1"/>
    </row>
    <row r="65" spans="1:21" ht="19.9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1"/>
    </row>
    <row r="66" spans="1:21" ht="19.9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1"/>
    </row>
    <row r="67" spans="1:21" ht="19.9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1"/>
    </row>
    <row r="68" spans="1:21" ht="19.9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1"/>
    </row>
    <row r="69" spans="1:21" ht="19.9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1"/>
    </row>
    <row r="70" spans="1:21" ht="19.9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1"/>
    </row>
    <row r="71" spans="1:21" ht="19.9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1"/>
    </row>
    <row r="72" spans="1:21" ht="19.9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1"/>
    </row>
    <row r="73" spans="1:21" ht="19.9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1"/>
    </row>
    <row r="74" spans="1:21" ht="19.9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1"/>
    </row>
    <row r="75" spans="1:21" ht="19.9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1"/>
    </row>
    <row r="76" spans="1:21" ht="19.9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1"/>
    </row>
    <row r="77" spans="1:21" ht="19.9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1"/>
    </row>
    <row r="78" spans="1:21" ht="19.9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1"/>
    </row>
    <row r="79" spans="1:21" ht="19.9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1"/>
    </row>
    <row r="80" spans="1:21" ht="19.9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1"/>
    </row>
    <row r="81" spans="1:21" ht="19.9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1"/>
    </row>
    <row r="82" spans="1:21" ht="19.9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1"/>
    </row>
    <row r="83" spans="1:21" ht="19.9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1"/>
    </row>
    <row r="84" spans="1:21" ht="19.9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1"/>
    </row>
    <row r="85" spans="1:21" ht="19.9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1"/>
    </row>
    <row r="86" spans="1:21" ht="19.9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1"/>
    </row>
    <row r="87" spans="1:21" ht="19.9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1"/>
    </row>
    <row r="88" spans="1:21" ht="19.9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1"/>
    </row>
    <row r="89" spans="1:21" ht="19.9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1"/>
    </row>
    <row r="90" spans="1:21" ht="19.9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1"/>
    </row>
    <row r="91" spans="1:21" ht="19.9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1"/>
    </row>
    <row r="92" spans="1:21" ht="19.9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1"/>
    </row>
    <row r="93" spans="1:21" ht="19.9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1"/>
    </row>
    <row r="94" spans="1:21" ht="19.9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1"/>
    </row>
    <row r="95" spans="1:21" ht="19.9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1"/>
    </row>
    <row r="96" spans="1:21" ht="19.9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1"/>
    </row>
    <row r="97" spans="1:21" ht="19.9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1"/>
    </row>
    <row r="98" spans="1:21" ht="19.9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1"/>
    </row>
    <row r="99" spans="1:21" ht="19.9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1"/>
    </row>
    <row r="100" spans="1:21" ht="19.9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1"/>
    </row>
    <row r="101" spans="1:21" ht="19.9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1"/>
    </row>
    <row r="102" spans="1:21" ht="19.9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1"/>
    </row>
    <row r="103" spans="1:21" ht="19.9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1"/>
    </row>
    <row r="104" spans="1:21" ht="19.9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1"/>
    </row>
    <row r="105" spans="1:21" ht="19.9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1"/>
    </row>
    <row r="106" spans="1:21" ht="19.9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1"/>
    </row>
    <row r="107" spans="1:21" ht="19.9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1"/>
    </row>
    <row r="108" spans="1:21" ht="19.9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1"/>
    </row>
    <row r="109" spans="1:21" ht="19.9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1"/>
    </row>
    <row r="110" spans="1:21" ht="19.9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1"/>
    </row>
    <row r="111" spans="1:21" ht="19.9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1"/>
    </row>
    <row r="112" spans="1:21" ht="19.9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1"/>
    </row>
    <row r="113" spans="1:21" ht="19.9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1"/>
    </row>
    <row r="114" spans="1:21" ht="19.9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1"/>
    </row>
    <row r="115" spans="1:21" ht="19.9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1"/>
    </row>
    <row r="116" spans="1:21" ht="19.9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1"/>
    </row>
    <row r="117" spans="1:21" ht="19.9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1"/>
    </row>
    <row r="118" spans="1:21" ht="19.9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1"/>
    </row>
    <row r="119" spans="1:21" ht="19.9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1"/>
    </row>
    <row r="120" spans="1:21" ht="19.9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1"/>
    </row>
    <row r="121" spans="1:21" ht="19.9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1"/>
    </row>
    <row r="122" spans="1:21" ht="19.9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1"/>
    </row>
    <row r="123" spans="1:21" ht="19.9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1"/>
    </row>
    <row r="124" spans="1:21" ht="19.9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1"/>
    </row>
    <row r="125" spans="1:21" ht="19.9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1"/>
    </row>
    <row r="126" spans="1:21" ht="19.9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1"/>
    </row>
    <row r="127" spans="1:21" ht="19.9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1"/>
    </row>
    <row r="128" spans="1:21" ht="19.9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1"/>
    </row>
    <row r="129" spans="1:21" ht="19.9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1"/>
    </row>
    <row r="130" spans="1:21" ht="19.9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1"/>
    </row>
    <row r="131" spans="1:21" ht="19.9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1" ht="19.9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1" ht="19.9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1" ht="19.9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1" ht="19.9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1" ht="19.9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1" ht="19.9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1" ht="19.9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1" ht="19.9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1" ht="19.9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1" ht="19.9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1" ht="19.9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1" ht="19.9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1" ht="19.9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ht="19.9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t="19.9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ht="19.95" customHeight="1" x14ac:dyDescent="0.25"/>
    <row r="148" spans="1:20" ht="19.95" customHeight="1" x14ac:dyDescent="0.25"/>
    <row r="149" spans="1:20" ht="19.95" customHeight="1" x14ac:dyDescent="0.25"/>
    <row r="150" spans="1:20" ht="19.95" customHeight="1" x14ac:dyDescent="0.25"/>
    <row r="151" spans="1:20" ht="19.95" customHeight="1" x14ac:dyDescent="0.25"/>
    <row r="152" spans="1:20" ht="19.95" customHeight="1" x14ac:dyDescent="0.25"/>
    <row r="153" spans="1:20" ht="19.95" customHeight="1" x14ac:dyDescent="0.25"/>
    <row r="154" spans="1:20" ht="19.95" customHeight="1" x14ac:dyDescent="0.25"/>
    <row r="155" spans="1:20" ht="14.4" customHeight="1" x14ac:dyDescent="0.25"/>
    <row r="156" spans="1:20" ht="14.4" customHeight="1" x14ac:dyDescent="0.25"/>
    <row r="157" spans="1:20" ht="14.4" customHeight="1" x14ac:dyDescent="0.25"/>
    <row r="158" spans="1:20" ht="14.4" customHeight="1" x14ac:dyDescent="0.25"/>
    <row r="159" spans="1:20" ht="14.4" customHeight="1" x14ac:dyDescent="0.25"/>
    <row r="160" spans="1:20" ht="14.4" customHeight="1" x14ac:dyDescent="0.25"/>
  </sheetData>
  <sheetProtection algorithmName="SHA-512" hashValue="Pia/0Hqst6R05YidJ83Jsati8LawY1Y1DFvjXRJ/5Dpg07rKlKyzVLBy9B/M+lz/arGVoX+KAvwslnmOiGQc7A==" saltValue="uaNEohA0n/5VQOO0TmVCVw==" spinCount="100000" sheet="1" objects="1" scenarios="1"/>
  <dataConsolidate/>
  <mergeCells count="2">
    <mergeCell ref="A1:G1"/>
    <mergeCell ref="D4:E4"/>
  </mergeCells>
  <phoneticPr fontId="3" type="noConversion"/>
  <conditionalFormatting sqref="B20">
    <cfRule type="expression" dxfId="0" priority="2" stopIfTrue="1">
      <formula>"ABS($B$20-ROUND($B$20))&lt;0.1"</formula>
    </cfRule>
  </conditionalFormatting>
  <dataValidations count="1">
    <dataValidation type="list" allowBlank="1" showInputMessage="1" showErrorMessage="1" sqref="B4">
      <formula1>"H3M,H5M"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罗宁远</dc:creator>
  <cp:lastModifiedBy>Windows 用户</cp:lastModifiedBy>
  <dcterms:created xsi:type="dcterms:W3CDTF">2020-08-15T03:59:28Z</dcterms:created>
  <dcterms:modified xsi:type="dcterms:W3CDTF">2020-10-15T04:49:10Z</dcterms:modified>
</cp:coreProperties>
</file>