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38B63B7-79FD-423D-B0B3-7D2557D72E9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37" i="1" s="1"/>
  <c r="B10" i="1" l="1"/>
  <c r="B9" i="1"/>
  <c r="B12" i="1" l="1"/>
  <c r="B11" i="1" s="1"/>
  <c r="B13" i="1"/>
  <c r="C29" i="1"/>
  <c r="B29" i="1"/>
  <c r="D29" i="1" s="1"/>
  <c r="D26" i="1"/>
  <c r="C28" i="1" s="1"/>
  <c r="C25" i="1"/>
  <c r="B25" i="1"/>
  <c r="C24" i="1"/>
  <c r="B24" i="1"/>
  <c r="D24" i="1" s="1"/>
  <c r="C23" i="1"/>
  <c r="B23" i="1"/>
  <c r="D10" i="1" l="1"/>
  <c r="E10" i="1" s="1"/>
  <c r="A34" i="1" s="1"/>
  <c r="D37" i="1" s="1"/>
  <c r="D27" i="1"/>
  <c r="B28" i="1"/>
  <c r="D28" i="1" s="1"/>
  <c r="D23" i="1"/>
  <c r="D25" i="1"/>
  <c r="D38" i="1" l="1"/>
  <c r="D39" i="1" s="1"/>
  <c r="D40" i="1" s="1"/>
  <c r="D41" i="1" s="1"/>
  <c r="E37" i="1"/>
  <c r="B38" i="1" s="1"/>
  <c r="C38" i="1" s="1"/>
  <c r="E38" i="1" s="1"/>
  <c r="F38" i="1" l="1"/>
  <c r="B39" i="1"/>
  <c r="C39" i="1" s="1"/>
  <c r="E39" i="1" s="1"/>
  <c r="F39" i="1" l="1"/>
  <c r="B40" i="1"/>
  <c r="C40" i="1" s="1"/>
  <c r="E40" i="1" s="1"/>
  <c r="F40" i="1" l="1"/>
  <c r="B41" i="1" s="1"/>
  <c r="E5" i="1" s="1"/>
  <c r="C41" i="1" l="1"/>
  <c r="E41" i="1" s="1"/>
  <c r="F41" i="1" s="1"/>
</calcChain>
</file>

<file path=xl/sharedStrings.xml><?xml version="1.0" encoding="utf-8"?>
<sst xmlns="http://schemas.openxmlformats.org/spreadsheetml/2006/main" count="95" uniqueCount="78">
  <si>
    <t>链轮参数计算方法</t>
    <phoneticPr fontId="4" type="noConversion"/>
  </si>
  <si>
    <t>D1：滚子直径（mm）</t>
    <phoneticPr fontId="4" type="noConversion"/>
  </si>
  <si>
    <t>P：节距（mm）</t>
    <phoneticPr fontId="4" type="noConversion"/>
  </si>
  <si>
    <t>Z：链轮齿数</t>
    <phoneticPr fontId="4" type="noConversion"/>
  </si>
  <si>
    <t>Max</t>
    <phoneticPr fontId="4" type="noConversion"/>
  </si>
  <si>
    <t>Min</t>
    <phoneticPr fontId="4" type="noConversion"/>
  </si>
  <si>
    <t>α：齿沟角（°）</t>
    <phoneticPr fontId="4" type="noConversion"/>
  </si>
  <si>
    <t>D：分度圆（节圆）直径(mm)</t>
    <phoneticPr fontId="4" type="noConversion"/>
  </si>
  <si>
    <t>Df：齿根圆直径（mm）</t>
    <phoneticPr fontId="4" type="noConversion"/>
  </si>
  <si>
    <t>中间值</t>
    <phoneticPr fontId="4" type="noConversion"/>
  </si>
  <si>
    <t>Re：齿面圆弧半径(mm)</t>
    <phoneticPr fontId="4" type="noConversion"/>
  </si>
  <si>
    <t>Ra：齿沟圆弧半径(mm)</t>
    <phoneticPr fontId="4" type="noConversion"/>
  </si>
  <si>
    <t>Da：齿顶圆直径（mm）</t>
    <phoneticPr fontId="4" type="noConversion"/>
  </si>
  <si>
    <t>Ha：齿顶高度（mm）</t>
    <phoneticPr fontId="4" type="noConversion"/>
  </si>
  <si>
    <t>/</t>
    <phoneticPr fontId="4" type="noConversion"/>
  </si>
  <si>
    <t>/</t>
    <phoneticPr fontId="4" type="noConversion"/>
  </si>
  <si>
    <t>尺寸</t>
    <phoneticPr fontId="4" type="noConversion"/>
  </si>
  <si>
    <t>节距</t>
    <phoneticPr fontId="4" type="noConversion"/>
  </si>
  <si>
    <t>2分</t>
  </si>
  <si>
    <t>3分</t>
  </si>
  <si>
    <t>4分</t>
  </si>
  <si>
    <t>5分</t>
  </si>
  <si>
    <t>6分</t>
  </si>
  <si>
    <t>1寸</t>
    <phoneticPr fontId="4" type="noConversion"/>
  </si>
  <si>
    <t>1寸2分</t>
    <phoneticPr fontId="4" type="noConversion"/>
  </si>
  <si>
    <t>链号（单/双）</t>
    <phoneticPr fontId="4" type="noConversion"/>
  </si>
  <si>
    <t>04C-1/04C-2</t>
    <phoneticPr fontId="4" type="noConversion"/>
  </si>
  <si>
    <t>06C-1/06C-2</t>
    <phoneticPr fontId="4" type="noConversion"/>
  </si>
  <si>
    <t>08A-1/08A-2</t>
    <phoneticPr fontId="4" type="noConversion"/>
  </si>
  <si>
    <t>10A-1/10A-2</t>
    <phoneticPr fontId="4" type="noConversion"/>
  </si>
  <si>
    <t>12A-1/12A-2</t>
    <phoneticPr fontId="4" type="noConversion"/>
  </si>
  <si>
    <t>16A-1/16A-2</t>
    <phoneticPr fontId="4" type="noConversion"/>
  </si>
  <si>
    <t>无/20A-2</t>
    <phoneticPr fontId="4" type="noConversion"/>
  </si>
  <si>
    <t>老链号（单/双）</t>
    <phoneticPr fontId="4" type="noConversion"/>
  </si>
  <si>
    <t>无/100-2</t>
    <phoneticPr fontId="4" type="noConversion"/>
  </si>
  <si>
    <t>25/25-2</t>
    <phoneticPr fontId="4" type="noConversion"/>
  </si>
  <si>
    <t>35/35-2</t>
    <phoneticPr fontId="4" type="noConversion"/>
  </si>
  <si>
    <t>40/40-2</t>
    <phoneticPr fontId="4" type="noConversion"/>
  </si>
  <si>
    <t>50/50-2</t>
    <phoneticPr fontId="4" type="noConversion"/>
  </si>
  <si>
    <t>60/60-2</t>
    <phoneticPr fontId="4" type="noConversion"/>
  </si>
  <si>
    <t>80/80-2</t>
    <phoneticPr fontId="4" type="noConversion"/>
  </si>
  <si>
    <t>A系列单/双链条</t>
    <phoneticPr fontId="4" type="noConversion"/>
  </si>
  <si>
    <t>B系列单/双链条</t>
    <phoneticPr fontId="4" type="noConversion"/>
  </si>
  <si>
    <t>节距（单/双）</t>
    <phoneticPr fontId="4" type="noConversion"/>
  </si>
  <si>
    <t>6.000/8.000</t>
    <phoneticPr fontId="4" type="noConversion"/>
  </si>
  <si>
    <t>滚子直径</t>
    <phoneticPr fontId="4" type="noConversion"/>
  </si>
  <si>
    <t>滚子直径</t>
    <phoneticPr fontId="4" type="noConversion"/>
  </si>
  <si>
    <t>1寸2分</t>
    <phoneticPr fontId="4" type="noConversion"/>
  </si>
  <si>
    <t>？/5.00</t>
    <phoneticPr fontId="4" type="noConversion"/>
  </si>
  <si>
    <t>A：中心距（mm）</t>
    <phoneticPr fontId="4" type="noConversion"/>
  </si>
  <si>
    <t>Z1：大链轮齿数</t>
    <phoneticPr fontId="4" type="noConversion"/>
  </si>
  <si>
    <t>Z2：小链轮齿数</t>
    <phoneticPr fontId="4" type="noConversion"/>
  </si>
  <si>
    <t>P：节距（mm）</t>
    <phoneticPr fontId="4" type="noConversion"/>
  </si>
  <si>
    <t>D1：大链轮分度圆直径（mm）</t>
    <phoneticPr fontId="4" type="noConversion"/>
  </si>
  <si>
    <t>D2：小链轮分度圆直径（mm）</t>
    <phoneticPr fontId="4" type="noConversion"/>
  </si>
  <si>
    <t>L0：链条直边长度（mm）</t>
    <phoneticPr fontId="4" type="noConversion"/>
  </si>
  <si>
    <t>β1：大链轮包角（°）</t>
    <phoneticPr fontId="4" type="noConversion"/>
  </si>
  <si>
    <t>β2：小链轮包角（°）</t>
    <phoneticPr fontId="4" type="noConversion"/>
  </si>
  <si>
    <t>理论链条长度（mm）</t>
    <phoneticPr fontId="4" type="noConversion"/>
  </si>
  <si>
    <t>理论链条节数</t>
    <phoneticPr fontId="4" type="noConversion"/>
  </si>
  <si>
    <t>04B-1/05B-2</t>
    <phoneticPr fontId="4" type="noConversion"/>
  </si>
  <si>
    <t>06B-1/06B-2</t>
    <phoneticPr fontId="4" type="noConversion"/>
  </si>
  <si>
    <t>08B-1/08B-2</t>
    <phoneticPr fontId="4" type="noConversion"/>
  </si>
  <si>
    <t>10B-1/10B-2</t>
    <phoneticPr fontId="4" type="noConversion"/>
  </si>
  <si>
    <t>12B-1/12B-2</t>
    <phoneticPr fontId="4" type="noConversion"/>
  </si>
  <si>
    <t>16B-1/16B-2</t>
    <phoneticPr fontId="4" type="noConversion"/>
  </si>
  <si>
    <t>/</t>
    <phoneticPr fontId="4" type="noConversion"/>
  </si>
  <si>
    <t>20B-1/20B-2</t>
    <phoneticPr fontId="4" type="noConversion"/>
  </si>
  <si>
    <t>/</t>
    <phoneticPr fontId="4" type="noConversion"/>
  </si>
  <si>
    <t>？</t>
    <phoneticPr fontId="4" type="noConversion"/>
  </si>
  <si>
    <t>实际中心距（mm）</t>
    <phoneticPr fontId="4" type="noConversion"/>
  </si>
  <si>
    <t>目标链条节数（mm）</t>
    <phoneticPr fontId="4" type="noConversion"/>
  </si>
  <si>
    <t>L</t>
    <phoneticPr fontId="4" type="noConversion"/>
  </si>
  <si>
    <t>Y</t>
    <phoneticPr fontId="4" type="noConversion"/>
  </si>
  <si>
    <t>X</t>
    <phoneticPr fontId="4" type="noConversion"/>
  </si>
  <si>
    <t>DeltaY</t>
    <phoneticPr fontId="4" type="noConversion"/>
  </si>
  <si>
    <t>Target</t>
    <phoneticPr fontId="4" type="noConversion"/>
  </si>
  <si>
    <t>Delta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</si>
</sst>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.000_ "/>
    <numFmt numFmtId="177" formatCode="0.000_);[Red]\(0.000\)"/>
  </numFmts>
  <fonts count="21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rgb="FF3F3F76"/>
      <name val="华文宋体"/>
      <family val="3"/>
      <charset val="134"/>
    </font>
    <font>
      <b/>
      <sz val="14"/>
      <color rgb="FF3F3F3F"/>
      <name val="华文宋体"/>
      <family val="3"/>
      <charset val="134"/>
    </font>
    <font>
      <b/>
      <sz val="26"/>
      <color rgb="FF006100"/>
      <name val="等线"/>
      <family val="3"/>
      <charset val="134"/>
      <scheme val="minor"/>
    </font>
    <font>
      <sz val="16"/>
      <color rgb="FF0061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9C6500"/>
      <name val="等线"/>
      <family val="3"/>
      <charset val="134"/>
      <scheme val="minor"/>
    </font>
    <font>
      <b/>
      <sz val="14"/>
      <color rgb="FF9C6500"/>
      <name val="等线"/>
      <family val="3"/>
      <charset val="134"/>
      <scheme val="minor"/>
    </font>
    <font>
      <sz val="14"/>
      <color theme="2" tint="-0.249977111117893"/>
      <name val="等线"/>
      <family val="2"/>
      <scheme val="minor"/>
    </font>
    <font>
      <sz val="14"/>
      <color theme="2" tint="-0.249977111117893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rgb="FFFA7D0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4" borderId="1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5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3" fillId="7" borderId="19" xfId="4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3" fillId="7" borderId="15" xfId="4" applyFont="1" applyFill="1" applyBorder="1" applyAlignment="1" applyProtection="1">
      <alignment horizontal="center" vertical="center"/>
      <protection locked="0"/>
    </xf>
    <xf numFmtId="0" fontId="13" fillId="7" borderId="20" xfId="4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4" fillId="8" borderId="16" xfId="4" applyFont="1" applyFill="1" applyBorder="1" applyAlignment="1" applyProtection="1">
      <alignment horizontal="center" vertical="center"/>
      <protection locked="0"/>
    </xf>
    <xf numFmtId="0" fontId="5" fillId="3" borderId="3" xfId="2" applyFont="1" applyBorder="1" applyAlignment="1" applyProtection="1">
      <alignment horizontal="center"/>
      <protection locked="0"/>
    </xf>
    <xf numFmtId="0" fontId="5" fillId="3" borderId="4" xfId="2" applyFont="1" applyBorder="1" applyAlignment="1" applyProtection="1">
      <alignment horizontal="center"/>
      <protection locked="0"/>
    </xf>
    <xf numFmtId="0" fontId="5" fillId="3" borderId="5" xfId="2" applyFont="1" applyBorder="1" applyAlignment="1" applyProtection="1">
      <alignment horizontal="center"/>
      <protection locked="0"/>
    </xf>
    <xf numFmtId="0" fontId="5" fillId="3" borderId="6" xfId="2" applyFont="1" applyBorder="1" applyAlignment="1" applyProtection="1">
      <alignment horizontal="center"/>
      <protection locked="0"/>
    </xf>
    <xf numFmtId="0" fontId="6" fillId="4" borderId="2" xfId="3" applyFont="1" applyAlignment="1" applyProtection="1">
      <alignment horizontal="center"/>
      <protection locked="0"/>
    </xf>
    <xf numFmtId="176" fontId="16" fillId="9" borderId="19" xfId="0" applyNumberFormat="1" applyFont="1" applyFill="1" applyBorder="1" applyAlignment="1" applyProtection="1">
      <alignment horizontal="center"/>
    </xf>
    <xf numFmtId="176" fontId="16" fillId="9" borderId="15" xfId="0" applyNumberFormat="1" applyFont="1" applyFill="1" applyBorder="1" applyAlignment="1" applyProtection="1">
      <alignment horizontal="center"/>
    </xf>
    <xf numFmtId="176" fontId="16" fillId="9" borderId="20" xfId="0" applyNumberFormat="1" applyFont="1" applyFill="1" applyBorder="1" applyAlignment="1" applyProtection="1">
      <alignment horizontal="center"/>
    </xf>
    <xf numFmtId="176" fontId="16" fillId="9" borderId="12" xfId="0" applyNumberFormat="1" applyFont="1" applyFill="1" applyBorder="1" applyAlignment="1" applyProtection="1">
      <alignment horizontal="center"/>
    </xf>
    <xf numFmtId="0" fontId="13" fillId="6" borderId="8" xfId="4" applyFont="1" applyFill="1" applyBorder="1" applyAlignment="1" applyProtection="1">
      <alignment horizontal="center" vertical="center"/>
    </xf>
    <xf numFmtId="0" fontId="13" fillId="6" borderId="15" xfId="4" applyFont="1" applyFill="1" applyBorder="1" applyAlignment="1" applyProtection="1">
      <alignment horizontal="center" vertical="center"/>
    </xf>
    <xf numFmtId="177" fontId="6" fillId="4" borderId="2" xfId="3" applyNumberFormat="1" applyFont="1" applyAlignment="1" applyProtection="1">
      <alignment horizontal="center"/>
    </xf>
    <xf numFmtId="176" fontId="6" fillId="4" borderId="2" xfId="3" applyNumberFormat="1" applyFont="1" applyAlignment="1" applyProtection="1">
      <alignment horizont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/>
    </xf>
    <xf numFmtId="0" fontId="9" fillId="0" borderId="18" xfId="0" applyFont="1" applyBorder="1" applyAlignment="1" applyProtection="1">
      <alignment horizontal="center"/>
    </xf>
    <xf numFmtId="0" fontId="9" fillId="0" borderId="11" xfId="0" applyFont="1" applyBorder="1" applyAlignment="1" applyProtection="1">
      <alignment horizontal="center"/>
    </xf>
    <xf numFmtId="0" fontId="9" fillId="0" borderId="18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14" fillId="5" borderId="16" xfId="4" applyFont="1" applyBorder="1" applyAlignment="1" applyProtection="1">
      <alignment horizontal="center" vertical="center"/>
    </xf>
    <xf numFmtId="0" fontId="14" fillId="5" borderId="8" xfId="4" applyFont="1" applyBorder="1" applyAlignment="1" applyProtection="1">
      <alignment horizontal="center" vertical="center"/>
    </xf>
    <xf numFmtId="0" fontId="14" fillId="5" borderId="17" xfId="4" applyFont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/>
    </xf>
    <xf numFmtId="0" fontId="16" fillId="9" borderId="8" xfId="0" applyFont="1" applyFill="1" applyBorder="1" applyAlignment="1" applyProtection="1">
      <alignment horizontal="center"/>
    </xf>
    <xf numFmtId="0" fontId="16" fillId="9" borderId="17" xfId="0" applyFont="1" applyFill="1" applyBorder="1" applyAlignment="1" applyProtection="1">
      <alignment horizontal="center"/>
    </xf>
    <xf numFmtId="0" fontId="16" fillId="9" borderId="18" xfId="0" applyFont="1" applyFill="1" applyBorder="1" applyAlignment="1" applyProtection="1">
      <alignment horizontal="center"/>
    </xf>
    <xf numFmtId="0" fontId="19" fillId="4" borderId="1" xfId="5" applyFont="1" applyAlignment="1" applyProtection="1">
      <alignment horizontal="center" vertical="center"/>
    </xf>
    <xf numFmtId="44" fontId="20" fillId="10" borderId="8" xfId="6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9" fillId="0" borderId="0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7" fillId="2" borderId="0" xfId="1" applyFont="1" applyBorder="1" applyAlignment="1" applyProtection="1">
      <alignment horizontal="center" vertical="center"/>
    </xf>
    <xf numFmtId="0" fontId="7" fillId="2" borderId="7" xfId="1" applyFont="1" applyBorder="1" applyAlignment="1" applyProtection="1">
      <alignment horizontal="center" vertical="center"/>
    </xf>
    <xf numFmtId="0" fontId="8" fillId="2" borderId="13" xfId="1" applyFont="1" applyBorder="1" applyAlignment="1" applyProtection="1">
      <alignment horizontal="center"/>
    </xf>
    <xf numFmtId="0" fontId="8" fillId="2" borderId="14" xfId="1" applyFont="1" applyBorder="1" applyAlignment="1" applyProtection="1">
      <alignment horizontal="center"/>
    </xf>
    <xf numFmtId="0" fontId="8" fillId="2" borderId="15" xfId="1" applyFont="1" applyBorder="1" applyAlignment="1" applyProtection="1">
      <alignment horizontal="center"/>
    </xf>
    <xf numFmtId="0" fontId="8" fillId="2" borderId="13" xfId="1" applyFont="1" applyBorder="1" applyAlignment="1" applyProtection="1">
      <alignment horizontal="center" vertical="center"/>
    </xf>
    <xf numFmtId="0" fontId="8" fillId="2" borderId="14" xfId="1" applyFont="1" applyBorder="1" applyAlignment="1" applyProtection="1">
      <alignment horizontal="center" vertical="center"/>
    </xf>
    <xf numFmtId="0" fontId="8" fillId="2" borderId="15" xfId="1" applyFont="1" applyBorder="1" applyAlignment="1" applyProtection="1">
      <alignment horizontal="center" vertical="center"/>
    </xf>
    <xf numFmtId="0" fontId="13" fillId="7" borderId="21" xfId="4" applyFont="1" applyFill="1" applyBorder="1" applyAlignment="1" applyProtection="1">
      <alignment horizontal="center" vertical="center"/>
      <protection locked="0"/>
    </xf>
  </cellXfs>
  <cellStyles count="7">
    <cellStyle name="60% - 着色 2" xfId="6" builtinId="36"/>
    <cellStyle name="常规" xfId="0" builtinId="0"/>
    <cellStyle name="好" xfId="1" builtinId="26"/>
    <cellStyle name="计算" xfId="5" builtinId="22"/>
    <cellStyle name="适中" xfId="4" builtinId="28"/>
    <cellStyle name="输出" xfId="3" builtinId="21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zoomScale="115" zoomScaleNormal="115" workbookViewId="0">
      <selection activeCell="E5" sqref="E5"/>
    </sheetView>
  </sheetViews>
  <sheetFormatPr defaultRowHeight="13.8" x14ac:dyDescent="0.25"/>
  <cols>
    <col min="1" max="1" width="46.33203125" style="46" customWidth="1"/>
    <col min="2" max="2" width="19.5546875" style="46" customWidth="1"/>
    <col min="3" max="3" width="20.44140625" style="46" customWidth="1"/>
    <col min="4" max="4" width="29" style="46" customWidth="1"/>
    <col min="5" max="5" width="17.33203125" style="43" customWidth="1"/>
    <col min="6" max="6" width="8.88671875" style="43"/>
    <col min="7" max="7" width="14.77734375" style="43" customWidth="1"/>
    <col min="8" max="8" width="22" style="43" customWidth="1"/>
    <col min="9" max="9" width="29.21875" style="43" customWidth="1"/>
    <col min="10" max="10" width="21.88671875" style="43" bestFit="1" customWidth="1"/>
    <col min="11" max="11" width="16.88671875" style="44" customWidth="1"/>
    <col min="12" max="12" width="8.88671875" style="43"/>
    <col min="13" max="13" width="13.88671875" style="43" customWidth="1"/>
    <col min="14" max="14" width="23.77734375" style="43" customWidth="1"/>
    <col min="15" max="15" width="24.21875" style="43" customWidth="1"/>
    <col min="16" max="16" width="15.109375" style="44" bestFit="1" customWidth="1"/>
    <col min="17" max="16384" width="8.88671875" style="43"/>
  </cols>
  <sheetData>
    <row r="1" spans="1:11" ht="22.8" customHeight="1" x14ac:dyDescent="0.25">
      <c r="A1" s="48" t="s">
        <v>0</v>
      </c>
      <c r="B1" s="48"/>
      <c r="C1" s="48"/>
      <c r="D1" s="48"/>
      <c r="E1" s="1"/>
      <c r="F1" s="1"/>
      <c r="G1" s="1"/>
      <c r="H1" s="1"/>
      <c r="I1" s="1"/>
      <c r="J1" s="1"/>
      <c r="K1" s="2"/>
    </row>
    <row r="2" spans="1:11" ht="22.8" customHeight="1" thickBot="1" x14ac:dyDescent="0.3">
      <c r="A2" s="49"/>
      <c r="B2" s="49"/>
      <c r="C2" s="49"/>
      <c r="D2" s="49"/>
      <c r="E2" s="1"/>
      <c r="F2" s="1"/>
      <c r="G2" s="1"/>
      <c r="H2" s="1"/>
      <c r="I2" s="1"/>
      <c r="J2" s="1"/>
      <c r="K2" s="2"/>
    </row>
    <row r="3" spans="1:11" ht="15" thickTop="1" thickBot="1" x14ac:dyDescent="0.3">
      <c r="A3" s="3"/>
      <c r="B3" s="3"/>
      <c r="C3" s="3"/>
      <c r="D3" s="3"/>
      <c r="E3" s="1"/>
      <c r="F3" s="1"/>
      <c r="G3" s="1"/>
      <c r="H3" s="1"/>
      <c r="I3" s="1"/>
      <c r="J3" s="1"/>
      <c r="K3" s="2"/>
    </row>
    <row r="4" spans="1:11" ht="23.4" customHeight="1" thickBot="1" x14ac:dyDescent="0.35">
      <c r="A4" s="34" t="s">
        <v>49</v>
      </c>
      <c r="B4" s="4">
        <v>300</v>
      </c>
      <c r="C4" s="5"/>
      <c r="D4" s="34" t="s">
        <v>71</v>
      </c>
      <c r="E4" s="56">
        <v>100</v>
      </c>
      <c r="F4" s="1"/>
      <c r="G4" s="1"/>
      <c r="H4" s="1"/>
      <c r="I4" s="1"/>
      <c r="J4" s="1"/>
      <c r="K4" s="2"/>
    </row>
    <row r="5" spans="1:11" ht="25.2" customHeight="1" thickBot="1" x14ac:dyDescent="0.35">
      <c r="A5" s="35" t="s">
        <v>50</v>
      </c>
      <c r="B5" s="6">
        <v>20</v>
      </c>
      <c r="C5" s="5"/>
      <c r="D5" s="42" t="s">
        <v>70</v>
      </c>
      <c r="E5" s="41">
        <f>B41</f>
        <v>399.34292954790516</v>
      </c>
      <c r="F5" s="1"/>
      <c r="G5" s="1"/>
      <c r="H5" s="1"/>
      <c r="I5" s="1"/>
      <c r="J5" s="1"/>
      <c r="K5" s="2"/>
    </row>
    <row r="6" spans="1:11" ht="25.8" customHeight="1" thickBot="1" x14ac:dyDescent="0.35">
      <c r="A6" s="36" t="s">
        <v>51</v>
      </c>
      <c r="B6" s="7">
        <v>12</v>
      </c>
      <c r="C6" s="5"/>
      <c r="D6" s="5"/>
      <c r="E6" s="8"/>
      <c r="F6" s="1"/>
      <c r="G6" s="53" t="s">
        <v>41</v>
      </c>
      <c r="H6" s="54"/>
      <c r="I6" s="54"/>
      <c r="J6" s="54"/>
      <c r="K6" s="55"/>
    </row>
    <row r="7" spans="1:11" ht="23.4" customHeight="1" thickBot="1" x14ac:dyDescent="0.35">
      <c r="A7" s="35" t="s">
        <v>52</v>
      </c>
      <c r="B7" s="6">
        <v>9.5250000000000004</v>
      </c>
      <c r="C7" s="5"/>
      <c r="D7" s="5"/>
      <c r="E7" s="8"/>
      <c r="F7" s="1"/>
      <c r="G7" s="23" t="s">
        <v>16</v>
      </c>
      <c r="H7" s="24" t="s">
        <v>25</v>
      </c>
      <c r="I7" s="25" t="s">
        <v>33</v>
      </c>
      <c r="J7" s="24" t="s">
        <v>17</v>
      </c>
      <c r="K7" s="24" t="s">
        <v>45</v>
      </c>
    </row>
    <row r="8" spans="1:11" ht="21" thickBot="1" x14ac:dyDescent="0.35">
      <c r="A8" s="5"/>
      <c r="B8" s="5"/>
      <c r="C8" s="5"/>
      <c r="D8" s="5"/>
      <c r="E8" s="8"/>
      <c r="F8" s="1"/>
      <c r="G8" s="26" t="s">
        <v>18</v>
      </c>
      <c r="H8" s="27" t="s">
        <v>26</v>
      </c>
      <c r="I8" s="28" t="s">
        <v>35</v>
      </c>
      <c r="J8" s="27">
        <v>6.35</v>
      </c>
      <c r="K8" s="27">
        <v>3.3</v>
      </c>
    </row>
    <row r="9" spans="1:11" ht="21" thickBot="1" x14ac:dyDescent="0.35">
      <c r="A9" s="37" t="s">
        <v>53</v>
      </c>
      <c r="B9" s="15">
        <f>B7/(SIN(PI()/B5))</f>
        <v>60.888116934784279</v>
      </c>
      <c r="C9" s="5"/>
      <c r="D9" s="9" t="s">
        <v>58</v>
      </c>
      <c r="E9" s="9" t="s">
        <v>59</v>
      </c>
      <c r="F9" s="1"/>
      <c r="G9" s="26" t="s">
        <v>19</v>
      </c>
      <c r="H9" s="27" t="s">
        <v>27</v>
      </c>
      <c r="I9" s="28" t="s">
        <v>36</v>
      </c>
      <c r="J9" s="27">
        <v>9.5250000000000004</v>
      </c>
      <c r="K9" s="27">
        <v>5.08</v>
      </c>
    </row>
    <row r="10" spans="1:11" ht="21" thickBot="1" x14ac:dyDescent="0.35">
      <c r="A10" s="38" t="s">
        <v>54</v>
      </c>
      <c r="B10" s="16">
        <f>B7/(SIN(PI()/B6))</f>
        <v>36.801773981613508</v>
      </c>
      <c r="C10" s="5"/>
      <c r="D10" s="19">
        <f>B13*2+PI()*B9*B11/360+PI()*B10*B12/360+0.004*B4</f>
        <v>755.1344467045717</v>
      </c>
      <c r="E10" s="20">
        <f>D10/B7</f>
        <v>79.279207003104631</v>
      </c>
      <c r="F10" s="1"/>
      <c r="G10" s="26" t="s">
        <v>20</v>
      </c>
      <c r="H10" s="27" t="s">
        <v>28</v>
      </c>
      <c r="I10" s="28" t="s">
        <v>37</v>
      </c>
      <c r="J10" s="27">
        <v>12.7</v>
      </c>
      <c r="K10" s="27">
        <v>7.95</v>
      </c>
    </row>
    <row r="11" spans="1:11" ht="21" thickBot="1" x14ac:dyDescent="0.35">
      <c r="A11" s="39" t="s">
        <v>56</v>
      </c>
      <c r="B11" s="17">
        <f>360-B12</f>
        <v>184.60138909698514</v>
      </c>
      <c r="C11" s="5"/>
      <c r="D11" s="5"/>
      <c r="E11" s="8"/>
      <c r="F11" s="1"/>
      <c r="G11" s="26" t="s">
        <v>21</v>
      </c>
      <c r="H11" s="27" t="s">
        <v>29</v>
      </c>
      <c r="I11" s="28" t="s">
        <v>38</v>
      </c>
      <c r="J11" s="27">
        <v>15.875</v>
      </c>
      <c r="K11" s="27">
        <v>10.16</v>
      </c>
    </row>
    <row r="12" spans="1:11" ht="21" thickBot="1" x14ac:dyDescent="0.35">
      <c r="A12" s="38" t="s">
        <v>57</v>
      </c>
      <c r="B12" s="16">
        <f>360-2*(90+ASIN((B9-B10)/2/B4)*180/PI())</f>
        <v>175.39861090301486</v>
      </c>
      <c r="C12" s="5"/>
      <c r="D12" s="5"/>
      <c r="E12" s="8"/>
      <c r="F12" s="1"/>
      <c r="G12" s="26" t="s">
        <v>22</v>
      </c>
      <c r="H12" s="27" t="s">
        <v>30</v>
      </c>
      <c r="I12" s="28" t="s">
        <v>39</v>
      </c>
      <c r="J12" s="27">
        <v>19.05</v>
      </c>
      <c r="K12" s="27">
        <v>11.91</v>
      </c>
    </row>
    <row r="13" spans="1:11" ht="21" thickBot="1" x14ac:dyDescent="0.35">
      <c r="A13" s="40" t="s">
        <v>55</v>
      </c>
      <c r="B13" s="18">
        <f>SQRT(B4*B4-(B9/2-B10/2)*(B9/2-B10/2))</f>
        <v>299.75817256713043</v>
      </c>
      <c r="C13" s="5"/>
      <c r="D13" s="5"/>
      <c r="E13" s="8"/>
      <c r="F13" s="1"/>
      <c r="G13" s="26" t="s">
        <v>23</v>
      </c>
      <c r="H13" s="27" t="s">
        <v>31</v>
      </c>
      <c r="I13" s="28" t="s">
        <v>40</v>
      </c>
      <c r="J13" s="27">
        <v>25.4</v>
      </c>
      <c r="K13" s="27">
        <v>15.875</v>
      </c>
    </row>
    <row r="14" spans="1:11" ht="21" thickBot="1" x14ac:dyDescent="0.4">
      <c r="A14" s="3"/>
      <c r="B14" s="3"/>
      <c r="C14" s="3"/>
      <c r="D14" s="3"/>
      <c r="E14" s="1"/>
      <c r="F14" s="1"/>
      <c r="G14" s="29" t="s">
        <v>24</v>
      </c>
      <c r="H14" s="30" t="s">
        <v>32</v>
      </c>
      <c r="I14" s="31" t="s">
        <v>34</v>
      </c>
      <c r="J14" s="32">
        <v>31.75</v>
      </c>
      <c r="K14" s="32">
        <v>19.05</v>
      </c>
    </row>
    <row r="15" spans="1:11" ht="21" thickBot="1" x14ac:dyDescent="0.4">
      <c r="A15" s="3"/>
      <c r="B15" s="3"/>
      <c r="C15" s="3"/>
      <c r="D15" s="3"/>
      <c r="E15" s="1"/>
      <c r="F15" s="1"/>
      <c r="G15" s="50" t="s">
        <v>42</v>
      </c>
      <c r="H15" s="51"/>
      <c r="I15" s="51"/>
      <c r="J15" s="51"/>
      <c r="K15" s="52"/>
    </row>
    <row r="16" spans="1:11" ht="21" thickBot="1" x14ac:dyDescent="0.3">
      <c r="A16" s="3"/>
      <c r="B16" s="3"/>
      <c r="C16" s="3"/>
      <c r="D16" s="3"/>
      <c r="E16" s="1"/>
      <c r="F16" s="1"/>
      <c r="G16" s="23" t="s">
        <v>16</v>
      </c>
      <c r="H16" s="24" t="s">
        <v>25</v>
      </c>
      <c r="I16" s="24" t="s">
        <v>33</v>
      </c>
      <c r="J16" s="25" t="s">
        <v>43</v>
      </c>
      <c r="K16" s="24" t="s">
        <v>46</v>
      </c>
    </row>
    <row r="17" spans="1:16" ht="21" thickBot="1" x14ac:dyDescent="0.3">
      <c r="A17" s="3"/>
      <c r="B17" s="3"/>
      <c r="C17" s="3"/>
      <c r="D17" s="3"/>
      <c r="E17" s="1"/>
      <c r="F17" s="1"/>
      <c r="G17" s="33" t="s">
        <v>18</v>
      </c>
      <c r="H17" s="27" t="s">
        <v>60</v>
      </c>
      <c r="I17" s="27" t="s">
        <v>66</v>
      </c>
      <c r="J17" s="26" t="s">
        <v>44</v>
      </c>
      <c r="K17" s="27" t="s">
        <v>48</v>
      </c>
    </row>
    <row r="18" spans="1:16" ht="20.399999999999999" x14ac:dyDescent="0.4">
      <c r="A18" s="10" t="s">
        <v>1</v>
      </c>
      <c r="B18" s="11">
        <v>7.8</v>
      </c>
      <c r="C18" s="3"/>
      <c r="D18" s="3"/>
      <c r="E18" s="1"/>
      <c r="F18" s="1"/>
      <c r="G18" s="27" t="s">
        <v>19</v>
      </c>
      <c r="H18" s="27" t="s">
        <v>61</v>
      </c>
      <c r="I18" s="27" t="s">
        <v>15</v>
      </c>
      <c r="J18" s="26">
        <v>9.5250000000000004</v>
      </c>
      <c r="K18" s="27">
        <v>6.35</v>
      </c>
      <c r="P18" s="43"/>
    </row>
    <row r="19" spans="1:16" ht="20.399999999999999" x14ac:dyDescent="0.4">
      <c r="A19" s="12" t="s">
        <v>2</v>
      </c>
      <c r="B19" s="13">
        <v>12.7</v>
      </c>
      <c r="C19" s="3"/>
      <c r="D19" s="3"/>
      <c r="E19" s="1"/>
      <c r="F19" s="1"/>
      <c r="G19" s="27" t="s">
        <v>20</v>
      </c>
      <c r="H19" s="27" t="s">
        <v>62</v>
      </c>
      <c r="I19" s="27" t="s">
        <v>66</v>
      </c>
      <c r="J19" s="26">
        <v>12.7</v>
      </c>
      <c r="K19" s="27">
        <v>8.51</v>
      </c>
    </row>
    <row r="20" spans="1:16" ht="21" x14ac:dyDescent="0.4">
      <c r="A20" s="12" t="s">
        <v>3</v>
      </c>
      <c r="B20" s="13">
        <v>8</v>
      </c>
      <c r="C20" s="3"/>
      <c r="D20" s="3"/>
      <c r="E20" s="1"/>
      <c r="F20" s="1"/>
      <c r="G20" s="27" t="s">
        <v>21</v>
      </c>
      <c r="H20" s="27" t="s">
        <v>63</v>
      </c>
      <c r="I20" s="27" t="s">
        <v>15</v>
      </c>
      <c r="J20" s="26">
        <v>15.875</v>
      </c>
      <c r="K20" s="27">
        <v>10.16</v>
      </c>
      <c r="L20" s="45"/>
    </row>
    <row r="21" spans="1:16" ht="20.399999999999999" x14ac:dyDescent="0.35">
      <c r="A21" s="3"/>
      <c r="B21" s="3"/>
      <c r="C21" s="3"/>
      <c r="D21" s="3"/>
      <c r="E21" s="1"/>
      <c r="F21" s="1"/>
      <c r="G21" s="27" t="s">
        <v>22</v>
      </c>
      <c r="H21" s="27" t="s">
        <v>64</v>
      </c>
      <c r="I21" s="27" t="s">
        <v>66</v>
      </c>
      <c r="J21" s="26">
        <v>19.05</v>
      </c>
      <c r="K21" s="27">
        <v>12.07</v>
      </c>
      <c r="L21" s="45"/>
    </row>
    <row r="22" spans="1:16" ht="21" x14ac:dyDescent="0.4">
      <c r="A22" s="14"/>
      <c r="B22" s="14" t="s">
        <v>4</v>
      </c>
      <c r="C22" s="14" t="s">
        <v>5</v>
      </c>
      <c r="D22" s="14" t="s">
        <v>9</v>
      </c>
      <c r="E22" s="1"/>
      <c r="F22" s="1"/>
      <c r="G22" s="27" t="s">
        <v>23</v>
      </c>
      <c r="H22" s="27" t="s">
        <v>65</v>
      </c>
      <c r="I22" s="27" t="s">
        <v>15</v>
      </c>
      <c r="J22" s="26">
        <v>25.4</v>
      </c>
      <c r="K22" s="27" t="s">
        <v>69</v>
      </c>
      <c r="L22" s="45"/>
    </row>
    <row r="23" spans="1:16" ht="21.6" thickBot="1" x14ac:dyDescent="0.45">
      <c r="A23" s="14" t="s">
        <v>10</v>
      </c>
      <c r="B23" s="21">
        <f>0.008*B18*(180+B20*B20)</f>
        <v>15.2256</v>
      </c>
      <c r="C23" s="22">
        <f>0.12*B18*(B20+2)</f>
        <v>9.36</v>
      </c>
      <c r="D23" s="21">
        <f>(B23+C23)/2</f>
        <v>12.2928</v>
      </c>
      <c r="E23" s="1"/>
      <c r="F23" s="1"/>
      <c r="G23" s="29" t="s">
        <v>47</v>
      </c>
      <c r="H23" s="29" t="s">
        <v>67</v>
      </c>
      <c r="I23" s="29" t="s">
        <v>68</v>
      </c>
      <c r="J23" s="32">
        <v>31.75</v>
      </c>
      <c r="K23" s="32" t="s">
        <v>69</v>
      </c>
      <c r="L23" s="45"/>
    </row>
    <row r="24" spans="1:16" ht="21" x14ac:dyDescent="0.4">
      <c r="A24" s="14" t="s">
        <v>11</v>
      </c>
      <c r="B24" s="21">
        <f>0.505*B18+3*0.069</f>
        <v>4.1459999999999999</v>
      </c>
      <c r="C24" s="22">
        <f>0.505*B18</f>
        <v>3.9390000000000001</v>
      </c>
      <c r="D24" s="21">
        <f>(B24+C24)/2</f>
        <v>4.0425000000000004</v>
      </c>
      <c r="E24" s="1"/>
      <c r="F24" s="1"/>
      <c r="G24" s="1"/>
      <c r="H24" s="1"/>
      <c r="I24" s="1"/>
      <c r="J24" s="1"/>
      <c r="K24" s="2"/>
      <c r="L24" s="45"/>
    </row>
    <row r="25" spans="1:16" ht="21" x14ac:dyDescent="0.4">
      <c r="A25" s="14" t="s">
        <v>6</v>
      </c>
      <c r="B25" s="21">
        <f>140-90/B20</f>
        <v>128.75</v>
      </c>
      <c r="C25" s="22">
        <f>120-90/B20</f>
        <v>108.75</v>
      </c>
      <c r="D25" s="21">
        <f>(B25+C25)/2</f>
        <v>118.75</v>
      </c>
      <c r="E25" s="1"/>
      <c r="F25" s="1"/>
      <c r="G25" s="1"/>
      <c r="H25" s="1"/>
      <c r="I25" s="1"/>
      <c r="J25" s="1"/>
      <c r="K25" s="2"/>
      <c r="L25" s="45"/>
    </row>
    <row r="26" spans="1:16" ht="21" x14ac:dyDescent="0.4">
      <c r="A26" s="14" t="s">
        <v>7</v>
      </c>
      <c r="B26" s="21" t="s">
        <v>14</v>
      </c>
      <c r="C26" s="22" t="s">
        <v>15</v>
      </c>
      <c r="D26" s="21">
        <f>B19/(SIN(PI()/B20))</f>
        <v>33.186699307859961</v>
      </c>
      <c r="E26" s="1"/>
      <c r="F26" s="1"/>
      <c r="G26" s="1"/>
      <c r="H26" s="1"/>
      <c r="I26" s="1"/>
      <c r="J26" s="1"/>
      <c r="K26" s="2"/>
      <c r="L26" s="45"/>
    </row>
    <row r="27" spans="1:16" ht="19.2" x14ac:dyDescent="0.4">
      <c r="A27" s="14" t="s">
        <v>8</v>
      </c>
      <c r="B27" s="21" t="s">
        <v>14</v>
      </c>
      <c r="C27" s="22" t="s">
        <v>15</v>
      </c>
      <c r="D27" s="21">
        <f>D26-B18</f>
        <v>25.38669930785996</v>
      </c>
      <c r="E27" s="1"/>
      <c r="F27" s="1"/>
      <c r="G27" s="1"/>
      <c r="H27" s="1"/>
      <c r="I27" s="1"/>
      <c r="J27" s="1"/>
      <c r="K27" s="2"/>
    </row>
    <row r="28" spans="1:16" ht="19.2" x14ac:dyDescent="0.4">
      <c r="A28" s="14" t="s">
        <v>12</v>
      </c>
      <c r="B28" s="21">
        <f>D26+1.25*B19-B18</f>
        <v>41.261699307859963</v>
      </c>
      <c r="C28" s="22">
        <f>D26+(1-1.6/B20)*B19-B18</f>
        <v>35.546699307859967</v>
      </c>
      <c r="D28" s="21">
        <f>(B28+C28)/2</f>
        <v>38.404199307859969</v>
      </c>
      <c r="E28" s="1"/>
      <c r="F28" s="1"/>
      <c r="G28" s="1"/>
      <c r="H28" s="1"/>
      <c r="I28" s="1"/>
      <c r="J28" s="1"/>
      <c r="K28" s="2"/>
      <c r="P28" s="43"/>
    </row>
    <row r="29" spans="1:16" ht="19.2" x14ac:dyDescent="0.4">
      <c r="A29" s="14" t="s">
        <v>13</v>
      </c>
      <c r="B29" s="21">
        <f>(0.625+0.8/B20)*B19-0.5*B18</f>
        <v>5.3074999999999992</v>
      </c>
      <c r="C29" s="22">
        <f>0.5*(B19-B18)</f>
        <v>2.4499999999999997</v>
      </c>
      <c r="D29" s="21">
        <f>(B29+C29)/2</f>
        <v>3.8787499999999993</v>
      </c>
      <c r="E29" s="1"/>
      <c r="F29" s="1"/>
      <c r="G29" s="1"/>
      <c r="H29" s="1"/>
      <c r="I29" s="1"/>
      <c r="J29" s="1"/>
      <c r="K29" s="2"/>
    </row>
    <row r="34" spans="1:7" hidden="1" x14ac:dyDescent="0.25">
      <c r="A34" s="46">
        <f>$E$4*$B$7</f>
        <v>952.5</v>
      </c>
      <c r="B34" s="46" t="s">
        <v>72</v>
      </c>
    </row>
    <row r="35" spans="1:7" hidden="1" x14ac:dyDescent="0.25"/>
    <row r="36" spans="1:7" hidden="1" x14ac:dyDescent="0.25">
      <c r="B36" s="46" t="s">
        <v>74</v>
      </c>
      <c r="C36" s="46" t="s">
        <v>73</v>
      </c>
      <c r="D36" s="46" t="s">
        <v>76</v>
      </c>
      <c r="E36" s="46" t="s">
        <v>75</v>
      </c>
      <c r="F36" s="46" t="s">
        <v>77</v>
      </c>
      <c r="G36" s="46"/>
    </row>
    <row r="37" spans="1:7" hidden="1" x14ac:dyDescent="0.25">
      <c r="A37" s="47"/>
      <c r="B37" s="46">
        <f>$B$4+5</f>
        <v>305</v>
      </c>
      <c r="C37" s="46">
        <f>2*B37*SIN(ACOS(ABS($B$9-$B$10)/(2*B37)))+$B$9*(PI()-ACOS(ABS($B$9-$B$10)/(2*B37)))+$B$10*ACOS(ABS($B$9-$B$10)/(2*B37))</f>
        <v>763.9265179884236</v>
      </c>
      <c r="D37" s="46">
        <f>A34</f>
        <v>952.5</v>
      </c>
      <c r="E37" s="43">
        <f>C37-D37</f>
        <v>-188.5734820115764</v>
      </c>
    </row>
    <row r="38" spans="1:7" hidden="1" x14ac:dyDescent="0.25">
      <c r="A38" s="47"/>
      <c r="B38" s="46">
        <f>IF(E37&gt;0,B37-0.01,B37+0.01)</f>
        <v>305.01</v>
      </c>
      <c r="C38" s="46">
        <f>2*B38*SIN(ACOS(ABS($B$9-$B$10)/(2*B38)))+$B$9*(PI()-ACOS(ABS($B$9-$B$10)/(2*B38)))+$B$10*ACOS(ABS($B$9-$B$10)/(2*B38))</f>
        <v>763.94650239156283</v>
      </c>
      <c r="D38" s="46">
        <f>D37</f>
        <v>952.5</v>
      </c>
      <c r="E38" s="43">
        <f>C38-D38</f>
        <v>-188.55349760843717</v>
      </c>
      <c r="F38" s="43">
        <f>(E38-E37)/(B38-B37)</f>
        <v>1.9984403139251286</v>
      </c>
    </row>
    <row r="39" spans="1:7" hidden="1" x14ac:dyDescent="0.25">
      <c r="A39" s="47"/>
      <c r="B39" s="46">
        <f>IF(ABS(E38)&lt;0.0000001,B38,B38-E38/F38)</f>
        <v>399.36032725000427</v>
      </c>
      <c r="C39" s="46">
        <f>2*B39*SIN(ACOS(ABS($B$9-$B$10)/(2*B39)))+$B$9*(PI()-ACOS(ABS($B$9-$B$10)/(2*B39)))+$B$10*ACOS(ABS($B$9-$B$10)/(2*B39))</f>
        <v>952.53477957855068</v>
      </c>
      <c r="D39" s="46">
        <f>D38</f>
        <v>952.5</v>
      </c>
      <c r="E39" s="43">
        <f>C39-D39</f>
        <v>3.4779578550683254E-2</v>
      </c>
      <c r="F39" s="43">
        <f>(E39-E38)/(B39-B38)</f>
        <v>1.9988089356306846</v>
      </c>
    </row>
    <row r="40" spans="1:7" hidden="1" x14ac:dyDescent="0.25">
      <c r="B40" s="46">
        <f>IF(ABS(E39)&lt;0.0000001,B39,B39-E39/F39)</f>
        <v>399.3429270983786</v>
      </c>
      <c r="C40" s="46">
        <f>2*B40*SIN(ACOS(ABS($B$9-$B$10)/(2*B40)))+$B$9*(PI()-ACOS(ABS($B$9-$B$10)/(2*B40)))+$B$10*ACOS(ABS($B$9-$B$10)/(2*B40))</f>
        <v>952.49999510317502</v>
      </c>
      <c r="D40" s="46">
        <f>D39</f>
        <v>952.5</v>
      </c>
      <c r="E40" s="43">
        <f>C40-D40</f>
        <v>-4.8968249757308513E-6</v>
      </c>
      <c r="F40" s="43">
        <f>(E40-E39)/(B40-B39)</f>
        <v>1.9990903598979843</v>
      </c>
    </row>
    <row r="41" spans="1:7" hidden="1" x14ac:dyDescent="0.25">
      <c r="B41" s="46">
        <f>IF(ABS(E40)&lt;0.0000001,B40,B40-E40/F40)</f>
        <v>399.34292954790516</v>
      </c>
      <c r="C41" s="46">
        <f>2*B41*SIN(ACOS(ABS($B$9-$B$10)/(2*B41)))+$B$9*(PI()-ACOS(ABS($B$9-$B$10)/(2*B41)))+$B$10*ACOS(ABS($B$9-$B$10)/(2*B41))</f>
        <v>952.49999999999977</v>
      </c>
      <c r="D41" s="46">
        <f>D40</f>
        <v>952.5</v>
      </c>
      <c r="E41" s="43">
        <f>C41-D41</f>
        <v>0</v>
      </c>
      <c r="F41" s="43">
        <f>(E41-E40)/(B41-B40)</f>
        <v>1.9990903759252736</v>
      </c>
    </row>
  </sheetData>
  <sheetProtection algorithmName="SHA-512" hashValue="0IZVzh4XuT4KAxkN/w6f8NU+46NQtrnbvLjc/KNiZ9fqesWvPPCMQ4oZl5mpxGoxVkxB3OnFcO/NG1AdPgzw6g==" saltValue="gox6cKwvgAtG/cJ2Fn53kg==" spinCount="100000" sheet="1" objects="1" scenarios="1"/>
  <mergeCells count="3">
    <mergeCell ref="A1:D2"/>
    <mergeCell ref="G15:K15"/>
    <mergeCell ref="G6:K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2021-01-12T09:13:20Z</dcterms:modified>
</cp:coreProperties>
</file>