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<sst xmlns="http://schemas.openxmlformats.org/spreadsheetml/2006/main" count="68" uniqueCount="68">
  <si>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nogomet</t>
  </si>
  <si>
    <t>odbojka</t>
  </si>
  <si>
    <t>tenis</t>
  </si>
  <si>
    <t>hokej</t>
  </si>
  <si>
    <t>kriket</t>
  </si>
  <si>
    <t>skijanje</t>
  </si>
  <si>
    <t>hrvanje</t>
  </si>
  <si>
    <t>gimnastika</t>
  </si>
  <si>
    <t>stolni tenis</t>
  </si>
  <si>
    <t>snooker</t>
  </si>
  <si>
    <t>plivanje</t>
  </si>
  <si>
    <t>biciklizam</t>
  </si>
  <si>
    <t>badminton</t>
  </si>
  <si>
    <t>golf</t>
  </si>
  <si>
    <t>motociklizam</t>
  </si>
  <si>
    <t>bejzbol</t>
  </si>
  <si>
    <t>boks</t>
  </si>
  <si>
    <t>ragbi</t>
  </si>
  <si>
    <t>navijanje</t>
  </si>
  <si>
    <t>lopta</t>
  </si>
  <si>
    <t>udarac</t>
  </si>
  <si>
    <t>gol</t>
  </si>
  <si>
    <t>stativa</t>
  </si>
  <si>
    <t>igrač</t>
  </si>
  <si>
    <t>momčad</t>
  </si>
  <si>
    <t>vratar</t>
  </si>
  <si>
    <t>dres</t>
  </si>
  <si>
    <t>sudac</t>
  </si>
  <si>
    <t>prednost</t>
  </si>
  <si>
    <t>poluvrijeme</t>
  </si>
  <si>
    <t>reket</t>
  </si>
  <si>
    <t>skije</t>
  </si>
  <si>
    <t>skija</t>
  </si>
  <si>
    <t>rukavica</t>
  </si>
  <si>
    <t>palica</t>
  </si>
  <si>
    <t>biciklo</t>
  </si>
  <si>
    <t>zavoji</t>
  </si>
  <si>
    <t>štitnik</t>
  </si>
  <si>
    <t>štap</t>
  </si>
  <si>
    <t>pobjeda</t>
  </si>
  <si>
    <t>gubitak</t>
  </si>
  <si>
    <t>nerješeno</t>
  </si>
  <si>
    <t>šah</t>
  </si>
  <si>
    <t>kapetan</t>
  </si>
  <si>
    <t>trener</t>
  </si>
  <si>
    <t>taktika</t>
  </si>
  <si>
    <t>trčati</t>
  </si>
  <si>
    <t>mreža</t>
  </si>
  <si>
    <t>poen</t>
  </si>
  <si>
    <t>bod</t>
  </si>
  <si>
    <t>teren</t>
  </si>
  <si>
    <t>kuglanje</t>
  </si>
  <si>
    <t>vaterpolo</t>
  </si>
  <si>
    <t>kapa</t>
  </si>
  <si>
    <t>tenisice</t>
  </si>
  <si>
    <t>kopačke</t>
  </si>
  <si>
    <t>trampolin</t>
  </si>
  <si>
    <t>prekršaj</t>
  </si>
  <si>
    <t>streličarstvo</t>
  </si>
  <si>
    <t>mačevanje</t>
  </si>
  <si>
    <t>navijati</t>
  </si>
  <si>
    <t>prvenstvo</t>
  </si>
  <si>
    <t>kup</t>
  </si>
  <si>
    <t>pravila</t>
  </si>
  <si>
    <t>igra</t>
  </si>
  <si>
    <t>trud</t>
  </si>
  <si>
    <t>volja</t>
  </si>
  <si>
    <t>srce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</si>
</sst>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2" t="str">
        <f>IFERROR(__xludf.DUMMYFUNCTION("GOOGLETRANSLATE(A1, ""hr"", ""en"")"),"football")</f>
        <v>football</v>
      </c>
      <c r="C1" s="2" t="str">
        <f>IFERROR(__xludf.DUMMYFUNCTION("GOOGLETRANSLATE(A1, ""hr"", ""de"")"),"Fußball")</f>
        <v>Fußball</v>
      </c>
      <c r="D1" s="2" t="str">
        <f>IFERROR(__xludf.DUMMYFUNCTION("GOOGLETRANSLATE(A1, ""hr"", ""cs"")"),"Fotbal")</f>
        <v>Fotbal</v>
      </c>
      <c r="E1" s="3" t="str">
        <f>IFERROR(__xludf.DUMMYFUNCTION("GOOGLETRANSLATE(A1, ""hr"", ""af"")"),"sokker")</f>
        <v>sokker</v>
      </c>
      <c r="F1" s="3" t="str">
        <f>IFERROR(__xludf.DUMMYFUNCTION("GOOGLETRANSLATE(A1, ""hr"", ""sq"")"),"futboll")</f>
        <v>futboll</v>
      </c>
      <c r="G1" s="3" t="str">
        <f>IFERROR(__xludf.DUMMYFUNCTION("GOOGLETRANSLATE(A1, ""hr"", ""ca"")"),"futbol")</f>
        <v>futbol</v>
      </c>
      <c r="H1" s="2" t="str">
        <f>IFERROR(__xludf.DUMMYFUNCTION("GOOGLETRANSLATE(A1, ""hr"", ""da"")"),"Fodbold")</f>
        <v>Fodbold</v>
      </c>
      <c r="I1" s="3" t="str">
        <f>IFERROR(__xludf.DUMMYFUNCTION("GOOGLETRANSLATE(A1, ""hr"", ""nl"")"),"Amerikaans voetbal")</f>
        <v>Amerikaans voetbal</v>
      </c>
      <c r="J1" s="3" t="str">
        <f>IFERROR(__xludf.DUMMYFUNCTION("GOOGLETRANSLATE(A1, ""hr"", ""et"")"),"Jalgpall")</f>
        <v>Jalgpall</v>
      </c>
      <c r="K1" s="3" t="str">
        <f>IFERROR(__xludf.DUMMYFUNCTION("GOOGLETRANSLATE(A1, ""hr"", ""tl"")"),"Football")</f>
        <v>Football</v>
      </c>
      <c r="L1" s="2" t="str">
        <f>IFERROR(__xludf.DUMMYFUNCTION("GOOGLETRANSLATE(A1, ""hr"", ""fi"")"),"jalkapallo")</f>
        <v>jalkapallo</v>
      </c>
      <c r="M1" s="3" t="str">
        <f>IFERROR(__xludf.DUMMYFUNCTION("GOOGLETRANSLATE(A1, ""hr"", ""fr"")"),"Football")</f>
        <v>Football</v>
      </c>
      <c r="N1" s="3" t="str">
        <f>IFERROR(__xludf.DUMMYFUNCTION("GOOGLETRANSLATE(A1, ""hr"", ""gl"")"),"fútbol")</f>
        <v>fútbol</v>
      </c>
      <c r="O1" s="2" t="str">
        <f>IFERROR(__xludf.DUMMYFUNCTION("GOOGLETRANSLATE(A1, ""hr"", ""ht"")"),"foutbòl")</f>
        <v>foutbòl</v>
      </c>
      <c r="P1" s="3" t="str">
        <f>IFERROR(__xludf.DUMMYFUNCTION("GOOGLETRANSLATE(A1, ""hr"", ""is"")"),"fótbolti")</f>
        <v>fótbolti</v>
      </c>
      <c r="Q1" s="2" t="str">
        <f>IFERROR(__xludf.DUMMYFUNCTION("GOOGLETRANSLATE(A1, ""hr"", ""id"")"),"sepak bola")</f>
        <v>sepak bola</v>
      </c>
      <c r="R1" s="2" t="str">
        <f>IFERROR(__xludf.DUMMYFUNCTION("GOOGLETRANSLATE(A1, ""hr"", ""ga"")"),"sacar")</f>
        <v>sacar</v>
      </c>
      <c r="S1" s="3" t="str">
        <f>IFERROR(__xludf.DUMMYFUNCTION("GOOGLETRANSLATE(A1, ""hr"", ""it"")"),"calcio")</f>
        <v>calcio</v>
      </c>
      <c r="T1" s="2" t="str">
        <f>IFERROR(__xludf.DUMMYFUNCTION("GOOGLETRANSLATE(A1, ""hr"", ""lv"")"),"futbols")</f>
        <v>futbols</v>
      </c>
      <c r="U1" s="2" t="str">
        <f>IFERROR(__xludf.DUMMYFUNCTION("GOOGLETRANSLATE(A1, ""hr"", ""lt"")"),"futbolas")</f>
        <v>futbolas</v>
      </c>
      <c r="V1" s="2" t="str">
        <f>IFERROR(__xludf.DUMMYFUNCTION("GOOGLETRANSLATE(A1, ""hr"", ""no"")"),"Fotball")</f>
        <v>Fotball</v>
      </c>
      <c r="W1" s="2" t="str">
        <f>IFERROR(__xludf.DUMMYFUNCTION("GOOGLETRANSLATE(A1, ""hr"", ""mt"")"),"futbol")</f>
        <v>futbol</v>
      </c>
      <c r="X1" s="2" t="str">
        <f>IFERROR(__xludf.DUMMYFUNCTION("GOOGLETRANSLATE(A1, ""hr"", ""es"")"),"fútbol americano")</f>
        <v>fútbol americano</v>
      </c>
      <c r="Y1" s="2" t="str">
        <f>IFERROR(__xludf.DUMMYFUNCTION("GOOGLETRANSLATE(A1, ""hr"", ""sl"")"),"nogomet")</f>
        <v>nogomet</v>
      </c>
      <c r="Z1" s="2" t="str">
        <f>IFERROR(__xludf.DUMMYFUNCTION("GOOGLETRANSLATE(A1, ""hr"", ""sk"")"),"futbal")</f>
        <v>futbal</v>
      </c>
    </row>
    <row r="2">
      <c r="A2" s="1" t="s">
        <v>1</v>
      </c>
      <c r="B2" s="2" t="str">
        <f>IFERROR(__xludf.DUMMYFUNCTION("GOOGLETRANSLATE(A2, ""hr"", ""en"")"),"volleyball")</f>
        <v>volleyball</v>
      </c>
      <c r="C2" s="2" t="str">
        <f>IFERROR(__xludf.DUMMYFUNCTION("GOOGLETRANSLATE(A2, ""hr"", ""de"")"),"Volleyball")</f>
        <v>Volleyball</v>
      </c>
      <c r="D2" s="2" t="str">
        <f>IFERROR(__xludf.DUMMYFUNCTION("GOOGLETRANSLATE(A2, ""hr"", ""cs"")"),"volejbal")</f>
        <v>volejbal</v>
      </c>
      <c r="E2" s="3" t="str">
        <f>IFERROR(__xludf.DUMMYFUNCTION("GOOGLETRANSLATE(A2, ""hr"", ""af"")"),"vlugbal")</f>
        <v>vlugbal</v>
      </c>
      <c r="F2" s="3" t="str">
        <f>IFERROR(__xludf.DUMMYFUNCTION("GOOGLETRANSLATE(A2, ""hr"", ""sq"")"),"volejboll")</f>
        <v>volejboll</v>
      </c>
      <c r="G2" s="3" t="str">
        <f>IFERROR(__xludf.DUMMYFUNCTION("GOOGLETRANSLATE(A2, ""hr"", ""ca"")"),"voleibol")</f>
        <v>voleibol</v>
      </c>
      <c r="H2" s="2" t="str">
        <f>IFERROR(__xludf.DUMMYFUNCTION("GOOGLETRANSLATE(A2, ""hr"", ""da"")"),"Volleyball")</f>
        <v>Volleyball</v>
      </c>
      <c r="I2" s="3" t="str">
        <f>IFERROR(__xludf.DUMMYFUNCTION("GOOGLETRANSLATE(A2, ""hr"", ""nl"")"),"volleybal")</f>
        <v>volleybal</v>
      </c>
      <c r="J2" s="3" t="str">
        <f>IFERROR(__xludf.DUMMYFUNCTION("GOOGLETRANSLATE(A2, ""hr"", ""et"")"),"võrkpall")</f>
        <v>võrkpall</v>
      </c>
      <c r="K2" s="3" t="str">
        <f>IFERROR(__xludf.DUMMYFUNCTION("GOOGLETRANSLATE(A2, ""hr"", ""tl"")"),"volleyball")</f>
        <v>volleyball</v>
      </c>
      <c r="L2" s="2" t="str">
        <f>IFERROR(__xludf.DUMMYFUNCTION("GOOGLETRANSLATE(A2, ""hr"", ""fi"")"),"Lentopallo")</f>
        <v>Lentopallo</v>
      </c>
      <c r="M2" s="3" t="str">
        <f>IFERROR(__xludf.DUMMYFUNCTION("GOOGLETRANSLATE(A2, ""hr"", ""fr"")"),"volley-ball")</f>
        <v>volley-ball</v>
      </c>
      <c r="N2" s="3" t="str">
        <f>IFERROR(__xludf.DUMMYFUNCTION("GOOGLETRANSLATE(A2, ""hr"", ""gl"")"),"voleibol")</f>
        <v>voleibol</v>
      </c>
      <c r="O2" s="2" t="str">
        <f>IFERROR(__xludf.DUMMYFUNCTION("GOOGLETRANSLATE(A2, ""hr"", ""ht"")"),"volebòl")</f>
        <v>volebòl</v>
      </c>
      <c r="P2" s="3" t="str">
        <f>IFERROR(__xludf.DUMMYFUNCTION("GOOGLETRANSLATE(A2, ""hr"", ""is"")"),"Blak")</f>
        <v>Blak</v>
      </c>
      <c r="Q2" s="2" t="str">
        <f>IFERROR(__xludf.DUMMYFUNCTION("GOOGLETRANSLATE(A2, ""hr"", ""id"")"),"bola voli")</f>
        <v>bola voli</v>
      </c>
      <c r="R2" s="2" t="str">
        <f>IFERROR(__xludf.DUMMYFUNCTION("GOOGLETRANSLATE(A2, ""hr"", ""ga"")"),"eitpheil")</f>
        <v>eitpheil</v>
      </c>
      <c r="S2" s="3" t="str">
        <f>IFERROR(__xludf.DUMMYFUNCTION("GOOGLETRANSLATE(A2, ""hr"", ""it"")"),"pallavolo")</f>
        <v>pallavolo</v>
      </c>
      <c r="T2" s="2" t="str">
        <f>IFERROR(__xludf.DUMMYFUNCTION("GOOGLETRANSLATE(A2, ""hr"", ""lv"")"),"volejbols")</f>
        <v>volejbols</v>
      </c>
      <c r="U2" s="2" t="str">
        <f>IFERROR(__xludf.DUMMYFUNCTION("GOOGLETRANSLATE(A2, ""hr"", ""lt"")"),"Tinklinis")</f>
        <v>Tinklinis</v>
      </c>
      <c r="V2" s="2" t="str">
        <f>IFERROR(__xludf.DUMMYFUNCTION("GOOGLETRANSLATE(A2, ""hr"", ""no"")"),"volleyball")</f>
        <v>volleyball</v>
      </c>
      <c r="W2" s="2" t="str">
        <f>IFERROR(__xludf.DUMMYFUNCTION("GOOGLETRANSLATE(A2, ""hr"", ""mt"")"),"Volleyball")</f>
        <v>Volleyball</v>
      </c>
      <c r="X2" s="2" t="str">
        <f>IFERROR(__xludf.DUMMYFUNCTION("GOOGLETRANSLATE(A2, ""hr"", ""es"")"),"vóleibol")</f>
        <v>vóleibol</v>
      </c>
      <c r="Y2" s="2" t="str">
        <f>IFERROR(__xludf.DUMMYFUNCTION("GOOGLETRANSLATE(A2, ""hr"", ""sl"")"),"odbojka")</f>
        <v>odbojka</v>
      </c>
      <c r="Z2" s="2" t="str">
        <f>IFERROR(__xludf.DUMMYFUNCTION("GOOGLETRANSLATE(A2, ""hr"", ""sk"")"),"volejbal")</f>
        <v>volejbal</v>
      </c>
    </row>
    <row r="3">
      <c r="A3" s="1" t="s">
        <v>2</v>
      </c>
      <c r="B3" s="2" t="str">
        <f>IFERROR(__xludf.DUMMYFUNCTION("GOOGLETRANSLATE(A3, ""hr"", ""en"")"),"tennis")</f>
        <v>tennis</v>
      </c>
      <c r="C3" s="2" t="str">
        <f>IFERROR(__xludf.DUMMYFUNCTION("GOOGLETRANSLATE(A3, ""hr"", ""de"")"),"Tennis")</f>
        <v>Tennis</v>
      </c>
      <c r="D3" s="2" t="str">
        <f>IFERROR(__xludf.DUMMYFUNCTION("GOOGLETRANSLATE(A3, ""hr"", ""cs"")"),"tenis")</f>
        <v>tenis</v>
      </c>
      <c r="E3" s="3" t="str">
        <f>IFERROR(__xludf.DUMMYFUNCTION("GOOGLETRANSLATE(A3, ""hr"", ""af"")"),"tennis")</f>
        <v>tennis</v>
      </c>
      <c r="F3" s="3" t="str">
        <f>IFERROR(__xludf.DUMMYFUNCTION("GOOGLETRANSLATE(A3, ""hr"", ""sq"")"),"tenis")</f>
        <v>tenis</v>
      </c>
      <c r="G3" s="3" t="str">
        <f>IFERROR(__xludf.DUMMYFUNCTION("GOOGLETRANSLATE(A3, ""hr"", ""ca"")"),"tenis")</f>
        <v>tenis</v>
      </c>
      <c r="H3" s="2" t="str">
        <f>IFERROR(__xludf.DUMMYFUNCTION("GOOGLETRANSLATE(A3, ""hr"", ""da"")"),"tennis")</f>
        <v>tennis</v>
      </c>
      <c r="I3" s="3" t="str">
        <f>IFERROR(__xludf.DUMMYFUNCTION("GOOGLETRANSLATE(A3, ""hr"", ""nl"")"),"tennis")</f>
        <v>tennis</v>
      </c>
      <c r="J3" s="3" t="str">
        <f>IFERROR(__xludf.DUMMYFUNCTION("GOOGLETRANSLATE(A3, ""hr"", ""et"")"),"tennis")</f>
        <v>tennis</v>
      </c>
      <c r="K3" s="3" t="str">
        <f>IFERROR(__xludf.DUMMYFUNCTION("GOOGLETRANSLATE(A3, ""hr"", ""tl"")"),"tennis")</f>
        <v>tennis</v>
      </c>
      <c r="L3" s="2" t="str">
        <f>IFERROR(__xludf.DUMMYFUNCTION("GOOGLETRANSLATE(A3, ""hr"", ""fi"")"),"tennis")</f>
        <v>tennis</v>
      </c>
      <c r="M3" s="3" t="str">
        <f>IFERROR(__xludf.DUMMYFUNCTION("GOOGLETRANSLATE(A3, ""hr"", ""fr"")"),"tennis")</f>
        <v>tennis</v>
      </c>
      <c r="N3" s="3" t="str">
        <f>IFERROR(__xludf.DUMMYFUNCTION("GOOGLETRANSLATE(A3, ""hr"", ""gl"")"),"tenis")</f>
        <v>tenis</v>
      </c>
      <c r="O3" s="2" t="str">
        <f>IFERROR(__xludf.DUMMYFUNCTION("GOOGLETRANSLATE(A3, ""hr"", ""ht"")"),"tenis")</f>
        <v>tenis</v>
      </c>
      <c r="P3" s="3" t="str">
        <f>IFERROR(__xludf.DUMMYFUNCTION("GOOGLETRANSLATE(A3, ""hr"", ""is"")"),"Tennis")</f>
        <v>Tennis</v>
      </c>
      <c r="Q3" s="2" t="str">
        <f>IFERROR(__xludf.DUMMYFUNCTION("GOOGLETRANSLATE(A3, ""hr"", ""id"")"),"tenis")</f>
        <v>tenis</v>
      </c>
      <c r="R3" s="2" t="str">
        <f>IFERROR(__xludf.DUMMYFUNCTION("GOOGLETRANSLATE(A3, ""hr"", ""ga"")"),"Leadóg")</f>
        <v>Leadóg</v>
      </c>
      <c r="S3" s="3" t="str">
        <f>IFERROR(__xludf.DUMMYFUNCTION("GOOGLETRANSLATE(A3, ""hr"", ""it"")"),"tennis")</f>
        <v>tennis</v>
      </c>
      <c r="T3" s="2" t="str">
        <f>IFERROR(__xludf.DUMMYFUNCTION("GOOGLETRANSLATE(A3, ""hr"", ""lv"")"),"teniss")</f>
        <v>teniss</v>
      </c>
      <c r="U3" s="2" t="str">
        <f>IFERROR(__xludf.DUMMYFUNCTION("GOOGLETRANSLATE(A3, ""hr"", ""lt"")"),"tenisas")</f>
        <v>tenisas</v>
      </c>
      <c r="V3" s="2" t="str">
        <f>IFERROR(__xludf.DUMMYFUNCTION("GOOGLETRANSLATE(A3, ""hr"", ""no"")"),"tennis")</f>
        <v>tennis</v>
      </c>
      <c r="W3" s="2" t="str">
        <f>IFERROR(__xludf.DUMMYFUNCTION("GOOGLETRANSLATE(A3, ""hr"", ""mt"")"),"tennis")</f>
        <v>tennis</v>
      </c>
      <c r="X3" s="2" t="str">
        <f>IFERROR(__xludf.DUMMYFUNCTION("GOOGLETRANSLATE(A3, ""hr"", ""es"")"),"tenis")</f>
        <v>tenis</v>
      </c>
      <c r="Y3" s="2" t="str">
        <f>IFERROR(__xludf.DUMMYFUNCTION("GOOGLETRANSLATE(A3, ""hr"", ""sl"")"),"tenis")</f>
        <v>tenis</v>
      </c>
      <c r="Z3" s="2" t="str">
        <f>IFERROR(__xludf.DUMMYFUNCTION("GOOGLETRANSLATE(A3, ""hr"", ""sk"")"),"tenisový")</f>
        <v>tenisový</v>
      </c>
    </row>
    <row r="4">
      <c r="A4" s="1" t="s">
        <v>3</v>
      </c>
      <c r="B4" s="2" t="str">
        <f>IFERROR(__xludf.DUMMYFUNCTION("GOOGLETRANSLATE(A4, ""hr"", ""en"")"),"hockey")</f>
        <v>hockey</v>
      </c>
      <c r="C4" s="2" t="str">
        <f>IFERROR(__xludf.DUMMYFUNCTION("GOOGLETRANSLATE(A4, ""hr"", ""de"")"),"Eishockey")</f>
        <v>Eishockey</v>
      </c>
      <c r="D4" s="2" t="str">
        <f>IFERROR(__xludf.DUMMYFUNCTION("GOOGLETRANSLATE(A4, ""hr"", ""cs"")"),"hokej")</f>
        <v>hokej</v>
      </c>
      <c r="E4" s="3" t="str">
        <f>IFERROR(__xludf.DUMMYFUNCTION("GOOGLETRANSLATE(A4, ""hr"", ""af"")"),"hokkie")</f>
        <v>hokkie</v>
      </c>
      <c r="F4" s="3" t="str">
        <f>IFERROR(__xludf.DUMMYFUNCTION("GOOGLETRANSLATE(A4, ""hr"", ""sq"")"),"hokej")</f>
        <v>hokej</v>
      </c>
      <c r="G4" s="3" t="str">
        <f>IFERROR(__xludf.DUMMYFUNCTION("GOOGLETRANSLATE(A4, ""hr"", ""ca"")"),"l’hoquei")</f>
        <v>l’hoquei</v>
      </c>
      <c r="H4" s="2" t="str">
        <f>IFERROR(__xludf.DUMMYFUNCTION("GOOGLETRANSLATE(A4, ""hr"", ""da"")"),"Hockey")</f>
        <v>Hockey</v>
      </c>
      <c r="I4" s="3" t="str">
        <f>IFERROR(__xludf.DUMMYFUNCTION("GOOGLETRANSLATE(A4, ""hr"", ""nl"")"),"hockey")</f>
        <v>hockey</v>
      </c>
      <c r="J4" s="3" t="str">
        <f>IFERROR(__xludf.DUMMYFUNCTION("GOOGLETRANSLATE(A4, ""hr"", ""et"")"),"hok")</f>
        <v>hok</v>
      </c>
      <c r="K4" s="3" t="str">
        <f>IFERROR(__xludf.DUMMYFUNCTION("GOOGLETRANSLATE(A4, ""hr"", ""tl"")"),"hockey")</f>
        <v>hockey</v>
      </c>
      <c r="L4" s="2" t="str">
        <f>IFERROR(__xludf.DUMMYFUNCTION("GOOGLETRANSLATE(A4, ""hr"", ""fi"")"),"jääkiekko")</f>
        <v>jääkiekko</v>
      </c>
      <c r="M4" s="3" t="str">
        <f>IFERROR(__xludf.DUMMYFUNCTION("GOOGLETRANSLATE(A4, ""hr"", ""fr"")"),"le hockey")</f>
        <v>le hockey</v>
      </c>
      <c r="N4" s="3" t="str">
        <f>IFERROR(__xludf.DUMMYFUNCTION("GOOGLETRANSLATE(A4, ""hr"", ""gl"")"),"Hockey")</f>
        <v>Hockey</v>
      </c>
      <c r="O4" s="2" t="str">
        <f>IFERROR(__xludf.DUMMYFUNCTION("GOOGLETRANSLATE(A4, ""hr"", ""ht"")"),"kay")</f>
        <v>kay</v>
      </c>
      <c r="P4" s="3" t="str">
        <f>IFERROR(__xludf.DUMMYFUNCTION("GOOGLETRANSLATE(A4, ""hr"", ""is"")"),"íshokkí")</f>
        <v>íshokkí</v>
      </c>
      <c r="Q4" s="2" t="str">
        <f>IFERROR(__xludf.DUMMYFUNCTION("GOOGLETRANSLATE(A4, ""hr"", ""id"")"),"hoki")</f>
        <v>hoki</v>
      </c>
      <c r="R4" s="2" t="str">
        <f>IFERROR(__xludf.DUMMYFUNCTION("GOOGLETRANSLATE(A4, ""hr"", ""ga"")"),"haca")</f>
        <v>haca</v>
      </c>
      <c r="S4" s="3" t="str">
        <f>IFERROR(__xludf.DUMMYFUNCTION("GOOGLETRANSLATE(A4, ""hr"", ""it"")"),"hockey")</f>
        <v>hockey</v>
      </c>
      <c r="T4" s="2" t="str">
        <f>IFERROR(__xludf.DUMMYFUNCTION("GOOGLETRANSLATE(A4, ""hr"", ""lv"")"),"hokejs")</f>
        <v>hokejs</v>
      </c>
      <c r="U4" s="2" t="str">
        <f>IFERROR(__xludf.DUMMYFUNCTION("GOOGLETRANSLATE(A4, ""hr"", ""lt"")"),"ledo ritulys")</f>
        <v>ledo ritulys</v>
      </c>
      <c r="V4" s="2" t="str">
        <f>IFERROR(__xludf.DUMMYFUNCTION("GOOGLETRANSLATE(A4, ""hr"", ""no"")"),"hockey")</f>
        <v>hockey</v>
      </c>
      <c r="W4" s="2" t="str">
        <f>IFERROR(__xludf.DUMMYFUNCTION("GOOGLETRANSLATE(A4, ""hr"", ""mt"")"),"hockey")</f>
        <v>hockey</v>
      </c>
      <c r="X4" s="2" t="str">
        <f>IFERROR(__xludf.DUMMYFUNCTION("GOOGLETRANSLATE(A4, ""hr"", ""es"")"),"hockey")</f>
        <v>hockey</v>
      </c>
      <c r="Y4" s="2" t="str">
        <f>IFERROR(__xludf.DUMMYFUNCTION("GOOGLETRANSLATE(A4, ""hr"", ""sl"")"),"hokej")</f>
        <v>hokej</v>
      </c>
      <c r="Z4" s="2" t="str">
        <f>IFERROR(__xludf.DUMMYFUNCTION("GOOGLETRANSLATE(A4, ""hr"", ""sk"")"),"hokej")</f>
        <v>hokej</v>
      </c>
    </row>
    <row r="5">
      <c r="A5" s="1" t="s">
        <v>4</v>
      </c>
      <c r="B5" s="2" t="str">
        <f>IFERROR(__xludf.DUMMYFUNCTION("GOOGLETRANSLATE(A5, ""hr"", ""en"")"),"cricket")</f>
        <v>cricket</v>
      </c>
      <c r="C5" s="2" t="str">
        <f>IFERROR(__xludf.DUMMYFUNCTION("GOOGLETRANSLATE(A5, ""hr"", ""de"")"),"Kricket")</f>
        <v>Kricket</v>
      </c>
      <c r="D5" s="2" t="str">
        <f>IFERROR(__xludf.DUMMYFUNCTION("GOOGLETRANSLATE(A5, ""hr"", ""cs"")"),"kriket")</f>
        <v>kriket</v>
      </c>
      <c r="E5" s="3" t="str">
        <f>IFERROR(__xludf.DUMMYFUNCTION("GOOGLETRANSLATE(A5, ""hr"", ""af"")"),"krieket")</f>
        <v>krieket</v>
      </c>
      <c r="F5" s="3" t="str">
        <f>IFERROR(__xludf.DUMMYFUNCTION("GOOGLETRANSLATE(A5, ""hr"", ""sq"")"),"kriket")</f>
        <v>kriket</v>
      </c>
      <c r="G5" s="3" t="str">
        <f>IFERROR(__xludf.DUMMYFUNCTION("GOOGLETRANSLATE(A5, ""hr"", ""ca"")"),"cricket")</f>
        <v>cricket</v>
      </c>
      <c r="H5" s="2" t="str">
        <f>IFERROR(__xludf.DUMMYFUNCTION("GOOGLETRANSLATE(A5, ""hr"", ""da"")"),"cricket")</f>
        <v>cricket</v>
      </c>
      <c r="I5" s="3" t="str">
        <f>IFERROR(__xludf.DUMMYFUNCTION("GOOGLETRANSLATE(A5, ""hr"", ""nl"")"),"cricket")</f>
        <v>cricket</v>
      </c>
      <c r="J5" s="3" t="str">
        <f>IFERROR(__xludf.DUMMYFUNCTION("GOOGLETRANSLATE(A5, ""hr"", ""et"")"),"kriket")</f>
        <v>kriket</v>
      </c>
      <c r="K5" s="3" t="str">
        <f>IFERROR(__xludf.DUMMYFUNCTION("GOOGLETRANSLATE(A5, ""hr"", ""tl"")"),"kuliglig")</f>
        <v>kuliglig</v>
      </c>
      <c r="L5" s="2" t="str">
        <f>IFERROR(__xludf.DUMMYFUNCTION("GOOGLETRANSLATE(A5, ""hr"", ""fi"")"),"kriketti")</f>
        <v>kriketti</v>
      </c>
      <c r="M5" s="3" t="str">
        <f>IFERROR(__xludf.DUMMYFUNCTION("GOOGLETRANSLATE(A5, ""hr"", ""fr"")"),"criquet")</f>
        <v>criquet</v>
      </c>
      <c r="N5" s="3" t="str">
        <f>IFERROR(__xludf.DUMMYFUNCTION("GOOGLETRANSLATE(A5, ""hr"", ""gl"")"),"cricket")</f>
        <v>cricket</v>
      </c>
      <c r="O5" s="2" t="str">
        <f>IFERROR(__xludf.DUMMYFUNCTION("GOOGLETRANSLATE(A5, ""hr"", ""ht"")"),"krikèt")</f>
        <v>krikèt</v>
      </c>
      <c r="P5" s="3" t="str">
        <f>IFERROR(__xludf.DUMMYFUNCTION("GOOGLETRANSLATE(A5, ""hr"", ""is"")"),"Krikket")</f>
        <v>Krikket</v>
      </c>
      <c r="Q5" s="2" t="str">
        <f>IFERROR(__xludf.DUMMYFUNCTION("GOOGLETRANSLATE(A5, ""hr"", ""id"")"),"jangkrik")</f>
        <v>jangkrik</v>
      </c>
      <c r="R5" s="2" t="str">
        <f>IFERROR(__xludf.DUMMYFUNCTION("GOOGLETRANSLATE(A5, ""hr"", ""ga"")"),"criogar")</f>
        <v>criogar</v>
      </c>
      <c r="S5" s="3" t="str">
        <f>IFERROR(__xludf.DUMMYFUNCTION("GOOGLETRANSLATE(A5, ""hr"", ""it"")"),"cricket")</f>
        <v>cricket</v>
      </c>
      <c r="T5" s="2" t="str">
        <f>IFERROR(__xludf.DUMMYFUNCTION("GOOGLETRANSLATE(A5, ""hr"", ""lv"")"),"krikets")</f>
        <v>krikets</v>
      </c>
      <c r="U5" s="2" t="str">
        <f>IFERROR(__xludf.DUMMYFUNCTION("GOOGLETRANSLATE(A5, ""hr"", ""lt"")"),"Kriketas")</f>
        <v>Kriketas</v>
      </c>
      <c r="V5" s="2" t="str">
        <f>IFERROR(__xludf.DUMMYFUNCTION("GOOGLETRANSLATE(A5, ""hr"", ""no"")"),"siriss")</f>
        <v>siriss</v>
      </c>
      <c r="W5" s="2" t="str">
        <f>IFERROR(__xludf.DUMMYFUNCTION("GOOGLETRANSLATE(A5, ""hr"", ""mt"")"),"cricket")</f>
        <v>cricket</v>
      </c>
      <c r="X5" s="2" t="str">
        <f>IFERROR(__xludf.DUMMYFUNCTION("GOOGLETRANSLATE(A5, ""hr"", ""es"")"),"Grillo")</f>
        <v>Grillo</v>
      </c>
      <c r="Y5" s="2" t="str">
        <f>IFERROR(__xludf.DUMMYFUNCTION("GOOGLETRANSLATE(A5, ""hr"", ""sl"")"),"Kriket")</f>
        <v>Kriket</v>
      </c>
      <c r="Z5" s="2" t="str">
        <f>IFERROR(__xludf.DUMMYFUNCTION("GOOGLETRANSLATE(A5, ""hr"", ""sk"")"),"kriket")</f>
        <v>kriket</v>
      </c>
    </row>
    <row r="6">
      <c r="A6" s="1" t="s">
        <v>5</v>
      </c>
      <c r="B6" s="2" t="str">
        <f>IFERROR(__xludf.DUMMYFUNCTION("GOOGLETRANSLATE(A6, ""hr"", ""en"")"),"skiing")</f>
        <v>skiing</v>
      </c>
      <c r="C6" s="2" t="str">
        <f>IFERROR(__xludf.DUMMYFUNCTION("GOOGLETRANSLATE(A6, ""hr"", ""de"")"),"Skifahren")</f>
        <v>Skifahren</v>
      </c>
      <c r="D6" s="2" t="str">
        <f>IFERROR(__xludf.DUMMYFUNCTION("GOOGLETRANSLATE(A6, ""hr"", ""cs"")"),"lyžování")</f>
        <v>lyžování</v>
      </c>
      <c r="E6" s="3" t="str">
        <f>IFERROR(__xludf.DUMMYFUNCTION("GOOGLETRANSLATE(A6, ""hr"", ""af"")"),"ski")</f>
        <v>ski</v>
      </c>
      <c r="F6" s="3" t="str">
        <f>IFERROR(__xludf.DUMMYFUNCTION("GOOGLETRANSLATE(A6, ""hr"", ""sq"")"),"ski")</f>
        <v>ski</v>
      </c>
      <c r="G6" s="3" t="str">
        <f>IFERROR(__xludf.DUMMYFUNCTION("GOOGLETRANSLATE(A6, ""hr"", ""ca"")"),"esquiar")</f>
        <v>esquiar</v>
      </c>
      <c r="H6" s="2" t="str">
        <f>IFERROR(__xludf.DUMMYFUNCTION("GOOGLETRANSLATE(A6, ""hr"", ""da"")"),"stå på ski")</f>
        <v>stå på ski</v>
      </c>
      <c r="I6" s="3" t="str">
        <f>IFERROR(__xludf.DUMMYFUNCTION("GOOGLETRANSLATE(A6, ""hr"", ""nl"")"),"skiën")</f>
        <v>skiën</v>
      </c>
      <c r="J6" s="3" t="str">
        <f>IFERROR(__xludf.DUMMYFUNCTION("GOOGLETRANSLATE(A6, ""hr"", ""et"")"),"suusatamine")</f>
        <v>suusatamine</v>
      </c>
      <c r="K6" s="3" t="str">
        <f>IFERROR(__xludf.DUMMYFUNCTION("GOOGLETRANSLATE(A6, ""hr"", ""tl"")"),"Skiing")</f>
        <v>Skiing</v>
      </c>
      <c r="L6" s="2" t="str">
        <f>IFERROR(__xludf.DUMMYFUNCTION("GOOGLETRANSLATE(A6, ""hr"", ""fi"")"),"hiihto")</f>
        <v>hiihto</v>
      </c>
      <c r="M6" s="3" t="str">
        <f>IFERROR(__xludf.DUMMYFUNCTION("GOOGLETRANSLATE(A6, ""hr"", ""fr"")"),"ski")</f>
        <v>ski</v>
      </c>
      <c r="N6" s="3" t="str">
        <f>IFERROR(__xludf.DUMMYFUNCTION("GOOGLETRANSLATE(A6, ""hr"", ""gl"")"),"esquí")</f>
        <v>esquí</v>
      </c>
      <c r="O6" s="2" t="str">
        <f>IFERROR(__xludf.DUMMYFUNCTION("GOOGLETRANSLATE(A6, ""hr"", ""ht"")"),"ski")</f>
        <v>ski</v>
      </c>
      <c r="P6" s="3" t="str">
        <f>IFERROR(__xludf.DUMMYFUNCTION("GOOGLETRANSLATE(A6, ""hr"", ""is"")"),"skíði")</f>
        <v>skíði</v>
      </c>
      <c r="Q6" s="2" t="str">
        <f>IFERROR(__xludf.DUMMYFUNCTION("GOOGLETRANSLATE(A6, ""hr"", ""id"")"),"Ski")</f>
        <v>Ski</v>
      </c>
      <c r="R6" s="2" t="str">
        <f>IFERROR(__xludf.DUMMYFUNCTION("GOOGLETRANSLATE(A6, ""hr"", ""ga"")"),"sciáil")</f>
        <v>sciáil</v>
      </c>
      <c r="S6" s="3" t="str">
        <f>IFERROR(__xludf.DUMMYFUNCTION("GOOGLETRANSLATE(A6, ""hr"", ""it"")"),"sciare")</f>
        <v>sciare</v>
      </c>
      <c r="T6" s="2" t="str">
        <f>IFERROR(__xludf.DUMMYFUNCTION("GOOGLETRANSLATE(A6, ""hr"", ""lv"")"),"slēpošana")</f>
        <v>slēpošana</v>
      </c>
      <c r="U6" s="2" t="str">
        <f>IFERROR(__xludf.DUMMYFUNCTION("GOOGLETRANSLATE(A6, ""hr"", ""lt"")"),"slidinėjimas")</f>
        <v>slidinėjimas</v>
      </c>
      <c r="V6" s="2" t="str">
        <f>IFERROR(__xludf.DUMMYFUNCTION("GOOGLETRANSLATE(A6, ""hr"", ""no"")"),"stå på ski")</f>
        <v>stå på ski</v>
      </c>
      <c r="W6" s="2" t="str">
        <f>IFERROR(__xludf.DUMMYFUNCTION("GOOGLETRANSLATE(A6, ""hr"", ""mt"")"),"skiing")</f>
        <v>skiing</v>
      </c>
      <c r="X6" s="2" t="str">
        <f>IFERROR(__xludf.DUMMYFUNCTION("GOOGLETRANSLATE(A6, ""hr"", ""es"")"),"esquiar")</f>
        <v>esquiar</v>
      </c>
      <c r="Y6" s="2" t="str">
        <f>IFERROR(__xludf.DUMMYFUNCTION("GOOGLETRANSLATE(A6, ""hr"", ""sl"")"),"smučanje")</f>
        <v>smučanje</v>
      </c>
      <c r="Z6" s="2" t="str">
        <f>IFERROR(__xludf.DUMMYFUNCTION("GOOGLETRANSLATE(A6, ""hr"", ""sk"")"),"lyžovanie")</f>
        <v>lyžovanie</v>
      </c>
    </row>
    <row r="7">
      <c r="A7" s="1" t="s">
        <v>6</v>
      </c>
      <c r="B7" s="2" t="str">
        <f>IFERROR(__xludf.DUMMYFUNCTION("GOOGLETRANSLATE(A7, ""hr"", ""en"")"),"wrestling")</f>
        <v>wrestling</v>
      </c>
      <c r="C7" s="2" t="str">
        <f>IFERROR(__xludf.DUMMYFUNCTION("GOOGLETRANSLATE(A7, ""hr"", ""de"")"),"Ringen")</f>
        <v>Ringen</v>
      </c>
      <c r="D7" s="2" t="str">
        <f>IFERROR(__xludf.DUMMYFUNCTION("GOOGLETRANSLATE(A7, ""hr"", ""cs"")"),"zápas")</f>
        <v>zápas</v>
      </c>
      <c r="E7" s="3" t="str">
        <f>IFERROR(__xludf.DUMMYFUNCTION("GOOGLETRANSLATE(A7, ""hr"", ""af"")"),"stoei")</f>
        <v>stoei</v>
      </c>
      <c r="F7" s="3" t="str">
        <f>IFERROR(__xludf.DUMMYFUNCTION("GOOGLETRANSLATE(A7, ""hr"", ""sq"")"),"mundje")</f>
        <v>mundje</v>
      </c>
      <c r="G7" s="3" t="str">
        <f>IFERROR(__xludf.DUMMYFUNCTION("GOOGLETRANSLATE(A7, ""hr"", ""ca"")"),"lluita")</f>
        <v>lluita</v>
      </c>
      <c r="H7" s="2" t="str">
        <f>IFERROR(__xludf.DUMMYFUNCTION("GOOGLETRANSLATE(A7, ""hr"", ""da"")"),"brydning")</f>
        <v>brydning</v>
      </c>
      <c r="I7" s="3" t="str">
        <f>IFERROR(__xludf.DUMMYFUNCTION("GOOGLETRANSLATE(A7, ""hr"", ""nl"")"),"worstelen")</f>
        <v>worstelen</v>
      </c>
      <c r="J7" s="3" t="str">
        <f>IFERROR(__xludf.DUMMYFUNCTION("GOOGLETRANSLATE(A7, ""hr"", ""et"")"),"maadlus")</f>
        <v>maadlus</v>
      </c>
      <c r="K7" s="3" t="str">
        <f>IFERROR(__xludf.DUMMYFUNCTION("GOOGLETRANSLATE(A7, ""hr"", ""tl"")"),"Pakikipagbuno")</f>
        <v>Pakikipagbuno</v>
      </c>
      <c r="L7" s="2" t="str">
        <f>IFERROR(__xludf.DUMMYFUNCTION("GOOGLETRANSLATE(A7, ""hr"", ""fi"")"),"paini")</f>
        <v>paini</v>
      </c>
      <c r="M7" s="3" t="str">
        <f>IFERROR(__xludf.DUMMYFUNCTION("GOOGLETRANSLATE(A7, ""hr"", ""fr"")"),"lutte")</f>
        <v>lutte</v>
      </c>
      <c r="N7" s="3" t="str">
        <f>IFERROR(__xludf.DUMMYFUNCTION("GOOGLETRANSLATE(A7, ""hr"", ""gl"")"),"Loita")</f>
        <v>Loita</v>
      </c>
      <c r="O7" s="2" t="str">
        <f>IFERROR(__xludf.DUMMYFUNCTION("GOOGLETRANSLATE(A7, ""hr"", ""ht"")"),"lit")</f>
        <v>lit</v>
      </c>
      <c r="P7" s="3" t="str">
        <f>IFERROR(__xludf.DUMMYFUNCTION("GOOGLETRANSLATE(A7, ""hr"", ""is"")"),"Glíma")</f>
        <v>Glíma</v>
      </c>
      <c r="Q7" s="2" t="str">
        <f>IFERROR(__xludf.DUMMYFUNCTION("GOOGLETRANSLATE(A7, ""hr"", ""id"")"),"gulat")</f>
        <v>gulat</v>
      </c>
      <c r="R7" s="2" t="str">
        <f>IFERROR(__xludf.DUMMYFUNCTION("GOOGLETRANSLATE(A7, ""hr"", ""ga"")"),"coraíocht")</f>
        <v>coraíocht</v>
      </c>
      <c r="S7" s="3" t="str">
        <f>IFERROR(__xludf.DUMMYFUNCTION("GOOGLETRANSLATE(A7, ""hr"", ""it"")"),"wrestling")</f>
        <v>wrestling</v>
      </c>
      <c r="T7" s="2" t="str">
        <f>IFERROR(__xludf.DUMMYFUNCTION("GOOGLETRANSLATE(A7, ""hr"", ""lv"")"),"cīkstēšanās")</f>
        <v>cīkstēšanās</v>
      </c>
      <c r="U7" s="2" t="str">
        <f>IFERROR(__xludf.DUMMYFUNCTION("GOOGLETRANSLATE(A7, ""hr"", ""lt"")"),"Imtynės")</f>
        <v>Imtynės</v>
      </c>
      <c r="V7" s="2" t="str">
        <f>IFERROR(__xludf.DUMMYFUNCTION("GOOGLETRANSLATE(A7, ""hr"", ""no"")"),"bryting")</f>
        <v>bryting</v>
      </c>
      <c r="W7" s="2" t="str">
        <f>IFERROR(__xludf.DUMMYFUNCTION("GOOGLETRANSLATE(A7, ""hr"", ""mt"")"),"lotta")</f>
        <v>lotta</v>
      </c>
      <c r="X7" s="2" t="str">
        <f>IFERROR(__xludf.DUMMYFUNCTION("GOOGLETRANSLATE(A7, ""hr"", ""es"")"),"lucha")</f>
        <v>lucha</v>
      </c>
      <c r="Y7" s="2" t="str">
        <f>IFERROR(__xludf.DUMMYFUNCTION("GOOGLETRANSLATE(A7, ""hr"", ""sl"")"),"rokoborba")</f>
        <v>rokoborba</v>
      </c>
      <c r="Z7" s="2" t="str">
        <f>IFERROR(__xludf.DUMMYFUNCTION("GOOGLETRANSLATE(A7, ""hr"", ""sk"")"),"zápas")</f>
        <v>zápas</v>
      </c>
    </row>
    <row r="8">
      <c r="A8" s="1" t="s">
        <v>7</v>
      </c>
      <c r="B8" s="2" t="str">
        <f>IFERROR(__xludf.DUMMYFUNCTION("GOOGLETRANSLATE(A8, ""hr"", ""en"")"),"gymnastics")</f>
        <v>gymnastics</v>
      </c>
      <c r="C8" s="2" t="str">
        <f>IFERROR(__xludf.DUMMYFUNCTION("GOOGLETRANSLATE(A8, ""hr"", ""de"")"),"Gymnastik")</f>
        <v>Gymnastik</v>
      </c>
      <c r="D8" s="2" t="str">
        <f>IFERROR(__xludf.DUMMYFUNCTION("GOOGLETRANSLATE(A8, ""hr"", ""cs"")"),"gymnastika")</f>
        <v>gymnastika</v>
      </c>
      <c r="E8" s="3" t="str">
        <f>IFERROR(__xludf.DUMMYFUNCTION("GOOGLETRANSLATE(A8, ""hr"", ""af"")"),"gimnastiek")</f>
        <v>gimnastiek</v>
      </c>
      <c r="F8" s="3" t="str">
        <f>IFERROR(__xludf.DUMMYFUNCTION("GOOGLETRANSLATE(A8, ""hr"", ""sq"")"),"gjimnastikë")</f>
        <v>gjimnastikë</v>
      </c>
      <c r="G8" s="3" t="str">
        <f>IFERROR(__xludf.DUMMYFUNCTION("GOOGLETRANSLATE(A8, ""hr"", ""ca"")"),"gimnàs")</f>
        <v>gimnàs</v>
      </c>
      <c r="H8" s="2" t="str">
        <f>IFERROR(__xludf.DUMMYFUNCTION("GOOGLETRANSLATE(A8, ""hr"", ""da"")"),"gymnastik")</f>
        <v>gymnastik</v>
      </c>
      <c r="I8" s="3" t="str">
        <f>IFERROR(__xludf.DUMMYFUNCTION("GOOGLETRANSLATE(A8, ""hr"", ""nl"")"),"gymnastiek")</f>
        <v>gymnastiek</v>
      </c>
      <c r="J8" s="3" t="str">
        <f>IFERROR(__xludf.DUMMYFUNCTION("GOOGLETRANSLATE(A8, ""hr"", ""et"")"),"võimlemine")</f>
        <v>võimlemine</v>
      </c>
      <c r="K8" s="3" t="str">
        <f>IFERROR(__xludf.DUMMYFUNCTION("GOOGLETRANSLATE(A8, ""hr"", ""tl"")"),"Gymnastics")</f>
        <v>Gymnastics</v>
      </c>
      <c r="L8" s="2" t="str">
        <f>IFERROR(__xludf.DUMMYFUNCTION("GOOGLETRANSLATE(A8, ""hr"", ""fi"")"),"voimistelu")</f>
        <v>voimistelu</v>
      </c>
      <c r="M8" s="3" t="str">
        <f>IFERROR(__xludf.DUMMYFUNCTION("GOOGLETRANSLATE(A8, ""hr"", ""fr"")"),"gymnastique")</f>
        <v>gymnastique</v>
      </c>
      <c r="N8" s="3" t="str">
        <f>IFERROR(__xludf.DUMMYFUNCTION("GOOGLETRANSLATE(A8, ""hr"", ""gl"")"),"Ximnasia")</f>
        <v>Ximnasia</v>
      </c>
      <c r="O8" s="2" t="str">
        <f>IFERROR(__xludf.DUMMYFUNCTION("GOOGLETRANSLATE(A8, ""hr"", ""ht"")"),"jimnastik")</f>
        <v>jimnastik</v>
      </c>
      <c r="P8" s="3" t="str">
        <f>IFERROR(__xludf.DUMMYFUNCTION("GOOGLETRANSLATE(A8, ""hr"", ""is"")"),"Fimleikar")</f>
        <v>Fimleikar</v>
      </c>
      <c r="Q8" s="2" t="str">
        <f>IFERROR(__xludf.DUMMYFUNCTION("GOOGLETRANSLATE(A8, ""hr"", ""id"")"),"olahraga senam")</f>
        <v>olahraga senam</v>
      </c>
      <c r="R8" s="2" t="str">
        <f>IFERROR(__xludf.DUMMYFUNCTION("GOOGLETRANSLATE(A8, ""hr"", ""ga"")"),"gleacaíocht")</f>
        <v>gleacaíocht</v>
      </c>
      <c r="S8" s="3" t="str">
        <f>IFERROR(__xludf.DUMMYFUNCTION("GOOGLETRANSLATE(A8, ""hr"", ""it"")"),"ginnastica")</f>
        <v>ginnastica</v>
      </c>
      <c r="T8" s="2" t="str">
        <f>IFERROR(__xludf.DUMMYFUNCTION("GOOGLETRANSLATE(A8, ""hr"", ""lv"")"),"vingrošana")</f>
        <v>vingrošana</v>
      </c>
      <c r="U8" s="2" t="str">
        <f>IFERROR(__xludf.DUMMYFUNCTION("GOOGLETRANSLATE(A8, ""hr"", ""lt"")"),"gimnastika")</f>
        <v>gimnastika</v>
      </c>
      <c r="V8" s="2" t="str">
        <f>IFERROR(__xludf.DUMMYFUNCTION("GOOGLETRANSLATE(A8, ""hr"", ""no"")"),"gymnastikk")</f>
        <v>gymnastikk</v>
      </c>
      <c r="W8" s="2" t="str">
        <f>IFERROR(__xludf.DUMMYFUNCTION("GOOGLETRANSLATE(A8, ""hr"", ""mt"")"),"ġinnastika")</f>
        <v>ġinnastika</v>
      </c>
      <c r="X8" s="2" t="str">
        <f>IFERROR(__xludf.DUMMYFUNCTION("GOOGLETRANSLATE(A8, ""hr"", ""es"")"),"gimnasia")</f>
        <v>gimnasia</v>
      </c>
      <c r="Y8" s="2" t="str">
        <f>IFERROR(__xludf.DUMMYFUNCTION("GOOGLETRANSLATE(A8, ""hr"", ""sl"")"),"Gimnastika")</f>
        <v>Gimnastika</v>
      </c>
      <c r="Z8" s="2" t="str">
        <f>IFERROR(__xludf.DUMMYFUNCTION("GOOGLETRANSLATE(A8, ""hr"", ""sk"")"),"gymnastika")</f>
        <v>gymnastika</v>
      </c>
    </row>
    <row r="9">
      <c r="A9" s="1" t="s">
        <v>8</v>
      </c>
      <c r="B9" s="2" t="str">
        <f>IFERROR(__xludf.DUMMYFUNCTION("GOOGLETRANSLATE(A9, ""hr"", ""en"")"),"table tennis")</f>
        <v>table tennis</v>
      </c>
      <c r="C9" s="2" t="str">
        <f>IFERROR(__xludf.DUMMYFUNCTION("GOOGLETRANSLATE(A9, ""hr"", ""de"")"),"Tischtennis")</f>
        <v>Tischtennis</v>
      </c>
      <c r="D9" s="2" t="str">
        <f>IFERROR(__xludf.DUMMYFUNCTION("GOOGLETRANSLATE(A9, ""hr"", ""cs"")"),"stolní tenis")</f>
        <v>stolní tenis</v>
      </c>
      <c r="E9" s="3" t="str">
        <f>IFERROR(__xludf.DUMMYFUNCTION("GOOGLETRANSLATE(A9, ""hr"", ""af"")"),"tafeltennis")</f>
        <v>tafeltennis</v>
      </c>
      <c r="F9" s="3" t="str">
        <f>IFERROR(__xludf.DUMMYFUNCTION("GOOGLETRANSLATE(A9, ""hr"", ""sq"")"),"pingpong")</f>
        <v>pingpong</v>
      </c>
      <c r="G9" s="3" t="str">
        <f>IFERROR(__xludf.DUMMYFUNCTION("GOOGLETRANSLATE(A9, ""hr"", ""ca"")"),"tennis taula")</f>
        <v>tennis taula</v>
      </c>
      <c r="H9" s="2" t="str">
        <f>IFERROR(__xludf.DUMMYFUNCTION("GOOGLETRANSLATE(A9, ""hr"", ""da"")"),"bordtennis")</f>
        <v>bordtennis</v>
      </c>
      <c r="I9" s="3" t="str">
        <f>IFERROR(__xludf.DUMMYFUNCTION("GOOGLETRANSLATE(A9, ""hr"", ""nl"")"),"tafeltennis")</f>
        <v>tafeltennis</v>
      </c>
      <c r="J9" s="3" t="str">
        <f>IFERROR(__xludf.DUMMYFUNCTION("GOOGLETRANSLATE(A9, ""hr"", ""et"")"),"lauatennis")</f>
        <v>lauatennis</v>
      </c>
      <c r="K9" s="3" t="str">
        <f>IFERROR(__xludf.DUMMYFUNCTION("GOOGLETRANSLATE(A9, ""hr"", ""tl"")"),"tennis ng talahanayan")</f>
        <v>tennis ng talahanayan</v>
      </c>
      <c r="L9" s="2" t="str">
        <f>IFERROR(__xludf.DUMMYFUNCTION("GOOGLETRANSLATE(A9, ""hr"", ""fi"")"),"Pöytätennis")</f>
        <v>Pöytätennis</v>
      </c>
      <c r="M9" s="3" t="str">
        <f>IFERROR(__xludf.DUMMYFUNCTION("GOOGLETRANSLATE(A9, ""hr"", ""fr"")"),"tennis de table")</f>
        <v>tennis de table</v>
      </c>
      <c r="N9" s="3" t="str">
        <f>IFERROR(__xludf.DUMMYFUNCTION("GOOGLETRANSLATE(A9, ""hr"", ""gl"")"),"Tenis de mesa")</f>
        <v>Tenis de mesa</v>
      </c>
      <c r="O9" s="2" t="str">
        <f>IFERROR(__xludf.DUMMYFUNCTION("GOOGLETRANSLATE(A9, ""hr"", ""ht"")"),"Tenis tab")</f>
        <v>Tenis tab</v>
      </c>
      <c r="P9" s="3" t="str">
        <f>IFERROR(__xludf.DUMMYFUNCTION("GOOGLETRANSLATE(A9, ""hr"", ""is"")"),"borðtennis")</f>
        <v>borðtennis</v>
      </c>
      <c r="Q9" s="2" t="str">
        <f>IFERROR(__xludf.DUMMYFUNCTION("GOOGLETRANSLATE(A9, ""hr"", ""id"")"),"tenis meja")</f>
        <v>tenis meja</v>
      </c>
      <c r="R9" s="2" t="str">
        <f>IFERROR(__xludf.DUMMYFUNCTION("GOOGLETRANSLATE(A9, ""hr"", ""ga"")"),"Leadóg bhoird")</f>
        <v>Leadóg bhoird</v>
      </c>
      <c r="S9" s="3" t="str">
        <f>IFERROR(__xludf.DUMMYFUNCTION("GOOGLETRANSLATE(A9, ""hr"", ""it"")"),"Tennis da tavolo")</f>
        <v>Tennis da tavolo</v>
      </c>
      <c r="T9" s="2" t="str">
        <f>IFERROR(__xludf.DUMMYFUNCTION("GOOGLETRANSLATE(A9, ""hr"", ""lv"")"),"galda teniss")</f>
        <v>galda teniss</v>
      </c>
      <c r="U9" s="2" t="str">
        <f>IFERROR(__xludf.DUMMYFUNCTION("GOOGLETRANSLATE(A9, ""hr"", ""lt"")"),"stalo tenisas")</f>
        <v>stalo tenisas</v>
      </c>
      <c r="V9" s="2" t="str">
        <f>IFERROR(__xludf.DUMMYFUNCTION("GOOGLETRANSLATE(A9, ""hr"", ""no"")"),"bordtennis")</f>
        <v>bordtennis</v>
      </c>
      <c r="W9" s="2" t="str">
        <f>IFERROR(__xludf.DUMMYFUNCTION("GOOGLETRANSLATE(A9, ""hr"", ""mt"")"),"Tennis tat-Tabella")</f>
        <v>Tennis tat-Tabella</v>
      </c>
      <c r="X9" s="2" t="str">
        <f>IFERROR(__xludf.DUMMYFUNCTION("GOOGLETRANSLATE(A9, ""hr"", ""es"")"),"Tenis de mesa")</f>
        <v>Tenis de mesa</v>
      </c>
      <c r="Y9" s="2" t="str">
        <f>IFERROR(__xludf.DUMMYFUNCTION("GOOGLETRANSLATE(A9, ""hr"", ""sl"")"),"namizni tenis")</f>
        <v>namizni tenis</v>
      </c>
      <c r="Z9" s="2" t="str">
        <f>IFERROR(__xludf.DUMMYFUNCTION("GOOGLETRANSLATE(A9, ""hr"", ""sk"")"),"stolný tenis")</f>
        <v>stolný tenis</v>
      </c>
    </row>
    <row r="10">
      <c r="A10" s="1" t="s">
        <v>9</v>
      </c>
      <c r="B10" s="2" t="str">
        <f>IFERROR(__xludf.DUMMYFUNCTION("GOOGLETRANSLATE(A10, ""hr"", ""en"")"),"Snooker")</f>
        <v>Snooker</v>
      </c>
      <c r="C10" s="2" t="str">
        <f>IFERROR(__xludf.DUMMYFUNCTION("GOOGLETRANSLATE(A10, ""hr"", ""de"")"),"Snooker")</f>
        <v>Snooker</v>
      </c>
      <c r="D10" s="2" t="str">
        <f>IFERROR(__xludf.DUMMYFUNCTION("GOOGLETRANSLATE(A10, ""hr"", ""cs"")"),"Snooker")</f>
        <v>Snooker</v>
      </c>
      <c r="E10" s="3" t="str">
        <f>IFERROR(__xludf.DUMMYFUNCTION("GOOGLETRANSLATE(A10, ""hr"", ""af"")"),"Snoeker")</f>
        <v>Snoeker</v>
      </c>
      <c r="F10" s="3" t="str">
        <f>IFERROR(__xludf.DUMMYFUNCTION("GOOGLETRANSLATE(A10, ""hr"", ""sq"")"),"Zagar")</f>
        <v>Zagar</v>
      </c>
      <c r="G10" s="3" t="str">
        <f>IFERROR(__xludf.DUMMYFUNCTION("GOOGLETRANSLATE(A10, ""hr"", ""ca"")"),"Snooker")</f>
        <v>Snooker</v>
      </c>
      <c r="H10" s="2" t="str">
        <f>IFERROR(__xludf.DUMMYFUNCTION("GOOGLETRANSLATE(A10, ""hr"", ""da"")"),"Snooker")</f>
        <v>Snooker</v>
      </c>
      <c r="I10" s="3" t="str">
        <f>IFERROR(__xludf.DUMMYFUNCTION("GOOGLETRANSLATE(A10, ""hr"", ""nl"")"),"Snooker")</f>
        <v>Snooker</v>
      </c>
      <c r="J10" s="3" t="str">
        <f>IFERROR(__xludf.DUMMYFUNCTION("GOOGLETRANSLATE(A10, ""hr"", ""et"")"),"Snooker")</f>
        <v>Snooker</v>
      </c>
      <c r="K10" s="3" t="str">
        <f>IFERROR(__xludf.DUMMYFUNCTION("GOOGLETRANSLATE(A10, ""hr"", ""tl"")"),"Snooker")</f>
        <v>Snooker</v>
      </c>
      <c r="L10" s="2" t="str">
        <f>IFERROR(__xludf.DUMMYFUNCTION("GOOGLETRANSLATE(A10, ""hr"", ""fi"")"),"Snooker")</f>
        <v>Snooker</v>
      </c>
      <c r="M10" s="3" t="str">
        <f>IFERROR(__xludf.DUMMYFUNCTION("GOOGLETRANSLATE(A10, ""hr"", ""fr"")"),"Billard")</f>
        <v>Billard</v>
      </c>
      <c r="N10" s="3" t="str">
        <f>IFERROR(__xludf.DUMMYFUNCTION("GOOGLETRANSLATE(A10, ""hr"", ""gl"")"),"Snooker")</f>
        <v>Snooker</v>
      </c>
      <c r="O10" s="2" t="str">
        <f>IFERROR(__xludf.DUMMYFUNCTION("GOOGLETRANSLATE(A10, ""hr"", ""ht"")"),"Sòti")</f>
        <v>Sòti</v>
      </c>
      <c r="P10" s="3" t="str">
        <f>IFERROR(__xludf.DUMMYFUNCTION("GOOGLETRANSLATE(A10, ""hr"", ""is"")"),"Snóker")</f>
        <v>Snóker</v>
      </c>
      <c r="Q10" s="2" t="str">
        <f>IFERROR(__xludf.DUMMYFUNCTION("GOOGLETRANSLATE(A10, ""hr"", ""id"")"),"Snooker")</f>
        <v>Snooker</v>
      </c>
      <c r="R10" s="2" t="str">
        <f>IFERROR(__xludf.DUMMYFUNCTION("GOOGLETRANSLATE(A10, ""hr"", ""ga"")"),"Sicéir")</f>
        <v>Sicéir</v>
      </c>
      <c r="S10" s="3" t="str">
        <f>IFERROR(__xludf.DUMMYFUNCTION("GOOGLETRANSLATE(A10, ""hr"", ""it"")"),"Snooker")</f>
        <v>Snooker</v>
      </c>
      <c r="T10" s="2" t="str">
        <f>IFERROR(__xludf.DUMMYFUNCTION("GOOGLETRANSLATE(A10, ""hr"", ""lv"")"),"Snūkers")</f>
        <v>Snūkers</v>
      </c>
      <c r="U10" s="2" t="str">
        <f>IFERROR(__xludf.DUMMYFUNCTION("GOOGLETRANSLATE(A10, ""hr"", ""lt"")"),"Snukeris")</f>
        <v>Snukeris</v>
      </c>
      <c r="V10" s="2" t="str">
        <f>IFERROR(__xludf.DUMMYFUNCTION("GOOGLETRANSLATE(A10, ""hr"", ""no"")"),"Snooker")</f>
        <v>Snooker</v>
      </c>
      <c r="W10" s="2" t="str">
        <f>IFERROR(__xludf.DUMMYFUNCTION("GOOGLETRANSLATE(A10, ""hr"", ""mt"")"),"Snooker")</f>
        <v>Snooker</v>
      </c>
      <c r="X10" s="2" t="str">
        <f>IFERROR(__xludf.DUMMYFUNCTION("GOOGLETRANSLATE(A10, ""hr"", ""es"")"),"Snooker")</f>
        <v>Snooker</v>
      </c>
      <c r="Y10" s="2" t="str">
        <f>IFERROR(__xludf.DUMMYFUNCTION("GOOGLETRANSLATE(A10, ""hr"", ""sl"")"),"Snooker")</f>
        <v>Snooker</v>
      </c>
      <c r="Z10" s="2" t="str">
        <f>IFERROR(__xludf.DUMMYFUNCTION("GOOGLETRANSLATE(A10, ""hr"", ""sk"")"),"Hanbet")</f>
        <v>Hanbet</v>
      </c>
    </row>
    <row r="11">
      <c r="A11" s="1" t="s">
        <v>10</v>
      </c>
      <c r="B11" s="2" t="str">
        <f>IFERROR(__xludf.DUMMYFUNCTION("GOOGLETRANSLATE(A11, ""hr"", ""en"")"),"swimming")</f>
        <v>swimming</v>
      </c>
      <c r="C11" s="2" t="str">
        <f>IFERROR(__xludf.DUMMYFUNCTION("GOOGLETRANSLATE(A11, ""hr"", ""de"")"),"Baden")</f>
        <v>Baden</v>
      </c>
      <c r="D11" s="2" t="str">
        <f>IFERROR(__xludf.DUMMYFUNCTION("GOOGLETRANSLATE(A11, ""hr"", ""cs"")"),"plavání")</f>
        <v>plavání</v>
      </c>
      <c r="E11" s="3" t="str">
        <f>IFERROR(__xludf.DUMMYFUNCTION("GOOGLETRANSLATE(A11, ""hr"", ""af"")"),"swem")</f>
        <v>swem</v>
      </c>
      <c r="F11" s="3" t="str">
        <f>IFERROR(__xludf.DUMMYFUNCTION("GOOGLETRANSLATE(A11, ""hr"", ""sq"")"),"not")</f>
        <v>not</v>
      </c>
      <c r="G11" s="3" t="str">
        <f>IFERROR(__xludf.DUMMYFUNCTION("GOOGLETRANSLATE(A11, ""hr"", ""ca"")"),"natació")</f>
        <v>natació</v>
      </c>
      <c r="H11" s="2" t="str">
        <f>IFERROR(__xludf.DUMMYFUNCTION("GOOGLETRANSLATE(A11, ""hr"", ""da"")"),"svømning")</f>
        <v>svømning</v>
      </c>
      <c r="I11" s="3" t="str">
        <f>IFERROR(__xludf.DUMMYFUNCTION("GOOGLETRANSLATE(A11, ""hr"", ""nl"")"),"zwemmen")</f>
        <v>zwemmen</v>
      </c>
      <c r="J11" s="3" t="str">
        <f>IFERROR(__xludf.DUMMYFUNCTION("GOOGLETRANSLATE(A11, ""hr"", ""et"")"),"ujumine")</f>
        <v>ujumine</v>
      </c>
      <c r="K11" s="3" t="str">
        <f>IFERROR(__xludf.DUMMYFUNCTION("GOOGLETRANSLATE(A11, ""hr"", ""tl"")"),"paglangoy")</f>
        <v>paglangoy</v>
      </c>
      <c r="L11" s="2" t="str">
        <f>IFERROR(__xludf.DUMMYFUNCTION("GOOGLETRANSLATE(A11, ""hr"", ""fi"")"),"uima-")</f>
        <v>uima-</v>
      </c>
      <c r="M11" s="3" t="str">
        <f>IFERROR(__xludf.DUMMYFUNCTION("GOOGLETRANSLATE(A11, ""hr"", ""fr"")"),"la natation")</f>
        <v>la natation</v>
      </c>
      <c r="N11" s="3" t="str">
        <f>IFERROR(__xludf.DUMMYFUNCTION("GOOGLETRANSLATE(A11, ""hr"", ""gl"")"),"nadar")</f>
        <v>nadar</v>
      </c>
      <c r="O11" s="2" t="str">
        <f>IFERROR(__xludf.DUMMYFUNCTION("GOOGLETRANSLATE(A11, ""hr"", ""ht"")"),"naje")</f>
        <v>naje</v>
      </c>
      <c r="P11" s="3" t="str">
        <f>IFERROR(__xludf.DUMMYFUNCTION("GOOGLETRANSLATE(A11, ""hr"", ""is"")"),"Sund")</f>
        <v>Sund</v>
      </c>
      <c r="Q11" s="2" t="str">
        <f>IFERROR(__xludf.DUMMYFUNCTION("GOOGLETRANSLATE(A11, ""hr"", ""id"")"),"renang")</f>
        <v>renang</v>
      </c>
      <c r="R11" s="2" t="str">
        <f>IFERROR(__xludf.DUMMYFUNCTION("GOOGLETRANSLATE(A11, ""hr"", ""ga"")"),"snámh")</f>
        <v>snámh</v>
      </c>
      <c r="S11" s="3" t="str">
        <f>IFERROR(__xludf.DUMMYFUNCTION("GOOGLETRANSLATE(A11, ""hr"", ""it"")"),"nuoto")</f>
        <v>nuoto</v>
      </c>
      <c r="T11" s="2" t="str">
        <f>IFERROR(__xludf.DUMMYFUNCTION("GOOGLETRANSLATE(A11, ""hr"", ""lv"")"),"peldēšana")</f>
        <v>peldēšana</v>
      </c>
      <c r="U11" s="2" t="str">
        <f>IFERROR(__xludf.DUMMYFUNCTION("GOOGLETRANSLATE(A11, ""hr"", ""lt"")"),"plaukimas")</f>
        <v>plaukimas</v>
      </c>
      <c r="V11" s="2" t="str">
        <f>IFERROR(__xludf.DUMMYFUNCTION("GOOGLETRANSLATE(A11, ""hr"", ""no"")"),"svømming")</f>
        <v>svømming</v>
      </c>
      <c r="W11" s="2" t="str">
        <f>IFERROR(__xludf.DUMMYFUNCTION("GOOGLETRANSLATE(A11, ""hr"", ""mt"")"),"Għawm")</f>
        <v>Għawm</v>
      </c>
      <c r="X11" s="2" t="str">
        <f>IFERROR(__xludf.DUMMYFUNCTION("GOOGLETRANSLATE(A11, ""hr"", ""es"")"),"natación")</f>
        <v>natación</v>
      </c>
      <c r="Y11" s="2" t="str">
        <f>IFERROR(__xludf.DUMMYFUNCTION("GOOGLETRANSLATE(A11, ""hr"", ""sl"")"),"plavanje")</f>
        <v>plavanje</v>
      </c>
      <c r="Z11" s="2" t="str">
        <f>IFERROR(__xludf.DUMMYFUNCTION("GOOGLETRANSLATE(A11, ""hr"", ""sk"")"),"kúpanie")</f>
        <v>kúpanie</v>
      </c>
    </row>
    <row r="12">
      <c r="A12" s="1" t="s">
        <v>11</v>
      </c>
      <c r="B12" s="2" t="str">
        <f>IFERROR(__xludf.DUMMYFUNCTION("GOOGLETRANSLATE(A12, ""hr"", ""en"")"),"cycling")</f>
        <v>cycling</v>
      </c>
      <c r="C12" s="2" t="str">
        <f>IFERROR(__xludf.DUMMYFUNCTION("GOOGLETRANSLATE(A12, ""hr"", ""de"")"),"Radfahren")</f>
        <v>Radfahren</v>
      </c>
      <c r="D12" s="2" t="str">
        <f>IFERROR(__xludf.DUMMYFUNCTION("GOOGLETRANSLATE(A12, ""hr"", ""cs"")"),"cyklistika")</f>
        <v>cyklistika</v>
      </c>
      <c r="E12" s="3" t="str">
        <f>IFERROR(__xludf.DUMMYFUNCTION("GOOGLETRANSLATE(A12, ""hr"", ""af"")"),"fietsry")</f>
        <v>fietsry</v>
      </c>
      <c r="F12" s="3" t="str">
        <f>IFERROR(__xludf.DUMMYFUNCTION("GOOGLETRANSLATE(A12, ""hr"", ""sq"")"),"çiklizëm")</f>
        <v>çiklizëm</v>
      </c>
      <c r="G12" s="3" t="str">
        <f>IFERROR(__xludf.DUMMYFUNCTION("GOOGLETRANSLATE(A12, ""hr"", ""ca"")"),"ciclisme")</f>
        <v>ciclisme</v>
      </c>
      <c r="H12" s="2" t="str">
        <f>IFERROR(__xludf.DUMMYFUNCTION("GOOGLETRANSLATE(A12, ""hr"", ""da"")"),"cykling")</f>
        <v>cykling</v>
      </c>
      <c r="I12" s="3" t="str">
        <f>IFERROR(__xludf.DUMMYFUNCTION("GOOGLETRANSLATE(A12, ""hr"", ""nl"")"),"wielersport")</f>
        <v>wielersport</v>
      </c>
      <c r="J12" s="3" t="str">
        <f>IFERROR(__xludf.DUMMYFUNCTION("GOOGLETRANSLATE(A12, ""hr"", ""et"")"),"jalgrattasõit")</f>
        <v>jalgrattasõit</v>
      </c>
      <c r="K12" s="3" t="str">
        <f>IFERROR(__xludf.DUMMYFUNCTION("GOOGLETRANSLATE(A12, ""hr"", ""tl"")"),"pagbibisikleta")</f>
        <v>pagbibisikleta</v>
      </c>
      <c r="L12" s="2" t="str">
        <f>IFERROR(__xludf.DUMMYFUNCTION("GOOGLETRANSLATE(A12, ""hr"", ""fi"")"),"pyöräily")</f>
        <v>pyöräily</v>
      </c>
      <c r="M12" s="3" t="str">
        <f>IFERROR(__xludf.DUMMYFUNCTION("GOOGLETRANSLATE(A12, ""hr"", ""fr"")"),"cyclisme")</f>
        <v>cyclisme</v>
      </c>
      <c r="N12" s="3" t="str">
        <f>IFERROR(__xludf.DUMMYFUNCTION("GOOGLETRANSLATE(A12, ""hr"", ""gl"")"),"ciclismo")</f>
        <v>ciclismo</v>
      </c>
      <c r="O12" s="2" t="str">
        <f>IFERROR(__xludf.DUMMYFUNCTION("GOOGLETRANSLATE(A12, ""hr"", ""ht"")"),"monte bisiklèt")</f>
        <v>monte bisiklèt</v>
      </c>
      <c r="P12" s="3" t="str">
        <f>IFERROR(__xludf.DUMMYFUNCTION("GOOGLETRANSLATE(A12, ""hr"", ""is"")"),"hjóla")</f>
        <v>hjóla</v>
      </c>
      <c r="Q12" s="2" t="str">
        <f>IFERROR(__xludf.DUMMYFUNCTION("GOOGLETRANSLATE(A12, ""hr"", ""id"")"),"bersepeda")</f>
        <v>bersepeda</v>
      </c>
      <c r="R12" s="2" t="str">
        <f>IFERROR(__xludf.DUMMYFUNCTION("GOOGLETRANSLATE(A12, ""hr"", ""ga"")"),"rothaíocht")</f>
        <v>rothaíocht</v>
      </c>
      <c r="S12" s="3" t="str">
        <f>IFERROR(__xludf.DUMMYFUNCTION("GOOGLETRANSLATE(A12, ""hr"", ""it"")"),"Ciclismo")</f>
        <v>Ciclismo</v>
      </c>
      <c r="T12" s="2" t="str">
        <f>IFERROR(__xludf.DUMMYFUNCTION("GOOGLETRANSLATE(A12, ""hr"", ""lv"")"),"riteņbraukšana")</f>
        <v>riteņbraukšana</v>
      </c>
      <c r="U12" s="2" t="str">
        <f>IFERROR(__xludf.DUMMYFUNCTION("GOOGLETRANSLATE(A12, ""hr"", ""lt"")"),"dviračiu Sportas")</f>
        <v>dviračiu Sportas</v>
      </c>
      <c r="V12" s="2" t="str">
        <f>IFERROR(__xludf.DUMMYFUNCTION("GOOGLETRANSLATE(A12, ""hr"", ""no"")"),"sykling")</f>
        <v>sykling</v>
      </c>
      <c r="W12" s="2" t="str">
        <f>IFERROR(__xludf.DUMMYFUNCTION("GOOGLETRANSLATE(A12, ""hr"", ""mt"")"),"ċikliżmu")</f>
        <v>ċikliżmu</v>
      </c>
      <c r="X12" s="2" t="str">
        <f>IFERROR(__xludf.DUMMYFUNCTION("GOOGLETRANSLATE(A12, ""hr"", ""es"")"),"ciclismo")</f>
        <v>ciclismo</v>
      </c>
      <c r="Y12" s="2" t="str">
        <f>IFERROR(__xludf.DUMMYFUNCTION("GOOGLETRANSLATE(A12, ""hr"", ""sl"")"),"kolesarjenje")</f>
        <v>kolesarjenje</v>
      </c>
      <c r="Z12" s="2" t="str">
        <f>IFERROR(__xludf.DUMMYFUNCTION("GOOGLETRANSLATE(A12, ""hr"", ""sk"")"),"cyklistika")</f>
        <v>cyklistika</v>
      </c>
    </row>
    <row r="13">
      <c r="A13" s="1" t="s">
        <v>12</v>
      </c>
      <c r="B13" s="2" t="str">
        <f>IFERROR(__xludf.DUMMYFUNCTION("GOOGLETRANSLATE(A13, ""hr"", ""en"")"),"badminton")</f>
        <v>badminton</v>
      </c>
      <c r="C13" s="2" t="str">
        <f>IFERROR(__xludf.DUMMYFUNCTION("GOOGLETRANSLATE(A13, ""hr"", ""de"")"),"Badminton")</f>
        <v>Badminton</v>
      </c>
      <c r="D13" s="2" t="str">
        <f>IFERROR(__xludf.DUMMYFUNCTION("GOOGLETRANSLATE(A13, ""hr"", ""cs"")"),"badminton")</f>
        <v>badminton</v>
      </c>
      <c r="E13" s="3" t="str">
        <f>IFERROR(__xludf.DUMMYFUNCTION("GOOGLETRANSLATE(A13, ""hr"", ""af"")"),"badminton")</f>
        <v>badminton</v>
      </c>
      <c r="F13" s="3" t="str">
        <f>IFERROR(__xludf.DUMMYFUNCTION("GOOGLETRANSLATE(A13, ""hr"", ""sq"")"),"badminton")</f>
        <v>badminton</v>
      </c>
      <c r="G13" s="3" t="str">
        <f>IFERROR(__xludf.DUMMYFUNCTION("GOOGLETRANSLATE(A13, ""hr"", ""ca"")"),"bàdminton")</f>
        <v>bàdminton</v>
      </c>
      <c r="H13" s="2" t="str">
        <f>IFERROR(__xludf.DUMMYFUNCTION("GOOGLETRANSLATE(A13, ""hr"", ""da"")"),"Badminton")</f>
        <v>Badminton</v>
      </c>
      <c r="I13" s="3" t="str">
        <f>IFERROR(__xludf.DUMMYFUNCTION("GOOGLETRANSLATE(A13, ""hr"", ""nl"")"),"badminton")</f>
        <v>badminton</v>
      </c>
      <c r="J13" s="3" t="str">
        <f>IFERROR(__xludf.DUMMYFUNCTION("GOOGLETRANSLATE(A13, ""hr"", ""et"")"),"sulgpall")</f>
        <v>sulgpall</v>
      </c>
      <c r="K13" s="3" t="str">
        <f>IFERROR(__xludf.DUMMYFUNCTION("GOOGLETRANSLATE(A13, ""hr"", ""tl"")"),"Badminton")</f>
        <v>Badminton</v>
      </c>
      <c r="L13" s="2" t="str">
        <f>IFERROR(__xludf.DUMMYFUNCTION("GOOGLETRANSLATE(A13, ""hr"", ""fi"")"),"sulkapallo")</f>
        <v>sulkapallo</v>
      </c>
      <c r="M13" s="3" t="str">
        <f>IFERROR(__xludf.DUMMYFUNCTION("GOOGLETRANSLATE(A13, ""hr"", ""fr"")"),"badminton")</f>
        <v>badminton</v>
      </c>
      <c r="N13" s="3" t="str">
        <f>IFERROR(__xludf.DUMMYFUNCTION("GOOGLETRANSLATE(A13, ""hr"", ""gl"")"),"bádminton")</f>
        <v>bádminton</v>
      </c>
      <c r="O13" s="2" t="str">
        <f>IFERROR(__xludf.DUMMYFUNCTION("GOOGLETRANSLATE(A13, ""hr"", ""ht"")"),"badminton")</f>
        <v>badminton</v>
      </c>
      <c r="P13" s="3" t="str">
        <f>IFERROR(__xludf.DUMMYFUNCTION("GOOGLETRANSLATE(A13, ""hr"", ""is"")"),"badmínton")</f>
        <v>badmínton</v>
      </c>
      <c r="Q13" s="2" t="str">
        <f>IFERROR(__xludf.DUMMYFUNCTION("GOOGLETRANSLATE(A13, ""hr"", ""id"")"),"bulu tangkis")</f>
        <v>bulu tangkis</v>
      </c>
      <c r="R13" s="2" t="str">
        <f>IFERROR(__xludf.DUMMYFUNCTION("GOOGLETRANSLATE(A13, ""hr"", ""ga"")"),"badmantan")</f>
        <v>badmantan</v>
      </c>
      <c r="S13" s="3" t="str">
        <f>IFERROR(__xludf.DUMMYFUNCTION("GOOGLETRANSLATE(A13, ""hr"", ""it"")"),"badminton")</f>
        <v>badminton</v>
      </c>
      <c r="T13" s="2" t="str">
        <f>IFERROR(__xludf.DUMMYFUNCTION("GOOGLETRANSLATE(A13, ""hr"", ""lv"")"),"badmintons")</f>
        <v>badmintons</v>
      </c>
      <c r="U13" s="2" t="str">
        <f>IFERROR(__xludf.DUMMYFUNCTION("GOOGLETRANSLATE(A13, ""hr"", ""lt"")"),"Badmintonas")</f>
        <v>Badmintonas</v>
      </c>
      <c r="V13" s="2" t="str">
        <f>IFERROR(__xludf.DUMMYFUNCTION("GOOGLETRANSLATE(A13, ""hr"", ""no"")"),"badminton")</f>
        <v>badminton</v>
      </c>
      <c r="W13" s="2" t="str">
        <f>IFERROR(__xludf.DUMMYFUNCTION("GOOGLETRANSLATE(A13, ""hr"", ""mt"")"),"badminton")</f>
        <v>badminton</v>
      </c>
      <c r="X13" s="2" t="str">
        <f>IFERROR(__xludf.DUMMYFUNCTION("GOOGLETRANSLATE(A13, ""hr"", ""es"")"),"bádminton")</f>
        <v>bádminton</v>
      </c>
      <c r="Y13" s="2" t="str">
        <f>IFERROR(__xludf.DUMMYFUNCTION("GOOGLETRANSLATE(A13, ""hr"", ""sl"")"),"Badminton")</f>
        <v>Badminton</v>
      </c>
      <c r="Z13" s="2" t="str">
        <f>IFERROR(__xludf.DUMMYFUNCTION("GOOGLETRANSLATE(A13, ""hr"", ""sk"")"),"bedminton")</f>
        <v>bedminton</v>
      </c>
    </row>
    <row r="14">
      <c r="A14" s="1" t="s">
        <v>13</v>
      </c>
      <c r="B14" s="2" t="str">
        <f>IFERROR(__xludf.DUMMYFUNCTION("GOOGLETRANSLATE(A14, ""hr"", ""en"")"),"golf")</f>
        <v>golf</v>
      </c>
      <c r="C14" s="2" t="str">
        <f>IFERROR(__xludf.DUMMYFUNCTION("GOOGLETRANSLATE(A14, ""hr"", ""de"")"),"Golf")</f>
        <v>Golf</v>
      </c>
      <c r="D14" s="2" t="str">
        <f>IFERROR(__xludf.DUMMYFUNCTION("GOOGLETRANSLATE(A14, ""hr"", ""cs"")"),"golf")</f>
        <v>golf</v>
      </c>
      <c r="E14" s="3" t="str">
        <f>IFERROR(__xludf.DUMMYFUNCTION("GOOGLETRANSLATE(A14, ""hr"", ""af"")"),"golf")</f>
        <v>golf</v>
      </c>
      <c r="F14" s="3" t="str">
        <f>IFERROR(__xludf.DUMMYFUNCTION("GOOGLETRANSLATE(A14, ""hr"", ""sq"")"),"golf")</f>
        <v>golf</v>
      </c>
      <c r="G14" s="3" t="str">
        <f>IFERROR(__xludf.DUMMYFUNCTION("GOOGLETRANSLATE(A14, ""hr"", ""ca"")"),"golf")</f>
        <v>golf</v>
      </c>
      <c r="H14" s="2" t="str">
        <f>IFERROR(__xludf.DUMMYFUNCTION("GOOGLETRANSLATE(A14, ""hr"", ""da"")"),"golf")</f>
        <v>golf</v>
      </c>
      <c r="I14" s="3" t="str">
        <f>IFERROR(__xludf.DUMMYFUNCTION("GOOGLETRANSLATE(A14, ""hr"", ""nl"")"),"golf")</f>
        <v>golf</v>
      </c>
      <c r="J14" s="3" t="str">
        <f>IFERROR(__xludf.DUMMYFUNCTION("GOOGLETRANSLATE(A14, ""hr"", ""et"")"),"golf")</f>
        <v>golf</v>
      </c>
      <c r="K14" s="3" t="str">
        <f>IFERROR(__xludf.DUMMYFUNCTION("GOOGLETRANSLATE(A14, ""hr"", ""tl"")"),"Golf")</f>
        <v>Golf</v>
      </c>
      <c r="L14" s="2" t="str">
        <f>IFERROR(__xludf.DUMMYFUNCTION("GOOGLETRANSLATE(A14, ""hr"", ""fi"")"),"golf")</f>
        <v>golf</v>
      </c>
      <c r="M14" s="3" t="str">
        <f>IFERROR(__xludf.DUMMYFUNCTION("GOOGLETRANSLATE(A14, ""hr"", ""fr"")"),"le golf")</f>
        <v>le golf</v>
      </c>
      <c r="N14" s="3" t="str">
        <f>IFERROR(__xludf.DUMMYFUNCTION("GOOGLETRANSLATE(A14, ""hr"", ""gl"")"),"golf")</f>
        <v>golf</v>
      </c>
      <c r="O14" s="2" t="str">
        <f>IFERROR(__xludf.DUMMYFUNCTION("GOOGLETRANSLATE(A14, ""hr"", ""ht"")"),"golf")</f>
        <v>golf</v>
      </c>
      <c r="P14" s="3" t="str">
        <f>IFERROR(__xludf.DUMMYFUNCTION("GOOGLETRANSLATE(A14, ""hr"", ""is"")"),"Golf")</f>
        <v>Golf</v>
      </c>
      <c r="Q14" s="2" t="str">
        <f>IFERROR(__xludf.DUMMYFUNCTION("GOOGLETRANSLATE(A14, ""hr"", ""id"")"),"golf")</f>
        <v>golf</v>
      </c>
      <c r="R14" s="2" t="str">
        <f>IFERROR(__xludf.DUMMYFUNCTION("GOOGLETRANSLATE(A14, ""hr"", ""ga"")"),"galf")</f>
        <v>galf</v>
      </c>
      <c r="S14" s="3" t="str">
        <f>IFERROR(__xludf.DUMMYFUNCTION("GOOGLETRANSLATE(A14, ""hr"", ""it"")"),"golf")</f>
        <v>golf</v>
      </c>
      <c r="T14" s="2" t="str">
        <f>IFERROR(__xludf.DUMMYFUNCTION("GOOGLETRANSLATE(A14, ""hr"", ""lv"")"),"golfs")</f>
        <v>golfs</v>
      </c>
      <c r="U14" s="2" t="str">
        <f>IFERROR(__xludf.DUMMYFUNCTION("GOOGLETRANSLATE(A14, ""hr"", ""lt"")"),"Golfas")</f>
        <v>Golfas</v>
      </c>
      <c r="V14" s="2" t="str">
        <f>IFERROR(__xludf.DUMMYFUNCTION("GOOGLETRANSLATE(A14, ""hr"", ""no"")"),"golf")</f>
        <v>golf</v>
      </c>
      <c r="W14" s="2" t="str">
        <f>IFERROR(__xludf.DUMMYFUNCTION("GOOGLETRANSLATE(A14, ""hr"", ""mt"")"),"golf")</f>
        <v>golf</v>
      </c>
      <c r="X14" s="2" t="str">
        <f>IFERROR(__xludf.DUMMYFUNCTION("GOOGLETRANSLATE(A14, ""hr"", ""es"")"),"golf")</f>
        <v>golf</v>
      </c>
      <c r="Y14" s="2" t="str">
        <f>IFERROR(__xludf.DUMMYFUNCTION("GOOGLETRANSLATE(A14, ""hr"", ""sl"")"),"golf")</f>
        <v>golf</v>
      </c>
      <c r="Z14" s="2" t="str">
        <f>IFERROR(__xludf.DUMMYFUNCTION("GOOGLETRANSLATE(A14, ""hr"", ""sk"")"),"golf")</f>
        <v>golf</v>
      </c>
    </row>
    <row r="15">
      <c r="A15" s="1" t="s">
        <v>14</v>
      </c>
      <c r="B15" s="2" t="str">
        <f>IFERROR(__xludf.DUMMYFUNCTION("GOOGLETRANSLATE(A15, ""hr"", ""en"")"),"motorcycle")</f>
        <v>motorcycle</v>
      </c>
      <c r="C15" s="2" t="str">
        <f>IFERROR(__xludf.DUMMYFUNCTION("GOOGLETRANSLATE(A15, ""hr"", ""de"")"),"Motorrad")</f>
        <v>Motorrad</v>
      </c>
      <c r="D15" s="2" t="str">
        <f>IFERROR(__xludf.DUMMYFUNCTION("GOOGLETRANSLATE(A15, ""hr"", ""cs"")"),"motocykl")</f>
        <v>motocykl</v>
      </c>
      <c r="E15" s="3" t="str">
        <f>IFERROR(__xludf.DUMMYFUNCTION("GOOGLETRANSLATE(A15, ""hr"", ""af"")"),"motorfiets")</f>
        <v>motorfiets</v>
      </c>
      <c r="F15" s="3" t="str">
        <f>IFERROR(__xludf.DUMMYFUNCTION("GOOGLETRANSLATE(A15, ""hr"", ""sq"")"),"motor")</f>
        <v>motor</v>
      </c>
      <c r="G15" s="3" t="str">
        <f>IFERROR(__xludf.DUMMYFUNCTION("GOOGLETRANSLATE(A15, ""hr"", ""ca"")"),"moto")</f>
        <v>moto</v>
      </c>
      <c r="H15" s="2" t="str">
        <f>IFERROR(__xludf.DUMMYFUNCTION("GOOGLETRANSLATE(A15, ""hr"", ""da"")"),"motorcykel")</f>
        <v>motorcykel</v>
      </c>
      <c r="I15" s="3" t="str">
        <f>IFERROR(__xludf.DUMMYFUNCTION("GOOGLETRANSLATE(A15, ""hr"", ""nl"")"),"motorfiets")</f>
        <v>motorfiets</v>
      </c>
      <c r="J15" s="3" t="str">
        <f>IFERROR(__xludf.DUMMYFUNCTION("GOOGLETRANSLATE(A15, ""hr"", ""et"")"),"mootorratas")</f>
        <v>mootorratas</v>
      </c>
      <c r="K15" s="3" t="str">
        <f>IFERROR(__xludf.DUMMYFUNCTION("GOOGLETRANSLATE(A15, ""hr"", ""tl"")"),"motorsiklo")</f>
        <v>motorsiklo</v>
      </c>
      <c r="L15" s="2" t="str">
        <f>IFERROR(__xludf.DUMMYFUNCTION("GOOGLETRANSLATE(A15, ""hr"", ""fi"")"),"moottoripyörä")</f>
        <v>moottoripyörä</v>
      </c>
      <c r="M15" s="3" t="str">
        <f>IFERROR(__xludf.DUMMYFUNCTION("GOOGLETRANSLATE(A15, ""hr"", ""fr"")"),"moto")</f>
        <v>moto</v>
      </c>
      <c r="N15" s="3" t="str">
        <f>IFERROR(__xludf.DUMMYFUNCTION("GOOGLETRANSLATE(A15, ""hr"", ""gl"")"),"moto")</f>
        <v>moto</v>
      </c>
      <c r="O15" s="2" t="str">
        <f>IFERROR(__xludf.DUMMYFUNCTION("GOOGLETRANSLATE(A15, ""hr"", ""ht"")"),"motosiklèt")</f>
        <v>motosiklèt</v>
      </c>
      <c r="P15" s="3" t="str">
        <f>IFERROR(__xludf.DUMMYFUNCTION("GOOGLETRANSLATE(A15, ""hr"", ""is"")"),"Mótorhjól")</f>
        <v>Mótorhjól</v>
      </c>
      <c r="Q15" s="2" t="str">
        <f>IFERROR(__xludf.DUMMYFUNCTION("GOOGLETRANSLATE(A15, ""hr"", ""id"")"),"sepeda motor")</f>
        <v>sepeda motor</v>
      </c>
      <c r="R15" s="2" t="str">
        <f>IFERROR(__xludf.DUMMYFUNCTION("GOOGLETRANSLATE(A15, ""hr"", ""ga"")"),"gluaisrothar")</f>
        <v>gluaisrothar</v>
      </c>
      <c r="S15" s="3" t="str">
        <f>IFERROR(__xludf.DUMMYFUNCTION("GOOGLETRANSLATE(A15, ""hr"", ""it"")"),"motociclo")</f>
        <v>motociclo</v>
      </c>
      <c r="T15" s="2" t="str">
        <f>IFERROR(__xludf.DUMMYFUNCTION("GOOGLETRANSLATE(A15, ""hr"", ""lv"")"),"motocikls")</f>
        <v>motocikls</v>
      </c>
      <c r="U15" s="2" t="str">
        <f>IFERROR(__xludf.DUMMYFUNCTION("GOOGLETRANSLATE(A15, ""hr"", ""lt"")"),"Motociklas")</f>
        <v>Motociklas</v>
      </c>
      <c r="V15" s="2" t="str">
        <f>IFERROR(__xludf.DUMMYFUNCTION("GOOGLETRANSLATE(A15, ""hr"", ""no"")"),"motorsykkel")</f>
        <v>motorsykkel</v>
      </c>
      <c r="W15" s="2" t="str">
        <f>IFERROR(__xludf.DUMMYFUNCTION("GOOGLETRANSLATE(A15, ""hr"", ""mt"")"),"mutur")</f>
        <v>mutur</v>
      </c>
      <c r="X15" s="2" t="str">
        <f>IFERROR(__xludf.DUMMYFUNCTION("GOOGLETRANSLATE(A15, ""hr"", ""es"")"),"motocicleta")</f>
        <v>motocicleta</v>
      </c>
      <c r="Y15" s="2" t="str">
        <f>IFERROR(__xludf.DUMMYFUNCTION("GOOGLETRANSLATE(A15, ""hr"", ""sl"")"),"motocikel")</f>
        <v>motocikel</v>
      </c>
      <c r="Z15" s="2" t="str">
        <f>IFERROR(__xludf.DUMMYFUNCTION("GOOGLETRANSLATE(A15, ""hr"", ""sk"")"),"motocykel")</f>
        <v>motocykel</v>
      </c>
    </row>
    <row r="16">
      <c r="A16" s="1" t="s">
        <v>15</v>
      </c>
      <c r="B16" s="2" t="str">
        <f>IFERROR(__xludf.DUMMYFUNCTION("GOOGLETRANSLATE(A16, ""hr"", ""en"")"),"baseball")</f>
        <v>baseball</v>
      </c>
      <c r="C16" s="2" t="str">
        <f>IFERROR(__xludf.DUMMYFUNCTION("GOOGLETRANSLATE(A16, ""hr"", ""de"")"),"Baseball")</f>
        <v>Baseball</v>
      </c>
      <c r="D16" s="2" t="str">
        <f>IFERROR(__xludf.DUMMYFUNCTION("GOOGLETRANSLATE(A16, ""hr"", ""cs"")"),"baseball")</f>
        <v>baseball</v>
      </c>
      <c r="E16" s="3" t="str">
        <f>IFERROR(__xludf.DUMMYFUNCTION("GOOGLETRANSLATE(A16, ""hr"", ""af"")"),"bofbal")</f>
        <v>bofbal</v>
      </c>
      <c r="F16" s="3" t="str">
        <f>IFERROR(__xludf.DUMMYFUNCTION("GOOGLETRANSLATE(A16, ""hr"", ""sq"")"),"bejsboll")</f>
        <v>bejsboll</v>
      </c>
      <c r="G16" s="3" t="str">
        <f>IFERROR(__xludf.DUMMYFUNCTION("GOOGLETRANSLATE(A16, ""hr"", ""ca"")"),"beisbol")</f>
        <v>beisbol</v>
      </c>
      <c r="H16" s="2" t="str">
        <f>IFERROR(__xludf.DUMMYFUNCTION("GOOGLETRANSLATE(A16, ""hr"", ""da"")"),"Baseball")</f>
        <v>Baseball</v>
      </c>
      <c r="I16" s="3" t="str">
        <f>IFERROR(__xludf.DUMMYFUNCTION("GOOGLETRANSLATE(A16, ""hr"", ""nl"")"),"basketbal")</f>
        <v>basketbal</v>
      </c>
      <c r="J16" s="3" t="str">
        <f>IFERROR(__xludf.DUMMYFUNCTION("GOOGLETRANSLATE(A16, ""hr"", ""et"")"),"pesapall")</f>
        <v>pesapall</v>
      </c>
      <c r="K16" s="3" t="str">
        <f>IFERROR(__xludf.DUMMYFUNCTION("GOOGLETRANSLATE(A16, ""hr"", ""tl"")"),"Baseball")</f>
        <v>Baseball</v>
      </c>
      <c r="L16" s="2" t="str">
        <f>IFERROR(__xludf.DUMMYFUNCTION("GOOGLETRANSLATE(A16, ""hr"", ""fi"")"),"baseball")</f>
        <v>baseball</v>
      </c>
      <c r="M16" s="3" t="str">
        <f>IFERROR(__xludf.DUMMYFUNCTION("GOOGLETRANSLATE(A16, ""hr"", ""fr"")"),"base-ball")</f>
        <v>base-ball</v>
      </c>
      <c r="N16" s="3" t="str">
        <f>IFERROR(__xludf.DUMMYFUNCTION("GOOGLETRANSLATE(A16, ""hr"", ""gl"")"),"béisbol")</f>
        <v>béisbol</v>
      </c>
      <c r="O16" s="2" t="str">
        <f>IFERROR(__xludf.DUMMYFUNCTION("GOOGLETRANSLATE(A16, ""hr"", ""ht"")"),"boutik")</f>
        <v>boutik</v>
      </c>
      <c r="P16" s="3" t="str">
        <f>IFERROR(__xludf.DUMMYFUNCTION("GOOGLETRANSLATE(A16, ""hr"", ""is"")"),"Baseball")</f>
        <v>Baseball</v>
      </c>
      <c r="Q16" s="2" t="str">
        <f>IFERROR(__xludf.DUMMYFUNCTION("GOOGLETRANSLATE(A16, ""hr"", ""id"")"),"baseball")</f>
        <v>baseball</v>
      </c>
      <c r="R16" s="2" t="str">
        <f>IFERROR(__xludf.DUMMYFUNCTION("GOOGLETRANSLATE(A16, ""hr"", ""ga"")"),"daorchluiche")</f>
        <v>daorchluiche</v>
      </c>
      <c r="S16" s="3" t="str">
        <f>IFERROR(__xludf.DUMMYFUNCTION("GOOGLETRANSLATE(A16, ""hr"", ""it"")"),"baseball")</f>
        <v>baseball</v>
      </c>
      <c r="T16" s="2" t="str">
        <f>IFERROR(__xludf.DUMMYFUNCTION("GOOGLETRANSLATE(A16, ""hr"", ""lv"")"),"beisbols")</f>
        <v>beisbols</v>
      </c>
      <c r="U16" s="2" t="str">
        <f>IFERROR(__xludf.DUMMYFUNCTION("GOOGLETRANSLATE(A16, ""hr"", ""lt"")"),"Beisbolas")</f>
        <v>Beisbolas</v>
      </c>
      <c r="V16" s="2" t="str">
        <f>IFERROR(__xludf.DUMMYFUNCTION("GOOGLETRANSLATE(A16, ""hr"", ""no"")"),"baseball")</f>
        <v>baseball</v>
      </c>
      <c r="W16" s="2" t="str">
        <f>IFERROR(__xludf.DUMMYFUNCTION("GOOGLETRANSLATE(A16, ""hr"", ""mt"")"),"baseball")</f>
        <v>baseball</v>
      </c>
      <c r="X16" s="2" t="str">
        <f>IFERROR(__xludf.DUMMYFUNCTION("GOOGLETRANSLATE(A16, ""hr"", ""es"")"),"béisbol")</f>
        <v>béisbol</v>
      </c>
      <c r="Y16" s="2" t="str">
        <f>IFERROR(__xludf.DUMMYFUNCTION("GOOGLETRANSLATE(A16, ""hr"", ""sl"")"),"Baseball")</f>
        <v>Baseball</v>
      </c>
      <c r="Z16" s="2" t="str">
        <f>IFERROR(__xludf.DUMMYFUNCTION("GOOGLETRANSLATE(A16, ""hr"", ""sk"")"),"baseball")</f>
        <v>baseball</v>
      </c>
    </row>
    <row r="17">
      <c r="A17" s="1" t="s">
        <v>16</v>
      </c>
      <c r="B17" s="2" t="str">
        <f>IFERROR(__xludf.DUMMYFUNCTION("GOOGLETRANSLATE(A17, ""hr"", ""en"")"),"boxing")</f>
        <v>boxing</v>
      </c>
      <c r="C17" s="2" t="str">
        <f>IFERROR(__xludf.DUMMYFUNCTION("GOOGLETRANSLATE(A17, ""hr"", ""de"")"),"Boxen")</f>
        <v>Boxen</v>
      </c>
      <c r="D17" s="2" t="str">
        <f>IFERROR(__xludf.DUMMYFUNCTION("GOOGLETRANSLATE(A17, ""hr"", ""cs"")"),"box")</f>
        <v>box</v>
      </c>
      <c r="E17" s="3" t="str">
        <f>IFERROR(__xludf.DUMMYFUNCTION("GOOGLETRANSLATE(A17, ""hr"", ""af"")"),"boks")</f>
        <v>boks</v>
      </c>
      <c r="F17" s="3" t="str">
        <f>IFERROR(__xludf.DUMMYFUNCTION("GOOGLETRANSLATE(A17, ""hr"", ""sq"")"),"boks")</f>
        <v>boks</v>
      </c>
      <c r="G17" s="3" t="str">
        <f>IFERROR(__xludf.DUMMYFUNCTION("GOOGLETRANSLATE(A17, ""hr"", ""ca"")"),"boxa")</f>
        <v>boxa</v>
      </c>
      <c r="H17" s="2" t="str">
        <f>IFERROR(__xludf.DUMMYFUNCTION("GOOGLETRANSLATE(A17, ""hr"", ""da"")"),"boksning")</f>
        <v>boksning</v>
      </c>
      <c r="I17" s="3" t="str">
        <f>IFERROR(__xludf.DUMMYFUNCTION("GOOGLETRANSLATE(A17, ""hr"", ""nl"")"),"boksen")</f>
        <v>boksen</v>
      </c>
      <c r="J17" s="3" t="str">
        <f>IFERROR(__xludf.DUMMYFUNCTION("GOOGLETRANSLATE(A17, ""hr"", ""et"")"),"poks")</f>
        <v>poks</v>
      </c>
      <c r="K17" s="3" t="str">
        <f>IFERROR(__xludf.DUMMYFUNCTION("GOOGLETRANSLATE(A17, ""hr"", ""tl"")"),"Boxing")</f>
        <v>Boxing</v>
      </c>
      <c r="L17" s="2" t="str">
        <f>IFERROR(__xludf.DUMMYFUNCTION("GOOGLETRANSLATE(A17, ""hr"", ""fi"")"),"nyrkkeily")</f>
        <v>nyrkkeily</v>
      </c>
      <c r="M17" s="3" t="str">
        <f>IFERROR(__xludf.DUMMYFUNCTION("GOOGLETRANSLATE(A17, ""hr"", ""fr"")"),"boxe")</f>
        <v>boxe</v>
      </c>
      <c r="N17" s="3" t="str">
        <f>IFERROR(__xludf.DUMMYFUNCTION("GOOGLETRANSLATE(A17, ""hr"", ""gl"")"),"boxeo")</f>
        <v>boxeo</v>
      </c>
      <c r="O17" s="2" t="str">
        <f>IFERROR(__xludf.DUMMYFUNCTION("GOOGLETRANSLATE(A17, ""hr"", ""ht"")"),"boksè")</f>
        <v>boksè</v>
      </c>
      <c r="P17" s="3" t="str">
        <f>IFERROR(__xludf.DUMMYFUNCTION("GOOGLETRANSLATE(A17, ""hr"", ""is"")"),"Hnefaleika")</f>
        <v>Hnefaleika</v>
      </c>
      <c r="Q17" s="2" t="str">
        <f>IFERROR(__xludf.DUMMYFUNCTION("GOOGLETRANSLATE(A17, ""hr"", ""id"")"),"tinju")</f>
        <v>tinju</v>
      </c>
      <c r="R17" s="2" t="str">
        <f>IFERROR(__xludf.DUMMYFUNCTION("GOOGLETRANSLATE(A17, ""hr"", ""ga"")"),"dornáil")</f>
        <v>dornáil</v>
      </c>
      <c r="S17" s="3" t="str">
        <f>IFERROR(__xludf.DUMMYFUNCTION("GOOGLETRANSLATE(A17, ""hr"", ""it"")"),"boxe")</f>
        <v>boxe</v>
      </c>
      <c r="T17" s="2" t="str">
        <f>IFERROR(__xludf.DUMMYFUNCTION("GOOGLETRANSLATE(A17, ""hr"", ""lv"")"),"bokss")</f>
        <v>bokss</v>
      </c>
      <c r="U17" s="2" t="str">
        <f>IFERROR(__xludf.DUMMYFUNCTION("GOOGLETRANSLATE(A17, ""hr"", ""lt"")"),"Boksas")</f>
        <v>Boksas</v>
      </c>
      <c r="V17" s="2" t="str">
        <f>IFERROR(__xludf.DUMMYFUNCTION("GOOGLETRANSLATE(A17, ""hr"", ""no"")"),"boksing")</f>
        <v>boksing</v>
      </c>
      <c r="W17" s="2" t="str">
        <f>IFERROR(__xludf.DUMMYFUNCTION("GOOGLETRANSLATE(A17, ""hr"", ""mt"")"),"boxing")</f>
        <v>boxing</v>
      </c>
      <c r="X17" s="2" t="str">
        <f>IFERROR(__xludf.DUMMYFUNCTION("GOOGLETRANSLATE(A17, ""hr"", ""es"")"),"boxeo")</f>
        <v>boxeo</v>
      </c>
      <c r="Y17" s="2" t="str">
        <f>IFERROR(__xludf.DUMMYFUNCTION("GOOGLETRANSLATE(A17, ""hr"", ""sl"")"),"boks")</f>
        <v>boks</v>
      </c>
      <c r="Z17" s="2" t="str">
        <f>IFERROR(__xludf.DUMMYFUNCTION("GOOGLETRANSLATE(A17, ""hr"", ""sk"")"),"box")</f>
        <v>box</v>
      </c>
    </row>
    <row r="18">
      <c r="A18" s="1" t="s">
        <v>17</v>
      </c>
      <c r="B18" s="2" t="str">
        <f>IFERROR(__xludf.DUMMYFUNCTION("GOOGLETRANSLATE(A18, ""hr"", ""en"")"),"rugby")</f>
        <v>rugby</v>
      </c>
      <c r="C18" s="2" t="str">
        <f>IFERROR(__xludf.DUMMYFUNCTION("GOOGLETRANSLATE(A18, ""hr"", ""de"")"),"Rugby")</f>
        <v>Rugby</v>
      </c>
      <c r="D18" s="2" t="str">
        <f>IFERROR(__xludf.DUMMYFUNCTION("GOOGLETRANSLATE(A18, ""hr"", ""cs"")"),"ragby")</f>
        <v>ragby</v>
      </c>
      <c r="E18" s="3" t="str">
        <f>IFERROR(__xludf.DUMMYFUNCTION("GOOGLETRANSLATE(A18, ""hr"", ""af"")"),"rugby")</f>
        <v>rugby</v>
      </c>
      <c r="F18" s="3" t="str">
        <f>IFERROR(__xludf.DUMMYFUNCTION("GOOGLETRANSLATE(A18, ""hr"", ""sq"")"),"rugby")</f>
        <v>rugby</v>
      </c>
      <c r="G18" s="3" t="str">
        <f>IFERROR(__xludf.DUMMYFUNCTION("GOOGLETRANSLATE(A18, ""hr"", ""ca"")"),"rugby")</f>
        <v>rugby</v>
      </c>
      <c r="H18" s="2" t="str">
        <f>IFERROR(__xludf.DUMMYFUNCTION("GOOGLETRANSLATE(A18, ""hr"", ""da"")"),"Rugby")</f>
        <v>Rugby</v>
      </c>
      <c r="I18" s="3" t="str">
        <f>IFERROR(__xludf.DUMMYFUNCTION("GOOGLETRANSLATE(A18, ""hr"", ""nl"")"),"rugby")</f>
        <v>rugby</v>
      </c>
      <c r="J18" s="3" t="str">
        <f>IFERROR(__xludf.DUMMYFUNCTION("GOOGLETRANSLATE(A18, ""hr"", ""et"")"),"ragbi")</f>
        <v>ragbi</v>
      </c>
      <c r="K18" s="3" t="str">
        <f>IFERROR(__xludf.DUMMYFUNCTION("GOOGLETRANSLATE(A18, ""hr"", ""tl"")"),"Rugby")</f>
        <v>Rugby</v>
      </c>
      <c r="L18" s="2" t="str">
        <f>IFERROR(__xludf.DUMMYFUNCTION("GOOGLETRANSLATE(A18, ""hr"", ""fi"")"),"rugby")</f>
        <v>rugby</v>
      </c>
      <c r="M18" s="3" t="str">
        <f>IFERROR(__xludf.DUMMYFUNCTION("GOOGLETRANSLATE(A18, ""hr"", ""fr"")"),"le rugby")</f>
        <v>le rugby</v>
      </c>
      <c r="N18" s="3" t="str">
        <f>IFERROR(__xludf.DUMMYFUNCTION("GOOGLETRANSLATE(A18, ""hr"", ""gl"")"),"Rugby")</f>
        <v>Rugby</v>
      </c>
      <c r="O18" s="2" t="str">
        <f>IFERROR(__xludf.DUMMYFUNCTION("GOOGLETRANSLATE(A18, ""hr"", ""ht"")"),"Rugbi")</f>
        <v>Rugbi</v>
      </c>
      <c r="P18" s="3" t="str">
        <f>IFERROR(__xludf.DUMMYFUNCTION("GOOGLETRANSLATE(A18, ""hr"", ""is"")"),"Rugby")</f>
        <v>Rugby</v>
      </c>
      <c r="Q18" s="2" t="str">
        <f>IFERROR(__xludf.DUMMYFUNCTION("GOOGLETRANSLATE(A18, ""hr"", ""id"")"),"ragbi")</f>
        <v>ragbi</v>
      </c>
      <c r="R18" s="2" t="str">
        <f>IFERROR(__xludf.DUMMYFUNCTION("GOOGLETRANSLATE(A18, ""hr"", ""ga"")"),"rugbaí")</f>
        <v>rugbaí</v>
      </c>
      <c r="S18" s="3" t="str">
        <f>IFERROR(__xludf.DUMMYFUNCTION("GOOGLETRANSLATE(A18, ""hr"", ""it"")"),"Rugby")</f>
        <v>Rugby</v>
      </c>
      <c r="T18" s="2" t="str">
        <f>IFERROR(__xludf.DUMMYFUNCTION("GOOGLETRANSLATE(A18, ""hr"", ""lv"")"),"regbijs")</f>
        <v>regbijs</v>
      </c>
      <c r="U18" s="2" t="str">
        <f>IFERROR(__xludf.DUMMYFUNCTION("GOOGLETRANSLATE(A18, ""hr"", ""lt"")"),"Regbis")</f>
        <v>Regbis</v>
      </c>
      <c r="V18" s="2" t="str">
        <f>IFERROR(__xludf.DUMMYFUNCTION("GOOGLETRANSLATE(A18, ""hr"", ""no"")"),"rugby")</f>
        <v>rugby</v>
      </c>
      <c r="W18" s="2" t="str">
        <f>IFERROR(__xludf.DUMMYFUNCTION("GOOGLETRANSLATE(A18, ""hr"", ""mt"")"),"Rugby")</f>
        <v>Rugby</v>
      </c>
      <c r="X18" s="2" t="str">
        <f>IFERROR(__xludf.DUMMYFUNCTION("GOOGLETRANSLATE(A18, ""hr"", ""es"")"),"rugby")</f>
        <v>rugby</v>
      </c>
      <c r="Y18" s="2" t="str">
        <f>IFERROR(__xludf.DUMMYFUNCTION("GOOGLETRANSLATE(A18, ""hr"", ""sl"")"),"ragbi")</f>
        <v>ragbi</v>
      </c>
      <c r="Z18" s="2" t="str">
        <f>IFERROR(__xludf.DUMMYFUNCTION("GOOGLETRANSLATE(A18, ""hr"", ""sk"")"),"ragby")</f>
        <v>ragby</v>
      </c>
    </row>
    <row r="19">
      <c r="A19" s="1" t="s">
        <v>18</v>
      </c>
      <c r="B19" s="2" t="str">
        <f>IFERROR(__xludf.DUMMYFUNCTION("GOOGLETRANSLATE(A19, ""hr"", ""en"")"),"winding")</f>
        <v>winding</v>
      </c>
      <c r="C19" s="2" t="str">
        <f>IFERROR(__xludf.DUMMYFUNCTION("GOOGLETRANSLATE(A19, ""hr"", ""de"")"),"Wicklung")</f>
        <v>Wicklung</v>
      </c>
      <c r="D19" s="2" t="str">
        <f>IFERROR(__xludf.DUMMYFUNCTION("GOOGLETRANSLATE(A19, ""hr"", ""cs"")"),"navíjení")</f>
        <v>navíjení</v>
      </c>
      <c r="E19" s="3" t="str">
        <f>IFERROR(__xludf.DUMMYFUNCTION("GOOGLETRANSLATE(A19, ""hr"", ""af"")"),"krongrens")</f>
        <v>krongrens</v>
      </c>
      <c r="F19" s="3" t="str">
        <f>IFERROR(__xludf.DUMMYFUNCTION("GOOGLETRANSLATE(A19, ""hr"", ""sq"")"),"dredha -dredha")</f>
        <v>dredha -dredha</v>
      </c>
      <c r="G19" s="3" t="str">
        <f>IFERROR(__xludf.DUMMYFUNCTION("GOOGLETRANSLATE(A19, ""hr"", ""ca"")"),"Ventós")</f>
        <v>Ventós</v>
      </c>
      <c r="H19" s="2" t="str">
        <f>IFERROR(__xludf.DUMMYFUNCTION("GOOGLETRANSLATE(A19, ""hr"", ""da"")"),"snoet")</f>
        <v>snoet</v>
      </c>
      <c r="I19" s="3" t="str">
        <f>IFERROR(__xludf.DUMMYFUNCTION("GOOGLETRANSLATE(A19, ""hr"", ""nl"")"),"kronkelend")</f>
        <v>kronkelend</v>
      </c>
      <c r="J19" s="3" t="str">
        <f>IFERROR(__xludf.DUMMYFUNCTION("GOOGLETRANSLATE(A19, ""hr"", ""et"")"),"mähis")</f>
        <v>mähis</v>
      </c>
      <c r="K19" s="3" t="str">
        <f>IFERROR(__xludf.DUMMYFUNCTION("GOOGLETRANSLATE(A19, ""hr"", ""tl"")"),"paikot -ikot")</f>
        <v>paikot -ikot</v>
      </c>
      <c r="L19" s="2" t="str">
        <f>IFERROR(__xludf.DUMMYFUNCTION("GOOGLETRANSLATE(A19, ""hr"", ""fi"")"),"käämitys")</f>
        <v>käämitys</v>
      </c>
      <c r="M19" s="3" t="str">
        <f>IFERROR(__xludf.DUMMYFUNCTION("GOOGLETRANSLATE(A19, ""hr"", ""fr"")"),"enroulement")</f>
        <v>enroulement</v>
      </c>
      <c r="N19" s="3" t="str">
        <f>IFERROR(__xludf.DUMMYFUNCTION("GOOGLETRANSLATE(A19, ""hr"", ""gl"")"),"Enrolamento")</f>
        <v>Enrolamento</v>
      </c>
      <c r="O19" s="2" t="str">
        <f>IFERROR(__xludf.DUMMYFUNCTION("GOOGLETRANSLATE(A19, ""hr"", ""ht"")"),"prentan")</f>
        <v>prentan</v>
      </c>
      <c r="P19" s="3" t="str">
        <f>IFERROR(__xludf.DUMMYFUNCTION("GOOGLETRANSLATE(A19, ""hr"", ""is"")"),"vinda")</f>
        <v>vinda</v>
      </c>
      <c r="Q19" s="2" t="str">
        <f>IFERROR(__xludf.DUMMYFUNCTION("GOOGLETRANSLATE(A19, ""hr"", ""id"")"),"lekok")</f>
        <v>lekok</v>
      </c>
      <c r="R19" s="2" t="str">
        <f>IFERROR(__xludf.DUMMYFUNCTION("GOOGLETRANSLATE(A19, ""hr"", ""ga"")"),"foirceann")</f>
        <v>foirceann</v>
      </c>
      <c r="S19" s="3" t="str">
        <f>IFERROR(__xludf.DUMMYFUNCTION("GOOGLETRANSLATE(A19, ""hr"", ""it"")"),"avvolgimento")</f>
        <v>avvolgimento</v>
      </c>
      <c r="T19" s="2" t="str">
        <f>IFERROR(__xludf.DUMMYFUNCTION("GOOGLETRANSLATE(A19, ""hr"", ""lv"")"),"līkums")</f>
        <v>līkums</v>
      </c>
      <c r="U19" s="2" t="str">
        <f>IFERROR(__xludf.DUMMYFUNCTION("GOOGLETRANSLATE(A19, ""hr"", ""lt"")"),"vingiavimas")</f>
        <v>vingiavimas</v>
      </c>
      <c r="V19" s="2" t="str">
        <f>IFERROR(__xludf.DUMMYFUNCTION("GOOGLETRANSLATE(A19, ""hr"", ""no"")"),"svingete")</f>
        <v>svingete</v>
      </c>
      <c r="W19" s="2" t="str">
        <f>IFERROR(__xludf.DUMMYFUNCTION("GOOGLETRANSLATE(A19, ""hr"", ""mt"")"),"stralċ")</f>
        <v>stralċ</v>
      </c>
      <c r="X19" s="2" t="str">
        <f>IFERROR(__xludf.DUMMYFUNCTION("GOOGLETRANSLATE(A19, ""hr"", ""es"")"),"devanado")</f>
        <v>devanado</v>
      </c>
      <c r="Y19" s="2" t="str">
        <f>IFERROR(__xludf.DUMMYFUNCTION("GOOGLETRANSLATE(A19, ""hr"", ""sl"")"),"vijuganje")</f>
        <v>vijuganje</v>
      </c>
      <c r="Z19" s="2" t="str">
        <f>IFERROR(__xludf.DUMMYFUNCTION("GOOGLETRANSLATE(A19, ""hr"", ""sk"")"),"vinutie")</f>
        <v>vinutie</v>
      </c>
    </row>
    <row r="20">
      <c r="A20" s="1" t="s">
        <v>19</v>
      </c>
      <c r="B20" s="2" t="str">
        <f>IFERROR(__xludf.DUMMYFUNCTION("GOOGLETRANSLATE(A20, ""hr"", ""en"")"),"Ball")</f>
        <v>Ball</v>
      </c>
      <c r="C20" s="2" t="str">
        <f>IFERROR(__xludf.DUMMYFUNCTION("GOOGLETRANSLATE(A20, ""hr"", ""de"")"),"Ball")</f>
        <v>Ball</v>
      </c>
      <c r="D20" s="2" t="str">
        <f>IFERROR(__xludf.DUMMYFUNCTION("GOOGLETRANSLATE(A20, ""hr"", ""cs"")"),"Míč")</f>
        <v>Míč</v>
      </c>
      <c r="E20" s="3" t="str">
        <f>IFERROR(__xludf.DUMMYFUNCTION("GOOGLETRANSLATE(A20, ""hr"", ""af"")"),"Bal")</f>
        <v>Bal</v>
      </c>
      <c r="F20" s="3" t="str">
        <f>IFERROR(__xludf.DUMMYFUNCTION("GOOGLETRANSLATE(A20, ""hr"", ""sq"")"),"Top")</f>
        <v>Top</v>
      </c>
      <c r="G20" s="3" t="str">
        <f>IFERROR(__xludf.DUMMYFUNCTION("GOOGLETRANSLATE(A20, ""hr"", ""ca"")"),"Pilota")</f>
        <v>Pilota</v>
      </c>
      <c r="H20" s="2" t="str">
        <f>IFERROR(__xludf.DUMMYFUNCTION("GOOGLETRANSLATE(A20, ""hr"", ""da"")"),"Bold")</f>
        <v>Bold</v>
      </c>
      <c r="I20" s="3" t="str">
        <f>IFERROR(__xludf.DUMMYFUNCTION("GOOGLETRANSLATE(A20, ""hr"", ""nl"")"),"Bal")</f>
        <v>Bal</v>
      </c>
      <c r="J20" s="3" t="str">
        <f>IFERROR(__xludf.DUMMYFUNCTION("GOOGLETRANSLATE(A20, ""hr"", ""et"")"),"Kuuli")</f>
        <v>Kuuli</v>
      </c>
      <c r="K20" s="3" t="str">
        <f>IFERROR(__xludf.DUMMYFUNCTION("GOOGLETRANSLATE(A20, ""hr"", ""tl"")"),"Ball")</f>
        <v>Ball</v>
      </c>
      <c r="L20" s="2" t="str">
        <f>IFERROR(__xludf.DUMMYFUNCTION("GOOGLETRANSLATE(A20, ""hr"", ""fi"")"),"Pallo")</f>
        <v>Pallo</v>
      </c>
      <c r="M20" s="3" t="str">
        <f>IFERROR(__xludf.DUMMYFUNCTION("GOOGLETRANSLATE(A20, ""hr"", ""fr"")"),"Balle")</f>
        <v>Balle</v>
      </c>
      <c r="N20" s="3" t="str">
        <f>IFERROR(__xludf.DUMMYFUNCTION("GOOGLETRANSLATE(A20, ""hr"", ""gl"")"),"Bola")</f>
        <v>Bola</v>
      </c>
      <c r="O20" s="2" t="str">
        <f>IFERROR(__xludf.DUMMYFUNCTION("GOOGLETRANSLATE(A20, ""hr"", ""ht"")"),"Bal")</f>
        <v>Bal</v>
      </c>
      <c r="P20" s="3" t="str">
        <f>IFERROR(__xludf.DUMMYFUNCTION("GOOGLETRANSLATE(A20, ""hr"", ""is"")"),"Bolti")</f>
        <v>Bolti</v>
      </c>
      <c r="Q20" s="2" t="str">
        <f>IFERROR(__xludf.DUMMYFUNCTION("GOOGLETRANSLATE(A20, ""hr"", ""id"")"),"Bola")</f>
        <v>Bola</v>
      </c>
      <c r="R20" s="2" t="str">
        <f>IFERROR(__xludf.DUMMYFUNCTION("GOOGLETRANSLATE(A20, ""hr"", ""ga"")"),"Sláine")</f>
        <v>Sláine</v>
      </c>
      <c r="S20" s="3" t="str">
        <f>IFERROR(__xludf.DUMMYFUNCTION("GOOGLETRANSLATE(A20, ""hr"", ""it"")"),"Sfera")</f>
        <v>Sfera</v>
      </c>
      <c r="T20" s="2" t="str">
        <f>IFERROR(__xludf.DUMMYFUNCTION("GOOGLETRANSLATE(A20, ""hr"", ""lv"")"),"Bumba")</f>
        <v>Bumba</v>
      </c>
      <c r="U20" s="2" t="str">
        <f>IFERROR(__xludf.DUMMYFUNCTION("GOOGLETRANSLATE(A20, ""hr"", ""lt"")"),"Rutulys")</f>
        <v>Rutulys</v>
      </c>
      <c r="V20" s="2" t="str">
        <f>IFERROR(__xludf.DUMMYFUNCTION("GOOGLETRANSLATE(A20, ""hr"", ""no"")"),"Ball")</f>
        <v>Ball</v>
      </c>
      <c r="W20" s="2" t="str">
        <f>IFERROR(__xludf.DUMMYFUNCTION("GOOGLETRANSLATE(A20, ""hr"", ""mt"")"),"Ballun")</f>
        <v>Ballun</v>
      </c>
      <c r="X20" s="2" t="str">
        <f>IFERROR(__xludf.DUMMYFUNCTION("GOOGLETRANSLATE(A20, ""hr"", ""es"")"),"Bola")</f>
        <v>Bola</v>
      </c>
      <c r="Y20" s="2" t="str">
        <f>IFERROR(__xludf.DUMMYFUNCTION("GOOGLETRANSLATE(A20, ""hr"", ""sl"")"),"Žoga")</f>
        <v>Žoga</v>
      </c>
      <c r="Z20" s="2" t="str">
        <f>IFERROR(__xludf.DUMMYFUNCTION("GOOGLETRANSLATE(A20, ""hr"", ""sk"")"),"Loptička")</f>
        <v>Loptička</v>
      </c>
    </row>
    <row r="21">
      <c r="A21" s="1" t="s">
        <v>20</v>
      </c>
      <c r="B21" s="2" t="str">
        <f>IFERROR(__xludf.DUMMYFUNCTION("GOOGLETRANSLATE(A21, ""hr"", ""en"")"),"striker")</f>
        <v>striker</v>
      </c>
      <c r="C21" s="2" t="str">
        <f>IFERROR(__xludf.DUMMYFUNCTION("GOOGLETRANSLATE(A21, ""hr"", ""de"")"),"Stürmer")</f>
        <v>Stürmer</v>
      </c>
      <c r="D21" s="2" t="str">
        <f>IFERROR(__xludf.DUMMYFUNCTION("GOOGLETRANSLATE(A21, ""hr"", ""cs"")"),"útočník")</f>
        <v>útočník</v>
      </c>
      <c r="E21" s="3" t="str">
        <f>IFERROR(__xludf.DUMMYFUNCTION("GOOGLETRANSLATE(A21, ""hr"", ""af"")"),"aanvaller")</f>
        <v>aanvaller</v>
      </c>
      <c r="F21" s="3" t="str">
        <f>IFERROR(__xludf.DUMMYFUNCTION("GOOGLETRANSLATE(A21, ""hr"", ""sq"")"),"sulmues")</f>
        <v>sulmues</v>
      </c>
      <c r="G21" s="3" t="str">
        <f>IFERROR(__xludf.DUMMYFUNCTION("GOOGLETRANSLATE(A21, ""hr"", ""ca"")"),"davanter")</f>
        <v>davanter</v>
      </c>
      <c r="H21" s="2" t="str">
        <f>IFERROR(__xludf.DUMMYFUNCTION("GOOGLETRANSLATE(A21, ""hr"", ""da"")"),"Striker")</f>
        <v>Striker</v>
      </c>
      <c r="I21" s="3" t="str">
        <f>IFERROR(__xludf.DUMMYFUNCTION("GOOGLETRANSLATE(A21, ""hr"", ""nl"")"),"spits")</f>
        <v>spits</v>
      </c>
      <c r="J21" s="3" t="str">
        <f>IFERROR(__xludf.DUMMYFUNCTION("GOOGLETRANSLATE(A21, ""hr"", ""et"")"),"ründaja")</f>
        <v>ründaja</v>
      </c>
      <c r="K21" s="3" t="str">
        <f>IFERROR(__xludf.DUMMYFUNCTION("GOOGLETRANSLATE(A21, ""hr"", ""tl"")"),"striker")</f>
        <v>striker</v>
      </c>
      <c r="L21" s="2" t="str">
        <f>IFERROR(__xludf.DUMMYFUNCTION("GOOGLETRANSLATE(A21, ""hr"", ""fi"")"),"hyökkääjä")</f>
        <v>hyökkääjä</v>
      </c>
      <c r="M21" s="3" t="str">
        <f>IFERROR(__xludf.DUMMYFUNCTION("GOOGLETRANSLATE(A21, ""hr"", ""fr"")"),"le buteur")</f>
        <v>le buteur</v>
      </c>
      <c r="N21" s="3" t="str">
        <f>IFERROR(__xludf.DUMMYFUNCTION("GOOGLETRANSLATE(A21, ""hr"", ""gl"")"),"dianteiro")</f>
        <v>dianteiro</v>
      </c>
      <c r="O21" s="2" t="str">
        <f>IFERROR(__xludf.DUMMYFUNCTION("GOOGLETRANSLATE(A21, ""hr"", ""ht"")"),"atakan")</f>
        <v>atakan</v>
      </c>
      <c r="P21" s="3" t="str">
        <f>IFERROR(__xludf.DUMMYFUNCTION("GOOGLETRANSLATE(A21, ""hr"", ""is"")"),"framherji")</f>
        <v>framherji</v>
      </c>
      <c r="Q21" s="2" t="str">
        <f>IFERROR(__xludf.DUMMYFUNCTION("GOOGLETRANSLATE(A21, ""hr"", ""id"")"),"Striker")</f>
        <v>Striker</v>
      </c>
      <c r="R21" s="2" t="str">
        <f>IFERROR(__xludf.DUMMYFUNCTION("GOOGLETRANSLATE(A21, ""hr"", ""ga"")"),"tosaí")</f>
        <v>tosaí</v>
      </c>
      <c r="S21" s="3" t="str">
        <f>IFERROR(__xludf.DUMMYFUNCTION("GOOGLETRANSLATE(A21, ""hr"", ""it"")"),"attaccante")</f>
        <v>attaccante</v>
      </c>
      <c r="T21" s="2" t="str">
        <f>IFERROR(__xludf.DUMMYFUNCTION("GOOGLETRANSLATE(A21, ""hr"", ""lv"")"),"streikotājs")</f>
        <v>streikotājs</v>
      </c>
      <c r="U21" s="2" t="str">
        <f>IFERROR(__xludf.DUMMYFUNCTION("GOOGLETRANSLATE(A21, ""hr"", ""lt"")"),"Puolėjas")</f>
        <v>Puolėjas</v>
      </c>
      <c r="V21" s="2" t="str">
        <f>IFERROR(__xludf.DUMMYFUNCTION("GOOGLETRANSLATE(A21, ""hr"", ""no"")"),"spiss")</f>
        <v>spiss</v>
      </c>
      <c r="W21" s="2" t="str">
        <f>IFERROR(__xludf.DUMMYFUNCTION("GOOGLETRANSLATE(A21, ""hr"", ""mt"")"),"attakkant")</f>
        <v>attakkant</v>
      </c>
      <c r="X21" s="2" t="str">
        <f>IFERROR(__xludf.DUMMYFUNCTION("GOOGLETRANSLATE(A21, ""hr"", ""es"")"),"huelguista")</f>
        <v>huelguista</v>
      </c>
      <c r="Y21" s="2" t="str">
        <f>IFERROR(__xludf.DUMMYFUNCTION("GOOGLETRANSLATE(A21, ""hr"", ""sl"")"),"napadalec")</f>
        <v>napadalec</v>
      </c>
      <c r="Z21" s="2" t="str">
        <f>IFERROR(__xludf.DUMMYFUNCTION("GOOGLETRANSLATE(A21, ""hr"", ""sk"")"),"útočník")</f>
        <v>útočník</v>
      </c>
    </row>
    <row r="22">
      <c r="A22" s="1" t="s">
        <v>21</v>
      </c>
      <c r="B22" s="2" t="str">
        <f>IFERROR(__xludf.DUMMYFUNCTION("GOOGLETRANSLATE(A22, ""hr"", ""en"")"),"naked")</f>
        <v>naked</v>
      </c>
      <c r="C22" s="2" t="str">
        <f>IFERROR(__xludf.DUMMYFUNCTION("GOOGLETRANSLATE(A22, ""hr"", ""de"")"),"nackt")</f>
        <v>nackt</v>
      </c>
      <c r="D22" s="2" t="str">
        <f>IFERROR(__xludf.DUMMYFUNCTION("GOOGLETRANSLATE(A22, ""hr"", ""cs"")"),"nahý")</f>
        <v>nahý</v>
      </c>
      <c r="E22" s="3" t="str">
        <f>IFERROR(__xludf.DUMMYFUNCTION("GOOGLETRANSLATE(A22, ""hr"", ""af"")"),"naak")</f>
        <v>naak</v>
      </c>
      <c r="F22" s="3" t="str">
        <f>IFERROR(__xludf.DUMMYFUNCTION("GOOGLETRANSLATE(A22, ""hr"", ""sq"")"),"i zhveshur")</f>
        <v>i zhveshur</v>
      </c>
      <c r="G22" s="3" t="str">
        <f>IFERROR(__xludf.DUMMYFUNCTION("GOOGLETRANSLATE(A22, ""hr"", ""ca"")"),"un")</f>
        <v>un</v>
      </c>
      <c r="H22" s="2" t="str">
        <f>IFERROR(__xludf.DUMMYFUNCTION("GOOGLETRANSLATE(A22, ""hr"", ""da"")"),"nøgen")</f>
        <v>nøgen</v>
      </c>
      <c r="I22" s="3" t="str">
        <f>IFERROR(__xludf.DUMMYFUNCTION("GOOGLETRANSLATE(A22, ""hr"", ""nl"")"),"naakt")</f>
        <v>naakt</v>
      </c>
      <c r="J22" s="3" t="str">
        <f>IFERROR(__xludf.DUMMYFUNCTION("GOOGLETRANSLATE(A22, ""hr"", ""et"")"),"alasti")</f>
        <v>alasti</v>
      </c>
      <c r="K22" s="3" t="str">
        <f>IFERROR(__xludf.DUMMYFUNCTION("GOOGLETRANSLATE(A22, ""hr"", ""tl"")"),"hubad")</f>
        <v>hubad</v>
      </c>
      <c r="L22" s="2" t="str">
        <f>IFERROR(__xludf.DUMMYFUNCTION("GOOGLETRANSLATE(A22, ""hr"", ""fi"")"),"alasti")</f>
        <v>alasti</v>
      </c>
      <c r="M22" s="3" t="str">
        <f>IFERROR(__xludf.DUMMYFUNCTION("GOOGLETRANSLATE(A22, ""hr"", ""fr"")"),"nu")</f>
        <v>nu</v>
      </c>
      <c r="N22" s="3" t="str">
        <f>IFERROR(__xludf.DUMMYFUNCTION("GOOGLETRANSLATE(A22, ""hr"", ""gl"")"),"espido")</f>
        <v>espido</v>
      </c>
      <c r="O22" s="2" t="str">
        <f>IFERROR(__xludf.DUMMYFUNCTION("GOOGLETRANSLATE(A22, ""hr"", ""ht"")"),"toutouni")</f>
        <v>toutouni</v>
      </c>
      <c r="P22" s="3" t="str">
        <f>IFERROR(__xludf.DUMMYFUNCTION("GOOGLETRANSLATE(A22, ""hr"", ""is"")"),"nakinn")</f>
        <v>nakinn</v>
      </c>
      <c r="Q22" s="2" t="str">
        <f>IFERROR(__xludf.DUMMYFUNCTION("GOOGLETRANSLATE(A22, ""hr"", ""id"")"),"telanjang")</f>
        <v>telanjang</v>
      </c>
      <c r="R22" s="2" t="str">
        <f>IFERROR(__xludf.DUMMYFUNCTION("GOOGLETRANSLATE(A22, ""hr"", ""ga"")"),"nocht")</f>
        <v>nocht</v>
      </c>
      <c r="S22" s="3" t="str">
        <f>IFERROR(__xludf.DUMMYFUNCTION("GOOGLETRANSLATE(A22, ""hr"", ""it"")"),"nudo")</f>
        <v>nudo</v>
      </c>
      <c r="T22" s="2" t="str">
        <f>IFERROR(__xludf.DUMMYFUNCTION("GOOGLETRANSLATE(A22, ""hr"", ""lv"")"),"kails")</f>
        <v>kails</v>
      </c>
      <c r="U22" s="2" t="str">
        <f>IFERROR(__xludf.DUMMYFUNCTION("GOOGLETRANSLATE(A22, ""hr"", ""lt"")"),"Nuogas")</f>
        <v>Nuogas</v>
      </c>
      <c r="V22" s="2" t="str">
        <f>IFERROR(__xludf.DUMMYFUNCTION("GOOGLETRANSLATE(A22, ""hr"", ""no"")"),"naken")</f>
        <v>naken</v>
      </c>
      <c r="W22" s="2" t="str">
        <f>IFERROR(__xludf.DUMMYFUNCTION("GOOGLETRANSLATE(A22, ""hr"", ""mt"")"),"mikxufa")</f>
        <v>mikxufa</v>
      </c>
      <c r="X22" s="2" t="str">
        <f>IFERROR(__xludf.DUMMYFUNCTION("GOOGLETRANSLATE(A22, ""hr"", ""es"")"),"desnudo")</f>
        <v>desnudo</v>
      </c>
      <c r="Y22" s="2" t="str">
        <f>IFERROR(__xludf.DUMMYFUNCTION("GOOGLETRANSLATE(A22, ""hr"", ""sl"")"),"gola")</f>
        <v>gola</v>
      </c>
      <c r="Z22" s="2" t="str">
        <f>IFERROR(__xludf.DUMMYFUNCTION("GOOGLETRANSLATE(A22, ""hr"", ""sk"")"),"neohrozený")</f>
        <v>neohrozený</v>
      </c>
    </row>
    <row r="23">
      <c r="A23" s="1" t="s">
        <v>22</v>
      </c>
      <c r="B23" s="2" t="str">
        <f>IFERROR(__xludf.DUMMYFUNCTION("GOOGLETRANSLATE(A23, ""hr"", ""en"")"),"tripod")</f>
        <v>tripod</v>
      </c>
      <c r="C23" s="2" t="str">
        <f>IFERROR(__xludf.DUMMYFUNCTION("GOOGLETRANSLATE(A23, ""hr"", ""de"")"),"Stativ")</f>
        <v>Stativ</v>
      </c>
      <c r="D23" s="2" t="str">
        <f>IFERROR(__xludf.DUMMYFUNCTION("GOOGLETRANSLATE(A23, ""hr"", ""cs"")"),"stativ")</f>
        <v>stativ</v>
      </c>
      <c r="E23" s="3" t="str">
        <f>IFERROR(__xludf.DUMMYFUNCTION("GOOGLETRANSLATE(A23, ""hr"", ""af"")"),"driepoot")</f>
        <v>driepoot</v>
      </c>
      <c r="F23" s="3" t="str">
        <f>IFERROR(__xludf.DUMMYFUNCTION("GOOGLETRANSLATE(A23, ""hr"", ""sq"")"),"trekëmbësh")</f>
        <v>trekëmbësh</v>
      </c>
      <c r="G23" s="3" t="str">
        <f>IFERROR(__xludf.DUMMYFUNCTION("GOOGLETRANSLATE(A23, ""hr"", ""ca"")"),"trípode")</f>
        <v>trípode</v>
      </c>
      <c r="H23" s="2" t="str">
        <f>IFERROR(__xludf.DUMMYFUNCTION("GOOGLETRANSLATE(A23, ""hr"", ""da"")"),"stativ")</f>
        <v>stativ</v>
      </c>
      <c r="I23" s="3" t="str">
        <f>IFERROR(__xludf.DUMMYFUNCTION("GOOGLETRANSLATE(A23, ""hr"", ""nl"")"),"statief")</f>
        <v>statief</v>
      </c>
      <c r="J23" s="3" t="str">
        <f>IFERROR(__xludf.DUMMYFUNCTION("GOOGLETRANSLATE(A23, ""hr"", ""et"")"),"statiiv")</f>
        <v>statiiv</v>
      </c>
      <c r="K23" s="3" t="str">
        <f>IFERROR(__xludf.DUMMYFUNCTION("GOOGLETRANSLATE(A23, ""hr"", ""tl"")"),"tripod")</f>
        <v>tripod</v>
      </c>
      <c r="L23" s="2" t="str">
        <f>IFERROR(__xludf.DUMMYFUNCTION("GOOGLETRANSLATE(A23, ""hr"", ""fi"")"),"jalusta")</f>
        <v>jalusta</v>
      </c>
      <c r="M23" s="3" t="str">
        <f>IFERROR(__xludf.DUMMYFUNCTION("GOOGLETRANSLATE(A23, ""hr"", ""fr"")"),"trépied")</f>
        <v>trépied</v>
      </c>
      <c r="N23" s="3" t="str">
        <f>IFERROR(__xludf.DUMMYFUNCTION("GOOGLETRANSLATE(A23, ""hr"", ""gl"")"),"trípode")</f>
        <v>trípode</v>
      </c>
      <c r="O23" s="2" t="str">
        <f>IFERROR(__xludf.DUMMYFUNCTION("GOOGLETRANSLATE(A23, ""hr"", ""ht"")"),"tripod")</f>
        <v>tripod</v>
      </c>
      <c r="P23" s="3" t="str">
        <f>IFERROR(__xludf.DUMMYFUNCTION("GOOGLETRANSLATE(A23, ""hr"", ""is"")"),"þrífót")</f>
        <v>þrífót</v>
      </c>
      <c r="Q23" s="2" t="str">
        <f>IFERROR(__xludf.DUMMYFUNCTION("GOOGLETRANSLATE(A23, ""hr"", ""id"")"),"tripod")</f>
        <v>tripod</v>
      </c>
      <c r="R23" s="2" t="str">
        <f>IFERROR(__xludf.DUMMYFUNCTION("GOOGLETRANSLATE(A23, ""hr"", ""ga"")"),"tripéid")</f>
        <v>tripéid</v>
      </c>
      <c r="S23" s="3" t="str">
        <f>IFERROR(__xludf.DUMMYFUNCTION("GOOGLETRANSLATE(A23, ""hr"", ""it"")"),"treppiedi")</f>
        <v>treppiedi</v>
      </c>
      <c r="T23" s="2" t="str">
        <f>IFERROR(__xludf.DUMMYFUNCTION("GOOGLETRANSLATE(A23, ""hr"", ""lv"")"),"statīvs")</f>
        <v>statīvs</v>
      </c>
      <c r="U23" s="2" t="str">
        <f>IFERROR(__xludf.DUMMYFUNCTION("GOOGLETRANSLATE(A23, ""hr"", ""lt"")"),"trikojis")</f>
        <v>trikojis</v>
      </c>
      <c r="V23" s="2" t="str">
        <f>IFERROR(__xludf.DUMMYFUNCTION("GOOGLETRANSLATE(A23, ""hr"", ""no"")"),"stativ")</f>
        <v>stativ</v>
      </c>
      <c r="W23" s="2" t="str">
        <f>IFERROR(__xludf.DUMMYFUNCTION("GOOGLETRANSLATE(A23, ""hr"", ""mt"")"),"tripod")</f>
        <v>tripod</v>
      </c>
      <c r="X23" s="2" t="str">
        <f>IFERROR(__xludf.DUMMYFUNCTION("GOOGLETRANSLATE(A23, ""hr"", ""es"")"),"trípode")</f>
        <v>trípode</v>
      </c>
      <c r="Y23" s="2" t="str">
        <f>IFERROR(__xludf.DUMMYFUNCTION("GOOGLETRANSLATE(A23, ""hr"", ""sl"")"),"stativ")</f>
        <v>stativ</v>
      </c>
      <c r="Z23" s="2" t="str">
        <f>IFERROR(__xludf.DUMMYFUNCTION("GOOGLETRANSLATE(A23, ""hr"", ""sk"")"),"statív")</f>
        <v>statív</v>
      </c>
    </row>
    <row r="24">
      <c r="A24" s="1" t="s">
        <v>23</v>
      </c>
      <c r="B24" s="2" t="str">
        <f>IFERROR(__xludf.DUMMYFUNCTION("GOOGLETRANSLATE(A24, ""hr"", ""en"")"),"player")</f>
        <v>player</v>
      </c>
      <c r="C24" s="2" t="str">
        <f>IFERROR(__xludf.DUMMYFUNCTION("GOOGLETRANSLATE(A24, ""hr"", ""de"")"),"Spieler")</f>
        <v>Spieler</v>
      </c>
      <c r="D24" s="2" t="str">
        <f>IFERROR(__xludf.DUMMYFUNCTION("GOOGLETRANSLATE(A24, ""hr"", ""cs"")"),"hráč")</f>
        <v>hráč</v>
      </c>
      <c r="E24" s="3" t="str">
        <f>IFERROR(__xludf.DUMMYFUNCTION("GOOGLETRANSLATE(A24, ""hr"", ""af"")"),"toneelspeler")</f>
        <v>toneelspeler</v>
      </c>
      <c r="F24" s="3" t="str">
        <f>IFERROR(__xludf.DUMMYFUNCTION("GOOGLETRANSLATE(A24, ""hr"", ""sq"")"),"lojtar")</f>
        <v>lojtar</v>
      </c>
      <c r="G24" s="3" t="str">
        <f>IFERROR(__xludf.DUMMYFUNCTION("GOOGLETRANSLATE(A24, ""hr"", ""ca"")"),"jugadora")</f>
        <v>jugadora</v>
      </c>
      <c r="H24" s="2" t="str">
        <f>IFERROR(__xludf.DUMMYFUNCTION("GOOGLETRANSLATE(A24, ""hr"", ""da"")"),"spiller")</f>
        <v>spiller</v>
      </c>
      <c r="I24" s="3" t="str">
        <f>IFERROR(__xludf.DUMMYFUNCTION("GOOGLETRANSLATE(A24, ""hr"", ""nl"")"),"speler")</f>
        <v>speler</v>
      </c>
      <c r="J24" s="3" t="str">
        <f>IFERROR(__xludf.DUMMYFUNCTION("GOOGLETRANSLATE(A24, ""hr"", ""et"")"),"mängija")</f>
        <v>mängija</v>
      </c>
      <c r="K24" s="3" t="str">
        <f>IFERROR(__xludf.DUMMYFUNCTION("GOOGLETRANSLATE(A24, ""hr"", ""tl"")"),"manlalaro")</f>
        <v>manlalaro</v>
      </c>
      <c r="L24" s="2" t="str">
        <f>IFERROR(__xludf.DUMMYFUNCTION("GOOGLETRANSLATE(A24, ""hr"", ""fi"")"),"pelaaja")</f>
        <v>pelaaja</v>
      </c>
      <c r="M24" s="3" t="str">
        <f>IFERROR(__xludf.DUMMYFUNCTION("GOOGLETRANSLATE(A24, ""hr"", ""fr"")"),"joueur")</f>
        <v>joueur</v>
      </c>
      <c r="N24" s="3" t="str">
        <f>IFERROR(__xludf.DUMMYFUNCTION("GOOGLETRANSLATE(A24, ""hr"", ""gl"")"),"xogador")</f>
        <v>xogador</v>
      </c>
      <c r="O24" s="2" t="str">
        <f>IFERROR(__xludf.DUMMYFUNCTION("GOOGLETRANSLATE(A24, ""hr"", ""ht"")"),"jwè")</f>
        <v>jwè</v>
      </c>
      <c r="P24" s="3" t="str">
        <f>IFERROR(__xludf.DUMMYFUNCTION("GOOGLETRANSLATE(A24, ""hr"", ""is"")"),"Leikmaður")</f>
        <v>Leikmaður</v>
      </c>
      <c r="Q24" s="2" t="str">
        <f>IFERROR(__xludf.DUMMYFUNCTION("GOOGLETRANSLATE(A24, ""hr"", ""id"")"),"pemain")</f>
        <v>pemain</v>
      </c>
      <c r="R24" s="2" t="str">
        <f>IFERROR(__xludf.DUMMYFUNCTION("GOOGLETRANSLATE(A24, ""hr"", ""ga"")"),"seinnteoir")</f>
        <v>seinnteoir</v>
      </c>
      <c r="S24" s="3" t="str">
        <f>IFERROR(__xludf.DUMMYFUNCTION("GOOGLETRANSLATE(A24, ""hr"", ""it"")"),"giocatore")</f>
        <v>giocatore</v>
      </c>
      <c r="T24" s="2" t="str">
        <f>IFERROR(__xludf.DUMMYFUNCTION("GOOGLETRANSLATE(A24, ""hr"", ""lv"")"),"spēlētājs")</f>
        <v>spēlētājs</v>
      </c>
      <c r="U24" s="2" t="str">
        <f>IFERROR(__xludf.DUMMYFUNCTION("GOOGLETRANSLATE(A24, ""hr"", ""lt"")"),"žaidėjas")</f>
        <v>žaidėjas</v>
      </c>
      <c r="V24" s="2" t="str">
        <f>IFERROR(__xludf.DUMMYFUNCTION("GOOGLETRANSLATE(A24, ""hr"", ""no"")"),"spiller")</f>
        <v>spiller</v>
      </c>
      <c r="W24" s="2" t="str">
        <f>IFERROR(__xludf.DUMMYFUNCTION("GOOGLETRANSLATE(A24, ""hr"", ""mt"")"),"plejer")</f>
        <v>plejer</v>
      </c>
      <c r="X24" s="2" t="str">
        <f>IFERROR(__xludf.DUMMYFUNCTION("GOOGLETRANSLATE(A24, ""hr"", ""es"")"),"jugador")</f>
        <v>jugador</v>
      </c>
      <c r="Y24" s="2" t="str">
        <f>IFERROR(__xludf.DUMMYFUNCTION("GOOGLETRANSLATE(A24, ""hr"", ""sl"")"),"igralec")</f>
        <v>igralec</v>
      </c>
      <c r="Z24" s="2" t="str">
        <f>IFERROR(__xludf.DUMMYFUNCTION("GOOGLETRANSLATE(A24, ""hr"", ""sk"")"),"hráč")</f>
        <v>hráč</v>
      </c>
    </row>
    <row r="25">
      <c r="A25" s="1" t="s">
        <v>24</v>
      </c>
      <c r="B25" s="2" t="str">
        <f>IFERROR(__xludf.DUMMYFUNCTION("GOOGLETRANSLATE(A25, ""hr"", ""en"")"),"team")</f>
        <v>team</v>
      </c>
      <c r="C25" s="2" t="str">
        <f>IFERROR(__xludf.DUMMYFUNCTION("GOOGLETRANSLATE(A25, ""hr"", ""de"")"),"Mannschaft")</f>
        <v>Mannschaft</v>
      </c>
      <c r="D25" s="2" t="str">
        <f>IFERROR(__xludf.DUMMYFUNCTION("GOOGLETRANSLATE(A25, ""hr"", ""cs"")"),"tým")</f>
        <v>tým</v>
      </c>
      <c r="E25" s="3" t="str">
        <f>IFERROR(__xludf.DUMMYFUNCTION("GOOGLETRANSLATE(A25, ""hr"", ""af"")"),"span")</f>
        <v>span</v>
      </c>
      <c r="F25" s="3" t="str">
        <f>IFERROR(__xludf.DUMMYFUNCTION("GOOGLETRANSLATE(A25, ""hr"", ""sq"")"),"skuadër")</f>
        <v>skuadër</v>
      </c>
      <c r="G25" s="3" t="str">
        <f>IFERROR(__xludf.DUMMYFUNCTION("GOOGLETRANSLATE(A25, ""hr"", ""ca"")"),"equip")</f>
        <v>equip</v>
      </c>
      <c r="H25" s="2" t="str">
        <f>IFERROR(__xludf.DUMMYFUNCTION("GOOGLETRANSLATE(A25, ""hr"", ""da"")"),"hold")</f>
        <v>hold</v>
      </c>
      <c r="I25" s="3" t="str">
        <f>IFERROR(__xludf.DUMMYFUNCTION("GOOGLETRANSLATE(A25, ""hr"", ""nl"")"),"team")</f>
        <v>team</v>
      </c>
      <c r="J25" s="3" t="str">
        <f>IFERROR(__xludf.DUMMYFUNCTION("GOOGLETRANSLATE(A25, ""hr"", ""et"")"),"meeskond")</f>
        <v>meeskond</v>
      </c>
      <c r="K25" s="3" t="str">
        <f>IFERROR(__xludf.DUMMYFUNCTION("GOOGLETRANSLATE(A25, ""hr"", ""tl"")"),"Koponan")</f>
        <v>Koponan</v>
      </c>
      <c r="L25" s="2" t="str">
        <f>IFERROR(__xludf.DUMMYFUNCTION("GOOGLETRANSLATE(A25, ""hr"", ""fi"")"),"tiimi")</f>
        <v>tiimi</v>
      </c>
      <c r="M25" s="3" t="str">
        <f>IFERROR(__xludf.DUMMYFUNCTION("GOOGLETRANSLATE(A25, ""hr"", ""fr"")"),"équipe")</f>
        <v>équipe</v>
      </c>
      <c r="N25" s="3" t="str">
        <f>IFERROR(__xludf.DUMMYFUNCTION("GOOGLETRANSLATE(A25, ""hr"", ""gl"")"),"equipo")</f>
        <v>equipo</v>
      </c>
      <c r="O25" s="2" t="str">
        <f>IFERROR(__xludf.DUMMYFUNCTION("GOOGLETRANSLATE(A25, ""hr"", ""ht"")"),"ekip")</f>
        <v>ekip</v>
      </c>
      <c r="P25" s="3" t="str">
        <f>IFERROR(__xludf.DUMMYFUNCTION("GOOGLETRANSLATE(A25, ""hr"", ""is"")"),"lið")</f>
        <v>lið</v>
      </c>
      <c r="Q25" s="2" t="str">
        <f>IFERROR(__xludf.DUMMYFUNCTION("GOOGLETRANSLATE(A25, ""hr"", ""id"")"),"tim")</f>
        <v>tim</v>
      </c>
      <c r="R25" s="2" t="str">
        <f>IFERROR(__xludf.DUMMYFUNCTION("GOOGLETRANSLATE(A25, ""hr"", ""ga"")"),"foireann")</f>
        <v>foireann</v>
      </c>
      <c r="S25" s="3" t="str">
        <f>IFERROR(__xludf.DUMMYFUNCTION("GOOGLETRANSLATE(A25, ""hr"", ""it"")"),"squadra")</f>
        <v>squadra</v>
      </c>
      <c r="T25" s="2" t="str">
        <f>IFERROR(__xludf.DUMMYFUNCTION("GOOGLETRANSLATE(A25, ""hr"", ""lv"")"),"komanda")</f>
        <v>komanda</v>
      </c>
      <c r="U25" s="2" t="str">
        <f>IFERROR(__xludf.DUMMYFUNCTION("GOOGLETRANSLATE(A25, ""hr"", ""lt"")"),"komanda")</f>
        <v>komanda</v>
      </c>
      <c r="V25" s="2" t="str">
        <f>IFERROR(__xludf.DUMMYFUNCTION("GOOGLETRANSLATE(A25, ""hr"", ""no"")"),"team")</f>
        <v>team</v>
      </c>
      <c r="W25" s="2" t="str">
        <f>IFERROR(__xludf.DUMMYFUNCTION("GOOGLETRANSLATE(A25, ""hr"", ""mt"")"),"tim")</f>
        <v>tim</v>
      </c>
      <c r="X25" s="2" t="str">
        <f>IFERROR(__xludf.DUMMYFUNCTION("GOOGLETRANSLATE(A25, ""hr"", ""es"")"),"equipo")</f>
        <v>equipo</v>
      </c>
      <c r="Y25" s="2" t="str">
        <f>IFERROR(__xludf.DUMMYFUNCTION("GOOGLETRANSLATE(A25, ""hr"", ""sl"")"),"Ekipa")</f>
        <v>Ekipa</v>
      </c>
      <c r="Z25" s="2" t="str">
        <f>IFERROR(__xludf.DUMMYFUNCTION("GOOGLETRANSLATE(A25, ""hr"", ""sk"")"),"tím")</f>
        <v>tím</v>
      </c>
    </row>
    <row r="26">
      <c r="A26" s="1" t="s">
        <v>25</v>
      </c>
      <c r="B26" s="2" t="str">
        <f>IFERROR(__xludf.DUMMYFUNCTION("GOOGLETRANSLATE(A26, ""hr"", ""en"")"),"goalkeeper")</f>
        <v>goalkeeper</v>
      </c>
      <c r="C26" s="2" t="str">
        <f>IFERROR(__xludf.DUMMYFUNCTION("GOOGLETRANSLATE(A26, ""hr"", ""de"")"),"Torwart")</f>
        <v>Torwart</v>
      </c>
      <c r="D26" s="2" t="str">
        <f>IFERROR(__xludf.DUMMYFUNCTION("GOOGLETRANSLATE(A26, ""hr"", ""cs"")"),"brankář")</f>
        <v>brankář</v>
      </c>
      <c r="E26" s="3" t="str">
        <f>IFERROR(__xludf.DUMMYFUNCTION("GOOGLETRANSLATE(A26, ""hr"", ""af"")"),"doelwagter")</f>
        <v>doelwagter</v>
      </c>
      <c r="F26" s="3" t="str">
        <f>IFERROR(__xludf.DUMMYFUNCTION("GOOGLETRANSLATE(A26, ""hr"", ""sq"")"),"portier")</f>
        <v>portier</v>
      </c>
      <c r="G26" s="3" t="str">
        <f>IFERROR(__xludf.DUMMYFUNCTION("GOOGLETRANSLATE(A26, ""hr"", ""ca"")"),"porter")</f>
        <v>porter</v>
      </c>
      <c r="H26" s="2" t="str">
        <f>IFERROR(__xludf.DUMMYFUNCTION("GOOGLETRANSLATE(A26, ""hr"", ""da"")"),"målmand")</f>
        <v>målmand</v>
      </c>
      <c r="I26" s="3" t="str">
        <f>IFERROR(__xludf.DUMMYFUNCTION("GOOGLETRANSLATE(A26, ""hr"", ""nl"")"),"doelman")</f>
        <v>doelman</v>
      </c>
      <c r="J26" s="3" t="str">
        <f>IFERROR(__xludf.DUMMYFUNCTION("GOOGLETRANSLATE(A26, ""hr"", ""et"")"),"väravavaht")</f>
        <v>väravavaht</v>
      </c>
      <c r="K26" s="3" t="str">
        <f>IFERROR(__xludf.DUMMYFUNCTION("GOOGLETRANSLATE(A26, ""hr"", ""tl"")"),"goalkeeper")</f>
        <v>goalkeeper</v>
      </c>
      <c r="L26" s="2" t="str">
        <f>IFERROR(__xludf.DUMMYFUNCTION("GOOGLETRANSLATE(A26, ""hr"", ""fi"")"),"maalivahti")</f>
        <v>maalivahti</v>
      </c>
      <c r="M26" s="3" t="str">
        <f>IFERROR(__xludf.DUMMYFUNCTION("GOOGLETRANSLATE(A26, ""hr"", ""fr"")"),"gardien de but")</f>
        <v>gardien de but</v>
      </c>
      <c r="N26" s="3" t="str">
        <f>IFERROR(__xludf.DUMMYFUNCTION("GOOGLETRANSLATE(A26, ""hr"", ""gl"")"),"Porteiro")</f>
        <v>Porteiro</v>
      </c>
      <c r="O26" s="2" t="str">
        <f>IFERROR(__xludf.DUMMYFUNCTION("GOOGLETRANSLATE(A26, ""hr"", ""ht"")"),"meyè gadyen")</f>
        <v>meyè gadyen</v>
      </c>
      <c r="P26" s="3" t="str">
        <f>IFERROR(__xludf.DUMMYFUNCTION("GOOGLETRANSLATE(A26, ""hr"", ""is"")"),"Markvörður")</f>
        <v>Markvörður</v>
      </c>
      <c r="Q26" s="2" t="str">
        <f>IFERROR(__xludf.DUMMYFUNCTION("GOOGLETRANSLATE(A26, ""hr"", ""id"")"),"kiper")</f>
        <v>kiper</v>
      </c>
      <c r="R26" s="2" t="str">
        <f>IFERROR(__xludf.DUMMYFUNCTION("GOOGLETRANSLATE(A26, ""hr"", ""ga"")"),"báireoir")</f>
        <v>báireoir</v>
      </c>
      <c r="S26" s="3" t="str">
        <f>IFERROR(__xludf.DUMMYFUNCTION("GOOGLETRANSLATE(A26, ""hr"", ""it"")"),"portiere")</f>
        <v>portiere</v>
      </c>
      <c r="T26" s="2" t="str">
        <f>IFERROR(__xludf.DUMMYFUNCTION("GOOGLETRANSLATE(A26, ""hr"", ""lv"")"),"vārtsargs")</f>
        <v>vārtsargs</v>
      </c>
      <c r="U26" s="2" t="str">
        <f>IFERROR(__xludf.DUMMYFUNCTION("GOOGLETRANSLATE(A26, ""hr"", ""lt"")"),"vartininkas")</f>
        <v>vartininkas</v>
      </c>
      <c r="V26" s="2" t="str">
        <f>IFERROR(__xludf.DUMMYFUNCTION("GOOGLETRANSLATE(A26, ""hr"", ""no"")"),"keeper")</f>
        <v>keeper</v>
      </c>
      <c r="W26" s="2" t="str">
        <f>IFERROR(__xludf.DUMMYFUNCTION("GOOGLETRANSLATE(A26, ""hr"", ""mt"")"),"gowlkiper")</f>
        <v>gowlkiper</v>
      </c>
      <c r="X26" s="2" t="str">
        <f>IFERROR(__xludf.DUMMYFUNCTION("GOOGLETRANSLATE(A26, ""hr"", ""es"")"),"portero")</f>
        <v>portero</v>
      </c>
      <c r="Y26" s="2" t="str">
        <f>IFERROR(__xludf.DUMMYFUNCTION("GOOGLETRANSLATE(A26, ""hr"", ""sl"")"),"vratar")</f>
        <v>vratar</v>
      </c>
      <c r="Z26" s="2" t="str">
        <f>IFERROR(__xludf.DUMMYFUNCTION("GOOGLETRANSLATE(A26, ""hr"", ""sk"")"),"brankár")</f>
        <v>brankár</v>
      </c>
    </row>
    <row r="27">
      <c r="A27" s="1" t="s">
        <v>26</v>
      </c>
      <c r="B27" s="2" t="str">
        <f>IFERROR(__xludf.DUMMYFUNCTION("GOOGLETRANSLATE(A27, ""hr"", ""en"")"),"jersey")</f>
        <v>jersey</v>
      </c>
      <c r="C27" s="2" t="str">
        <f>IFERROR(__xludf.DUMMYFUNCTION("GOOGLETRANSLATE(A27, ""hr"", ""de"")"),"Jersey")</f>
        <v>Jersey</v>
      </c>
      <c r="D27" s="2" t="str">
        <f>IFERROR(__xludf.DUMMYFUNCTION("GOOGLETRANSLATE(A27, ""hr"", ""cs"")"),"trikot")</f>
        <v>trikot</v>
      </c>
      <c r="E27" s="3" t="str">
        <f>IFERROR(__xludf.DUMMYFUNCTION("GOOGLETRANSLATE(A27, ""hr"", ""af"")"),"trui")</f>
        <v>trui</v>
      </c>
      <c r="F27" s="3" t="str">
        <f>IFERROR(__xludf.DUMMYFUNCTION("GOOGLETRANSLATE(A27, ""hr"", ""sq"")"),"triko")</f>
        <v>triko</v>
      </c>
      <c r="G27" s="3" t="str">
        <f>IFERROR(__xludf.DUMMYFUNCTION("GOOGLETRANSLATE(A27, ""hr"", ""ca"")"),"jersei")</f>
        <v>jersei</v>
      </c>
      <c r="H27" s="2" t="str">
        <f>IFERROR(__xludf.DUMMYFUNCTION("GOOGLETRANSLATE(A27, ""hr"", ""da"")"),"Jersey")</f>
        <v>Jersey</v>
      </c>
      <c r="I27" s="3" t="str">
        <f>IFERROR(__xludf.DUMMYFUNCTION("GOOGLETRANSLATE(A27, ""hr"", ""nl"")"),"Jersey")</f>
        <v>Jersey</v>
      </c>
      <c r="J27" s="3" t="str">
        <f>IFERROR(__xludf.DUMMYFUNCTION("GOOGLETRANSLATE(A27, ""hr"", ""et"")"),"trikotapp")</f>
        <v>trikotapp</v>
      </c>
      <c r="K27" s="3" t="str">
        <f>IFERROR(__xludf.DUMMYFUNCTION("GOOGLETRANSLATE(A27, ""hr"", ""tl"")"),"Jersey")</f>
        <v>Jersey</v>
      </c>
      <c r="L27" s="2" t="str">
        <f>IFERROR(__xludf.DUMMYFUNCTION("GOOGLETRANSLATE(A27, ""hr"", ""fi"")"),"jersey")</f>
        <v>jersey</v>
      </c>
      <c r="M27" s="3" t="str">
        <f>IFERROR(__xludf.DUMMYFUNCTION("GOOGLETRANSLATE(A27, ""hr"", ""fr"")"),"Jersey")</f>
        <v>Jersey</v>
      </c>
      <c r="N27" s="3" t="str">
        <f>IFERROR(__xludf.DUMMYFUNCTION("GOOGLETRANSLATE(A27, ""hr"", ""gl"")"),"Xersei")</f>
        <v>Xersei</v>
      </c>
      <c r="O27" s="2" t="str">
        <f>IFERROR(__xludf.DUMMYFUNCTION("GOOGLETRANSLATE(A27, ""hr"", ""ht"")"),"zoorik")</f>
        <v>zoorik</v>
      </c>
      <c r="P27" s="3" t="str">
        <f>IFERROR(__xludf.DUMMYFUNCTION("GOOGLETRANSLATE(A27, ""hr"", ""is"")"),"Jersey")</f>
        <v>Jersey</v>
      </c>
      <c r="Q27" s="2" t="str">
        <f>IFERROR(__xludf.DUMMYFUNCTION("GOOGLETRANSLATE(A27, ""hr"", ""id"")"),"Jersey")</f>
        <v>Jersey</v>
      </c>
      <c r="R27" s="2" t="str">
        <f>IFERROR(__xludf.DUMMYFUNCTION("GOOGLETRANSLATE(A27, ""hr"", ""ga"")"),"geansaí")</f>
        <v>geansaí</v>
      </c>
      <c r="S27" s="3" t="str">
        <f>IFERROR(__xludf.DUMMYFUNCTION("GOOGLETRANSLATE(A27, ""hr"", ""it"")"),"maglia")</f>
        <v>maglia</v>
      </c>
      <c r="T27" s="2" t="str">
        <f>IFERROR(__xludf.DUMMYFUNCTION("GOOGLETRANSLATE(A27, ""hr"", ""lv"")"),"krekls")</f>
        <v>krekls</v>
      </c>
      <c r="U27" s="2" t="str">
        <f>IFERROR(__xludf.DUMMYFUNCTION("GOOGLETRANSLATE(A27, ""hr"", ""lt"")"),"Džersis")</f>
        <v>Džersis</v>
      </c>
      <c r="V27" s="2" t="str">
        <f>IFERROR(__xludf.DUMMYFUNCTION("GOOGLETRANSLATE(A27, ""hr"", ""no"")"),"Jersey")</f>
        <v>Jersey</v>
      </c>
      <c r="W27" s="2" t="str">
        <f>IFERROR(__xludf.DUMMYFUNCTION("GOOGLETRANSLATE(A27, ""hr"", ""mt"")"),"Jersey")</f>
        <v>Jersey</v>
      </c>
      <c r="X27" s="2" t="str">
        <f>IFERROR(__xludf.DUMMYFUNCTION("GOOGLETRANSLATE(A27, ""hr"", ""es"")"),"jersey")</f>
        <v>jersey</v>
      </c>
      <c r="Y27" s="2" t="str">
        <f>IFERROR(__xludf.DUMMYFUNCTION("GOOGLETRANSLATE(A27, ""hr"", ""sl"")"),"Jersey")</f>
        <v>Jersey</v>
      </c>
      <c r="Z27" s="2" t="str">
        <f>IFERROR(__xludf.DUMMYFUNCTION("GOOGLETRANSLATE(A27, ""hr"", ""sk"")"),"dres")</f>
        <v>dres</v>
      </c>
    </row>
    <row r="28">
      <c r="A28" s="1" t="s">
        <v>27</v>
      </c>
      <c r="B28" s="2" t="str">
        <f>IFERROR(__xludf.DUMMYFUNCTION("GOOGLETRANSLATE(A28, ""hr"", ""en"")"),"referee")</f>
        <v>referee</v>
      </c>
      <c r="C28" s="2" t="str">
        <f>IFERROR(__xludf.DUMMYFUNCTION("GOOGLETRANSLATE(A28, ""hr"", ""de"")"),"Schiedsrichter")</f>
        <v>Schiedsrichter</v>
      </c>
      <c r="D28" s="2" t="str">
        <f>IFERROR(__xludf.DUMMYFUNCTION("GOOGLETRANSLATE(A28, ""hr"", ""cs"")"),"rozhodčí")</f>
        <v>rozhodčí</v>
      </c>
      <c r="E28" s="3" t="str">
        <f>IFERROR(__xludf.DUMMYFUNCTION("GOOGLETRANSLATE(A28, ""hr"", ""af"")"),"skeidsregter")</f>
        <v>skeidsregter</v>
      </c>
      <c r="F28" s="3" t="str">
        <f>IFERROR(__xludf.DUMMYFUNCTION("GOOGLETRANSLATE(A28, ""hr"", ""sq"")"),"gjyqtar")</f>
        <v>gjyqtar</v>
      </c>
      <c r="G28" s="3" t="str">
        <f>IFERROR(__xludf.DUMMYFUNCTION("GOOGLETRANSLATE(A28, ""hr"", ""ca"")"),"àrbitre")</f>
        <v>àrbitre</v>
      </c>
      <c r="H28" s="2" t="str">
        <f>IFERROR(__xludf.DUMMYFUNCTION("GOOGLETRANSLATE(A28, ""hr"", ""da"")"),"Dommer")</f>
        <v>Dommer</v>
      </c>
      <c r="I28" s="3" t="str">
        <f>IFERROR(__xludf.DUMMYFUNCTION("GOOGLETRANSLATE(A28, ""hr"", ""nl"")"),"scheidsrechter")</f>
        <v>scheidsrechter</v>
      </c>
      <c r="J28" s="3" t="str">
        <f>IFERROR(__xludf.DUMMYFUNCTION("GOOGLETRANSLATE(A28, ""hr"", ""et"")"),"kohtunik")</f>
        <v>kohtunik</v>
      </c>
      <c r="K28" s="3" t="str">
        <f>IFERROR(__xludf.DUMMYFUNCTION("GOOGLETRANSLATE(A28, ""hr"", ""tl"")"),"referee")</f>
        <v>referee</v>
      </c>
      <c r="L28" s="2" t="str">
        <f>IFERROR(__xludf.DUMMYFUNCTION("GOOGLETRANSLATE(A28, ""hr"", ""fi"")"),"tuomari")</f>
        <v>tuomari</v>
      </c>
      <c r="M28" s="3" t="str">
        <f>IFERROR(__xludf.DUMMYFUNCTION("GOOGLETRANSLATE(A28, ""hr"", ""fr"")"),"arbitre")</f>
        <v>arbitre</v>
      </c>
      <c r="N28" s="3" t="str">
        <f>IFERROR(__xludf.DUMMYFUNCTION("GOOGLETRANSLATE(A28, ""hr"", ""gl"")"),"Árbitro")</f>
        <v>Árbitro</v>
      </c>
      <c r="O28" s="2" t="str">
        <f>IFERROR(__xludf.DUMMYFUNCTION("GOOGLETRANSLATE(A28, ""hr"", ""ht"")"),"abit")</f>
        <v>abit</v>
      </c>
      <c r="P28" s="3" t="str">
        <f>IFERROR(__xludf.DUMMYFUNCTION("GOOGLETRANSLATE(A28, ""hr"", ""is"")"),"Dómari")</f>
        <v>Dómari</v>
      </c>
      <c r="Q28" s="2" t="str">
        <f>IFERROR(__xludf.DUMMYFUNCTION("GOOGLETRANSLATE(A28, ""hr"", ""id"")"),"wasit")</f>
        <v>wasit</v>
      </c>
      <c r="R28" s="2" t="str">
        <f>IFERROR(__xludf.DUMMYFUNCTION("GOOGLETRANSLATE(A28, ""hr"", ""ga"")"),"réiteoir")</f>
        <v>réiteoir</v>
      </c>
      <c r="S28" s="3" t="str">
        <f>IFERROR(__xludf.DUMMYFUNCTION("GOOGLETRANSLATE(A28, ""hr"", ""it"")"),"arbitro")</f>
        <v>arbitro</v>
      </c>
      <c r="T28" s="2" t="str">
        <f>IFERROR(__xludf.DUMMYFUNCTION("GOOGLETRANSLATE(A28, ""hr"", ""lv"")"),"tiesnesis")</f>
        <v>tiesnesis</v>
      </c>
      <c r="U28" s="2" t="str">
        <f>IFERROR(__xludf.DUMMYFUNCTION("GOOGLETRANSLATE(A28, ""hr"", ""lt"")"),"teisėjas")</f>
        <v>teisėjas</v>
      </c>
      <c r="V28" s="2" t="str">
        <f>IFERROR(__xludf.DUMMYFUNCTION("GOOGLETRANSLATE(A28, ""hr"", ""no"")"),"dommer")</f>
        <v>dommer</v>
      </c>
      <c r="W28" s="2" t="str">
        <f>IFERROR(__xludf.DUMMYFUNCTION("GOOGLETRANSLATE(A28, ""hr"", ""mt"")"),"Referee")</f>
        <v>Referee</v>
      </c>
      <c r="X28" s="2" t="str">
        <f>IFERROR(__xludf.DUMMYFUNCTION("GOOGLETRANSLATE(A28, ""hr"", ""es"")"),"árbitro")</f>
        <v>árbitro</v>
      </c>
      <c r="Y28" s="2" t="str">
        <f>IFERROR(__xludf.DUMMYFUNCTION("GOOGLETRANSLATE(A28, ""hr"", ""sl"")"),"sodnik")</f>
        <v>sodnik</v>
      </c>
      <c r="Z28" s="2" t="str">
        <f>IFERROR(__xludf.DUMMYFUNCTION("GOOGLETRANSLATE(A28, ""hr"", ""sk"")"),"rozhodca")</f>
        <v>rozhodca</v>
      </c>
    </row>
    <row r="29">
      <c r="A29" s="1" t="s">
        <v>28</v>
      </c>
      <c r="B29" s="2" t="str">
        <f>IFERROR(__xludf.DUMMYFUNCTION("GOOGLETRANSLATE(A29, ""hr"", ""en"")"),"advantage")</f>
        <v>advantage</v>
      </c>
      <c r="C29" s="2" t="str">
        <f>IFERROR(__xludf.DUMMYFUNCTION("GOOGLETRANSLATE(A29, ""hr"", ""de"")"),"Vorteil")</f>
        <v>Vorteil</v>
      </c>
      <c r="D29" s="2" t="str">
        <f>IFERROR(__xludf.DUMMYFUNCTION("GOOGLETRANSLATE(A29, ""hr"", ""cs"")"),"výhoda")</f>
        <v>výhoda</v>
      </c>
      <c r="E29" s="3" t="str">
        <f>IFERROR(__xludf.DUMMYFUNCTION("GOOGLETRANSLATE(A29, ""hr"", ""af"")"),"voordeel")</f>
        <v>voordeel</v>
      </c>
      <c r="F29" s="3" t="str">
        <f>IFERROR(__xludf.DUMMYFUNCTION("GOOGLETRANSLATE(A29, ""hr"", ""sq"")"),"avantazh")</f>
        <v>avantazh</v>
      </c>
      <c r="G29" s="3" t="str">
        <f>IFERROR(__xludf.DUMMYFUNCTION("GOOGLETRANSLATE(A29, ""hr"", ""ca"")"),"avantatge")</f>
        <v>avantatge</v>
      </c>
      <c r="H29" s="2" t="str">
        <f>IFERROR(__xludf.DUMMYFUNCTION("GOOGLETRANSLATE(A29, ""hr"", ""da"")"),"fordel")</f>
        <v>fordel</v>
      </c>
      <c r="I29" s="3" t="str">
        <f>IFERROR(__xludf.DUMMYFUNCTION("GOOGLETRANSLATE(A29, ""hr"", ""nl"")"),"voordeel")</f>
        <v>voordeel</v>
      </c>
      <c r="J29" s="3" t="str">
        <f>IFERROR(__xludf.DUMMYFUNCTION("GOOGLETRANSLATE(A29, ""hr"", ""et"")"),"eelis")</f>
        <v>eelis</v>
      </c>
      <c r="K29" s="3" t="str">
        <f>IFERROR(__xludf.DUMMYFUNCTION("GOOGLETRANSLATE(A29, ""hr"", ""tl"")"),"kalamangan")</f>
        <v>kalamangan</v>
      </c>
      <c r="L29" s="2" t="str">
        <f>IFERROR(__xludf.DUMMYFUNCTION("GOOGLETRANSLATE(A29, ""hr"", ""fi"")"),"etu")</f>
        <v>etu</v>
      </c>
      <c r="M29" s="3" t="str">
        <f>IFERROR(__xludf.DUMMYFUNCTION("GOOGLETRANSLATE(A29, ""hr"", ""fr"")"),"avantage")</f>
        <v>avantage</v>
      </c>
      <c r="N29" s="3" t="str">
        <f>IFERROR(__xludf.DUMMYFUNCTION("GOOGLETRANSLATE(A29, ""hr"", ""gl"")"),"vantaxe")</f>
        <v>vantaxe</v>
      </c>
      <c r="O29" s="2" t="str">
        <f>IFERROR(__xludf.DUMMYFUNCTION("GOOGLETRANSLATE(A29, ""hr"", ""ht"")"),"avantaj")</f>
        <v>avantaj</v>
      </c>
      <c r="P29" s="3" t="str">
        <f>IFERROR(__xludf.DUMMYFUNCTION("GOOGLETRANSLATE(A29, ""hr"", ""is"")"),"Kostir")</f>
        <v>Kostir</v>
      </c>
      <c r="Q29" s="2" t="str">
        <f>IFERROR(__xludf.DUMMYFUNCTION("GOOGLETRANSLATE(A29, ""hr"", ""id"")"),"keuntungan")</f>
        <v>keuntungan</v>
      </c>
      <c r="R29" s="2" t="str">
        <f>IFERROR(__xludf.DUMMYFUNCTION("GOOGLETRANSLATE(A29, ""hr"", ""ga"")"),"buntáiste a thabhairt do")</f>
        <v>buntáiste a thabhairt do</v>
      </c>
      <c r="S29" s="3" t="str">
        <f>IFERROR(__xludf.DUMMYFUNCTION("GOOGLETRANSLATE(A29, ""hr"", ""it"")"),"vantaggio")</f>
        <v>vantaggio</v>
      </c>
      <c r="T29" s="2" t="str">
        <f>IFERROR(__xludf.DUMMYFUNCTION("GOOGLETRANSLATE(A29, ""hr"", ""lv"")"),"priekšrocība")</f>
        <v>priekšrocība</v>
      </c>
      <c r="U29" s="2" t="str">
        <f>IFERROR(__xludf.DUMMYFUNCTION("GOOGLETRANSLATE(A29, ""hr"", ""lt"")"),"pranašumas")</f>
        <v>pranašumas</v>
      </c>
      <c r="V29" s="2" t="str">
        <f>IFERROR(__xludf.DUMMYFUNCTION("GOOGLETRANSLATE(A29, ""hr"", ""no"")"),"fordel")</f>
        <v>fordel</v>
      </c>
      <c r="W29" s="2" t="str">
        <f>IFERROR(__xludf.DUMMYFUNCTION("GOOGLETRANSLATE(A29, ""hr"", ""mt"")"),"vantaġġ")</f>
        <v>vantaġġ</v>
      </c>
      <c r="X29" s="2" t="str">
        <f>IFERROR(__xludf.DUMMYFUNCTION("GOOGLETRANSLATE(A29, ""hr"", ""es"")"),"ventaja")</f>
        <v>ventaja</v>
      </c>
      <c r="Y29" s="2" t="str">
        <f>IFERROR(__xludf.DUMMYFUNCTION("GOOGLETRANSLATE(A29, ""hr"", ""sl"")"),"prednost")</f>
        <v>prednost</v>
      </c>
      <c r="Z29" s="2" t="str">
        <f>IFERROR(__xludf.DUMMYFUNCTION("GOOGLETRANSLATE(A29, ""hr"", ""sk"")"),"výhoda")</f>
        <v>výhoda</v>
      </c>
    </row>
    <row r="30">
      <c r="A30" s="1" t="s">
        <v>29</v>
      </c>
      <c r="B30" s="2" t="str">
        <f>IFERROR(__xludf.DUMMYFUNCTION("GOOGLETRANSLATE(A30, ""hr"", ""en"")"),"halftime")</f>
        <v>halftime</v>
      </c>
      <c r="C30" s="2" t="str">
        <f>IFERROR(__xludf.DUMMYFUNCTION("GOOGLETRANSLATE(A30, ""hr"", ""de"")"),"Halbzeit")</f>
        <v>Halbzeit</v>
      </c>
      <c r="D30" s="2" t="str">
        <f>IFERROR(__xludf.DUMMYFUNCTION("GOOGLETRANSLATE(A30, ""hr"", ""cs"")"),"poločas")</f>
        <v>poločas</v>
      </c>
      <c r="E30" s="3" t="str">
        <f>IFERROR(__xludf.DUMMYFUNCTION("GOOGLETRANSLATE(A30, ""hr"", ""af"")"),"halftyd")</f>
        <v>halftyd</v>
      </c>
      <c r="F30" s="3" t="str">
        <f>IFERROR(__xludf.DUMMYFUNCTION("GOOGLETRANSLATE(A30, ""hr"", ""sq"")"),"pjesë e kohës së parë")</f>
        <v>pjesë e kohës së parë</v>
      </c>
      <c r="G30" s="3" t="str">
        <f>IFERROR(__xludf.DUMMYFUNCTION("GOOGLETRANSLATE(A30, ""hr"", ""ca"")"),"mitja part")</f>
        <v>mitja part</v>
      </c>
      <c r="H30" s="2" t="str">
        <f>IFERROR(__xludf.DUMMYFUNCTION("GOOGLETRANSLATE(A30, ""hr"", ""da"")"),"halvleg")</f>
        <v>halvleg</v>
      </c>
      <c r="I30" s="3" t="str">
        <f>IFERROR(__xludf.DUMMYFUNCTION("GOOGLETRANSLATE(A30, ""hr"", ""nl"")"),"rust")</f>
        <v>rust</v>
      </c>
      <c r="J30" s="3" t="str">
        <f>IFERROR(__xludf.DUMMYFUNCTION("GOOGLETRANSLATE(A30, ""hr"", ""et"")"),"poolaeg")</f>
        <v>poolaeg</v>
      </c>
      <c r="K30" s="3" t="str">
        <f>IFERROR(__xludf.DUMMYFUNCTION("GOOGLETRANSLATE(A30, ""hr"", ""tl"")"),"Kalahating oras")</f>
        <v>Kalahating oras</v>
      </c>
      <c r="L30" s="2" t="str">
        <f>IFERROR(__xludf.DUMMYFUNCTION("GOOGLETRANSLATE(A30, ""hr"", ""fi"")"),"puoliaika")</f>
        <v>puoliaika</v>
      </c>
      <c r="M30" s="3" t="str">
        <f>IFERROR(__xludf.DUMMYFUNCTION("GOOGLETRANSLATE(A30, ""hr"", ""fr"")"),"Mi-temps")</f>
        <v>Mi-temps</v>
      </c>
      <c r="N30" s="3" t="str">
        <f>IFERROR(__xludf.DUMMYFUNCTION("GOOGLETRANSLATE(A30, ""hr"", ""gl"")"),"medio tempo")</f>
        <v>medio tempo</v>
      </c>
      <c r="O30" s="2" t="str">
        <f>IFERROR(__xludf.DUMMYFUNCTION("GOOGLETRANSLATE(A30, ""hr"", ""ht"")"),"mari")</f>
        <v>mari</v>
      </c>
      <c r="P30" s="3" t="str">
        <f>IFERROR(__xludf.DUMMYFUNCTION("GOOGLETRANSLATE(A30, ""hr"", ""is"")"),"hálfleikur")</f>
        <v>hálfleikur</v>
      </c>
      <c r="Q30" s="2" t="str">
        <f>IFERROR(__xludf.DUMMYFUNCTION("GOOGLETRANSLATE(A30, ""hr"", ""id"")"),"setengah waktu")</f>
        <v>setengah waktu</v>
      </c>
      <c r="R30" s="2" t="str">
        <f>IFERROR(__xludf.DUMMYFUNCTION("GOOGLETRANSLATE(A30, ""hr"", ""ga"")"),"leathama")</f>
        <v>leathama</v>
      </c>
      <c r="S30" s="3" t="str">
        <f>IFERROR(__xludf.DUMMYFUNCTION("GOOGLETRANSLATE(A30, ""hr"", ""it"")"),"metà tempo")</f>
        <v>metà tempo</v>
      </c>
      <c r="T30" s="2" t="str">
        <f>IFERROR(__xludf.DUMMYFUNCTION("GOOGLETRANSLATE(A30, ""hr"", ""lv"")"),"Puslaiks")</f>
        <v>Puslaiks</v>
      </c>
      <c r="U30" s="2" t="str">
        <f>IFERROR(__xludf.DUMMYFUNCTION("GOOGLETRANSLATE(A30, ""hr"", ""lt"")"),"Pusnas")</f>
        <v>Pusnas</v>
      </c>
      <c r="V30" s="2" t="str">
        <f>IFERROR(__xludf.DUMMYFUNCTION("GOOGLETRANSLATE(A30, ""hr"", ""no"")"),"pause")</f>
        <v>pause</v>
      </c>
      <c r="W30" s="2" t="str">
        <f>IFERROR(__xludf.DUMMYFUNCTION("GOOGLETRANSLATE(A30, ""hr"", ""mt"")"),"il-mistrieħ")</f>
        <v>il-mistrieħ</v>
      </c>
      <c r="X30" s="2" t="str">
        <f>IFERROR(__xludf.DUMMYFUNCTION("GOOGLETRANSLATE(A30, ""hr"", ""es"")"),"medio tiempo")</f>
        <v>medio tiempo</v>
      </c>
      <c r="Y30" s="2" t="str">
        <f>IFERROR(__xludf.DUMMYFUNCTION("GOOGLETRANSLATE(A30, ""hr"", ""sl"")"),"polčas")</f>
        <v>polčas</v>
      </c>
      <c r="Z30" s="2" t="str">
        <f>IFERROR(__xludf.DUMMYFUNCTION("GOOGLETRANSLATE(A30, ""hr"", ""sk"")"),"polčas")</f>
        <v>polčas</v>
      </c>
    </row>
    <row r="31">
      <c r="A31" s="1" t="s">
        <v>30</v>
      </c>
      <c r="B31" s="2" t="str">
        <f>IFERROR(__xludf.DUMMYFUNCTION("GOOGLETRANSLATE(A31, ""hr"", ""en"")"),"racket")</f>
        <v>racket</v>
      </c>
      <c r="C31" s="2" t="str">
        <f>IFERROR(__xludf.DUMMYFUNCTION("GOOGLETRANSLATE(A31, ""hr"", ""de"")"),"Schläger")</f>
        <v>Schläger</v>
      </c>
      <c r="D31" s="2" t="str">
        <f>IFERROR(__xludf.DUMMYFUNCTION("GOOGLETRANSLATE(A31, ""hr"", ""cs"")"),"raketa")</f>
        <v>raketa</v>
      </c>
      <c r="E31" s="3" t="str">
        <f>IFERROR(__xludf.DUMMYFUNCTION("GOOGLETRANSLATE(A31, ""hr"", ""af"")"),"raket")</f>
        <v>raket</v>
      </c>
      <c r="F31" s="3" t="str">
        <f>IFERROR(__xludf.DUMMYFUNCTION("GOOGLETRANSLATE(A31, ""hr"", ""sq"")"),"raketë")</f>
        <v>raketë</v>
      </c>
      <c r="G31" s="3" t="str">
        <f>IFERROR(__xludf.DUMMYFUNCTION("GOOGLETRANSLATE(A31, ""hr"", ""ca"")"),"raqueta")</f>
        <v>raqueta</v>
      </c>
      <c r="H31" s="2" t="str">
        <f>IFERROR(__xludf.DUMMYFUNCTION("GOOGLETRANSLATE(A31, ""hr"", ""da"")"),"racket")</f>
        <v>racket</v>
      </c>
      <c r="I31" s="3" t="str">
        <f>IFERROR(__xludf.DUMMYFUNCTION("GOOGLETRANSLATE(A31, ""hr"", ""nl"")"),"racket")</f>
        <v>racket</v>
      </c>
      <c r="J31" s="3" t="str">
        <f>IFERROR(__xludf.DUMMYFUNCTION("GOOGLETRANSLATE(A31, ""hr"", ""et"")"),"reket")</f>
        <v>reket</v>
      </c>
      <c r="K31" s="3" t="str">
        <f>IFERROR(__xludf.DUMMYFUNCTION("GOOGLETRANSLATE(A31, ""hr"", ""tl"")"),"raketa")</f>
        <v>raketa</v>
      </c>
      <c r="L31" s="2" t="str">
        <f>IFERROR(__xludf.DUMMYFUNCTION("GOOGLETRANSLATE(A31, ""hr"", ""fi"")"),"maila")</f>
        <v>maila</v>
      </c>
      <c r="M31" s="3" t="str">
        <f>IFERROR(__xludf.DUMMYFUNCTION("GOOGLETRANSLATE(A31, ""hr"", ""fr"")"),"raquette")</f>
        <v>raquette</v>
      </c>
      <c r="N31" s="3" t="str">
        <f>IFERROR(__xludf.DUMMYFUNCTION("GOOGLETRANSLATE(A31, ""hr"", ""gl"")"),"Racket")</f>
        <v>Racket</v>
      </c>
      <c r="O31" s="2" t="str">
        <f>IFERROR(__xludf.DUMMYFUNCTION("GOOGLETRANSLATE(A31, ""hr"", ""ht"")"),"etajè")</f>
        <v>etajè</v>
      </c>
      <c r="P31" s="3" t="str">
        <f>IFERROR(__xludf.DUMMYFUNCTION("GOOGLETRANSLATE(A31, ""hr"", ""is"")"),"Gauragangur")</f>
        <v>Gauragangur</v>
      </c>
      <c r="Q31" s="2" t="str">
        <f>IFERROR(__xludf.DUMMYFUNCTION("GOOGLETRANSLATE(A31, ""hr"", ""id"")"),"raket")</f>
        <v>raket</v>
      </c>
      <c r="R31" s="2" t="str">
        <f>IFERROR(__xludf.DUMMYFUNCTION("GOOGLETRANSLATE(A31, ""hr"", ""ga"")"),"borsta")</f>
        <v>borsta</v>
      </c>
      <c r="S31" s="3" t="str">
        <f>IFERROR(__xludf.DUMMYFUNCTION("GOOGLETRANSLATE(A31, ""hr"", ""it"")"),"racchetta")</f>
        <v>racchetta</v>
      </c>
      <c r="T31" s="2" t="str">
        <f>IFERROR(__xludf.DUMMYFUNCTION("GOOGLETRANSLATE(A31, ""hr"", ""lv"")"),"rakete")</f>
        <v>rakete</v>
      </c>
      <c r="U31" s="2" t="str">
        <f>IFERROR(__xludf.DUMMYFUNCTION("GOOGLETRANSLATE(A31, ""hr"", ""lt"")"),"raketė")</f>
        <v>raketė</v>
      </c>
      <c r="V31" s="2" t="str">
        <f>IFERROR(__xludf.DUMMYFUNCTION("GOOGLETRANSLATE(A31, ""hr"", ""no"")"),"rekkert")</f>
        <v>rekkert</v>
      </c>
      <c r="W31" s="2" t="str">
        <f>IFERROR(__xludf.DUMMYFUNCTION("GOOGLETRANSLATE(A31, ""hr"", ""mt"")"),"Racket")</f>
        <v>Racket</v>
      </c>
      <c r="X31" s="2" t="str">
        <f>IFERROR(__xludf.DUMMYFUNCTION("GOOGLETRANSLATE(A31, ""hr"", ""es"")"),"raqueta")</f>
        <v>raqueta</v>
      </c>
      <c r="Y31" s="2" t="str">
        <f>IFERROR(__xludf.DUMMYFUNCTION("GOOGLETRANSLATE(A31, ""hr"", ""sl"")"),"raketa")</f>
        <v>raketa</v>
      </c>
      <c r="Z31" s="2" t="str">
        <f>IFERROR(__xludf.DUMMYFUNCTION("GOOGLETRANSLATE(A31, ""hr"", ""sk"")"),"raketa")</f>
        <v>raketa</v>
      </c>
    </row>
    <row r="32">
      <c r="A32" s="1" t="s">
        <v>31</v>
      </c>
      <c r="B32" s="2" t="str">
        <f>IFERROR(__xludf.DUMMYFUNCTION("GOOGLETRANSLATE(A32, ""hr"", ""en"")"),"skis")</f>
        <v>skis</v>
      </c>
      <c r="C32" s="2" t="str">
        <f>IFERROR(__xludf.DUMMYFUNCTION("GOOGLETRANSLATE(A32, ""hr"", ""de"")"),"Skier")</f>
        <v>Skier</v>
      </c>
      <c r="D32" s="2" t="str">
        <f>IFERROR(__xludf.DUMMYFUNCTION("GOOGLETRANSLATE(A32, ""hr"", ""cs"")"),"lyže")</f>
        <v>lyže</v>
      </c>
      <c r="E32" s="3" t="str">
        <f>IFERROR(__xludf.DUMMYFUNCTION("GOOGLETRANSLATE(A32, ""hr"", ""af"")"),"ski's")</f>
        <v>ski's</v>
      </c>
      <c r="F32" s="3" t="str">
        <f>IFERROR(__xludf.DUMMYFUNCTION("GOOGLETRANSLATE(A32, ""hr"", ""sq"")"),"ski")</f>
        <v>ski</v>
      </c>
      <c r="G32" s="3" t="str">
        <f>IFERROR(__xludf.DUMMYFUNCTION("GOOGLETRANSLATE(A32, ""hr"", ""ca"")"),"esquís")</f>
        <v>esquís</v>
      </c>
      <c r="H32" s="2" t="str">
        <f>IFERROR(__xludf.DUMMYFUNCTION("GOOGLETRANSLATE(A32, ""hr"", ""da"")"),"ski")</f>
        <v>ski</v>
      </c>
      <c r="I32" s="3" t="str">
        <f>IFERROR(__xludf.DUMMYFUNCTION("GOOGLETRANSLATE(A32, ""hr"", ""nl"")"),"ski's")</f>
        <v>ski's</v>
      </c>
      <c r="J32" s="3" t="str">
        <f>IFERROR(__xludf.DUMMYFUNCTION("GOOGLETRANSLATE(A32, ""hr"", ""et"")"),"suusad")</f>
        <v>suusad</v>
      </c>
      <c r="K32" s="3" t="str">
        <f>IFERROR(__xludf.DUMMYFUNCTION("GOOGLETRANSLATE(A32, ""hr"", ""tl"")"),"Skis")</f>
        <v>Skis</v>
      </c>
      <c r="L32" s="2" t="str">
        <f>IFERROR(__xludf.DUMMYFUNCTION("GOOGLETRANSLATE(A32, ""hr"", ""fi"")"),"sukset")</f>
        <v>sukset</v>
      </c>
      <c r="M32" s="3" t="str">
        <f>IFERROR(__xludf.DUMMYFUNCTION("GOOGLETRANSLATE(A32, ""hr"", ""fr"")"),"des skis")</f>
        <v>des skis</v>
      </c>
      <c r="N32" s="3" t="str">
        <f>IFERROR(__xludf.DUMMYFUNCTION("GOOGLETRANSLATE(A32, ""hr"", ""gl"")"),"esquís")</f>
        <v>esquís</v>
      </c>
      <c r="O32" s="2" t="str">
        <f>IFERROR(__xludf.DUMMYFUNCTION("GOOGLETRANSLATE(A32, ""hr"", ""ht"")"),"ski")</f>
        <v>ski</v>
      </c>
      <c r="P32" s="3" t="str">
        <f>IFERROR(__xludf.DUMMYFUNCTION("GOOGLETRANSLATE(A32, ""hr"", ""is"")"),"skíð")</f>
        <v>skíð</v>
      </c>
      <c r="Q32" s="2" t="str">
        <f>IFERROR(__xludf.DUMMYFUNCTION("GOOGLETRANSLATE(A32, ""hr"", ""id"")"),"ski")</f>
        <v>ski</v>
      </c>
      <c r="R32" s="2" t="str">
        <f>IFERROR(__xludf.DUMMYFUNCTION("GOOGLETRANSLATE(A32, ""hr"", ""ga"")"),"sciáil")</f>
        <v>sciáil</v>
      </c>
      <c r="S32" s="3" t="str">
        <f>IFERROR(__xludf.DUMMYFUNCTION("GOOGLETRANSLATE(A32, ""hr"", ""it"")"),"sci")</f>
        <v>sci</v>
      </c>
      <c r="T32" s="2" t="str">
        <f>IFERROR(__xludf.DUMMYFUNCTION("GOOGLETRANSLATE(A32, ""hr"", ""lv"")"),"slēpes")</f>
        <v>slēpes</v>
      </c>
      <c r="U32" s="2" t="str">
        <f>IFERROR(__xludf.DUMMYFUNCTION("GOOGLETRANSLATE(A32, ""hr"", ""lt"")"),"slidės")</f>
        <v>slidės</v>
      </c>
      <c r="V32" s="2" t="str">
        <f>IFERROR(__xludf.DUMMYFUNCTION("GOOGLETRANSLATE(A32, ""hr"", ""no"")"),"ski")</f>
        <v>ski</v>
      </c>
      <c r="W32" s="2" t="str">
        <f>IFERROR(__xludf.DUMMYFUNCTION("GOOGLETRANSLATE(A32, ""hr"", ""mt"")"),"skis")</f>
        <v>skis</v>
      </c>
      <c r="X32" s="2" t="str">
        <f>IFERROR(__xludf.DUMMYFUNCTION("GOOGLETRANSLATE(A32, ""hr"", ""es"")"),"esquís")</f>
        <v>esquís</v>
      </c>
      <c r="Y32" s="2" t="str">
        <f>IFERROR(__xludf.DUMMYFUNCTION("GOOGLETRANSLATE(A32, ""hr"", ""sl"")"),"smuči")</f>
        <v>smuči</v>
      </c>
      <c r="Z32" s="2" t="str">
        <f>IFERROR(__xludf.DUMMYFUNCTION("GOOGLETRANSLATE(A32, ""hr"", ""sk"")"),"lyže")</f>
        <v>lyže</v>
      </c>
    </row>
    <row r="33">
      <c r="A33" s="1" t="s">
        <v>32</v>
      </c>
      <c r="B33" s="2" t="str">
        <f>IFERROR(__xludf.DUMMYFUNCTION("GOOGLETRANSLATE(A33, ""hr"", ""en"")"),"ski")</f>
        <v>ski</v>
      </c>
      <c r="C33" s="2" t="str">
        <f>IFERROR(__xludf.DUMMYFUNCTION("GOOGLETRANSLATE(A33, ""hr"", ""de"")"),"Ski")</f>
        <v>Ski</v>
      </c>
      <c r="D33" s="2" t="str">
        <f>IFERROR(__xludf.DUMMYFUNCTION("GOOGLETRANSLATE(A33, ""hr"", ""cs"")"),"lyže")</f>
        <v>lyže</v>
      </c>
      <c r="E33" s="3" t="str">
        <f>IFERROR(__xludf.DUMMYFUNCTION("GOOGLETRANSLATE(A33, ""hr"", ""af"")"),"ski")</f>
        <v>ski</v>
      </c>
      <c r="F33" s="3" t="str">
        <f>IFERROR(__xludf.DUMMYFUNCTION("GOOGLETRANSLATE(A33, ""hr"", ""sq"")"),"ski")</f>
        <v>ski</v>
      </c>
      <c r="G33" s="3" t="str">
        <f>IFERROR(__xludf.DUMMYFUNCTION("GOOGLETRANSLATE(A33, ""hr"", ""ca"")"),"esquiar")</f>
        <v>esquiar</v>
      </c>
      <c r="H33" s="2" t="str">
        <f>IFERROR(__xludf.DUMMYFUNCTION("GOOGLETRANSLATE(A33, ""hr"", ""da"")"),"ski")</f>
        <v>ski</v>
      </c>
      <c r="I33" s="3" t="str">
        <f>IFERROR(__xludf.DUMMYFUNCTION("GOOGLETRANSLATE(A33, ""hr"", ""nl"")"),"ski")</f>
        <v>ski</v>
      </c>
      <c r="J33" s="3" t="str">
        <f>IFERROR(__xludf.DUMMYFUNCTION("GOOGLETRANSLATE(A33, ""hr"", ""et"")"),"suusa")</f>
        <v>suusa</v>
      </c>
      <c r="K33" s="3" t="str">
        <f>IFERROR(__xludf.DUMMYFUNCTION("GOOGLETRANSLATE(A33, ""hr"", ""tl"")"),"Ski")</f>
        <v>Ski</v>
      </c>
      <c r="L33" s="2" t="str">
        <f>IFERROR(__xludf.DUMMYFUNCTION("GOOGLETRANSLATE(A33, ""hr"", ""fi"")"),"hiihtää")</f>
        <v>hiihtää</v>
      </c>
      <c r="M33" s="3" t="str">
        <f>IFERROR(__xludf.DUMMYFUNCTION("GOOGLETRANSLATE(A33, ""hr"", ""fr"")"),"ski")</f>
        <v>ski</v>
      </c>
      <c r="N33" s="3" t="str">
        <f>IFERROR(__xludf.DUMMYFUNCTION("GOOGLETRANSLATE(A33, ""hr"", ""gl"")"),"esquí")</f>
        <v>esquí</v>
      </c>
      <c r="O33" s="2" t="str">
        <f>IFERROR(__xludf.DUMMYFUNCTION("GOOGLETRANSLATE(A33, ""hr"", ""ht"")"),"fè eski")</f>
        <v>fè eski</v>
      </c>
      <c r="P33" s="3" t="str">
        <f>IFERROR(__xludf.DUMMYFUNCTION("GOOGLETRANSLATE(A33, ""hr"", ""is"")"),"SKI")</f>
        <v>SKI</v>
      </c>
      <c r="Q33" s="2" t="str">
        <f>IFERROR(__xludf.DUMMYFUNCTION("GOOGLETRANSLATE(A33, ""hr"", ""id"")"),"main ski")</f>
        <v>main ski</v>
      </c>
      <c r="R33" s="2" t="str">
        <f>IFERROR(__xludf.DUMMYFUNCTION("GOOGLETRANSLATE(A33, ""hr"", ""ga"")"),"té")</f>
        <v>té</v>
      </c>
      <c r="S33" s="3" t="str">
        <f>IFERROR(__xludf.DUMMYFUNCTION("GOOGLETRANSLATE(A33, ""hr"", ""it"")"),"sciare")</f>
        <v>sciare</v>
      </c>
      <c r="T33" s="2" t="str">
        <f>IFERROR(__xludf.DUMMYFUNCTION("GOOGLETRANSLATE(A33, ""hr"", ""lv"")"),"slēpot")</f>
        <v>slēpot</v>
      </c>
      <c r="U33" s="2" t="str">
        <f>IFERROR(__xludf.DUMMYFUNCTION("GOOGLETRANSLATE(A33, ""hr"", ""lt"")"),"slidinėjimas")</f>
        <v>slidinėjimas</v>
      </c>
      <c r="V33" s="2" t="str">
        <f>IFERROR(__xludf.DUMMYFUNCTION("GOOGLETRANSLATE(A33, ""hr"", ""no"")"),"ski")</f>
        <v>ski</v>
      </c>
      <c r="W33" s="2" t="str">
        <f>IFERROR(__xludf.DUMMYFUNCTION("GOOGLETRANSLATE(A33, ""hr"", ""mt"")"),"ski")</f>
        <v>ski</v>
      </c>
      <c r="X33" s="2" t="str">
        <f>IFERROR(__xludf.DUMMYFUNCTION("GOOGLETRANSLATE(A33, ""hr"", ""es"")"),"esquí")</f>
        <v>esquí</v>
      </c>
      <c r="Y33" s="2" t="str">
        <f>IFERROR(__xludf.DUMMYFUNCTION("GOOGLETRANSLATE(A33, ""hr"", ""sl"")"),"smuči")</f>
        <v>smuči</v>
      </c>
      <c r="Z33" s="2" t="str">
        <f>IFERROR(__xludf.DUMMYFUNCTION("GOOGLETRANSLATE(A33, ""hr"", ""sk"")"),"lyžiar")</f>
        <v>lyžiar</v>
      </c>
    </row>
    <row r="34">
      <c r="A34" s="1" t="s">
        <v>33</v>
      </c>
      <c r="B34" s="2" t="str">
        <f>IFERROR(__xludf.DUMMYFUNCTION("GOOGLETRANSLATE(A34, ""hr"", ""en"")"),"glove")</f>
        <v>glove</v>
      </c>
      <c r="C34" s="2" t="str">
        <f>IFERROR(__xludf.DUMMYFUNCTION("GOOGLETRANSLATE(A34, ""hr"", ""de"")"),"Handschuh")</f>
        <v>Handschuh</v>
      </c>
      <c r="D34" s="2" t="str">
        <f>IFERROR(__xludf.DUMMYFUNCTION("GOOGLETRANSLATE(A34, ""hr"", ""cs"")"),"rukavice")</f>
        <v>rukavice</v>
      </c>
      <c r="E34" s="3" t="str">
        <f>IFERROR(__xludf.DUMMYFUNCTION("GOOGLETRANSLATE(A34, ""hr"", ""af"")"),"handskoen")</f>
        <v>handskoen</v>
      </c>
      <c r="F34" s="3" t="str">
        <f>IFERROR(__xludf.DUMMYFUNCTION("GOOGLETRANSLATE(A34, ""hr"", ""sq"")"),"dorezë")</f>
        <v>dorezë</v>
      </c>
      <c r="G34" s="3" t="str">
        <f>IFERROR(__xludf.DUMMYFUNCTION("GOOGLETRANSLATE(A34, ""hr"", ""ca"")"),"guant")</f>
        <v>guant</v>
      </c>
      <c r="H34" s="2" t="str">
        <f>IFERROR(__xludf.DUMMYFUNCTION("GOOGLETRANSLATE(A34, ""hr"", ""da"")"),"handske")</f>
        <v>handske</v>
      </c>
      <c r="I34" s="3" t="str">
        <f>IFERROR(__xludf.DUMMYFUNCTION("GOOGLETRANSLATE(A34, ""hr"", ""nl"")"),"handschoen")</f>
        <v>handschoen</v>
      </c>
      <c r="J34" s="3" t="str">
        <f>IFERROR(__xludf.DUMMYFUNCTION("GOOGLETRANSLATE(A34, ""hr"", ""et"")"),"kinnas")</f>
        <v>kinnas</v>
      </c>
      <c r="K34" s="3" t="str">
        <f>IFERROR(__xludf.DUMMYFUNCTION("GOOGLETRANSLATE(A34, ""hr"", ""tl"")"),"guwantes")</f>
        <v>guwantes</v>
      </c>
      <c r="L34" s="2" t="str">
        <f>IFERROR(__xludf.DUMMYFUNCTION("GOOGLETRANSLATE(A34, ""hr"", ""fi"")"),"käsine")</f>
        <v>käsine</v>
      </c>
      <c r="M34" s="3" t="str">
        <f>IFERROR(__xludf.DUMMYFUNCTION("GOOGLETRANSLATE(A34, ""hr"", ""fr"")"),"gant")</f>
        <v>gant</v>
      </c>
      <c r="N34" s="3" t="str">
        <f>IFERROR(__xludf.DUMMYFUNCTION("GOOGLETRANSLATE(A34, ""hr"", ""gl"")"),"luva")</f>
        <v>luva</v>
      </c>
      <c r="O34" s="2" t="str">
        <f>IFERROR(__xludf.DUMMYFUNCTION("GOOGLETRANSLATE(A34, ""hr"", ""ht"")"),"gan")</f>
        <v>gan</v>
      </c>
      <c r="P34" s="3" t="str">
        <f>IFERROR(__xludf.DUMMYFUNCTION("GOOGLETRANSLATE(A34, ""hr"", ""is"")"),"hanska")</f>
        <v>hanska</v>
      </c>
      <c r="Q34" s="2" t="str">
        <f>IFERROR(__xludf.DUMMYFUNCTION("GOOGLETRANSLATE(A34, ""hr"", ""id"")"),"sarung tangan")</f>
        <v>sarung tangan</v>
      </c>
      <c r="R34" s="2" t="str">
        <f>IFERROR(__xludf.DUMMYFUNCTION("GOOGLETRANSLATE(A34, ""hr"", ""ga"")"),"lámhainn")</f>
        <v>lámhainn</v>
      </c>
      <c r="S34" s="3" t="str">
        <f>IFERROR(__xludf.DUMMYFUNCTION("GOOGLETRANSLATE(A34, ""hr"", ""it"")"),"guanto")</f>
        <v>guanto</v>
      </c>
      <c r="T34" s="2" t="str">
        <f>IFERROR(__xludf.DUMMYFUNCTION("GOOGLETRANSLATE(A34, ""hr"", ""lv"")"),"cimds")</f>
        <v>cimds</v>
      </c>
      <c r="U34" s="2" t="str">
        <f>IFERROR(__xludf.DUMMYFUNCTION("GOOGLETRANSLATE(A34, ""hr"", ""lt"")"),"pirštinė")</f>
        <v>pirštinė</v>
      </c>
      <c r="V34" s="2" t="str">
        <f>IFERROR(__xludf.DUMMYFUNCTION("GOOGLETRANSLATE(A34, ""hr"", ""no"")"),"hanske")</f>
        <v>hanske</v>
      </c>
      <c r="W34" s="2" t="str">
        <f>IFERROR(__xludf.DUMMYFUNCTION("GOOGLETRANSLATE(A34, ""hr"", ""mt"")"),"ingwanta")</f>
        <v>ingwanta</v>
      </c>
      <c r="X34" s="2" t="str">
        <f>IFERROR(__xludf.DUMMYFUNCTION("GOOGLETRANSLATE(A34, ""hr"", ""es"")"),"guante")</f>
        <v>guante</v>
      </c>
      <c r="Y34" s="2" t="str">
        <f>IFERROR(__xludf.DUMMYFUNCTION("GOOGLETRANSLATE(A34, ""hr"", ""sl"")"),"rokavice")</f>
        <v>rokavice</v>
      </c>
      <c r="Z34" s="2" t="str">
        <f>IFERROR(__xludf.DUMMYFUNCTION("GOOGLETRANSLATE(A34, ""hr"", ""sk"")"),"rukavica")</f>
        <v>rukavica</v>
      </c>
    </row>
    <row r="35">
      <c r="A35" s="1" t="s">
        <v>34</v>
      </c>
      <c r="B35" s="2" t="str">
        <f>IFERROR(__xludf.DUMMYFUNCTION("GOOGLETRANSLATE(A35, ""hr"", ""en"")"),"stick")</f>
        <v>stick</v>
      </c>
      <c r="C35" s="2" t="str">
        <f>IFERROR(__xludf.DUMMYFUNCTION("GOOGLETRANSLATE(A35, ""hr"", ""de"")"),"Stock")</f>
        <v>Stock</v>
      </c>
      <c r="D35" s="2" t="str">
        <f>IFERROR(__xludf.DUMMYFUNCTION("GOOGLETRANSLATE(A35, ""hr"", ""cs"")"),"lepit")</f>
        <v>lepit</v>
      </c>
      <c r="E35" s="3" t="str">
        <f>IFERROR(__xludf.DUMMYFUNCTION("GOOGLETRANSLATE(A35, ""hr"", ""af"")"),"stok")</f>
        <v>stok</v>
      </c>
      <c r="F35" s="3" t="str">
        <f>IFERROR(__xludf.DUMMYFUNCTION("GOOGLETRANSLATE(A35, ""hr"", ""sq"")"),"ngjit")</f>
        <v>ngjit</v>
      </c>
      <c r="G35" s="3" t="str">
        <f>IFERROR(__xludf.DUMMYFUNCTION("GOOGLETRANSLATE(A35, ""hr"", ""ca"")"),"pal")</f>
        <v>pal</v>
      </c>
      <c r="H35" s="2" t="str">
        <f>IFERROR(__xludf.DUMMYFUNCTION("GOOGLETRANSLATE(A35, ""hr"", ""da"")"),"Pind")</f>
        <v>Pind</v>
      </c>
      <c r="I35" s="3" t="str">
        <f>IFERROR(__xludf.DUMMYFUNCTION("GOOGLETRANSLATE(A35, ""hr"", ""nl"")"),"stok")</f>
        <v>stok</v>
      </c>
      <c r="J35" s="3" t="str">
        <f>IFERROR(__xludf.DUMMYFUNCTION("GOOGLETRANSLATE(A35, ""hr"", ""et"")"),"kleepuma")</f>
        <v>kleepuma</v>
      </c>
      <c r="K35" s="3" t="str">
        <f>IFERROR(__xludf.DUMMYFUNCTION("GOOGLETRANSLATE(A35, ""hr"", ""tl"")"),"dumikit")</f>
        <v>dumikit</v>
      </c>
      <c r="L35" s="2" t="str">
        <f>IFERROR(__xludf.DUMMYFUNCTION("GOOGLETRANSLATE(A35, ""hr"", ""fi"")"),"tarttua")</f>
        <v>tarttua</v>
      </c>
      <c r="M35" s="3" t="str">
        <f>IFERROR(__xludf.DUMMYFUNCTION("GOOGLETRANSLATE(A35, ""hr"", ""fr"")"),"coller")</f>
        <v>coller</v>
      </c>
      <c r="N35" s="3" t="str">
        <f>IFERROR(__xludf.DUMMYFUNCTION("GOOGLETRANSLATE(A35, ""hr"", ""gl"")"),"Stick")</f>
        <v>Stick</v>
      </c>
      <c r="O35" s="2" t="str">
        <f>IFERROR(__xludf.DUMMYFUNCTION("GOOGLETRANSLATE(A35, ""hr"", ""ht"")"),"baton")</f>
        <v>baton</v>
      </c>
      <c r="P35" s="3" t="str">
        <f>IFERROR(__xludf.DUMMYFUNCTION("GOOGLETRANSLATE(A35, ""hr"", ""is"")"),"Stick")</f>
        <v>Stick</v>
      </c>
      <c r="Q35" s="2" t="str">
        <f>IFERROR(__xludf.DUMMYFUNCTION("GOOGLETRANSLATE(A35, ""hr"", ""id"")"),"tongkat")</f>
        <v>tongkat</v>
      </c>
      <c r="R35" s="2" t="str">
        <f>IFERROR(__xludf.DUMMYFUNCTION("GOOGLETRANSLATE(A35, ""hr"", ""ga"")"),"bata")</f>
        <v>bata</v>
      </c>
      <c r="S35" s="3" t="str">
        <f>IFERROR(__xludf.DUMMYFUNCTION("GOOGLETRANSLATE(A35, ""hr"", ""it"")"),"bastone")</f>
        <v>bastone</v>
      </c>
      <c r="T35" s="2" t="str">
        <f>IFERROR(__xludf.DUMMYFUNCTION("GOOGLETRANSLATE(A35, ""hr"", ""lv"")"),"pielipt")</f>
        <v>pielipt</v>
      </c>
      <c r="U35" s="2" t="str">
        <f>IFERROR(__xludf.DUMMYFUNCTION("GOOGLETRANSLATE(A35, ""hr"", ""lt"")"),"priklijuoti")</f>
        <v>priklijuoti</v>
      </c>
      <c r="V35" s="2" t="str">
        <f>IFERROR(__xludf.DUMMYFUNCTION("GOOGLETRANSLATE(A35, ""hr"", ""no"")"),"pinne")</f>
        <v>pinne</v>
      </c>
      <c r="W35" s="2" t="str">
        <f>IFERROR(__xludf.DUMMYFUNCTION("GOOGLETRANSLATE(A35, ""hr"", ""mt"")"),"stick")</f>
        <v>stick</v>
      </c>
      <c r="X35" s="2" t="str">
        <f>IFERROR(__xludf.DUMMYFUNCTION("GOOGLETRANSLATE(A35, ""hr"", ""es"")"),"vara")</f>
        <v>vara</v>
      </c>
      <c r="Y35" s="2" t="str">
        <f>IFERROR(__xludf.DUMMYFUNCTION("GOOGLETRANSLATE(A35, ""hr"", ""sl"")"),"palico")</f>
        <v>palico</v>
      </c>
      <c r="Z35" s="2" t="str">
        <f>IFERROR(__xludf.DUMMYFUNCTION("GOOGLETRANSLATE(A35, ""hr"", ""sk"")"),"palica")</f>
        <v>palica</v>
      </c>
    </row>
    <row r="36">
      <c r="A36" s="1" t="s">
        <v>35</v>
      </c>
      <c r="B36" s="2" t="str">
        <f>IFERROR(__xludf.DUMMYFUNCTION("GOOGLETRANSLATE(A36, ""hr"", ""en"")"),"bike")</f>
        <v>bike</v>
      </c>
      <c r="C36" s="2" t="str">
        <f>IFERROR(__xludf.DUMMYFUNCTION("GOOGLETRANSLATE(A36, ""hr"", ""de"")"),"Fahrrad")</f>
        <v>Fahrrad</v>
      </c>
      <c r="D36" s="2" t="str">
        <f>IFERROR(__xludf.DUMMYFUNCTION("GOOGLETRANSLATE(A36, ""hr"", ""cs"")"),"kolo")</f>
        <v>kolo</v>
      </c>
      <c r="E36" s="3" t="str">
        <f>IFERROR(__xludf.DUMMYFUNCTION("GOOGLETRANSLATE(A36, ""hr"", ""af"")"),"fiets")</f>
        <v>fiets</v>
      </c>
      <c r="F36" s="3" t="str">
        <f>IFERROR(__xludf.DUMMYFUNCTION("GOOGLETRANSLATE(A36, ""hr"", ""sq"")"),"biciklete")</f>
        <v>biciklete</v>
      </c>
      <c r="G36" s="3" t="str">
        <f>IFERROR(__xludf.DUMMYFUNCTION("GOOGLETRANSLATE(A36, ""hr"", ""ca"")"),"cicle")</f>
        <v>cicle</v>
      </c>
      <c r="H36" s="2" t="str">
        <f>IFERROR(__xludf.DUMMYFUNCTION("GOOGLETRANSLATE(A36, ""hr"", ""da"")"),"cykel")</f>
        <v>cykel</v>
      </c>
      <c r="I36" s="3" t="str">
        <f>IFERROR(__xludf.DUMMYFUNCTION("GOOGLETRANSLATE(A36, ""hr"", ""nl"")"),"fiets")</f>
        <v>fiets</v>
      </c>
      <c r="J36" s="3" t="str">
        <f>IFERROR(__xludf.DUMMYFUNCTION("GOOGLETRANSLATE(A36, ""hr"", ""et"")"),"jalgratas")</f>
        <v>jalgratas</v>
      </c>
      <c r="K36" s="3" t="str">
        <f>IFERROR(__xludf.DUMMYFUNCTION("GOOGLETRANSLATE(A36, ""hr"", ""tl"")"),"Bike")</f>
        <v>Bike</v>
      </c>
      <c r="L36" s="2" t="str">
        <f>IFERROR(__xludf.DUMMYFUNCTION("GOOGLETRANSLATE(A36, ""hr"", ""fi"")"),"pyörä")</f>
        <v>pyörä</v>
      </c>
      <c r="M36" s="3" t="str">
        <f>IFERROR(__xludf.DUMMYFUNCTION("GOOGLETRANSLATE(A36, ""hr"", ""fr"")"),"Bicyclette")</f>
        <v>Bicyclette</v>
      </c>
      <c r="N36" s="3" t="str">
        <f>IFERROR(__xludf.DUMMYFUNCTION("GOOGLETRANSLATE(A36, ""hr"", ""gl"")"),"bicicleta")</f>
        <v>bicicleta</v>
      </c>
      <c r="O36" s="2" t="str">
        <f>IFERROR(__xludf.DUMMYFUNCTION("GOOGLETRANSLATE(A36, ""hr"", ""ht"")"),"bisiklèt")</f>
        <v>bisiklèt</v>
      </c>
      <c r="P36" s="3" t="str">
        <f>IFERROR(__xludf.DUMMYFUNCTION("GOOGLETRANSLATE(A36, ""hr"", ""is"")"),"Reiðhjól")</f>
        <v>Reiðhjól</v>
      </c>
      <c r="Q36" s="2" t="str">
        <f>IFERROR(__xludf.DUMMYFUNCTION("GOOGLETRANSLATE(A36, ""hr"", ""id"")"),"sepeda")</f>
        <v>sepeda</v>
      </c>
      <c r="R36" s="2" t="str">
        <f>IFERROR(__xludf.DUMMYFUNCTION("GOOGLETRANSLATE(A36, ""hr"", ""ga"")"),"rosca")</f>
        <v>rosca</v>
      </c>
      <c r="S36" s="3" t="str">
        <f>IFERROR(__xludf.DUMMYFUNCTION("GOOGLETRANSLATE(A36, ""hr"", ""it"")"),"bicicletta")</f>
        <v>bicicletta</v>
      </c>
      <c r="T36" s="2" t="str">
        <f>IFERROR(__xludf.DUMMYFUNCTION("GOOGLETRANSLATE(A36, ""hr"", ""lv"")"),"velosipēds")</f>
        <v>velosipēds</v>
      </c>
      <c r="U36" s="2" t="str">
        <f>IFERROR(__xludf.DUMMYFUNCTION("GOOGLETRANSLATE(A36, ""hr"", ""lt"")"),"dviratis")</f>
        <v>dviratis</v>
      </c>
      <c r="V36" s="2" t="str">
        <f>IFERROR(__xludf.DUMMYFUNCTION("GOOGLETRANSLATE(A36, ""hr"", ""no"")"),"sykkel")</f>
        <v>sykkel</v>
      </c>
      <c r="W36" s="2" t="str">
        <f>IFERROR(__xludf.DUMMYFUNCTION("GOOGLETRANSLATE(A36, ""hr"", ""mt"")"),"rota")</f>
        <v>rota</v>
      </c>
      <c r="X36" s="2" t="str">
        <f>IFERROR(__xludf.DUMMYFUNCTION("GOOGLETRANSLATE(A36, ""hr"", ""es"")"),"bicicleta")</f>
        <v>bicicleta</v>
      </c>
      <c r="Y36" s="2" t="str">
        <f>IFERROR(__xludf.DUMMYFUNCTION("GOOGLETRANSLATE(A36, ""hr"", ""sl"")"),"kolo")</f>
        <v>kolo</v>
      </c>
      <c r="Z36" s="2" t="str">
        <f>IFERROR(__xludf.DUMMYFUNCTION("GOOGLETRANSLATE(A36, ""hr"", ""sk"")"),"bicykel")</f>
        <v>bicykel</v>
      </c>
    </row>
    <row r="37">
      <c r="A37" s="1" t="s">
        <v>36</v>
      </c>
      <c r="B37" s="2" t="str">
        <f>IFERROR(__xludf.DUMMYFUNCTION("GOOGLETRANSLATE(A37, ""hr"", ""en"")"),"bandages")</f>
        <v>bandages</v>
      </c>
      <c r="C37" s="2" t="str">
        <f>IFERROR(__xludf.DUMMYFUNCTION("GOOGLETRANSLATE(A37, ""hr"", ""de"")"),"Verbände")</f>
        <v>Verbände</v>
      </c>
      <c r="D37" s="2" t="str">
        <f>IFERROR(__xludf.DUMMYFUNCTION("GOOGLETRANSLATE(A37, ""hr"", ""cs"")"),"obvazy")</f>
        <v>obvazy</v>
      </c>
      <c r="E37" s="3" t="str">
        <f>IFERROR(__xludf.DUMMYFUNCTION("GOOGLETRANSLATE(A37, ""hr"", ""af"")"),"bandages")</f>
        <v>bandages</v>
      </c>
      <c r="F37" s="3" t="str">
        <f>IFERROR(__xludf.DUMMYFUNCTION("GOOGLETRANSLATE(A37, ""hr"", ""sq"")"),"fashë")</f>
        <v>fashë</v>
      </c>
      <c r="G37" s="3" t="str">
        <f>IFERROR(__xludf.DUMMYFUNCTION("GOOGLETRANSLATE(A37, ""hr"", ""ca"")"),"embuts")</f>
        <v>embuts</v>
      </c>
      <c r="H37" s="2" t="str">
        <f>IFERROR(__xludf.DUMMYFUNCTION("GOOGLETRANSLATE(A37, ""hr"", ""da"")"),"bandager")</f>
        <v>bandager</v>
      </c>
      <c r="I37" s="3" t="str">
        <f>IFERROR(__xludf.DUMMYFUNCTION("GOOGLETRANSLATE(A37, ""hr"", ""nl"")"),"verbanden")</f>
        <v>verbanden</v>
      </c>
      <c r="J37" s="3" t="str">
        <f>IFERROR(__xludf.DUMMYFUNCTION("GOOGLETRANSLATE(A37, ""hr"", ""et"")"),"sidemed")</f>
        <v>sidemed</v>
      </c>
      <c r="K37" s="3" t="str">
        <f>IFERROR(__xludf.DUMMYFUNCTION("GOOGLETRANSLATE(A37, ""hr"", ""tl"")"),"bendahe")</f>
        <v>bendahe</v>
      </c>
      <c r="L37" s="2" t="str">
        <f>IFERROR(__xludf.DUMMYFUNCTION("GOOGLETRANSLATE(A37, ""hr"", ""fi"")"),"siteet")</f>
        <v>siteet</v>
      </c>
      <c r="M37" s="3" t="str">
        <f>IFERROR(__xludf.DUMMYFUNCTION("GOOGLETRANSLATE(A37, ""hr"", ""fr"")"),"des pansements")</f>
        <v>des pansements</v>
      </c>
      <c r="N37" s="3" t="str">
        <f>IFERROR(__xludf.DUMMYFUNCTION("GOOGLETRANSLATE(A37, ""hr"", ""gl"")"),"vendas")</f>
        <v>vendas</v>
      </c>
      <c r="O37" s="2" t="str">
        <f>IFERROR(__xludf.DUMMYFUNCTION("GOOGLETRANSLATE(A37, ""hr"", ""ht"")"),"pw de")</f>
        <v>pw de</v>
      </c>
      <c r="P37" s="3" t="str">
        <f>IFERROR(__xludf.DUMMYFUNCTION("GOOGLETRANSLATE(A37, ""hr"", ""is"")"),"sárabindi")</f>
        <v>sárabindi</v>
      </c>
      <c r="Q37" s="2" t="str">
        <f>IFERROR(__xludf.DUMMYFUNCTION("GOOGLETRANSLATE(A37, ""hr"", ""id"")"),"Perban")</f>
        <v>Perban</v>
      </c>
      <c r="R37" s="2" t="str">
        <f>IFERROR(__xludf.DUMMYFUNCTION("GOOGLETRANSLATE(A37, ""hr"", ""ga"")"),"bindealán")</f>
        <v>bindealán</v>
      </c>
      <c r="S37" s="3" t="str">
        <f>IFERROR(__xludf.DUMMYFUNCTION("GOOGLETRANSLATE(A37, ""hr"", ""it"")"),"bende")</f>
        <v>bende</v>
      </c>
      <c r="T37" s="2" t="str">
        <f>IFERROR(__xludf.DUMMYFUNCTION("GOOGLETRANSLATE(A37, ""hr"", ""lv"")"),"pārsēja")</f>
        <v>pārsēja</v>
      </c>
      <c r="U37" s="2" t="str">
        <f>IFERROR(__xludf.DUMMYFUNCTION("GOOGLETRANSLATE(A37, ""hr"", ""lt"")"),"tvarsčiai")</f>
        <v>tvarsčiai</v>
      </c>
      <c r="V37" s="2" t="str">
        <f>IFERROR(__xludf.DUMMYFUNCTION("GOOGLETRANSLATE(A37, ""hr"", ""no"")"),"bandasjer")</f>
        <v>bandasjer</v>
      </c>
      <c r="W37" s="2" t="str">
        <f>IFERROR(__xludf.DUMMYFUNCTION("GOOGLETRANSLATE(A37, ""hr"", ""mt"")"),"faxex")</f>
        <v>faxex</v>
      </c>
      <c r="X37" s="2" t="str">
        <f>IFERROR(__xludf.DUMMYFUNCTION("GOOGLETRANSLATE(A37, ""hr"", ""es"")"),"vendajes")</f>
        <v>vendajes</v>
      </c>
      <c r="Y37" s="2" t="str">
        <f>IFERROR(__xludf.DUMMYFUNCTION("GOOGLETRANSLATE(A37, ""hr"", ""sl"")"),"povoji")</f>
        <v>povoji</v>
      </c>
      <c r="Z37" s="2" t="str">
        <f>IFERROR(__xludf.DUMMYFUNCTION("GOOGLETRANSLATE(A37, ""hr"", ""sk"")"),"obväzy")</f>
        <v>obväzy</v>
      </c>
    </row>
    <row r="38">
      <c r="A38" s="1" t="s">
        <v>37</v>
      </c>
      <c r="B38" s="2" t="str">
        <f>IFERROR(__xludf.DUMMYFUNCTION("GOOGLETRANSLATE(A38, ""hr"", ""en"")"),"protector")</f>
        <v>protector</v>
      </c>
      <c r="C38" s="2" t="str">
        <f>IFERROR(__xludf.DUMMYFUNCTION("GOOGLETRANSLATE(A38, ""hr"", ""de"")"),"Schutz")</f>
        <v>Schutz</v>
      </c>
      <c r="D38" s="2" t="str">
        <f>IFERROR(__xludf.DUMMYFUNCTION("GOOGLETRANSLATE(A38, ""hr"", ""cs"")"),"ochránce")</f>
        <v>ochránce</v>
      </c>
      <c r="E38" s="3" t="str">
        <f>IFERROR(__xludf.DUMMYFUNCTION("GOOGLETRANSLATE(A38, ""hr"", ""af"")"),"beskermer")</f>
        <v>beskermer</v>
      </c>
      <c r="F38" s="3" t="str">
        <f>IFERROR(__xludf.DUMMYFUNCTION("GOOGLETRANSLATE(A38, ""hr"", ""sq"")"),"mbrojtës")</f>
        <v>mbrojtës</v>
      </c>
      <c r="G38" s="3" t="str">
        <f>IFERROR(__xludf.DUMMYFUNCTION("GOOGLETRANSLATE(A38, ""hr"", ""ca"")"),"protector")</f>
        <v>protector</v>
      </c>
      <c r="H38" s="2" t="str">
        <f>IFERROR(__xludf.DUMMYFUNCTION("GOOGLETRANSLATE(A38, ""hr"", ""da"")"),"protektor")</f>
        <v>protektor</v>
      </c>
      <c r="I38" s="3" t="str">
        <f>IFERROR(__xludf.DUMMYFUNCTION("GOOGLETRANSLATE(A38, ""hr"", ""nl"")"),"beschermer")</f>
        <v>beschermer</v>
      </c>
      <c r="J38" s="3" t="str">
        <f>IFERROR(__xludf.DUMMYFUNCTION("GOOGLETRANSLATE(A38, ""hr"", ""et"")"),"kaitsja")</f>
        <v>kaitsja</v>
      </c>
      <c r="K38" s="3" t="str">
        <f>IFERROR(__xludf.DUMMYFUNCTION("GOOGLETRANSLATE(A38, ""hr"", ""tl"")"),"tagapagtanggol")</f>
        <v>tagapagtanggol</v>
      </c>
      <c r="L38" s="2" t="str">
        <f>IFERROR(__xludf.DUMMYFUNCTION("GOOGLETRANSLATE(A38, ""hr"", ""fi"")"),"suojelija")</f>
        <v>suojelija</v>
      </c>
      <c r="M38" s="3" t="str">
        <f>IFERROR(__xludf.DUMMYFUNCTION("GOOGLETRANSLATE(A38, ""hr"", ""fr"")"),"protecteur")</f>
        <v>protecteur</v>
      </c>
      <c r="N38" s="3" t="str">
        <f>IFERROR(__xludf.DUMMYFUNCTION("GOOGLETRANSLATE(A38, ""hr"", ""gl"")"),"Protector")</f>
        <v>Protector</v>
      </c>
      <c r="O38" s="2" t="str">
        <f>IFERROR(__xludf.DUMMYFUNCTION("GOOGLETRANSLATE(A38, ""hr"", ""ht"")"),"protektè")</f>
        <v>protektè</v>
      </c>
      <c r="P38" s="3" t="str">
        <f>IFERROR(__xludf.DUMMYFUNCTION("GOOGLETRANSLATE(A38, ""hr"", ""is"")"),"Verndari")</f>
        <v>Verndari</v>
      </c>
      <c r="Q38" s="2" t="str">
        <f>IFERROR(__xludf.DUMMYFUNCTION("GOOGLETRANSLATE(A38, ""hr"", ""id"")"),"pelindung")</f>
        <v>pelindung</v>
      </c>
      <c r="R38" s="2" t="str">
        <f>IFERROR(__xludf.DUMMYFUNCTION("GOOGLETRANSLATE(A38, ""hr"", ""ga"")"),"cosantóir")</f>
        <v>cosantóir</v>
      </c>
      <c r="S38" s="3" t="str">
        <f>IFERROR(__xludf.DUMMYFUNCTION("GOOGLETRANSLATE(A38, ""hr"", ""it"")"),"protettore")</f>
        <v>protettore</v>
      </c>
      <c r="T38" s="2" t="str">
        <f>IFERROR(__xludf.DUMMYFUNCTION("GOOGLETRANSLATE(A38, ""hr"", ""lv"")"),"aizsargs")</f>
        <v>aizsargs</v>
      </c>
      <c r="U38" s="2" t="str">
        <f>IFERROR(__xludf.DUMMYFUNCTION("GOOGLETRANSLATE(A38, ""hr"", ""lt"")"),"gynėjas")</f>
        <v>gynėjas</v>
      </c>
      <c r="V38" s="2" t="str">
        <f>IFERROR(__xludf.DUMMYFUNCTION("GOOGLETRANSLATE(A38, ""hr"", ""no"")"),"beskytter")</f>
        <v>beskytter</v>
      </c>
      <c r="W38" s="2" t="str">
        <f>IFERROR(__xludf.DUMMYFUNCTION("GOOGLETRANSLATE(A38, ""hr"", ""mt"")"),"protettur")</f>
        <v>protettur</v>
      </c>
      <c r="X38" s="2" t="str">
        <f>IFERROR(__xludf.DUMMYFUNCTION("GOOGLETRANSLATE(A38, ""hr"", ""es"")"),"protector")</f>
        <v>protector</v>
      </c>
      <c r="Y38" s="2" t="str">
        <f>IFERROR(__xludf.DUMMYFUNCTION("GOOGLETRANSLATE(A38, ""hr"", ""sl"")"),"zaščitnik")</f>
        <v>zaščitnik</v>
      </c>
      <c r="Z38" s="2" t="str">
        <f>IFERROR(__xludf.DUMMYFUNCTION("GOOGLETRANSLATE(A38, ""hr"", ""sk"")"),"ochranca")</f>
        <v>ochranca</v>
      </c>
    </row>
    <row r="39">
      <c r="A39" s="1" t="s">
        <v>38</v>
      </c>
      <c r="B39" s="2" t="str">
        <f>IFERROR(__xludf.DUMMYFUNCTION("GOOGLETRANSLATE(A39, ""hr"", ""en"")"),"stick")</f>
        <v>stick</v>
      </c>
      <c r="C39" s="2" t="str">
        <f>IFERROR(__xludf.DUMMYFUNCTION("GOOGLETRANSLATE(A39, ""hr"", ""de"")"),"Stock")</f>
        <v>Stock</v>
      </c>
      <c r="D39" s="2" t="str">
        <f>IFERROR(__xludf.DUMMYFUNCTION("GOOGLETRANSLATE(A39, ""hr"", ""cs"")"),"lepit")</f>
        <v>lepit</v>
      </c>
      <c r="E39" s="3" t="str">
        <f>IFERROR(__xludf.DUMMYFUNCTION("GOOGLETRANSLATE(A39, ""hr"", ""af"")"),"stok")</f>
        <v>stok</v>
      </c>
      <c r="F39" s="3" t="str">
        <f>IFERROR(__xludf.DUMMYFUNCTION("GOOGLETRANSLATE(A39, ""hr"", ""sq"")"),"ngjit")</f>
        <v>ngjit</v>
      </c>
      <c r="G39" s="3" t="str">
        <f>IFERROR(__xludf.DUMMYFUNCTION("GOOGLETRANSLATE(A39, ""hr"", ""ca"")"),"pal")</f>
        <v>pal</v>
      </c>
      <c r="H39" s="2" t="str">
        <f>IFERROR(__xludf.DUMMYFUNCTION("GOOGLETRANSLATE(A39, ""hr"", ""da"")"),"Pind")</f>
        <v>Pind</v>
      </c>
      <c r="I39" s="3" t="str">
        <f>IFERROR(__xludf.DUMMYFUNCTION("GOOGLETRANSLATE(A39, ""hr"", ""nl"")"),"stok")</f>
        <v>stok</v>
      </c>
      <c r="J39" s="3" t="str">
        <f>IFERROR(__xludf.DUMMYFUNCTION("GOOGLETRANSLATE(A39, ""hr"", ""et"")"),"kleepuma")</f>
        <v>kleepuma</v>
      </c>
      <c r="K39" s="3" t="str">
        <f>IFERROR(__xludf.DUMMYFUNCTION("GOOGLETRANSLATE(A39, ""hr"", ""tl"")"),"dumikit")</f>
        <v>dumikit</v>
      </c>
      <c r="L39" s="2" t="str">
        <f>IFERROR(__xludf.DUMMYFUNCTION("GOOGLETRANSLATE(A39, ""hr"", ""fi"")"),"tarttua")</f>
        <v>tarttua</v>
      </c>
      <c r="M39" s="3" t="str">
        <f>IFERROR(__xludf.DUMMYFUNCTION("GOOGLETRANSLATE(A39, ""hr"", ""fr"")"),"coller")</f>
        <v>coller</v>
      </c>
      <c r="N39" s="3" t="str">
        <f>IFERROR(__xludf.DUMMYFUNCTION("GOOGLETRANSLATE(A39, ""hr"", ""gl"")"),"Stick")</f>
        <v>Stick</v>
      </c>
      <c r="O39" s="2" t="str">
        <f>IFERROR(__xludf.DUMMYFUNCTION("GOOGLETRANSLATE(A39, ""hr"", ""ht"")"),"baton")</f>
        <v>baton</v>
      </c>
      <c r="P39" s="3" t="str">
        <f>IFERROR(__xludf.DUMMYFUNCTION("GOOGLETRANSLATE(A39, ""hr"", ""is"")"),"Stick")</f>
        <v>Stick</v>
      </c>
      <c r="Q39" s="2" t="str">
        <f>IFERROR(__xludf.DUMMYFUNCTION("GOOGLETRANSLATE(A39, ""hr"", ""id"")"),"tongkat")</f>
        <v>tongkat</v>
      </c>
      <c r="R39" s="2" t="str">
        <f>IFERROR(__xludf.DUMMYFUNCTION("GOOGLETRANSLATE(A39, ""hr"", ""ga"")"),"bata")</f>
        <v>bata</v>
      </c>
      <c r="S39" s="3" t="str">
        <f>IFERROR(__xludf.DUMMYFUNCTION("GOOGLETRANSLATE(A39, ""hr"", ""it"")"),"bastone")</f>
        <v>bastone</v>
      </c>
      <c r="T39" s="2" t="str">
        <f>IFERROR(__xludf.DUMMYFUNCTION("GOOGLETRANSLATE(A39, ""hr"", ""lv"")"),"pielipt")</f>
        <v>pielipt</v>
      </c>
      <c r="U39" s="2" t="str">
        <f>IFERROR(__xludf.DUMMYFUNCTION("GOOGLETRANSLATE(A39, ""hr"", ""lt"")"),"priklijuoti")</f>
        <v>priklijuoti</v>
      </c>
      <c r="V39" s="2" t="str">
        <f>IFERROR(__xludf.DUMMYFUNCTION("GOOGLETRANSLATE(A39, ""hr"", ""no"")"),"pinne")</f>
        <v>pinne</v>
      </c>
      <c r="W39" s="2" t="str">
        <f>IFERROR(__xludf.DUMMYFUNCTION("GOOGLETRANSLATE(A39, ""hr"", ""mt"")"),"stick")</f>
        <v>stick</v>
      </c>
      <c r="X39" s="2" t="str">
        <f>IFERROR(__xludf.DUMMYFUNCTION("GOOGLETRANSLATE(A39, ""hr"", ""es"")"),"vara")</f>
        <v>vara</v>
      </c>
      <c r="Y39" s="2" t="str">
        <f>IFERROR(__xludf.DUMMYFUNCTION("GOOGLETRANSLATE(A39, ""hr"", ""sl"")"),"palico")</f>
        <v>palico</v>
      </c>
      <c r="Z39" s="2" t="str">
        <f>IFERROR(__xludf.DUMMYFUNCTION("GOOGLETRANSLATE(A39, ""hr"", ""sk"")"),"palica")</f>
        <v>palica</v>
      </c>
    </row>
    <row r="40">
      <c r="A40" s="1" t="s">
        <v>39</v>
      </c>
      <c r="B40" s="2" t="str">
        <f>IFERROR(__xludf.DUMMYFUNCTION("GOOGLETRANSLATE(A40, ""hr"", ""en"")"),"win")</f>
        <v>win</v>
      </c>
      <c r="C40" s="2" t="str">
        <f>IFERROR(__xludf.DUMMYFUNCTION("GOOGLETRANSLATE(A40, ""hr"", ""de"")"),"gewinnen")</f>
        <v>gewinnen</v>
      </c>
      <c r="D40" s="2" t="str">
        <f>IFERROR(__xludf.DUMMYFUNCTION("GOOGLETRANSLATE(A40, ""hr"", ""cs"")"),"vyhrát")</f>
        <v>vyhrát</v>
      </c>
      <c r="E40" s="3" t="str">
        <f>IFERROR(__xludf.DUMMYFUNCTION("GOOGLETRANSLATE(A40, ""hr"", ""af"")"),"wen")</f>
        <v>wen</v>
      </c>
      <c r="F40" s="3" t="str">
        <f>IFERROR(__xludf.DUMMYFUNCTION("GOOGLETRANSLATE(A40, ""hr"", ""sq"")"),"fitoj")</f>
        <v>fitoj</v>
      </c>
      <c r="G40" s="3" t="str">
        <f>IFERROR(__xludf.DUMMYFUNCTION("GOOGLETRANSLATE(A40, ""hr"", ""ca"")"),"guanyar")</f>
        <v>guanyar</v>
      </c>
      <c r="H40" s="2" t="str">
        <f>IFERROR(__xludf.DUMMYFUNCTION("GOOGLETRANSLATE(A40, ""hr"", ""da"")"),"vinde")</f>
        <v>vinde</v>
      </c>
      <c r="I40" s="3" t="str">
        <f>IFERROR(__xludf.DUMMYFUNCTION("GOOGLETRANSLATE(A40, ""hr"", ""nl"")"),"winnen")</f>
        <v>winnen</v>
      </c>
      <c r="J40" s="3" t="str">
        <f>IFERROR(__xludf.DUMMYFUNCTION("GOOGLETRANSLATE(A40, ""hr"", ""et"")"),"võitma")</f>
        <v>võitma</v>
      </c>
      <c r="K40" s="3" t="str">
        <f>IFERROR(__xludf.DUMMYFUNCTION("GOOGLETRANSLATE(A40, ""hr"", ""tl"")"),"Manalo")</f>
        <v>Manalo</v>
      </c>
      <c r="L40" s="2" t="str">
        <f>IFERROR(__xludf.DUMMYFUNCTION("GOOGLETRANSLATE(A40, ""hr"", ""fi"")"),"voittaa")</f>
        <v>voittaa</v>
      </c>
      <c r="M40" s="3" t="str">
        <f>IFERROR(__xludf.DUMMYFUNCTION("GOOGLETRANSLATE(A40, ""hr"", ""fr"")"),"gagner")</f>
        <v>gagner</v>
      </c>
      <c r="N40" s="3" t="str">
        <f>IFERROR(__xludf.DUMMYFUNCTION("GOOGLETRANSLATE(A40, ""hr"", ""gl"")"),"gañar")</f>
        <v>gañar</v>
      </c>
      <c r="O40" s="2" t="str">
        <f>IFERROR(__xludf.DUMMYFUNCTION("GOOGLETRANSLATE(A40, ""hr"", ""ht"")"),"genyen")</f>
        <v>genyen</v>
      </c>
      <c r="P40" s="3" t="str">
        <f>IFERROR(__xludf.DUMMYFUNCTION("GOOGLETRANSLATE(A40, ""hr"", ""is"")"),"VINNA")</f>
        <v>VINNA</v>
      </c>
      <c r="Q40" s="2" t="str">
        <f>IFERROR(__xludf.DUMMYFUNCTION("GOOGLETRANSLATE(A40, ""hr"", ""id"")"),"menang")</f>
        <v>menang</v>
      </c>
      <c r="R40" s="2" t="str">
        <f>IFERROR(__xludf.DUMMYFUNCTION("GOOGLETRANSLATE(A40, ""hr"", ""ga"")"),"bua")</f>
        <v>bua</v>
      </c>
      <c r="S40" s="3" t="str">
        <f>IFERROR(__xludf.DUMMYFUNCTION("GOOGLETRANSLATE(A40, ""hr"", ""it"")"),"vincita")</f>
        <v>vincita</v>
      </c>
      <c r="T40" s="2" t="str">
        <f>IFERROR(__xludf.DUMMYFUNCTION("GOOGLETRANSLATE(A40, ""hr"", ""lv"")"),"uzvarēt")</f>
        <v>uzvarēt</v>
      </c>
      <c r="U40" s="2" t="str">
        <f>IFERROR(__xludf.DUMMYFUNCTION("GOOGLETRANSLATE(A40, ""hr"", ""lt"")"),"laimėti")</f>
        <v>laimėti</v>
      </c>
      <c r="V40" s="2" t="str">
        <f>IFERROR(__xludf.DUMMYFUNCTION("GOOGLETRANSLATE(A40, ""hr"", ""no"")"),"vinne")</f>
        <v>vinne</v>
      </c>
      <c r="W40" s="2" t="str">
        <f>IFERROR(__xludf.DUMMYFUNCTION("GOOGLETRANSLATE(A40, ""hr"", ""mt"")"),"Irbaħ")</f>
        <v>Irbaħ</v>
      </c>
      <c r="X40" s="2" t="str">
        <f>IFERROR(__xludf.DUMMYFUNCTION("GOOGLETRANSLATE(A40, ""hr"", ""es"")"),"ganar")</f>
        <v>ganar</v>
      </c>
      <c r="Y40" s="2" t="str">
        <f>IFERROR(__xludf.DUMMYFUNCTION("GOOGLETRANSLATE(A40, ""hr"", ""sl"")"),"zmaga")</f>
        <v>zmaga</v>
      </c>
      <c r="Z40" s="2" t="str">
        <f>IFERROR(__xludf.DUMMYFUNCTION("GOOGLETRANSLATE(A40, ""hr"", ""sk"")"),"vyhrať")</f>
        <v>vyhrať</v>
      </c>
    </row>
    <row r="41">
      <c r="A41" s="1" t="s">
        <v>40</v>
      </c>
      <c r="B41" s="2" t="str">
        <f>IFERROR(__xludf.DUMMYFUNCTION("GOOGLETRANSLATE(A41, ""hr"", ""en"")"),"loss")</f>
        <v>loss</v>
      </c>
      <c r="C41" s="2" t="str">
        <f>IFERROR(__xludf.DUMMYFUNCTION("GOOGLETRANSLATE(A41, ""hr"", ""de"")"),"Verlust")</f>
        <v>Verlust</v>
      </c>
      <c r="D41" s="2" t="str">
        <f>IFERROR(__xludf.DUMMYFUNCTION("GOOGLETRANSLATE(A41, ""hr"", ""cs"")"),"ztráta")</f>
        <v>ztráta</v>
      </c>
      <c r="E41" s="3" t="str">
        <f>IFERROR(__xludf.DUMMYFUNCTION("GOOGLETRANSLATE(A41, ""hr"", ""af"")"),"verlies")</f>
        <v>verlies</v>
      </c>
      <c r="F41" s="3" t="str">
        <f>IFERROR(__xludf.DUMMYFUNCTION("GOOGLETRANSLATE(A41, ""hr"", ""sq"")"),"humbje")</f>
        <v>humbje</v>
      </c>
      <c r="G41" s="3" t="str">
        <f>IFERROR(__xludf.DUMMYFUNCTION("GOOGLETRANSLATE(A41, ""hr"", ""ca"")"),"pèrdua")</f>
        <v>pèrdua</v>
      </c>
      <c r="H41" s="2" t="str">
        <f>IFERROR(__xludf.DUMMYFUNCTION("GOOGLETRANSLATE(A41, ""hr"", ""da"")"),"tab")</f>
        <v>tab</v>
      </c>
      <c r="I41" s="3" t="str">
        <f>IFERROR(__xludf.DUMMYFUNCTION("GOOGLETRANSLATE(A41, ""hr"", ""nl"")"),"verlies")</f>
        <v>verlies</v>
      </c>
      <c r="J41" s="3" t="str">
        <f>IFERROR(__xludf.DUMMYFUNCTION("GOOGLETRANSLATE(A41, ""hr"", ""et"")"),"kaotus")</f>
        <v>kaotus</v>
      </c>
      <c r="K41" s="3" t="str">
        <f>IFERROR(__xludf.DUMMYFUNCTION("GOOGLETRANSLATE(A41, ""hr"", ""tl"")"),"pagkawala")</f>
        <v>pagkawala</v>
      </c>
      <c r="L41" s="2" t="str">
        <f>IFERROR(__xludf.DUMMYFUNCTION("GOOGLETRANSLATE(A41, ""hr"", ""fi"")"),"menetys")</f>
        <v>menetys</v>
      </c>
      <c r="M41" s="3" t="str">
        <f>IFERROR(__xludf.DUMMYFUNCTION("GOOGLETRANSLATE(A41, ""hr"", ""fr"")"),"perte")</f>
        <v>perte</v>
      </c>
      <c r="N41" s="3" t="str">
        <f>IFERROR(__xludf.DUMMYFUNCTION("GOOGLETRANSLATE(A41, ""hr"", ""gl"")"),"perda")</f>
        <v>perda</v>
      </c>
      <c r="O41" s="2" t="str">
        <f>IFERROR(__xludf.DUMMYFUNCTION("GOOGLETRANSLATE(A41, ""hr"", ""ht"")"),"pèt")</f>
        <v>pèt</v>
      </c>
      <c r="P41" s="3" t="str">
        <f>IFERROR(__xludf.DUMMYFUNCTION("GOOGLETRANSLATE(A41, ""hr"", ""is"")"),"tap")</f>
        <v>tap</v>
      </c>
      <c r="Q41" s="2" t="str">
        <f>IFERROR(__xludf.DUMMYFUNCTION("GOOGLETRANSLATE(A41, ""hr"", ""id"")"),"kehilangan")</f>
        <v>kehilangan</v>
      </c>
      <c r="R41" s="2" t="str">
        <f>IFERROR(__xludf.DUMMYFUNCTION("GOOGLETRANSLATE(A41, ""hr"", ""ga"")"),"caill")</f>
        <v>caill</v>
      </c>
      <c r="S41" s="3" t="str">
        <f>IFERROR(__xludf.DUMMYFUNCTION("GOOGLETRANSLATE(A41, ""hr"", ""it"")"),"perdita")</f>
        <v>perdita</v>
      </c>
      <c r="T41" s="2" t="str">
        <f>IFERROR(__xludf.DUMMYFUNCTION("GOOGLETRANSLATE(A41, ""hr"", ""lv"")"),"zaudējums")</f>
        <v>zaudējums</v>
      </c>
      <c r="U41" s="2" t="str">
        <f>IFERROR(__xludf.DUMMYFUNCTION("GOOGLETRANSLATE(A41, ""hr"", ""lt"")"),"praradimas")</f>
        <v>praradimas</v>
      </c>
      <c r="V41" s="2" t="str">
        <f>IFERROR(__xludf.DUMMYFUNCTION("GOOGLETRANSLATE(A41, ""hr"", ""no"")"),"tap")</f>
        <v>tap</v>
      </c>
      <c r="W41" s="2" t="str">
        <f>IFERROR(__xludf.DUMMYFUNCTION("GOOGLETRANSLATE(A41, ""hr"", ""mt"")"),"telf")</f>
        <v>telf</v>
      </c>
      <c r="X41" s="2" t="str">
        <f>IFERROR(__xludf.DUMMYFUNCTION("GOOGLETRANSLATE(A41, ""hr"", ""es"")"),"pérdida")</f>
        <v>pérdida</v>
      </c>
      <c r="Y41" s="2" t="str">
        <f>IFERROR(__xludf.DUMMYFUNCTION("GOOGLETRANSLATE(A41, ""hr"", ""sl"")"),"izguba")</f>
        <v>izguba</v>
      </c>
      <c r="Z41" s="2" t="str">
        <f>IFERROR(__xludf.DUMMYFUNCTION("GOOGLETRANSLATE(A41, ""hr"", ""sk"")"),"strata")</f>
        <v>strata</v>
      </c>
    </row>
    <row r="42">
      <c r="A42" s="1" t="s">
        <v>41</v>
      </c>
      <c r="B42" s="2" t="str">
        <f>IFERROR(__xludf.DUMMYFUNCTION("GOOGLETRANSLATE(A42, ""hr"", ""en"")"),"unsolved")</f>
        <v>unsolved</v>
      </c>
      <c r="C42" s="2" t="str">
        <f>IFERROR(__xludf.DUMMYFUNCTION("GOOGLETRANSLATE(A42, ""hr"", ""de"")"),"ungelöst")</f>
        <v>ungelöst</v>
      </c>
      <c r="D42" s="2" t="str">
        <f>IFERROR(__xludf.DUMMYFUNCTION("GOOGLETRANSLATE(A42, ""hr"", ""cs"")"),"nevyřešený")</f>
        <v>nevyřešený</v>
      </c>
      <c r="E42" s="3" t="str">
        <f>IFERROR(__xludf.DUMMYFUNCTION("GOOGLETRANSLATE(A42, ""hr"", ""af"")"),"onopgelos")</f>
        <v>onopgelos</v>
      </c>
      <c r="F42" s="3" t="str">
        <f>IFERROR(__xludf.DUMMYFUNCTION("GOOGLETRANSLATE(A42, ""hr"", ""sq"")"),"i pazgjedhur")</f>
        <v>i pazgjedhur</v>
      </c>
      <c r="G42" s="3" t="str">
        <f>IFERROR(__xludf.DUMMYFUNCTION("GOOGLETRANSLATE(A42, ""hr"", ""ca"")"),"no resolt")</f>
        <v>no resolt</v>
      </c>
      <c r="H42" s="2" t="str">
        <f>IFERROR(__xludf.DUMMYFUNCTION("GOOGLETRANSLATE(A42, ""hr"", ""da"")"),"uløst")</f>
        <v>uløst</v>
      </c>
      <c r="I42" s="3" t="str">
        <f>IFERROR(__xludf.DUMMYFUNCTION("GOOGLETRANSLATE(A42, ""hr"", ""nl"")"),"onopgelost")</f>
        <v>onopgelost</v>
      </c>
      <c r="J42" s="3" t="str">
        <f>IFERROR(__xludf.DUMMYFUNCTION("GOOGLETRANSLATE(A42, ""hr"", ""et"")"),"lahendamata")</f>
        <v>lahendamata</v>
      </c>
      <c r="K42" s="3" t="str">
        <f>IFERROR(__xludf.DUMMYFUNCTION("GOOGLETRANSLATE(A42, ""hr"", ""tl"")"),"hindi nalutas")</f>
        <v>hindi nalutas</v>
      </c>
      <c r="L42" s="2" t="str">
        <f>IFERROR(__xludf.DUMMYFUNCTION("GOOGLETRANSLATE(A42, ""hr"", ""fi"")"),"ratkaisematon")</f>
        <v>ratkaisematon</v>
      </c>
      <c r="M42" s="3" t="str">
        <f>IFERROR(__xludf.DUMMYFUNCTION("GOOGLETRANSLATE(A42, ""hr"", ""fr"")"),"non résolu")</f>
        <v>non résolu</v>
      </c>
      <c r="N42" s="3" t="str">
        <f>IFERROR(__xludf.DUMMYFUNCTION("GOOGLETRANSLATE(A42, ""hr"", ""gl"")"),"sen resolver")</f>
        <v>sen resolver</v>
      </c>
      <c r="O42" s="2" t="str">
        <f>IFERROR(__xludf.DUMMYFUNCTION("GOOGLETRANSLATE(A42, ""hr"", ""ht"")"),"rezoud")</f>
        <v>rezoud</v>
      </c>
      <c r="P42" s="3" t="str">
        <f>IFERROR(__xludf.DUMMYFUNCTION("GOOGLETRANSLATE(A42, ""hr"", ""is"")"),"óleyst")</f>
        <v>óleyst</v>
      </c>
      <c r="Q42" s="2" t="str">
        <f>IFERROR(__xludf.DUMMYFUNCTION("GOOGLETRANSLATE(A42, ""hr"", ""id"")"),"belum terpecahkan")</f>
        <v>belum terpecahkan</v>
      </c>
      <c r="R42" s="2" t="str">
        <f>IFERROR(__xludf.DUMMYFUNCTION("GOOGLETRANSLATE(A42, ""hr"", ""ga"")"),"gan réiteach")</f>
        <v>gan réiteach</v>
      </c>
      <c r="S42" s="3" t="str">
        <f>IFERROR(__xludf.DUMMYFUNCTION("GOOGLETRANSLATE(A42, ""hr"", ""it"")"),"irrisolto")</f>
        <v>irrisolto</v>
      </c>
      <c r="T42" s="2" t="str">
        <f>IFERROR(__xludf.DUMMYFUNCTION("GOOGLETRANSLATE(A42, ""hr"", ""lv"")"),"neatrisināts")</f>
        <v>neatrisināts</v>
      </c>
      <c r="U42" s="2" t="str">
        <f>IFERROR(__xludf.DUMMYFUNCTION("GOOGLETRANSLATE(A42, ""hr"", ""lt"")"),"neišspręstas")</f>
        <v>neišspręstas</v>
      </c>
      <c r="V42" s="2" t="str">
        <f>IFERROR(__xludf.DUMMYFUNCTION("GOOGLETRANSLATE(A42, ""hr"", ""no"")"),"uløst")</f>
        <v>uløst</v>
      </c>
      <c r="W42" s="2" t="str">
        <f>IFERROR(__xludf.DUMMYFUNCTION("GOOGLETRANSLATE(A42, ""hr"", ""mt"")"),"mhux solvut")</f>
        <v>mhux solvut</v>
      </c>
      <c r="X42" s="2" t="str">
        <f>IFERROR(__xludf.DUMMYFUNCTION("GOOGLETRANSLATE(A42, ""hr"", ""es"")"),"no resuelto")</f>
        <v>no resuelto</v>
      </c>
      <c r="Y42" s="2" t="str">
        <f>IFERROR(__xludf.DUMMYFUNCTION("GOOGLETRANSLATE(A42, ""hr"", ""sl"")"),"nerešeno")</f>
        <v>nerešeno</v>
      </c>
      <c r="Z42" s="2" t="str">
        <f>IFERROR(__xludf.DUMMYFUNCTION("GOOGLETRANSLATE(A42, ""hr"", ""sk"")"),"nevyriešený")</f>
        <v>nevyriešený</v>
      </c>
    </row>
    <row r="43">
      <c r="A43" s="1" t="s">
        <v>42</v>
      </c>
      <c r="B43" s="2" t="str">
        <f>IFERROR(__xludf.DUMMYFUNCTION("GOOGLETRANSLATE(A43, ""hr"", ""en"")"),"chess")</f>
        <v>chess</v>
      </c>
      <c r="C43" s="2" t="str">
        <f>IFERROR(__xludf.DUMMYFUNCTION("GOOGLETRANSLATE(A43, ""hr"", ""de"")"),"Schach")</f>
        <v>Schach</v>
      </c>
      <c r="D43" s="2" t="str">
        <f>IFERROR(__xludf.DUMMYFUNCTION("GOOGLETRANSLATE(A43, ""hr"", ""cs"")"),"šachy")</f>
        <v>šachy</v>
      </c>
      <c r="E43" s="3" t="str">
        <f>IFERROR(__xludf.DUMMYFUNCTION("GOOGLETRANSLATE(A43, ""hr"", ""af"")"),"skaak")</f>
        <v>skaak</v>
      </c>
      <c r="F43" s="3" t="str">
        <f>IFERROR(__xludf.DUMMYFUNCTION("GOOGLETRANSLATE(A43, ""hr"", ""sq"")"),"shah")</f>
        <v>shah</v>
      </c>
      <c r="G43" s="3" t="str">
        <f>IFERROR(__xludf.DUMMYFUNCTION("GOOGLETRANSLATE(A43, ""hr"", ""ca"")"),"escacs")</f>
        <v>escacs</v>
      </c>
      <c r="H43" s="2" t="str">
        <f>IFERROR(__xludf.DUMMYFUNCTION("GOOGLETRANSLATE(A43, ""hr"", ""da"")"),"skak")</f>
        <v>skak</v>
      </c>
      <c r="I43" s="3" t="str">
        <f>IFERROR(__xludf.DUMMYFUNCTION("GOOGLETRANSLATE(A43, ""hr"", ""nl"")"),"schaken")</f>
        <v>schaken</v>
      </c>
      <c r="J43" s="3" t="str">
        <f>IFERROR(__xludf.DUMMYFUNCTION("GOOGLETRANSLATE(A43, ""hr"", ""et"")"),"male")</f>
        <v>male</v>
      </c>
      <c r="K43" s="3" t="str">
        <f>IFERROR(__xludf.DUMMYFUNCTION("GOOGLETRANSLATE(A43, ""hr"", ""tl"")"),"Chess")</f>
        <v>Chess</v>
      </c>
      <c r="L43" s="2" t="str">
        <f>IFERROR(__xludf.DUMMYFUNCTION("GOOGLETRANSLATE(A43, ""hr"", ""fi"")"),"shakki")</f>
        <v>shakki</v>
      </c>
      <c r="M43" s="3" t="str">
        <f>IFERROR(__xludf.DUMMYFUNCTION("GOOGLETRANSLATE(A43, ""hr"", ""fr"")"),"jeu d'échecs")</f>
        <v>jeu d'échecs</v>
      </c>
      <c r="N43" s="3" t="str">
        <f>IFERROR(__xludf.DUMMYFUNCTION("GOOGLETRANSLATE(A43, ""hr"", ""gl"")"),"xadrez")</f>
        <v>xadrez</v>
      </c>
      <c r="O43" s="2" t="str">
        <f>IFERROR(__xludf.DUMMYFUNCTION("GOOGLETRANSLATE(A43, ""hr"", ""ht"")"),"zechèk")</f>
        <v>zechèk</v>
      </c>
      <c r="P43" s="3" t="str">
        <f>IFERROR(__xludf.DUMMYFUNCTION("GOOGLETRANSLATE(A43, ""hr"", ""is"")"),"skák")</f>
        <v>skák</v>
      </c>
      <c r="Q43" s="2" t="str">
        <f>IFERROR(__xludf.DUMMYFUNCTION("GOOGLETRANSLATE(A43, ""hr"", ""id"")"),"catur")</f>
        <v>catur</v>
      </c>
      <c r="R43" s="2" t="str">
        <f>IFERROR(__xludf.DUMMYFUNCTION("GOOGLETRANSLATE(A43, ""hr"", ""ga"")"),"ficheall")</f>
        <v>ficheall</v>
      </c>
      <c r="S43" s="3" t="str">
        <f>IFERROR(__xludf.DUMMYFUNCTION("GOOGLETRANSLATE(A43, ""hr"", ""it"")"),"scacchi")</f>
        <v>scacchi</v>
      </c>
      <c r="T43" s="2" t="str">
        <f>IFERROR(__xludf.DUMMYFUNCTION("GOOGLETRANSLATE(A43, ""hr"", ""lv"")"),"šahs")</f>
        <v>šahs</v>
      </c>
      <c r="U43" s="2" t="str">
        <f>IFERROR(__xludf.DUMMYFUNCTION("GOOGLETRANSLATE(A43, ""hr"", ""lt"")"),"Šachmatai")</f>
        <v>Šachmatai</v>
      </c>
      <c r="V43" s="2" t="str">
        <f>IFERROR(__xludf.DUMMYFUNCTION("GOOGLETRANSLATE(A43, ""hr"", ""no"")"),"sjakk")</f>
        <v>sjakk</v>
      </c>
      <c r="W43" s="2" t="str">
        <f>IFERROR(__xludf.DUMMYFUNCTION("GOOGLETRANSLATE(A43, ""hr"", ""mt"")"),"ċess")</f>
        <v>ċess</v>
      </c>
      <c r="X43" s="2" t="str">
        <f>IFERROR(__xludf.DUMMYFUNCTION("GOOGLETRANSLATE(A43, ""hr"", ""es"")"),"ajedrez")</f>
        <v>ajedrez</v>
      </c>
      <c r="Y43" s="2" t="str">
        <f>IFERROR(__xludf.DUMMYFUNCTION("GOOGLETRANSLATE(A43, ""hr"", ""sl"")"),"šah")</f>
        <v>šah</v>
      </c>
      <c r="Z43" s="2" t="str">
        <f>IFERROR(__xludf.DUMMYFUNCTION("GOOGLETRANSLATE(A43, ""hr"", ""sk"")"),"šachový")</f>
        <v>šachový</v>
      </c>
    </row>
    <row r="44">
      <c r="A44" s="1" t="s">
        <v>43</v>
      </c>
      <c r="B44" s="2" t="str">
        <f>IFERROR(__xludf.DUMMYFUNCTION("GOOGLETRANSLATE(A44, ""hr"", ""en"")"),"captain")</f>
        <v>captain</v>
      </c>
      <c r="C44" s="2" t="str">
        <f>IFERROR(__xludf.DUMMYFUNCTION("GOOGLETRANSLATE(A44, ""hr"", ""de"")"),"Kapitän")</f>
        <v>Kapitän</v>
      </c>
      <c r="D44" s="2" t="str">
        <f>IFERROR(__xludf.DUMMYFUNCTION("GOOGLETRANSLATE(A44, ""hr"", ""cs"")"),"kapitán")</f>
        <v>kapitán</v>
      </c>
      <c r="E44" s="3" t="str">
        <f>IFERROR(__xludf.DUMMYFUNCTION("GOOGLETRANSLATE(A44, ""hr"", ""af"")"),"kaptein")</f>
        <v>kaptein</v>
      </c>
      <c r="F44" s="3" t="str">
        <f>IFERROR(__xludf.DUMMYFUNCTION("GOOGLETRANSLATE(A44, ""hr"", ""sq"")"),"kapiten")</f>
        <v>kapiten</v>
      </c>
      <c r="G44" s="3" t="str">
        <f>IFERROR(__xludf.DUMMYFUNCTION("GOOGLETRANSLATE(A44, ""hr"", ""ca"")"),"capità")</f>
        <v>capità</v>
      </c>
      <c r="H44" s="2" t="str">
        <f>IFERROR(__xludf.DUMMYFUNCTION("GOOGLETRANSLATE(A44, ""hr"", ""da"")"),"kaptajn")</f>
        <v>kaptajn</v>
      </c>
      <c r="I44" s="3" t="str">
        <f>IFERROR(__xludf.DUMMYFUNCTION("GOOGLETRANSLATE(A44, ""hr"", ""nl"")"),"kapitein")</f>
        <v>kapitein</v>
      </c>
      <c r="J44" s="3" t="str">
        <f>IFERROR(__xludf.DUMMYFUNCTION("GOOGLETRANSLATE(A44, ""hr"", ""et"")"),"kapten")</f>
        <v>kapten</v>
      </c>
      <c r="K44" s="3" t="str">
        <f>IFERROR(__xludf.DUMMYFUNCTION("GOOGLETRANSLATE(A44, ""hr"", ""tl"")"),"Kapitan")</f>
        <v>Kapitan</v>
      </c>
      <c r="L44" s="2" t="str">
        <f>IFERROR(__xludf.DUMMYFUNCTION("GOOGLETRANSLATE(A44, ""hr"", ""fi"")"),"kapteeni")</f>
        <v>kapteeni</v>
      </c>
      <c r="M44" s="3" t="str">
        <f>IFERROR(__xludf.DUMMYFUNCTION("GOOGLETRANSLATE(A44, ""hr"", ""fr"")"),"capitaine")</f>
        <v>capitaine</v>
      </c>
      <c r="N44" s="3" t="str">
        <f>IFERROR(__xludf.DUMMYFUNCTION("GOOGLETRANSLATE(A44, ""hr"", ""gl"")"),"Capitán")</f>
        <v>Capitán</v>
      </c>
      <c r="O44" s="2" t="str">
        <f>IFERROR(__xludf.DUMMYFUNCTION("GOOGLETRANSLATE(A44, ""hr"", ""ht"")"),"kapitènn")</f>
        <v>kapitènn</v>
      </c>
      <c r="P44" s="3" t="str">
        <f>IFERROR(__xludf.DUMMYFUNCTION("GOOGLETRANSLATE(A44, ""hr"", ""is"")"),"skipstjóri")</f>
        <v>skipstjóri</v>
      </c>
      <c r="Q44" s="2" t="str">
        <f>IFERROR(__xludf.DUMMYFUNCTION("GOOGLETRANSLATE(A44, ""hr"", ""id"")"),"Kapten")</f>
        <v>Kapten</v>
      </c>
      <c r="R44" s="2" t="str">
        <f>IFERROR(__xludf.DUMMYFUNCTION("GOOGLETRANSLATE(A44, ""hr"", ""ga"")"),"caire")</f>
        <v>caire</v>
      </c>
      <c r="S44" s="3" t="str">
        <f>IFERROR(__xludf.DUMMYFUNCTION("GOOGLETRANSLATE(A44, ""hr"", ""it"")"),"Capitano")</f>
        <v>Capitano</v>
      </c>
      <c r="T44" s="2" t="str">
        <f>IFERROR(__xludf.DUMMYFUNCTION("GOOGLETRANSLATE(A44, ""hr"", ""lv"")"),"kapteinis")</f>
        <v>kapteinis</v>
      </c>
      <c r="U44" s="2" t="str">
        <f>IFERROR(__xludf.DUMMYFUNCTION("GOOGLETRANSLATE(A44, ""hr"", ""lt"")"),"Kapitonas")</f>
        <v>Kapitonas</v>
      </c>
      <c r="V44" s="2" t="str">
        <f>IFERROR(__xludf.DUMMYFUNCTION("GOOGLETRANSLATE(A44, ""hr"", ""no"")"),"kaptein")</f>
        <v>kaptein</v>
      </c>
      <c r="W44" s="2" t="str">
        <f>IFERROR(__xludf.DUMMYFUNCTION("GOOGLETRANSLATE(A44, ""hr"", ""mt"")"),"Kaptan")</f>
        <v>Kaptan</v>
      </c>
      <c r="X44" s="2" t="str">
        <f>IFERROR(__xludf.DUMMYFUNCTION("GOOGLETRANSLATE(A44, ""hr"", ""es"")"),"capitán")</f>
        <v>capitán</v>
      </c>
      <c r="Y44" s="2" t="str">
        <f>IFERROR(__xludf.DUMMYFUNCTION("GOOGLETRANSLATE(A44, ""hr"", ""sl"")"),"kapitan")</f>
        <v>kapitan</v>
      </c>
      <c r="Z44" s="2" t="str">
        <f>IFERROR(__xludf.DUMMYFUNCTION("GOOGLETRANSLATE(A44, ""hr"", ""sk"")"),"kapitán")</f>
        <v>kapitán</v>
      </c>
    </row>
    <row r="45">
      <c r="A45" s="1" t="s">
        <v>44</v>
      </c>
      <c r="B45" s="2" t="str">
        <f>IFERROR(__xludf.DUMMYFUNCTION("GOOGLETRANSLATE(A45, ""hr"", ""en"")"),"coach")</f>
        <v>coach</v>
      </c>
      <c r="C45" s="2" t="str">
        <f>IFERROR(__xludf.DUMMYFUNCTION("GOOGLETRANSLATE(A45, ""hr"", ""de"")"),"Trainer")</f>
        <v>Trainer</v>
      </c>
      <c r="D45" s="2" t="str">
        <f>IFERROR(__xludf.DUMMYFUNCTION("GOOGLETRANSLATE(A45, ""hr"", ""cs"")"),"trenér")</f>
        <v>trenér</v>
      </c>
      <c r="E45" s="3" t="str">
        <f>IFERROR(__xludf.DUMMYFUNCTION("GOOGLETRANSLATE(A45, ""hr"", ""af"")"),"breier")</f>
        <v>breier</v>
      </c>
      <c r="F45" s="3" t="str">
        <f>IFERROR(__xludf.DUMMYFUNCTION("GOOGLETRANSLATE(A45, ""hr"", ""sq"")"),"trainer")</f>
        <v>trainer</v>
      </c>
      <c r="G45" s="3" t="str">
        <f>IFERROR(__xludf.DUMMYFUNCTION("GOOGLETRANSLATE(A45, ""hr"", ""ca"")"),"entrenador")</f>
        <v>entrenador</v>
      </c>
      <c r="H45" s="2" t="str">
        <f>IFERROR(__xludf.DUMMYFUNCTION("GOOGLETRANSLATE(A45, ""hr"", ""da"")"),"træner")</f>
        <v>træner</v>
      </c>
      <c r="I45" s="3" t="str">
        <f>IFERROR(__xludf.DUMMYFUNCTION("GOOGLETRANSLATE(A45, ""hr"", ""nl"")"),"trainer")</f>
        <v>trainer</v>
      </c>
      <c r="J45" s="3" t="str">
        <f>IFERROR(__xludf.DUMMYFUNCTION("GOOGLETRANSLATE(A45, ""hr"", ""et"")"),"treener")</f>
        <v>treener</v>
      </c>
      <c r="K45" s="3" t="str">
        <f>IFERROR(__xludf.DUMMYFUNCTION("GOOGLETRANSLATE(A45, ""hr"", ""tl"")"),"coach")</f>
        <v>coach</v>
      </c>
      <c r="L45" s="2" t="str">
        <f>IFERROR(__xludf.DUMMYFUNCTION("GOOGLETRANSLATE(A45, ""hr"", ""fi"")"),"valmentaja")</f>
        <v>valmentaja</v>
      </c>
      <c r="M45" s="3" t="str">
        <f>IFERROR(__xludf.DUMMYFUNCTION("GOOGLETRANSLATE(A45, ""hr"", ""fr"")"),"entraîneur")</f>
        <v>entraîneur</v>
      </c>
      <c r="N45" s="3" t="str">
        <f>IFERROR(__xludf.DUMMYFUNCTION("GOOGLETRANSLATE(A45, ""hr"", ""gl"")"),"adestrador")</f>
        <v>adestrador</v>
      </c>
      <c r="O45" s="2" t="str">
        <f>IFERROR(__xludf.DUMMYFUNCTION("GOOGLETRANSLATE(A45, ""hr"", ""ht"")"),"antrenè")</f>
        <v>antrenè</v>
      </c>
      <c r="P45" s="3" t="str">
        <f>IFERROR(__xludf.DUMMYFUNCTION("GOOGLETRANSLATE(A45, ""hr"", ""is"")"),"Þjálfari")</f>
        <v>Þjálfari</v>
      </c>
      <c r="Q45" s="2" t="str">
        <f>IFERROR(__xludf.DUMMYFUNCTION("GOOGLETRANSLATE(A45, ""hr"", ""id"")"),"pelatih")</f>
        <v>pelatih</v>
      </c>
      <c r="R45" s="2" t="str">
        <f>IFERROR(__xludf.DUMMYFUNCTION("GOOGLETRANSLATE(A45, ""hr"", ""ga"")"),"páirtí")</f>
        <v>páirtí</v>
      </c>
      <c r="S45" s="3" t="str">
        <f>IFERROR(__xludf.DUMMYFUNCTION("GOOGLETRANSLATE(A45, ""hr"", ""it"")"),"allenatore")</f>
        <v>allenatore</v>
      </c>
      <c r="T45" s="2" t="str">
        <f>IFERROR(__xludf.DUMMYFUNCTION("GOOGLETRANSLATE(A45, ""hr"", ""lv"")"),"trenēt")</f>
        <v>trenēt</v>
      </c>
      <c r="U45" s="2" t="str">
        <f>IFERROR(__xludf.DUMMYFUNCTION("GOOGLETRANSLATE(A45, ""hr"", ""lt"")"),"treneris")</f>
        <v>treneris</v>
      </c>
      <c r="V45" s="2" t="str">
        <f>IFERROR(__xludf.DUMMYFUNCTION("GOOGLETRANSLATE(A45, ""hr"", ""no"")"),"trener")</f>
        <v>trener</v>
      </c>
      <c r="W45" s="2" t="str">
        <f>IFERROR(__xludf.DUMMYFUNCTION("GOOGLETRANSLATE(A45, ""hr"", ""mt"")"),"kowċ")</f>
        <v>kowċ</v>
      </c>
      <c r="X45" s="2" t="str">
        <f>IFERROR(__xludf.DUMMYFUNCTION("GOOGLETRANSLATE(A45, ""hr"", ""es"")"),"entrenador")</f>
        <v>entrenador</v>
      </c>
      <c r="Y45" s="2" t="str">
        <f>IFERROR(__xludf.DUMMYFUNCTION("GOOGLETRANSLATE(A45, ""hr"", ""sl"")"),"trener")</f>
        <v>trener</v>
      </c>
      <c r="Z45" s="2" t="str">
        <f>IFERROR(__xludf.DUMMYFUNCTION("GOOGLETRANSLATE(A45, ""hr"", ""sk"")"),"tréner")</f>
        <v>tréner</v>
      </c>
    </row>
    <row r="46">
      <c r="A46" s="1" t="s">
        <v>45</v>
      </c>
      <c r="B46" s="2" t="str">
        <f>IFERROR(__xludf.DUMMYFUNCTION("GOOGLETRANSLATE(A46, ""hr"", ""en"")"),"tactics")</f>
        <v>tactics</v>
      </c>
      <c r="C46" s="2" t="str">
        <f>IFERROR(__xludf.DUMMYFUNCTION("GOOGLETRANSLATE(A46, ""hr"", ""de"")"),"Taktik")</f>
        <v>Taktik</v>
      </c>
      <c r="D46" s="2" t="str">
        <f>IFERROR(__xludf.DUMMYFUNCTION("GOOGLETRANSLATE(A46, ""hr"", ""cs"")"),"taktika")</f>
        <v>taktika</v>
      </c>
      <c r="E46" s="3" t="str">
        <f>IFERROR(__xludf.DUMMYFUNCTION("GOOGLETRANSLATE(A46, ""hr"", ""af"")"),"taktieke")</f>
        <v>taktieke</v>
      </c>
      <c r="F46" s="3" t="str">
        <f>IFERROR(__xludf.DUMMYFUNCTION("GOOGLETRANSLATE(A46, ""hr"", ""sq"")"),"taktikë")</f>
        <v>taktikë</v>
      </c>
      <c r="G46" s="3" t="str">
        <f>IFERROR(__xludf.DUMMYFUNCTION("GOOGLETRANSLATE(A46, ""hr"", ""ca"")"),"tàctica")</f>
        <v>tàctica</v>
      </c>
      <c r="H46" s="2" t="str">
        <f>IFERROR(__xludf.DUMMYFUNCTION("GOOGLETRANSLATE(A46, ""hr"", ""da"")"),"taktik")</f>
        <v>taktik</v>
      </c>
      <c r="I46" s="3" t="str">
        <f>IFERROR(__xludf.DUMMYFUNCTION("GOOGLETRANSLATE(A46, ""hr"", ""nl"")"),"tactiek")</f>
        <v>tactiek</v>
      </c>
      <c r="J46" s="3" t="str">
        <f>IFERROR(__xludf.DUMMYFUNCTION("GOOGLETRANSLATE(A46, ""hr"", ""et"")"),"taktika")</f>
        <v>taktika</v>
      </c>
      <c r="K46" s="3" t="str">
        <f>IFERROR(__xludf.DUMMYFUNCTION("GOOGLETRANSLATE(A46, ""hr"", ""tl"")"),"taktika")</f>
        <v>taktika</v>
      </c>
      <c r="L46" s="2" t="str">
        <f>IFERROR(__xludf.DUMMYFUNCTION("GOOGLETRANSLATE(A46, ""hr"", ""fi"")"),"taktiikka")</f>
        <v>taktiikka</v>
      </c>
      <c r="M46" s="3" t="str">
        <f>IFERROR(__xludf.DUMMYFUNCTION("GOOGLETRANSLATE(A46, ""hr"", ""fr"")"),"tactique")</f>
        <v>tactique</v>
      </c>
      <c r="N46" s="3" t="str">
        <f>IFERROR(__xludf.DUMMYFUNCTION("GOOGLETRANSLATE(A46, ""hr"", ""gl"")"),"tácticas")</f>
        <v>tácticas</v>
      </c>
      <c r="O46" s="2" t="str">
        <f>IFERROR(__xludf.DUMMYFUNCTION("GOOGLETRANSLATE(A46, ""hr"", ""ht"")"),"taktik")</f>
        <v>taktik</v>
      </c>
      <c r="P46" s="3" t="str">
        <f>IFERROR(__xludf.DUMMYFUNCTION("GOOGLETRANSLATE(A46, ""hr"", ""is"")"),"Taktík")</f>
        <v>Taktík</v>
      </c>
      <c r="Q46" s="2" t="str">
        <f>IFERROR(__xludf.DUMMYFUNCTION("GOOGLETRANSLATE(A46, ""hr"", ""id"")"),"taktik")</f>
        <v>taktik</v>
      </c>
      <c r="R46" s="2" t="str">
        <f>IFERROR(__xludf.DUMMYFUNCTION("GOOGLETRANSLATE(A46, ""hr"", ""ga"")"),"tactics")</f>
        <v>tactics</v>
      </c>
      <c r="S46" s="3" t="str">
        <f>IFERROR(__xludf.DUMMYFUNCTION("GOOGLETRANSLATE(A46, ""hr"", ""it"")"),"tattiche")</f>
        <v>tattiche</v>
      </c>
      <c r="T46" s="2" t="str">
        <f>IFERROR(__xludf.DUMMYFUNCTION("GOOGLETRANSLATE(A46, ""hr"", ""lv"")"),"taktika")</f>
        <v>taktika</v>
      </c>
      <c r="U46" s="2" t="str">
        <f>IFERROR(__xludf.DUMMYFUNCTION("GOOGLETRANSLATE(A46, ""hr"", ""lt"")"),"taktika")</f>
        <v>taktika</v>
      </c>
      <c r="V46" s="2" t="str">
        <f>IFERROR(__xludf.DUMMYFUNCTION("GOOGLETRANSLATE(A46, ""hr"", ""no"")"),"taktikk")</f>
        <v>taktikk</v>
      </c>
      <c r="W46" s="2" t="str">
        <f>IFERROR(__xludf.DUMMYFUNCTION("GOOGLETRANSLATE(A46, ""hr"", ""mt"")"),"tattiċi")</f>
        <v>tattiċi</v>
      </c>
      <c r="X46" s="2" t="str">
        <f>IFERROR(__xludf.DUMMYFUNCTION("GOOGLETRANSLATE(A46, ""hr"", ""es"")"),"táctica")</f>
        <v>táctica</v>
      </c>
      <c r="Y46" s="2" t="str">
        <f>IFERROR(__xludf.DUMMYFUNCTION("GOOGLETRANSLATE(A46, ""hr"", ""sl"")"),"taktika")</f>
        <v>taktika</v>
      </c>
      <c r="Z46" s="2" t="str">
        <f>IFERROR(__xludf.DUMMYFUNCTION("GOOGLETRANSLATE(A46, ""hr"", ""sk"")"),"taktika")</f>
        <v>taktika</v>
      </c>
    </row>
    <row r="47">
      <c r="A47" s="1" t="s">
        <v>46</v>
      </c>
      <c r="B47" s="2" t="str">
        <f>IFERROR(__xludf.DUMMYFUNCTION("GOOGLETRANSLATE(A47, ""hr"", ""en"")"),"run")</f>
        <v>run</v>
      </c>
      <c r="C47" s="2" t="str">
        <f>IFERROR(__xludf.DUMMYFUNCTION("GOOGLETRANSLATE(A47, ""hr"", ""de"")"),"Lauf")</f>
        <v>Lauf</v>
      </c>
      <c r="D47" s="2" t="str">
        <f>IFERROR(__xludf.DUMMYFUNCTION("GOOGLETRANSLATE(A47, ""hr"", ""cs"")"),"běh")</f>
        <v>běh</v>
      </c>
      <c r="E47" s="3" t="str">
        <f>IFERROR(__xludf.DUMMYFUNCTION("GOOGLETRANSLATE(A47, ""hr"", ""af"")"),"wedloop")</f>
        <v>wedloop</v>
      </c>
      <c r="F47" s="3" t="str">
        <f>IFERROR(__xludf.DUMMYFUNCTION("GOOGLETRANSLATE(A47, ""hr"", ""sq"")"),"vrapoj")</f>
        <v>vrapoj</v>
      </c>
      <c r="G47" s="3" t="str">
        <f>IFERROR(__xludf.DUMMYFUNCTION("GOOGLETRANSLATE(A47, ""hr"", ""ca"")"),"correr")</f>
        <v>correr</v>
      </c>
      <c r="H47" s="2" t="str">
        <f>IFERROR(__xludf.DUMMYFUNCTION("GOOGLETRANSLATE(A47, ""hr"", ""da"")"),"løb")</f>
        <v>løb</v>
      </c>
      <c r="I47" s="3" t="str">
        <f>IFERROR(__xludf.DUMMYFUNCTION("GOOGLETRANSLATE(A47, ""hr"", ""nl"")"),"rennen")</f>
        <v>rennen</v>
      </c>
      <c r="J47" s="3" t="str">
        <f>IFERROR(__xludf.DUMMYFUNCTION("GOOGLETRANSLATE(A47, ""hr"", ""et"")"),"jooksma")</f>
        <v>jooksma</v>
      </c>
      <c r="K47" s="3" t="str">
        <f>IFERROR(__xludf.DUMMYFUNCTION("GOOGLETRANSLATE(A47, ""hr"", ""tl"")"),"tumakbo")</f>
        <v>tumakbo</v>
      </c>
      <c r="L47" s="2" t="str">
        <f>IFERROR(__xludf.DUMMYFUNCTION("GOOGLETRANSLATE(A47, ""hr"", ""fi"")"),"juosta")</f>
        <v>juosta</v>
      </c>
      <c r="M47" s="3" t="str">
        <f>IFERROR(__xludf.DUMMYFUNCTION("GOOGLETRANSLATE(A47, ""hr"", ""fr"")"),"Cours")</f>
        <v>Cours</v>
      </c>
      <c r="N47" s="3" t="str">
        <f>IFERROR(__xludf.DUMMYFUNCTION("GOOGLETRANSLATE(A47, ""hr"", ""gl"")"),"correr")</f>
        <v>correr</v>
      </c>
      <c r="O47" s="2" t="str">
        <f>IFERROR(__xludf.DUMMYFUNCTION("GOOGLETRANSLATE(A47, ""hr"", ""ht"")"),"kouri")</f>
        <v>kouri</v>
      </c>
      <c r="P47" s="3" t="str">
        <f>IFERROR(__xludf.DUMMYFUNCTION("GOOGLETRANSLATE(A47, ""hr"", ""is"")"),"Hlaupa")</f>
        <v>Hlaupa</v>
      </c>
      <c r="Q47" s="2" t="str">
        <f>IFERROR(__xludf.DUMMYFUNCTION("GOOGLETRANSLATE(A47, ""hr"", ""id"")"),"Lari")</f>
        <v>Lari</v>
      </c>
      <c r="R47" s="2" t="str">
        <f>IFERROR(__xludf.DUMMYFUNCTION("GOOGLETRANSLATE(A47, ""hr"", ""ga"")"),"cuir ar siúl")</f>
        <v>cuir ar siúl</v>
      </c>
      <c r="S47" s="3" t="str">
        <f>IFERROR(__xludf.DUMMYFUNCTION("GOOGLETRANSLATE(A47, ""hr"", ""it"")"),"correre")</f>
        <v>correre</v>
      </c>
      <c r="T47" s="2" t="str">
        <f>IFERROR(__xludf.DUMMYFUNCTION("GOOGLETRANSLATE(A47, ""hr"", ""lv"")"),"izkropļot")</f>
        <v>izkropļot</v>
      </c>
      <c r="U47" s="2" t="str">
        <f>IFERROR(__xludf.DUMMYFUNCTION("GOOGLETRANSLATE(A47, ""hr"", ""lt"")"),"bėgti")</f>
        <v>bėgti</v>
      </c>
      <c r="V47" s="2" t="str">
        <f>IFERROR(__xludf.DUMMYFUNCTION("GOOGLETRANSLATE(A47, ""hr"", ""no"")"),"løpe")</f>
        <v>løpe</v>
      </c>
      <c r="W47" s="2" t="str">
        <f>IFERROR(__xludf.DUMMYFUNCTION("GOOGLETRANSLATE(A47, ""hr"", ""mt"")"),"ġirja")</f>
        <v>ġirja</v>
      </c>
      <c r="X47" s="2" t="str">
        <f>IFERROR(__xludf.DUMMYFUNCTION("GOOGLETRANSLATE(A47, ""hr"", ""es"")"),"correr")</f>
        <v>correr</v>
      </c>
      <c r="Y47" s="2" t="str">
        <f>IFERROR(__xludf.DUMMYFUNCTION("GOOGLETRANSLATE(A47, ""hr"", ""sl"")"),"teči")</f>
        <v>teči</v>
      </c>
      <c r="Z47" s="2" t="str">
        <f>IFERROR(__xludf.DUMMYFUNCTION("GOOGLETRANSLATE(A47, ""hr"", ""sk"")"),"spustenie")</f>
        <v>spustenie</v>
      </c>
    </row>
    <row r="48">
      <c r="A48" s="1" t="s">
        <v>47</v>
      </c>
      <c r="B48" s="2" t="str">
        <f>IFERROR(__xludf.DUMMYFUNCTION("GOOGLETRANSLATE(A48, ""hr"", ""en"")"),"mesh")</f>
        <v>mesh</v>
      </c>
      <c r="C48" s="2" t="str">
        <f>IFERROR(__xludf.DUMMYFUNCTION("GOOGLETRANSLATE(A48, ""hr"", ""de"")"),"Gittergewebe")</f>
        <v>Gittergewebe</v>
      </c>
      <c r="D48" s="2" t="str">
        <f>IFERROR(__xludf.DUMMYFUNCTION("GOOGLETRANSLATE(A48, ""hr"", ""cs"")"),"pletivo")</f>
        <v>pletivo</v>
      </c>
      <c r="E48" s="3" t="str">
        <f>IFERROR(__xludf.DUMMYFUNCTION("GOOGLETRANSLATE(A48, ""hr"", ""af"")"),"maas")</f>
        <v>maas</v>
      </c>
      <c r="F48" s="3" t="str">
        <f>IFERROR(__xludf.DUMMYFUNCTION("GOOGLETRANSLATE(A48, ""hr"", ""sq"")"),"rrjetë")</f>
        <v>rrjetë</v>
      </c>
      <c r="G48" s="3" t="str">
        <f>IFERROR(__xludf.DUMMYFUNCTION("GOOGLETRANSLATE(A48, ""hr"", ""ca"")"),"malla")</f>
        <v>malla</v>
      </c>
      <c r="H48" s="2" t="str">
        <f>IFERROR(__xludf.DUMMYFUNCTION("GOOGLETRANSLATE(A48, ""hr"", ""da"")"),"Mesh")</f>
        <v>Mesh</v>
      </c>
      <c r="I48" s="3" t="str">
        <f>IFERROR(__xludf.DUMMYFUNCTION("GOOGLETRANSLATE(A48, ""hr"", ""nl"")"),"mazen")</f>
        <v>mazen</v>
      </c>
      <c r="J48" s="3" t="str">
        <f>IFERROR(__xludf.DUMMYFUNCTION("GOOGLETRANSLATE(A48, ""hr"", ""et"")"),"võrgusilm")</f>
        <v>võrgusilm</v>
      </c>
      <c r="K48" s="3" t="str">
        <f>IFERROR(__xludf.DUMMYFUNCTION("GOOGLETRANSLATE(A48, ""hr"", ""tl"")"),"mesh")</f>
        <v>mesh</v>
      </c>
      <c r="L48" s="2" t="str">
        <f>IFERROR(__xludf.DUMMYFUNCTION("GOOGLETRANSLATE(A48, ""hr"", ""fi"")"),"keikari")</f>
        <v>keikari</v>
      </c>
      <c r="M48" s="3" t="str">
        <f>IFERROR(__xludf.DUMMYFUNCTION("GOOGLETRANSLATE(A48, ""hr"", ""fr"")"),"engrener")</f>
        <v>engrener</v>
      </c>
      <c r="N48" s="3" t="str">
        <f>IFERROR(__xludf.DUMMYFUNCTION("GOOGLETRANSLATE(A48, ""hr"", ""gl"")"),"malla")</f>
        <v>malla</v>
      </c>
      <c r="O48" s="2" t="str">
        <f>IFERROR(__xludf.DUMMYFUNCTION("GOOGLETRANSLATE(A48, ""hr"", ""ht"")"),"la")</f>
        <v>la</v>
      </c>
      <c r="P48" s="3" t="str">
        <f>IFERROR(__xludf.DUMMYFUNCTION("GOOGLETRANSLATE(A48, ""hr"", ""is"")"),"möskva")</f>
        <v>möskva</v>
      </c>
      <c r="Q48" s="2" t="str">
        <f>IFERROR(__xludf.DUMMYFUNCTION("GOOGLETRANSLATE(A48, ""hr"", ""id"")"),"mesh")</f>
        <v>mesh</v>
      </c>
      <c r="R48" s="2" t="str">
        <f>IFERROR(__xludf.DUMMYFUNCTION("GOOGLETRANSLATE(A48, ""hr"", ""ga"")"),"mogalra")</f>
        <v>mogalra</v>
      </c>
      <c r="S48" s="3" t="str">
        <f>IFERROR(__xludf.DUMMYFUNCTION("GOOGLETRANSLATE(A48, ""hr"", ""it"")"),"maglia")</f>
        <v>maglia</v>
      </c>
      <c r="T48" s="2" t="str">
        <f>IFERROR(__xludf.DUMMYFUNCTION("GOOGLETRANSLATE(A48, ""hr"", ""lv"")"),"acs")</f>
        <v>acs</v>
      </c>
      <c r="U48" s="2" t="str">
        <f>IFERROR(__xludf.DUMMYFUNCTION("GOOGLETRANSLATE(A48, ""hr"", ""lt"")"),"Tinklelis")</f>
        <v>Tinklelis</v>
      </c>
      <c r="V48" s="2" t="str">
        <f>IFERROR(__xludf.DUMMYFUNCTION("GOOGLETRANSLATE(A48, ""hr"", ""no"")"),"mesh")</f>
        <v>mesh</v>
      </c>
      <c r="W48" s="2" t="str">
        <f>IFERROR(__xludf.DUMMYFUNCTION("GOOGLETRANSLATE(A48, ""hr"", ""mt"")"),"malja")</f>
        <v>malja</v>
      </c>
      <c r="X48" s="2" t="str">
        <f>IFERROR(__xludf.DUMMYFUNCTION("GOOGLETRANSLATE(A48, ""hr"", ""es"")"),"malla")</f>
        <v>malla</v>
      </c>
      <c r="Y48" s="2" t="str">
        <f>IFERROR(__xludf.DUMMYFUNCTION("GOOGLETRANSLATE(A48, ""hr"", ""sl"")"),"mreža")</f>
        <v>mreža</v>
      </c>
      <c r="Z48" s="2" t="str">
        <f>IFERROR(__xludf.DUMMYFUNCTION("GOOGLETRANSLATE(A48, ""hr"", ""sk"")"),"zaviazať")</f>
        <v>zaviazať</v>
      </c>
    </row>
    <row r="49">
      <c r="A49" s="1" t="s">
        <v>48</v>
      </c>
      <c r="B49" s="2" t="str">
        <f>IFERROR(__xludf.DUMMYFUNCTION("GOOGLETRANSLATE(A49, ""hr"", ""en"")"),"point")</f>
        <v>point</v>
      </c>
      <c r="C49" s="2" t="str">
        <f>IFERROR(__xludf.DUMMYFUNCTION("GOOGLETRANSLATE(A49, ""hr"", ""de"")"),"Punkt")</f>
        <v>Punkt</v>
      </c>
      <c r="D49" s="2" t="str">
        <f>IFERROR(__xludf.DUMMYFUNCTION("GOOGLETRANSLATE(A49, ""hr"", ""cs"")"),"směřovat")</f>
        <v>směřovat</v>
      </c>
      <c r="E49" s="3" t="str">
        <f>IFERROR(__xludf.DUMMYFUNCTION("GOOGLETRANSLATE(A49, ""hr"", ""af"")"),"punt")</f>
        <v>punt</v>
      </c>
      <c r="F49" s="3" t="str">
        <f>IFERROR(__xludf.DUMMYFUNCTION("GOOGLETRANSLATE(A49, ""hr"", ""sq"")"),"pikë")</f>
        <v>pikë</v>
      </c>
      <c r="G49" s="3" t="str">
        <f>IFERROR(__xludf.DUMMYFUNCTION("GOOGLETRANSLATE(A49, ""hr"", ""ca"")"),"punt")</f>
        <v>punt</v>
      </c>
      <c r="H49" s="2" t="str">
        <f>IFERROR(__xludf.DUMMYFUNCTION("GOOGLETRANSLATE(A49, ""hr"", ""da"")"),"punkt")</f>
        <v>punkt</v>
      </c>
      <c r="I49" s="3" t="str">
        <f>IFERROR(__xludf.DUMMYFUNCTION("GOOGLETRANSLATE(A49, ""hr"", ""nl"")"),"punt")</f>
        <v>punt</v>
      </c>
      <c r="J49" s="3" t="str">
        <f>IFERROR(__xludf.DUMMYFUNCTION("GOOGLETRANSLATE(A49, ""hr"", ""et"")"),"punkt")</f>
        <v>punkt</v>
      </c>
      <c r="K49" s="3" t="str">
        <f>IFERROR(__xludf.DUMMYFUNCTION("GOOGLETRANSLATE(A49, ""hr"", ""tl"")"),"punto")</f>
        <v>punto</v>
      </c>
      <c r="L49" s="2" t="str">
        <f>IFERROR(__xludf.DUMMYFUNCTION("GOOGLETRANSLATE(A49, ""hr"", ""fi"")"),"kohta")</f>
        <v>kohta</v>
      </c>
      <c r="M49" s="3" t="str">
        <f>IFERROR(__xludf.DUMMYFUNCTION("GOOGLETRANSLATE(A49, ""hr"", ""fr"")"),"point")</f>
        <v>point</v>
      </c>
      <c r="N49" s="3" t="str">
        <f>IFERROR(__xludf.DUMMYFUNCTION("GOOGLETRANSLATE(A49, ""hr"", ""gl"")"),"punto")</f>
        <v>punto</v>
      </c>
      <c r="O49" s="2" t="str">
        <f>IFERROR(__xludf.DUMMYFUNCTION("GOOGLETRANSLATE(A49, ""hr"", ""ht"")"),"sans")</f>
        <v>sans</v>
      </c>
      <c r="P49" s="3" t="str">
        <f>IFERROR(__xludf.DUMMYFUNCTION("GOOGLETRANSLATE(A49, ""hr"", ""is"")"),"punktur")</f>
        <v>punktur</v>
      </c>
      <c r="Q49" s="2" t="str">
        <f>IFERROR(__xludf.DUMMYFUNCTION("GOOGLETRANSLATE(A49, ""hr"", ""id"")"),"titik")</f>
        <v>titik</v>
      </c>
      <c r="R49" s="2" t="str">
        <f>IFERROR(__xludf.DUMMYFUNCTION("GOOGLETRANSLATE(A49, ""hr"", ""ga"")"),"pointe a fháil")</f>
        <v>pointe a fháil</v>
      </c>
      <c r="S49" s="3" t="str">
        <f>IFERROR(__xludf.DUMMYFUNCTION("GOOGLETRANSLATE(A49, ""hr"", ""it"")"),"punto")</f>
        <v>punto</v>
      </c>
      <c r="T49" s="2" t="str">
        <f>IFERROR(__xludf.DUMMYFUNCTION("GOOGLETRANSLATE(A49, ""hr"", ""lv"")"),"strīdēties")</f>
        <v>strīdēties</v>
      </c>
      <c r="U49" s="2" t="str">
        <f>IFERROR(__xludf.DUMMYFUNCTION("GOOGLETRANSLATE(A49, ""hr"", ""lt"")"),"taškas")</f>
        <v>taškas</v>
      </c>
      <c r="V49" s="2" t="str">
        <f>IFERROR(__xludf.DUMMYFUNCTION("GOOGLETRANSLATE(A49, ""hr"", ""no"")"),"punkt")</f>
        <v>punkt</v>
      </c>
      <c r="W49" s="2" t="str">
        <f>IFERROR(__xludf.DUMMYFUNCTION("GOOGLETRANSLATE(A49, ""hr"", ""mt"")"),"punt")</f>
        <v>punt</v>
      </c>
      <c r="X49" s="2" t="str">
        <f>IFERROR(__xludf.DUMMYFUNCTION("GOOGLETRANSLATE(A49, ""hr"", ""es"")"),"punto")</f>
        <v>punto</v>
      </c>
      <c r="Y49" s="2" t="str">
        <f>IFERROR(__xludf.DUMMYFUNCTION("GOOGLETRANSLATE(A49, ""hr"", ""sl"")"),"točka")</f>
        <v>točka</v>
      </c>
      <c r="Z49" s="2" t="str">
        <f>IFERROR(__xludf.DUMMYFUNCTION("GOOGLETRANSLATE(A49, ""hr"", ""sk"")"),"bod")</f>
        <v>bod</v>
      </c>
    </row>
    <row r="50">
      <c r="A50" s="1" t="s">
        <v>49</v>
      </c>
      <c r="B50" s="2" t="str">
        <f>IFERROR(__xludf.DUMMYFUNCTION("GOOGLETRANSLATE(A50, ""hr"", ""en"")"),"point")</f>
        <v>point</v>
      </c>
      <c r="C50" s="2" t="str">
        <f>IFERROR(__xludf.DUMMYFUNCTION("GOOGLETRANSLATE(A50, ""hr"", ""de"")"),"Punkt")</f>
        <v>Punkt</v>
      </c>
      <c r="D50" s="2" t="str">
        <f>IFERROR(__xludf.DUMMYFUNCTION("GOOGLETRANSLATE(A50, ""hr"", ""cs"")"),"směřovat")</f>
        <v>směřovat</v>
      </c>
      <c r="E50" s="3" t="str">
        <f>IFERROR(__xludf.DUMMYFUNCTION("GOOGLETRANSLATE(A50, ""hr"", ""af"")"),"punt")</f>
        <v>punt</v>
      </c>
      <c r="F50" s="3" t="str">
        <f>IFERROR(__xludf.DUMMYFUNCTION("GOOGLETRANSLATE(A50, ""hr"", ""sq"")"),"pikë")</f>
        <v>pikë</v>
      </c>
      <c r="G50" s="3" t="str">
        <f>IFERROR(__xludf.DUMMYFUNCTION("GOOGLETRANSLATE(A50, ""hr"", ""ca"")"),"punt")</f>
        <v>punt</v>
      </c>
      <c r="H50" s="2" t="str">
        <f>IFERROR(__xludf.DUMMYFUNCTION("GOOGLETRANSLATE(A50, ""hr"", ""da"")"),"punkt")</f>
        <v>punkt</v>
      </c>
      <c r="I50" s="3" t="str">
        <f>IFERROR(__xludf.DUMMYFUNCTION("GOOGLETRANSLATE(A50, ""hr"", ""nl"")"),"punt")</f>
        <v>punt</v>
      </c>
      <c r="J50" s="3" t="str">
        <f>IFERROR(__xludf.DUMMYFUNCTION("GOOGLETRANSLATE(A50, ""hr"", ""et"")"),"punkt")</f>
        <v>punkt</v>
      </c>
      <c r="K50" s="3" t="str">
        <f>IFERROR(__xludf.DUMMYFUNCTION("GOOGLETRANSLATE(A50, ""hr"", ""tl"")"),"punto")</f>
        <v>punto</v>
      </c>
      <c r="L50" s="2" t="str">
        <f>IFERROR(__xludf.DUMMYFUNCTION("GOOGLETRANSLATE(A50, ""hr"", ""fi"")"),"kohta")</f>
        <v>kohta</v>
      </c>
      <c r="M50" s="3" t="str">
        <f>IFERROR(__xludf.DUMMYFUNCTION("GOOGLETRANSLATE(A50, ""hr"", ""fr"")"),"point")</f>
        <v>point</v>
      </c>
      <c r="N50" s="3" t="str">
        <f>IFERROR(__xludf.DUMMYFUNCTION("GOOGLETRANSLATE(A50, ""hr"", ""gl"")"),"punto")</f>
        <v>punto</v>
      </c>
      <c r="O50" s="2" t="str">
        <f>IFERROR(__xludf.DUMMYFUNCTION("GOOGLETRANSLATE(A50, ""hr"", ""ht"")"),"sans")</f>
        <v>sans</v>
      </c>
      <c r="P50" s="3" t="str">
        <f>IFERROR(__xludf.DUMMYFUNCTION("GOOGLETRANSLATE(A50, ""hr"", ""is"")"),"punktur")</f>
        <v>punktur</v>
      </c>
      <c r="Q50" s="2" t="str">
        <f>IFERROR(__xludf.DUMMYFUNCTION("GOOGLETRANSLATE(A50, ""hr"", ""id"")"),"titik")</f>
        <v>titik</v>
      </c>
      <c r="R50" s="2" t="str">
        <f>IFERROR(__xludf.DUMMYFUNCTION("GOOGLETRANSLATE(A50, ""hr"", ""ga"")"),"pointe a fháil")</f>
        <v>pointe a fháil</v>
      </c>
      <c r="S50" s="3" t="str">
        <f>IFERROR(__xludf.DUMMYFUNCTION("GOOGLETRANSLATE(A50, ""hr"", ""it"")"),"punto")</f>
        <v>punto</v>
      </c>
      <c r="T50" s="2" t="str">
        <f>IFERROR(__xludf.DUMMYFUNCTION("GOOGLETRANSLATE(A50, ""hr"", ""lv"")"),"strīdēties")</f>
        <v>strīdēties</v>
      </c>
      <c r="U50" s="2" t="str">
        <f>IFERROR(__xludf.DUMMYFUNCTION("GOOGLETRANSLATE(A50, ""hr"", ""lt"")"),"taškas")</f>
        <v>taškas</v>
      </c>
      <c r="V50" s="2" t="str">
        <f>IFERROR(__xludf.DUMMYFUNCTION("GOOGLETRANSLATE(A50, ""hr"", ""no"")"),"punkt")</f>
        <v>punkt</v>
      </c>
      <c r="W50" s="2" t="str">
        <f>IFERROR(__xludf.DUMMYFUNCTION("GOOGLETRANSLATE(A50, ""hr"", ""mt"")"),"punt")</f>
        <v>punt</v>
      </c>
      <c r="X50" s="2" t="str">
        <f>IFERROR(__xludf.DUMMYFUNCTION("GOOGLETRANSLATE(A50, ""hr"", ""es"")"),"punto")</f>
        <v>punto</v>
      </c>
      <c r="Y50" s="2" t="str">
        <f>IFERROR(__xludf.DUMMYFUNCTION("GOOGLETRANSLATE(A50, ""hr"", ""sl"")"),"točka")</f>
        <v>točka</v>
      </c>
      <c r="Z50" s="2" t="str">
        <f>IFERROR(__xludf.DUMMYFUNCTION("GOOGLETRANSLATE(A50, ""hr"", ""sk"")"),"bod")</f>
        <v>bod</v>
      </c>
    </row>
    <row r="51">
      <c r="A51" s="1" t="s">
        <v>50</v>
      </c>
      <c r="B51" s="2" t="str">
        <f>IFERROR(__xludf.DUMMYFUNCTION("GOOGLETRANSLATE(A51, ""hr"", ""en"")"),"terrain")</f>
        <v>terrain</v>
      </c>
      <c r="C51" s="2" t="str">
        <f>IFERROR(__xludf.DUMMYFUNCTION("GOOGLETRANSLATE(A51, ""hr"", ""de"")"),"Terrain")</f>
        <v>Terrain</v>
      </c>
      <c r="D51" s="2" t="str">
        <f>IFERROR(__xludf.DUMMYFUNCTION("GOOGLETRANSLATE(A51, ""hr"", ""cs"")"),"terén")</f>
        <v>terén</v>
      </c>
      <c r="E51" s="3" t="str">
        <f>IFERROR(__xludf.DUMMYFUNCTION("GOOGLETRANSLATE(A51, ""hr"", ""af"")"),"terrein")</f>
        <v>terrein</v>
      </c>
      <c r="F51" s="3" t="str">
        <f>IFERROR(__xludf.DUMMYFUNCTION("GOOGLETRANSLATE(A51, ""hr"", ""sq"")"),"terren")</f>
        <v>terren</v>
      </c>
      <c r="G51" s="3" t="str">
        <f>IFERROR(__xludf.DUMMYFUNCTION("GOOGLETRANSLATE(A51, ""hr"", ""ca"")"),"terreny")</f>
        <v>terreny</v>
      </c>
      <c r="H51" s="2" t="str">
        <f>IFERROR(__xludf.DUMMYFUNCTION("GOOGLETRANSLATE(A51, ""hr"", ""da"")"),"terræn")</f>
        <v>terræn</v>
      </c>
      <c r="I51" s="3" t="str">
        <f>IFERROR(__xludf.DUMMYFUNCTION("GOOGLETRANSLATE(A51, ""hr"", ""nl"")"),"terrein")</f>
        <v>terrein</v>
      </c>
      <c r="J51" s="3" t="str">
        <f>IFERROR(__xludf.DUMMYFUNCTION("GOOGLETRANSLATE(A51, ""hr"", ""et"")"),"maastik")</f>
        <v>maastik</v>
      </c>
      <c r="K51" s="3" t="str">
        <f>IFERROR(__xludf.DUMMYFUNCTION("GOOGLETRANSLATE(A51, ""hr"", ""tl"")"),"lupain")</f>
        <v>lupain</v>
      </c>
      <c r="L51" s="2" t="str">
        <f>IFERROR(__xludf.DUMMYFUNCTION("GOOGLETRANSLATE(A51, ""hr"", ""fi"")"),"maasto")</f>
        <v>maasto</v>
      </c>
      <c r="M51" s="3" t="str">
        <f>IFERROR(__xludf.DUMMYFUNCTION("GOOGLETRANSLATE(A51, ""hr"", ""fr"")"),"terrain")</f>
        <v>terrain</v>
      </c>
      <c r="N51" s="3" t="str">
        <f>IFERROR(__xludf.DUMMYFUNCTION("GOOGLETRANSLATE(A51, ""hr"", ""gl"")"),"terreo")</f>
        <v>terreo</v>
      </c>
      <c r="O51" s="2" t="str">
        <f>IFERROR(__xludf.DUMMYFUNCTION("GOOGLETRANSLATE(A51, ""hr"", ""ht"")"),"teren")</f>
        <v>teren</v>
      </c>
      <c r="P51" s="3" t="str">
        <f>IFERROR(__xludf.DUMMYFUNCTION("GOOGLETRANSLATE(A51, ""hr"", ""is"")"),"landslag")</f>
        <v>landslag</v>
      </c>
      <c r="Q51" s="2" t="str">
        <f>IFERROR(__xludf.DUMMYFUNCTION("GOOGLETRANSLATE(A51, ""hr"", ""id"")"),"medan")</f>
        <v>medan</v>
      </c>
      <c r="R51" s="2" t="str">
        <f>IFERROR(__xludf.DUMMYFUNCTION("GOOGLETRANSLATE(A51, ""hr"", ""ga"")"),"an tír -raon")</f>
        <v>an tír -raon</v>
      </c>
      <c r="S51" s="3" t="str">
        <f>IFERROR(__xludf.DUMMYFUNCTION("GOOGLETRANSLATE(A51, ""hr"", ""it"")"),"terreno")</f>
        <v>terreno</v>
      </c>
      <c r="T51" s="2" t="str">
        <f>IFERROR(__xludf.DUMMYFUNCTION("GOOGLETRANSLATE(A51, ""hr"", ""lv"")"),"reljefs")</f>
        <v>reljefs</v>
      </c>
      <c r="U51" s="2" t="str">
        <f>IFERROR(__xludf.DUMMYFUNCTION("GOOGLETRANSLATE(A51, ""hr"", ""lt"")"),"reljefas")</f>
        <v>reljefas</v>
      </c>
      <c r="V51" s="2" t="str">
        <f>IFERROR(__xludf.DUMMYFUNCTION("GOOGLETRANSLATE(A51, ""hr"", ""no"")"),"terreng")</f>
        <v>terreng</v>
      </c>
      <c r="W51" s="2" t="str">
        <f>IFERROR(__xludf.DUMMYFUNCTION("GOOGLETRANSLATE(A51, ""hr"", ""mt"")"),"art")</f>
        <v>art</v>
      </c>
      <c r="X51" s="2" t="str">
        <f>IFERROR(__xludf.DUMMYFUNCTION("GOOGLETRANSLATE(A51, ""hr"", ""es"")"),"terreno")</f>
        <v>terreno</v>
      </c>
      <c r="Y51" s="2" t="str">
        <f>IFERROR(__xludf.DUMMYFUNCTION("GOOGLETRANSLATE(A51, ""hr"", ""sl"")"),"teren")</f>
        <v>teren</v>
      </c>
      <c r="Z51" s="2" t="str">
        <f>IFERROR(__xludf.DUMMYFUNCTION("GOOGLETRANSLATE(A51, ""hr"", ""sk"")"),"terén")</f>
        <v>terén</v>
      </c>
    </row>
    <row r="52">
      <c r="A52" s="1" t="s">
        <v>51</v>
      </c>
      <c r="B52" s="2" t="str">
        <f>IFERROR(__xludf.DUMMYFUNCTION("GOOGLETRANSLATE(A52, ""hr"", ""en"")"),"bowling")</f>
        <v>bowling</v>
      </c>
      <c r="C52" s="2" t="str">
        <f>IFERROR(__xludf.DUMMYFUNCTION("GOOGLETRANSLATE(A52, ""hr"", ""de"")"),"Bowling")</f>
        <v>Bowling</v>
      </c>
      <c r="D52" s="2" t="str">
        <f>IFERROR(__xludf.DUMMYFUNCTION("GOOGLETRANSLATE(A52, ""hr"", ""cs"")"),"kuželky")</f>
        <v>kuželky</v>
      </c>
      <c r="E52" s="3" t="str">
        <f>IFERROR(__xludf.DUMMYFUNCTION("GOOGLETRANSLATE(A52, ""hr"", ""af"")"),"boulwerk")</f>
        <v>boulwerk</v>
      </c>
      <c r="F52" s="3" t="str">
        <f>IFERROR(__xludf.DUMMYFUNCTION("GOOGLETRANSLATE(A52, ""hr"", ""sq"")"),"bowling")</f>
        <v>bowling</v>
      </c>
      <c r="G52" s="3" t="str">
        <f>IFERROR(__xludf.DUMMYFUNCTION("GOOGLETRANSLATE(A52, ""hr"", ""ca"")"),"boles")</f>
        <v>boles</v>
      </c>
      <c r="H52" s="2" t="str">
        <f>IFERROR(__xludf.DUMMYFUNCTION("GOOGLETRANSLATE(A52, ""hr"", ""da"")"),"bowling")</f>
        <v>bowling</v>
      </c>
      <c r="I52" s="3" t="str">
        <f>IFERROR(__xludf.DUMMYFUNCTION("GOOGLETRANSLATE(A52, ""hr"", ""nl"")"),"bowling")</f>
        <v>bowling</v>
      </c>
      <c r="J52" s="3" t="str">
        <f>IFERROR(__xludf.DUMMYFUNCTION("GOOGLETRANSLATE(A52, ""hr"", ""et"")"),"bowling")</f>
        <v>bowling</v>
      </c>
      <c r="K52" s="3" t="str">
        <f>IFERROR(__xludf.DUMMYFUNCTION("GOOGLETRANSLATE(A52, ""hr"", ""tl"")"),"Bowling")</f>
        <v>Bowling</v>
      </c>
      <c r="L52" s="2" t="str">
        <f>IFERROR(__xludf.DUMMYFUNCTION("GOOGLETRANSLATE(A52, ""hr"", ""fi"")"),"keilailu")</f>
        <v>keilailu</v>
      </c>
      <c r="M52" s="3" t="str">
        <f>IFERROR(__xludf.DUMMYFUNCTION("GOOGLETRANSLATE(A52, ""hr"", ""fr"")"),"bowling")</f>
        <v>bowling</v>
      </c>
      <c r="N52" s="3" t="str">
        <f>IFERROR(__xludf.DUMMYFUNCTION("GOOGLETRANSLATE(A52, ""hr"", ""gl"")"),"bolos")</f>
        <v>bolos</v>
      </c>
      <c r="O52" s="2" t="str">
        <f>IFERROR(__xludf.DUMMYFUNCTION("GOOGLETRANSLATE(A52, ""hr"", ""ht"")"),"egzakteman")</f>
        <v>egzakteman</v>
      </c>
      <c r="P52" s="3" t="str">
        <f>IFERROR(__xludf.DUMMYFUNCTION("GOOGLETRANSLATE(A52, ""hr"", ""is"")"),"keilu")</f>
        <v>keilu</v>
      </c>
      <c r="Q52" s="2" t="str">
        <f>IFERROR(__xludf.DUMMYFUNCTION("GOOGLETRANSLATE(A52, ""hr"", ""id"")"),"bowling")</f>
        <v>bowling</v>
      </c>
      <c r="R52" s="2" t="str">
        <f>IFERROR(__xludf.DUMMYFUNCTION("GOOGLETRANSLATE(A52, ""hr"", ""ga"")"),"babhla")</f>
        <v>babhla</v>
      </c>
      <c r="S52" s="3" t="str">
        <f>IFERROR(__xludf.DUMMYFUNCTION("GOOGLETRANSLATE(A52, ""hr"", ""it"")"),"bowling")</f>
        <v>bowling</v>
      </c>
      <c r="T52" s="2" t="str">
        <f>IFERROR(__xludf.DUMMYFUNCTION("GOOGLETRANSLATE(A52, ""hr"", ""lv"")"),"boulings")</f>
        <v>boulings</v>
      </c>
      <c r="U52" s="2" t="str">
        <f>IFERROR(__xludf.DUMMYFUNCTION("GOOGLETRANSLATE(A52, ""hr"", ""lt"")"),"boulingas")</f>
        <v>boulingas</v>
      </c>
      <c r="V52" s="2" t="str">
        <f>IFERROR(__xludf.DUMMYFUNCTION("GOOGLETRANSLATE(A52, ""hr"", ""no"")"),"bowling")</f>
        <v>bowling</v>
      </c>
      <c r="W52" s="2" t="str">
        <f>IFERROR(__xludf.DUMMYFUNCTION("GOOGLETRANSLATE(A52, ""hr"", ""mt"")"),"bowling")</f>
        <v>bowling</v>
      </c>
      <c r="X52" s="2" t="str">
        <f>IFERROR(__xludf.DUMMYFUNCTION("GOOGLETRANSLATE(A52, ""hr"", ""es"")"),"bolos")</f>
        <v>bolos</v>
      </c>
      <c r="Y52" s="2" t="str">
        <f>IFERROR(__xludf.DUMMYFUNCTION("GOOGLETRANSLATE(A52, ""hr"", ""sl"")"),"keglanje")</f>
        <v>keglanje</v>
      </c>
      <c r="Z52" s="2" t="str">
        <f>IFERROR(__xludf.DUMMYFUNCTION("GOOGLETRANSLATE(A52, ""hr"", ""sk"")"),"bowling")</f>
        <v>bowling</v>
      </c>
    </row>
    <row r="53">
      <c r="A53" s="1" t="s">
        <v>52</v>
      </c>
      <c r="B53" s="2" t="str">
        <f>IFERROR(__xludf.DUMMYFUNCTION("GOOGLETRANSLATE(A53, ""hr"", ""en"")"),"water polo")</f>
        <v>water polo</v>
      </c>
      <c r="C53" s="2" t="str">
        <f>IFERROR(__xludf.DUMMYFUNCTION("GOOGLETRANSLATE(A53, ""hr"", ""de"")"),"Wasser Polo")</f>
        <v>Wasser Polo</v>
      </c>
      <c r="D53" s="2" t="str">
        <f>IFERROR(__xludf.DUMMYFUNCTION("GOOGLETRANSLATE(A53, ""hr"", ""cs"")"),"vodní pólo")</f>
        <v>vodní pólo</v>
      </c>
      <c r="E53" s="3" t="str">
        <f>IFERROR(__xludf.DUMMYFUNCTION("GOOGLETRANSLATE(A53, ""hr"", ""af"")"),"waterpolo")</f>
        <v>waterpolo</v>
      </c>
      <c r="F53" s="3" t="str">
        <f>IFERROR(__xludf.DUMMYFUNCTION("GOOGLETRANSLATE(A53, ""hr"", ""sq"")"),"voter")</f>
        <v>voter</v>
      </c>
      <c r="G53" s="3" t="str">
        <f>IFERROR(__xludf.DUMMYFUNCTION("GOOGLETRANSLATE(A53, ""hr"", ""ca"")"),"waterpolo")</f>
        <v>waterpolo</v>
      </c>
      <c r="H53" s="2" t="str">
        <f>IFERROR(__xludf.DUMMYFUNCTION("GOOGLETRANSLATE(A53, ""hr"", ""da"")"),"vandpolo")</f>
        <v>vandpolo</v>
      </c>
      <c r="I53" s="3" t="str">
        <f>IFERROR(__xludf.DUMMYFUNCTION("GOOGLETRANSLATE(A53, ""hr"", ""nl"")"),"waterpolo")</f>
        <v>waterpolo</v>
      </c>
      <c r="J53" s="3" t="str">
        <f>IFERROR(__xludf.DUMMYFUNCTION("GOOGLETRANSLATE(A53, ""hr"", ""et"")"),"veepolo")</f>
        <v>veepolo</v>
      </c>
      <c r="K53" s="3" t="str">
        <f>IFERROR(__xludf.DUMMYFUNCTION("GOOGLETRANSLATE(A53, ""hr"", ""tl"")"),"Water Polo")</f>
        <v>Water Polo</v>
      </c>
      <c r="L53" s="2" t="str">
        <f>IFERROR(__xludf.DUMMYFUNCTION("GOOGLETRANSLATE(A53, ""hr"", ""fi"")"),"vesipoolo")</f>
        <v>vesipoolo</v>
      </c>
      <c r="M53" s="3" t="str">
        <f>IFERROR(__xludf.DUMMYFUNCTION("GOOGLETRANSLATE(A53, ""hr"", ""fr"")"),"water polo")</f>
        <v>water polo</v>
      </c>
      <c r="N53" s="3" t="str">
        <f>IFERROR(__xludf.DUMMYFUNCTION("GOOGLETRANSLATE(A53, ""hr"", ""gl"")"),"Waterpolo")</f>
        <v>Waterpolo</v>
      </c>
      <c r="O53" s="2" t="str">
        <f>IFERROR(__xludf.DUMMYFUNCTION("GOOGLETRANSLATE(A53, ""hr"", ""ht"")"),"polo dlo")</f>
        <v>polo dlo</v>
      </c>
      <c r="P53" s="3" t="str">
        <f>IFERROR(__xludf.DUMMYFUNCTION("GOOGLETRANSLATE(A53, ""hr"", ""is"")"),"vatnapóló")</f>
        <v>vatnapóló</v>
      </c>
      <c r="Q53" s="2" t="str">
        <f>IFERROR(__xludf.DUMMYFUNCTION("GOOGLETRANSLATE(A53, ""hr"", ""id"")"),"polo air")</f>
        <v>polo air</v>
      </c>
      <c r="R53" s="2" t="str">
        <f>IFERROR(__xludf.DUMMYFUNCTION("GOOGLETRANSLATE(A53, ""hr"", ""ga"")"),"póló uisce")</f>
        <v>póló uisce</v>
      </c>
      <c r="S53" s="3" t="str">
        <f>IFERROR(__xludf.DUMMYFUNCTION("GOOGLETRANSLATE(A53, ""hr"", ""it"")"),"pallanuoto")</f>
        <v>pallanuoto</v>
      </c>
      <c r="T53" s="2" t="str">
        <f>IFERROR(__xludf.DUMMYFUNCTION("GOOGLETRANSLATE(A53, ""hr"", ""lv"")"),"ūdens polo")</f>
        <v>ūdens polo</v>
      </c>
      <c r="U53" s="2" t="str">
        <f>IFERROR(__xludf.DUMMYFUNCTION("GOOGLETRANSLATE(A53, ""hr"", ""lt"")"),"Vandensvydis")</f>
        <v>Vandensvydis</v>
      </c>
      <c r="V53" s="2" t="str">
        <f>IFERROR(__xludf.DUMMYFUNCTION("GOOGLETRANSLATE(A53, ""hr"", ""no"")"),"vannpolo")</f>
        <v>vannpolo</v>
      </c>
      <c r="W53" s="2" t="str">
        <f>IFERROR(__xludf.DUMMYFUNCTION("GOOGLETRANSLATE(A53, ""hr"", ""mt"")"),"Polo tal-ilma")</f>
        <v>Polo tal-ilma</v>
      </c>
      <c r="X53" s="2" t="str">
        <f>IFERROR(__xludf.DUMMYFUNCTION("GOOGLETRANSLATE(A53, ""hr"", ""es"")"),"Polo acuático")</f>
        <v>Polo acuático</v>
      </c>
      <c r="Y53" s="2" t="str">
        <f>IFERROR(__xludf.DUMMYFUNCTION("GOOGLETRANSLATE(A53, ""hr"", ""sl"")"),"vaterpolo")</f>
        <v>vaterpolo</v>
      </c>
      <c r="Z53" s="2" t="str">
        <f>IFERROR(__xludf.DUMMYFUNCTION("GOOGLETRANSLATE(A53, ""hr"", ""sk"")"),"vodné pólo")</f>
        <v>vodné pólo</v>
      </c>
    </row>
    <row r="54">
      <c r="A54" s="1" t="s">
        <v>53</v>
      </c>
      <c r="B54" s="2" t="str">
        <f>IFERROR(__xludf.DUMMYFUNCTION("GOOGLETRANSLATE(A54, ""hr"", ""en"")"),"cap")</f>
        <v>cap</v>
      </c>
      <c r="C54" s="2" t="str">
        <f>IFERROR(__xludf.DUMMYFUNCTION("GOOGLETRANSLATE(A54, ""hr"", ""de"")"),"Deckel")</f>
        <v>Deckel</v>
      </c>
      <c r="D54" s="2" t="str">
        <f>IFERROR(__xludf.DUMMYFUNCTION("GOOGLETRANSLATE(A54, ""hr"", ""cs"")"),"víčko")</f>
        <v>víčko</v>
      </c>
      <c r="E54" s="3" t="str">
        <f>IFERROR(__xludf.DUMMYFUNCTION("GOOGLETRANSLATE(A54, ""hr"", ""af"")"),"kap")</f>
        <v>kap</v>
      </c>
      <c r="F54" s="3" t="str">
        <f>IFERROR(__xludf.DUMMYFUNCTION("GOOGLETRANSLATE(A54, ""hr"", ""sq"")"),"kapak")</f>
        <v>kapak</v>
      </c>
      <c r="G54" s="3" t="str">
        <f>IFERROR(__xludf.DUMMYFUNCTION("GOOGLETRANSLATE(A54, ""hr"", ""ca"")"),"tapa")</f>
        <v>tapa</v>
      </c>
      <c r="H54" s="2" t="str">
        <f>IFERROR(__xludf.DUMMYFUNCTION("GOOGLETRANSLATE(A54, ""hr"", ""da"")"),"kasket")</f>
        <v>kasket</v>
      </c>
      <c r="I54" s="3" t="str">
        <f>IFERROR(__xludf.DUMMYFUNCTION("GOOGLETRANSLATE(A54, ""hr"", ""nl"")"),"dop")</f>
        <v>dop</v>
      </c>
      <c r="J54" s="3" t="str">
        <f>IFERROR(__xludf.DUMMYFUNCTION("GOOGLETRANSLATE(A54, ""hr"", ""et"")"),"kork")</f>
        <v>kork</v>
      </c>
      <c r="K54" s="3" t="str">
        <f>IFERROR(__xludf.DUMMYFUNCTION("GOOGLETRANSLATE(A54, ""hr"", ""tl"")"),"takip")</f>
        <v>takip</v>
      </c>
      <c r="L54" s="2" t="str">
        <f>IFERROR(__xludf.DUMMYFUNCTION("GOOGLETRANSLATE(A54, ""hr"", ""fi"")"),"korkki")</f>
        <v>korkki</v>
      </c>
      <c r="M54" s="3" t="str">
        <f>IFERROR(__xludf.DUMMYFUNCTION("GOOGLETRANSLATE(A54, ""hr"", ""fr"")"),"casquette")</f>
        <v>casquette</v>
      </c>
      <c r="N54" s="3" t="str">
        <f>IFERROR(__xludf.DUMMYFUNCTION("GOOGLETRANSLATE(A54, ""hr"", ""gl"")"),"tapa")</f>
        <v>tapa</v>
      </c>
      <c r="O54" s="2" t="str">
        <f>IFERROR(__xludf.DUMMYFUNCTION("GOOGLETRANSLATE(A54, ""hr"", ""ht"")"),"kouvèti")</f>
        <v>kouvèti</v>
      </c>
      <c r="P54" s="3" t="str">
        <f>IFERROR(__xludf.DUMMYFUNCTION("GOOGLETRANSLATE(A54, ""hr"", ""is"")"),"Cap")</f>
        <v>Cap</v>
      </c>
      <c r="Q54" s="2" t="str">
        <f>IFERROR(__xludf.DUMMYFUNCTION("GOOGLETRANSLATE(A54, ""hr"", ""id"")"),"topi")</f>
        <v>topi</v>
      </c>
      <c r="R54" s="2" t="str">
        <f>IFERROR(__xludf.DUMMYFUNCTION("GOOGLETRANSLATE(A54, ""hr"", ""ga"")"),"caip")</f>
        <v>caip</v>
      </c>
      <c r="S54" s="3" t="str">
        <f>IFERROR(__xludf.DUMMYFUNCTION("GOOGLETRANSLATE(A54, ""hr"", ""it"")"),"tappo")</f>
        <v>tappo</v>
      </c>
      <c r="T54" s="2" t="str">
        <f>IFERROR(__xludf.DUMMYFUNCTION("GOOGLETRANSLATE(A54, ""hr"", ""lv"")"),"vāciņš")</f>
        <v>vāciņš</v>
      </c>
      <c r="U54" s="2" t="str">
        <f>IFERROR(__xludf.DUMMYFUNCTION("GOOGLETRANSLATE(A54, ""hr"", ""lt"")"),"dangtelis")</f>
        <v>dangtelis</v>
      </c>
      <c r="V54" s="2" t="str">
        <f>IFERROR(__xludf.DUMMYFUNCTION("GOOGLETRANSLATE(A54, ""hr"", ""no"")"),"lokk")</f>
        <v>lokk</v>
      </c>
      <c r="W54" s="2" t="str">
        <f>IFERROR(__xludf.DUMMYFUNCTION("GOOGLETRANSLATE(A54, ""hr"", ""mt"")"),"Kap")</f>
        <v>Kap</v>
      </c>
      <c r="X54" s="2" t="str">
        <f>IFERROR(__xludf.DUMMYFUNCTION("GOOGLETRANSLATE(A54, ""hr"", ""es"")"),"gorra")</f>
        <v>gorra</v>
      </c>
      <c r="Y54" s="2" t="str">
        <f>IFERROR(__xludf.DUMMYFUNCTION("GOOGLETRANSLATE(A54, ""hr"", ""sl"")"),"pokrov")</f>
        <v>pokrov</v>
      </c>
      <c r="Z54" s="2" t="str">
        <f>IFERROR(__xludf.DUMMYFUNCTION("GOOGLETRANSLATE(A54, ""hr"", ""sk"")"),"čap")</f>
        <v>čap</v>
      </c>
    </row>
    <row r="55">
      <c r="A55" s="1" t="s">
        <v>54</v>
      </c>
      <c r="B55" s="2" t="str">
        <f>IFERROR(__xludf.DUMMYFUNCTION("GOOGLETRANSLATE(A55, ""hr"", ""en"")"),"sneakers")</f>
        <v>sneakers</v>
      </c>
      <c r="C55" s="2" t="str">
        <f>IFERROR(__xludf.DUMMYFUNCTION("GOOGLETRANSLATE(A55, ""hr"", ""de"")"),"Turnschuhe")</f>
        <v>Turnschuhe</v>
      </c>
      <c r="D55" s="2" t="str">
        <f>IFERROR(__xludf.DUMMYFUNCTION("GOOGLETRANSLATE(A55, ""hr"", ""cs"")"),"tenisky")</f>
        <v>tenisky</v>
      </c>
      <c r="E55" s="3" t="str">
        <f>IFERROR(__xludf.DUMMYFUNCTION("GOOGLETRANSLATE(A55, ""hr"", ""af"")"),"sneakers")</f>
        <v>sneakers</v>
      </c>
      <c r="F55" s="3" t="str">
        <f>IFERROR(__xludf.DUMMYFUNCTION("GOOGLETRANSLATE(A55, ""hr"", ""sq"")"),"atlete")</f>
        <v>atlete</v>
      </c>
      <c r="G55" s="3" t="str">
        <f>IFERROR(__xludf.DUMMYFUNCTION("GOOGLETRANSLATE(A55, ""hr"", ""ca"")"),"sabatilles")</f>
        <v>sabatilles</v>
      </c>
      <c r="H55" s="2" t="str">
        <f>IFERROR(__xludf.DUMMYFUNCTION("GOOGLETRANSLATE(A55, ""hr"", ""da"")"),"sneakers")</f>
        <v>sneakers</v>
      </c>
      <c r="I55" s="3" t="str">
        <f>IFERROR(__xludf.DUMMYFUNCTION("GOOGLETRANSLATE(A55, ""hr"", ""nl"")"),"sneakers")</f>
        <v>sneakers</v>
      </c>
      <c r="J55" s="3" t="str">
        <f>IFERROR(__xludf.DUMMYFUNCTION("GOOGLETRANSLATE(A55, ""hr"", ""et"")"),"tossud")</f>
        <v>tossud</v>
      </c>
      <c r="K55" s="3" t="str">
        <f>IFERROR(__xludf.DUMMYFUNCTION("GOOGLETRANSLATE(A55, ""hr"", ""tl"")"),"Mga sneaker")</f>
        <v>Mga sneaker</v>
      </c>
      <c r="L55" s="2" t="str">
        <f>IFERROR(__xludf.DUMMYFUNCTION("GOOGLETRANSLATE(A55, ""hr"", ""fi"")"),"lenkkarit")</f>
        <v>lenkkarit</v>
      </c>
      <c r="M55" s="3" t="str">
        <f>IFERROR(__xludf.DUMMYFUNCTION("GOOGLETRANSLATE(A55, ""hr"", ""fr"")"),"baskets")</f>
        <v>baskets</v>
      </c>
      <c r="N55" s="3" t="str">
        <f>IFERROR(__xludf.DUMMYFUNCTION("GOOGLETRANSLATE(A55, ""hr"", ""gl"")"),"zapatillas de deporte")</f>
        <v>zapatillas de deporte</v>
      </c>
      <c r="O55" s="2" t="str">
        <f>IFERROR(__xludf.DUMMYFUNCTION("GOOGLETRANSLATE(A55, ""hr"", ""ht"")"),"tenis")</f>
        <v>tenis</v>
      </c>
      <c r="P55" s="3" t="str">
        <f>IFERROR(__xludf.DUMMYFUNCTION("GOOGLETRANSLATE(A55, ""hr"", ""is"")"),"strigaskór")</f>
        <v>strigaskór</v>
      </c>
      <c r="Q55" s="2" t="str">
        <f>IFERROR(__xludf.DUMMYFUNCTION("GOOGLETRANSLATE(A55, ""hr"", ""id"")"),"sepatu kets")</f>
        <v>sepatu kets</v>
      </c>
      <c r="R55" s="2" t="str">
        <f>IFERROR(__xludf.DUMMYFUNCTION("GOOGLETRANSLATE(A55, ""hr"", ""ga"")"),"sneakers")</f>
        <v>sneakers</v>
      </c>
      <c r="S55" s="3" t="str">
        <f>IFERROR(__xludf.DUMMYFUNCTION("GOOGLETRANSLATE(A55, ""hr"", ""it"")"),"scarpe da ginnastica")</f>
        <v>scarpe da ginnastica</v>
      </c>
      <c r="T55" s="2" t="str">
        <f>IFERROR(__xludf.DUMMYFUNCTION("GOOGLETRANSLATE(A55, ""hr"", ""lv"")"),"čības")</f>
        <v>čības</v>
      </c>
      <c r="U55" s="2" t="str">
        <f>IFERROR(__xludf.DUMMYFUNCTION("GOOGLETRANSLATE(A55, ""hr"", ""lt"")"),"sportbačiai")</f>
        <v>sportbačiai</v>
      </c>
      <c r="V55" s="2" t="str">
        <f>IFERROR(__xludf.DUMMYFUNCTION("GOOGLETRANSLATE(A55, ""hr"", ""no"")"),"joggesko")</f>
        <v>joggesko</v>
      </c>
      <c r="W55" s="2" t="str">
        <f>IFERROR(__xludf.DUMMYFUNCTION("GOOGLETRANSLATE(A55, ""hr"", ""mt"")"),"sneakers")</f>
        <v>sneakers</v>
      </c>
      <c r="X55" s="2" t="str">
        <f>IFERROR(__xludf.DUMMYFUNCTION("GOOGLETRANSLATE(A55, ""hr"", ""es"")"),"Zapatillas deportivas")</f>
        <v>Zapatillas deportivas</v>
      </c>
      <c r="Y55" s="2" t="str">
        <f>IFERROR(__xludf.DUMMYFUNCTION("GOOGLETRANSLATE(A55, ""hr"", ""sl"")"),"superge")</f>
        <v>superge</v>
      </c>
      <c r="Z55" s="2" t="str">
        <f>IFERROR(__xludf.DUMMYFUNCTION("GOOGLETRANSLATE(A55, ""hr"", ""sk"")"),"tenisky")</f>
        <v>tenisky</v>
      </c>
    </row>
    <row r="56">
      <c r="A56" s="1" t="s">
        <v>55</v>
      </c>
      <c r="B56" s="2" t="str">
        <f>IFERROR(__xludf.DUMMYFUNCTION("GOOGLETRANSLATE(A56, ""hr"", ""en"")"),"football boots")</f>
        <v>football boots</v>
      </c>
      <c r="C56" s="2" t="str">
        <f>IFERROR(__xludf.DUMMYFUNCTION("GOOGLETRANSLATE(A56, ""hr"", ""de"")"),"Fußballschuhe")</f>
        <v>Fußballschuhe</v>
      </c>
      <c r="D56" s="2" t="str">
        <f>IFERROR(__xludf.DUMMYFUNCTION("GOOGLETRANSLATE(A56, ""hr"", ""cs"")"),"kopačky")</f>
        <v>kopačky</v>
      </c>
      <c r="E56" s="3" t="str">
        <f>IFERROR(__xludf.DUMMYFUNCTION("GOOGLETRANSLATE(A56, ""hr"", ""af"")"),"Sokkerstewels")</f>
        <v>Sokkerstewels</v>
      </c>
      <c r="F56" s="3" t="str">
        <f>IFERROR(__xludf.DUMMYFUNCTION("GOOGLETRANSLATE(A56, ""hr"", ""sq"")"),"çizme futbolli")</f>
        <v>çizme futbolli</v>
      </c>
      <c r="G56" s="3" t="str">
        <f>IFERROR(__xludf.DUMMYFUNCTION("GOOGLETRANSLATE(A56, ""hr"", ""ca"")"),"botes de futbol")</f>
        <v>botes de futbol</v>
      </c>
      <c r="H56" s="2" t="str">
        <f>IFERROR(__xludf.DUMMYFUNCTION("GOOGLETRANSLATE(A56, ""hr"", ""da"")"),"fodboldstøvler")</f>
        <v>fodboldstøvler</v>
      </c>
      <c r="I56" s="3" t="str">
        <f>IFERROR(__xludf.DUMMYFUNCTION("GOOGLETRANSLATE(A56, ""hr"", ""nl"")"),"voetbalschoenen")</f>
        <v>voetbalschoenen</v>
      </c>
      <c r="J56" s="3" t="str">
        <f>IFERROR(__xludf.DUMMYFUNCTION("GOOGLETRANSLATE(A56, ""hr"", ""et"")"),"jalgpalli saapad")</f>
        <v>jalgpalli saapad</v>
      </c>
      <c r="K56" s="3" t="str">
        <f>IFERROR(__xludf.DUMMYFUNCTION("GOOGLETRANSLATE(A56, ""hr"", ""tl"")"),"Mga bota ng football")</f>
        <v>Mga bota ng football</v>
      </c>
      <c r="L56" s="2" t="str">
        <f>IFERROR(__xludf.DUMMYFUNCTION("GOOGLETRANSLATE(A56, ""hr"", ""fi"")"),"jalkapallokengät")</f>
        <v>jalkapallokengät</v>
      </c>
      <c r="M56" s="3" t="str">
        <f>IFERROR(__xludf.DUMMYFUNCTION("GOOGLETRANSLATE(A56, ""hr"", ""fr"")"),"chaussures de football")</f>
        <v>chaussures de football</v>
      </c>
      <c r="N56" s="3" t="str">
        <f>IFERROR(__xludf.DUMMYFUNCTION("GOOGLETRANSLATE(A56, ""hr"", ""gl"")"),"Botas de fútbol")</f>
        <v>Botas de fútbol</v>
      </c>
      <c r="O56" s="2" t="str">
        <f>IFERROR(__xludf.DUMMYFUNCTION("GOOGLETRANSLATE(A56, ""hr"", ""ht"")"),"Bòt foutbòl")</f>
        <v>Bòt foutbòl</v>
      </c>
      <c r="P56" s="3" t="str">
        <f>IFERROR(__xludf.DUMMYFUNCTION("GOOGLETRANSLATE(A56, ""hr"", ""is"")"),"fótbolta stígvél")</f>
        <v>fótbolta stígvél</v>
      </c>
      <c r="Q56" s="2" t="str">
        <f>IFERROR(__xludf.DUMMYFUNCTION("GOOGLETRANSLATE(A56, ""hr"", ""id"")"),"sepatu sepak bola")</f>
        <v>sepatu sepak bola</v>
      </c>
      <c r="R56" s="2" t="str">
        <f>IFERROR(__xludf.DUMMYFUNCTION("GOOGLETRANSLATE(A56, ""hr"", ""ga"")"),"buataisí peile")</f>
        <v>buataisí peile</v>
      </c>
      <c r="S56" s="3" t="str">
        <f>IFERROR(__xludf.DUMMYFUNCTION("GOOGLETRANSLATE(A56, ""hr"", ""it"")"),"scarpe da calcio")</f>
        <v>scarpe da calcio</v>
      </c>
      <c r="T56" s="2" t="str">
        <f>IFERROR(__xludf.DUMMYFUNCTION("GOOGLETRANSLATE(A56, ""hr"", ""lv"")"),"Futbola apavi")</f>
        <v>Futbola apavi</v>
      </c>
      <c r="U56" s="2" t="str">
        <f>IFERROR(__xludf.DUMMYFUNCTION("GOOGLETRANSLATE(A56, ""hr"", ""lt"")"),"Futbolo bateliai")</f>
        <v>Futbolo bateliai</v>
      </c>
      <c r="V56" s="2" t="str">
        <f>IFERROR(__xludf.DUMMYFUNCTION("GOOGLETRANSLATE(A56, ""hr"", ""no"")"),"fotballsko")</f>
        <v>fotballsko</v>
      </c>
      <c r="W56" s="2" t="str">
        <f>IFERROR(__xludf.DUMMYFUNCTION("GOOGLETRANSLATE(A56, ""hr"", ""mt"")"),"Boots tal-futbol")</f>
        <v>Boots tal-futbol</v>
      </c>
      <c r="X56" s="2" t="str">
        <f>IFERROR(__xludf.DUMMYFUNCTION("GOOGLETRANSLATE(A56, ""hr"", ""es"")"),"botas de fútbol")</f>
        <v>botas de fútbol</v>
      </c>
      <c r="Y56" s="2" t="str">
        <f>IFERROR(__xludf.DUMMYFUNCTION("GOOGLETRANSLATE(A56, ""hr"", ""sl"")"),"nogometni čevlji")</f>
        <v>nogometni čevlji</v>
      </c>
      <c r="Z56" s="2" t="str">
        <f>IFERROR(__xludf.DUMMYFUNCTION("GOOGLETRANSLATE(A56, ""hr"", ""sk"")"),"kopačky")</f>
        <v>kopačky</v>
      </c>
    </row>
    <row r="57">
      <c r="A57" s="1" t="s">
        <v>56</v>
      </c>
      <c r="B57" s="2" t="str">
        <f>IFERROR(__xludf.DUMMYFUNCTION("GOOGLETRANSLATE(A57, ""hr"", ""en"")"),"trampoline")</f>
        <v>trampoline</v>
      </c>
      <c r="C57" s="2" t="str">
        <f>IFERROR(__xludf.DUMMYFUNCTION("GOOGLETRANSLATE(A57, ""hr"", ""de"")"),"Trampolin")</f>
        <v>Trampolin</v>
      </c>
      <c r="D57" s="2" t="str">
        <f>IFERROR(__xludf.DUMMYFUNCTION("GOOGLETRANSLATE(A57, ""hr"", ""cs"")"),"trampolína")</f>
        <v>trampolína</v>
      </c>
      <c r="E57" s="3" t="str">
        <f>IFERROR(__xludf.DUMMYFUNCTION("GOOGLETRANSLATE(A57, ""hr"", ""af"")"),"trampolien")</f>
        <v>trampolien</v>
      </c>
      <c r="F57" s="3" t="str">
        <f>IFERROR(__xludf.DUMMYFUNCTION("GOOGLETRANSLATE(A57, ""hr"", ""sq"")"),"trampolinë")</f>
        <v>trampolinë</v>
      </c>
      <c r="G57" s="3" t="str">
        <f>IFERROR(__xludf.DUMMYFUNCTION("GOOGLETRANSLATE(A57, ""hr"", ""ca"")"),"trampolí")</f>
        <v>trampolí</v>
      </c>
      <c r="H57" s="2" t="str">
        <f>IFERROR(__xludf.DUMMYFUNCTION("GOOGLETRANSLATE(A57, ""hr"", ""da"")"),"trampolin")</f>
        <v>trampolin</v>
      </c>
      <c r="I57" s="3" t="str">
        <f>IFERROR(__xludf.DUMMYFUNCTION("GOOGLETRANSLATE(A57, ""hr"", ""nl"")"),"trampoline")</f>
        <v>trampoline</v>
      </c>
      <c r="J57" s="3" t="str">
        <f>IFERROR(__xludf.DUMMYFUNCTION("GOOGLETRANSLATE(A57, ""hr"", ""et"")"),"batuut")</f>
        <v>batuut</v>
      </c>
      <c r="K57" s="3" t="str">
        <f>IFERROR(__xludf.DUMMYFUNCTION("GOOGLETRANSLATE(A57, ""hr"", ""tl"")"),"trampolin")</f>
        <v>trampolin</v>
      </c>
      <c r="L57" s="2" t="str">
        <f>IFERROR(__xludf.DUMMYFUNCTION("GOOGLETRANSLATE(A57, ""hr"", ""fi"")"),"trampoliini")</f>
        <v>trampoliini</v>
      </c>
      <c r="M57" s="3" t="str">
        <f>IFERROR(__xludf.DUMMYFUNCTION("GOOGLETRANSLATE(A57, ""hr"", ""fr"")"),"trampoline")</f>
        <v>trampoline</v>
      </c>
      <c r="N57" s="3" t="str">
        <f>IFERROR(__xludf.DUMMYFUNCTION("GOOGLETRANSLATE(A57, ""hr"", ""gl"")"),"Trampolín")</f>
        <v>Trampolín</v>
      </c>
      <c r="O57" s="2" t="str">
        <f>IFERROR(__xludf.DUMMYFUNCTION("GOOGLETRANSLATE(A57, ""hr"", ""ht"")"),"trampolin")</f>
        <v>trampolin</v>
      </c>
      <c r="P57" s="3" t="str">
        <f>IFERROR(__xludf.DUMMYFUNCTION("GOOGLETRANSLATE(A57, ""hr"", ""is"")"),"trampólín")</f>
        <v>trampólín</v>
      </c>
      <c r="Q57" s="2" t="str">
        <f>IFERROR(__xludf.DUMMYFUNCTION("GOOGLETRANSLATE(A57, ""hr"", ""id"")"),"trampolin")</f>
        <v>trampolin</v>
      </c>
      <c r="R57" s="2" t="str">
        <f>IFERROR(__xludf.DUMMYFUNCTION("GOOGLETRANSLATE(A57, ""hr"", ""ga"")"),"trampailín")</f>
        <v>trampailín</v>
      </c>
      <c r="S57" s="3" t="str">
        <f>IFERROR(__xludf.DUMMYFUNCTION("GOOGLETRANSLATE(A57, ""hr"", ""it"")"),"trampolino")</f>
        <v>trampolino</v>
      </c>
      <c r="T57" s="2" t="str">
        <f>IFERROR(__xludf.DUMMYFUNCTION("GOOGLETRANSLATE(A57, ""hr"", ""lv"")"),"batuts")</f>
        <v>batuts</v>
      </c>
      <c r="U57" s="2" t="str">
        <f>IFERROR(__xludf.DUMMYFUNCTION("GOOGLETRANSLATE(A57, ""hr"", ""lt"")"),"Batutas")</f>
        <v>Batutas</v>
      </c>
      <c r="V57" s="2" t="str">
        <f>IFERROR(__xludf.DUMMYFUNCTION("GOOGLETRANSLATE(A57, ""hr"", ""no"")"),"trampoline")</f>
        <v>trampoline</v>
      </c>
      <c r="W57" s="2" t="str">
        <f>IFERROR(__xludf.DUMMYFUNCTION("GOOGLETRANSLATE(A57, ""hr"", ""mt"")"),"Trampolin")</f>
        <v>Trampolin</v>
      </c>
      <c r="X57" s="2" t="str">
        <f>IFERROR(__xludf.DUMMYFUNCTION("GOOGLETRANSLATE(A57, ""hr"", ""es"")"),"trampolín")</f>
        <v>trampolín</v>
      </c>
      <c r="Y57" s="2" t="str">
        <f>IFERROR(__xludf.DUMMYFUNCTION("GOOGLETRANSLATE(A57, ""hr"", ""sl"")"),"trampolin")</f>
        <v>trampolin</v>
      </c>
      <c r="Z57" s="2" t="str">
        <f>IFERROR(__xludf.DUMMYFUNCTION("GOOGLETRANSLATE(A57, ""hr"", ""sk"")"),"trampolína")</f>
        <v>trampolína</v>
      </c>
    </row>
    <row r="58">
      <c r="A58" s="1" t="s">
        <v>57</v>
      </c>
      <c r="B58" s="2" t="str">
        <f>IFERROR(__xludf.DUMMYFUNCTION("GOOGLETRANSLATE(A58, ""hr"", ""en"")"),"foul")</f>
        <v>foul</v>
      </c>
      <c r="C58" s="2" t="str">
        <f>IFERROR(__xludf.DUMMYFUNCTION("GOOGLETRANSLATE(A58, ""hr"", ""de"")"),"Foul")</f>
        <v>Foul</v>
      </c>
      <c r="D58" s="2" t="str">
        <f>IFERROR(__xludf.DUMMYFUNCTION("GOOGLETRANSLATE(A58, ""hr"", ""cs"")"),"faul")</f>
        <v>faul</v>
      </c>
      <c r="E58" s="3" t="str">
        <f>IFERROR(__xludf.DUMMYFUNCTION("GOOGLETRANSLATE(A58, ""hr"", ""af"")"),"vuil")</f>
        <v>vuil</v>
      </c>
      <c r="F58" s="3" t="str">
        <f>IFERROR(__xludf.DUMMYFUNCTION("GOOGLETRANSLATE(A58, ""hr"", ""sq"")"),"faull")</f>
        <v>faull</v>
      </c>
      <c r="G58" s="3" t="str">
        <f>IFERROR(__xludf.DUMMYFUNCTION("GOOGLETRANSLATE(A58, ""hr"", ""ca"")"),"falta")</f>
        <v>falta</v>
      </c>
      <c r="H58" s="2" t="str">
        <f>IFERROR(__xludf.DUMMYFUNCTION("GOOGLETRANSLATE(A58, ""hr"", ""da"")"),"Foul")</f>
        <v>Foul</v>
      </c>
      <c r="I58" s="3" t="str">
        <f>IFERROR(__xludf.DUMMYFUNCTION("GOOGLETRANSLATE(A58, ""hr"", ""nl"")"),"vals")</f>
        <v>vals</v>
      </c>
      <c r="J58" s="3" t="str">
        <f>IFERROR(__xludf.DUMMYFUNCTION("GOOGLETRANSLATE(A58, ""hr"", ""et"")"),"ebameeldiv")</f>
        <v>ebameeldiv</v>
      </c>
      <c r="K58" s="3" t="str">
        <f>IFERROR(__xludf.DUMMYFUNCTION("GOOGLETRANSLATE(A58, ""hr"", ""tl"")"),"napakarumi")</f>
        <v>napakarumi</v>
      </c>
      <c r="L58" s="2" t="str">
        <f>IFERROR(__xludf.DUMMYFUNCTION("GOOGLETRANSLATE(A58, ""hr"", ""fi"")"),"röyhkeä")</f>
        <v>röyhkeä</v>
      </c>
      <c r="M58" s="3" t="str">
        <f>IFERROR(__xludf.DUMMYFUNCTION("GOOGLETRANSLATE(A58, ""hr"", ""fr"")"),"faute")</f>
        <v>faute</v>
      </c>
      <c r="N58" s="3" t="str">
        <f>IFERROR(__xludf.DUMMYFUNCTION("GOOGLETRANSLATE(A58, ""hr"", ""gl"")"),"Falta")</f>
        <v>Falta</v>
      </c>
      <c r="O58" s="2" t="str">
        <f>IFERROR(__xludf.DUMMYFUNCTION("GOOGLETRANSLATE(A58, ""hr"", ""ht"")"),"foad")</f>
        <v>foad</v>
      </c>
      <c r="P58" s="3" t="str">
        <f>IFERROR(__xludf.DUMMYFUNCTION("GOOGLETRANSLATE(A58, ""hr"", ""is"")"),"villa")</f>
        <v>villa</v>
      </c>
      <c r="Q58" s="2" t="str">
        <f>IFERROR(__xludf.DUMMYFUNCTION("GOOGLETRANSLATE(A58, ""hr"", ""id"")"),"busuk")</f>
        <v>busuk</v>
      </c>
      <c r="R58" s="2" t="str">
        <f>IFERROR(__xludf.DUMMYFUNCTION("GOOGLETRANSLATE(A58, ""hr"", ""ga"")"),"clainne")</f>
        <v>clainne</v>
      </c>
      <c r="S58" s="3" t="str">
        <f>IFERROR(__xludf.DUMMYFUNCTION("GOOGLETRANSLATE(A58, ""hr"", ""it"")"),"ripugnante")</f>
        <v>ripugnante</v>
      </c>
      <c r="T58" s="2" t="str">
        <f>IFERROR(__xludf.DUMMYFUNCTION("GOOGLETRANSLATE(A58, ""hr"", ""lv"")"),"neievērot")</f>
        <v>neievērot</v>
      </c>
      <c r="U58" s="2" t="str">
        <f>IFERROR(__xludf.DUMMYFUNCTION("GOOGLETRANSLATE(A58, ""hr"", ""lt"")"),"pražanga")</f>
        <v>pražanga</v>
      </c>
      <c r="V58" s="2" t="str">
        <f>IFERROR(__xludf.DUMMYFUNCTION("GOOGLETRANSLATE(A58, ""hr"", ""no"")"),"foul")</f>
        <v>foul</v>
      </c>
      <c r="W58" s="2" t="str">
        <f>IFERROR(__xludf.DUMMYFUNCTION("GOOGLETRANSLATE(A58, ""hr"", ""mt"")"),"fawl")</f>
        <v>fawl</v>
      </c>
      <c r="X58" s="2" t="str">
        <f>IFERROR(__xludf.DUMMYFUNCTION("GOOGLETRANSLATE(A58, ""hr"", ""es"")"),"falta")</f>
        <v>falta</v>
      </c>
      <c r="Y58" s="2" t="str">
        <f>IFERROR(__xludf.DUMMYFUNCTION("GOOGLETRANSLATE(A58, ""hr"", ""sl"")"),"prekršek")</f>
        <v>prekršek</v>
      </c>
      <c r="Z58" s="2" t="str">
        <f>IFERROR(__xludf.DUMMYFUNCTION("GOOGLETRANSLATE(A58, ""hr"", ""sk"")"),"neúnavný")</f>
        <v>neúnavný</v>
      </c>
    </row>
    <row r="59">
      <c r="A59" s="1" t="s">
        <v>58</v>
      </c>
      <c r="B59" s="2" t="str">
        <f>IFERROR(__xludf.DUMMYFUNCTION("GOOGLETRANSLATE(A59, ""hr"", ""en"")"),"archery")</f>
        <v>archery</v>
      </c>
      <c r="C59" s="2" t="str">
        <f>IFERROR(__xludf.DUMMYFUNCTION("GOOGLETRANSLATE(A59, ""hr"", ""de"")"),"Bogenschießen")</f>
        <v>Bogenschießen</v>
      </c>
      <c r="D59" s="2" t="str">
        <f>IFERROR(__xludf.DUMMYFUNCTION("GOOGLETRANSLATE(A59, ""hr"", ""cs"")"),"lukostřelba")</f>
        <v>lukostřelba</v>
      </c>
      <c r="E59" s="3" t="str">
        <f>IFERROR(__xludf.DUMMYFUNCTION("GOOGLETRANSLATE(A59, ""hr"", ""af"")"),"boogskiet")</f>
        <v>boogskiet</v>
      </c>
      <c r="F59" s="3" t="str">
        <f>IFERROR(__xludf.DUMMYFUNCTION("GOOGLETRANSLATE(A59, ""hr"", ""sq"")"),"gjuajtje me Hark")</f>
        <v>gjuajtje me Hark</v>
      </c>
      <c r="G59" s="3" t="str">
        <f>IFERROR(__xludf.DUMMYFUNCTION("GOOGLETRANSLATE(A59, ""hr"", ""ca"")"),"tir amb arc")</f>
        <v>tir amb arc</v>
      </c>
      <c r="H59" s="2" t="str">
        <f>IFERROR(__xludf.DUMMYFUNCTION("GOOGLETRANSLATE(A59, ""hr"", ""da"")"),"bueskydning")</f>
        <v>bueskydning</v>
      </c>
      <c r="I59" s="3" t="str">
        <f>IFERROR(__xludf.DUMMYFUNCTION("GOOGLETRANSLATE(A59, ""hr"", ""nl"")"),"boogschieten")</f>
        <v>boogschieten</v>
      </c>
      <c r="J59" s="3" t="str">
        <f>IFERROR(__xludf.DUMMYFUNCTION("GOOGLETRANSLATE(A59, ""hr"", ""et"")"),"vibulaskmine")</f>
        <v>vibulaskmine</v>
      </c>
      <c r="K59" s="3" t="str">
        <f>IFERROR(__xludf.DUMMYFUNCTION("GOOGLETRANSLATE(A59, ""hr"", ""tl"")"),"archery")</f>
        <v>archery</v>
      </c>
      <c r="L59" s="2" t="str">
        <f>IFERROR(__xludf.DUMMYFUNCTION("GOOGLETRANSLATE(A59, ""hr"", ""fi"")"),"jousiammunta")</f>
        <v>jousiammunta</v>
      </c>
      <c r="M59" s="3" t="str">
        <f>IFERROR(__xludf.DUMMYFUNCTION("GOOGLETRANSLATE(A59, ""hr"", ""fr"")"),"tir à l'archerie")</f>
        <v>tir à l'archerie</v>
      </c>
      <c r="N59" s="3" t="str">
        <f>IFERROR(__xludf.DUMMYFUNCTION("GOOGLETRANSLATE(A59, ""hr"", ""gl"")"),"tiro con arco")</f>
        <v>tiro con arco</v>
      </c>
      <c r="O59" s="2" t="str">
        <f>IFERROR(__xludf.DUMMYFUNCTION("GOOGLETRANSLATE(A59, ""hr"", ""ht"")"),"ti a lak")</f>
        <v>ti a lak</v>
      </c>
      <c r="P59" s="3" t="str">
        <f>IFERROR(__xludf.DUMMYFUNCTION("GOOGLETRANSLATE(A59, ""hr"", ""is"")"),"bogfimi")</f>
        <v>bogfimi</v>
      </c>
      <c r="Q59" s="2" t="str">
        <f>IFERROR(__xludf.DUMMYFUNCTION("GOOGLETRANSLATE(A59, ""hr"", ""id"")"),"panahan")</f>
        <v>panahan</v>
      </c>
      <c r="R59" s="2" t="str">
        <f>IFERROR(__xludf.DUMMYFUNCTION("GOOGLETRANSLATE(A59, ""hr"", ""ga"")"),"boghdóireacht")</f>
        <v>boghdóireacht</v>
      </c>
      <c r="S59" s="3" t="str">
        <f>IFERROR(__xludf.DUMMYFUNCTION("GOOGLETRANSLATE(A59, ""hr"", ""it"")"),"tiro con l'arco")</f>
        <v>tiro con l'arco</v>
      </c>
      <c r="T59" s="2" t="str">
        <f>IFERROR(__xludf.DUMMYFUNCTION("GOOGLETRANSLATE(A59, ""hr"", ""lv"")"),"šaušana ar loku")</f>
        <v>šaušana ar loku</v>
      </c>
      <c r="U59" s="2" t="str">
        <f>IFERROR(__xludf.DUMMYFUNCTION("GOOGLETRANSLATE(A59, ""hr"", ""lt"")"),"šaudymas iš lanko")</f>
        <v>šaudymas iš lanko</v>
      </c>
      <c r="V59" s="2" t="str">
        <f>IFERROR(__xludf.DUMMYFUNCTION("GOOGLETRANSLATE(A59, ""hr"", ""no"")"),"bueskyting")</f>
        <v>bueskyting</v>
      </c>
      <c r="W59" s="2" t="str">
        <f>IFERROR(__xludf.DUMMYFUNCTION("GOOGLETRANSLATE(A59, ""hr"", ""mt"")"),"Archery")</f>
        <v>Archery</v>
      </c>
      <c r="X59" s="2" t="str">
        <f>IFERROR(__xludf.DUMMYFUNCTION("GOOGLETRANSLATE(A59, ""hr"", ""es"")"),"tiro al arco")</f>
        <v>tiro al arco</v>
      </c>
      <c r="Y59" s="2" t="str">
        <f>IFERROR(__xludf.DUMMYFUNCTION("GOOGLETRANSLATE(A59, ""hr"", ""sl"")"),"lokostrelstvo")</f>
        <v>lokostrelstvo</v>
      </c>
      <c r="Z59" s="2" t="str">
        <f>IFERROR(__xludf.DUMMYFUNCTION("GOOGLETRANSLATE(A59, ""hr"", ""sk"")"),"lukostreľba")</f>
        <v>lukostreľba</v>
      </c>
    </row>
    <row r="60">
      <c r="A60" s="1" t="s">
        <v>59</v>
      </c>
      <c r="B60" s="2" t="str">
        <f>IFERROR(__xludf.DUMMYFUNCTION("GOOGLETRANSLATE(A60, ""hr"", ""en"")"),"fencing")</f>
        <v>fencing</v>
      </c>
      <c r="C60" s="2" t="str">
        <f>IFERROR(__xludf.DUMMYFUNCTION("GOOGLETRANSLATE(A60, ""hr"", ""de"")"),"Fechten")</f>
        <v>Fechten</v>
      </c>
      <c r="D60" s="2" t="str">
        <f>IFERROR(__xludf.DUMMYFUNCTION("GOOGLETRANSLATE(A60, ""hr"", ""cs"")"),"oplocení")</f>
        <v>oplocení</v>
      </c>
      <c r="E60" s="3" t="str">
        <f>IFERROR(__xludf.DUMMYFUNCTION("GOOGLETRANSLATE(A60, ""hr"", ""af"")"),"omheining")</f>
        <v>omheining</v>
      </c>
      <c r="F60" s="3" t="str">
        <f>IFERROR(__xludf.DUMMYFUNCTION("GOOGLETRANSLATE(A60, ""hr"", ""sq"")"),"skermë")</f>
        <v>skermë</v>
      </c>
      <c r="G60" s="3" t="str">
        <f>IFERROR(__xludf.DUMMYFUNCTION("GOOGLETRANSLATE(A60, ""hr"", ""ca"")"),"esgrima")</f>
        <v>esgrima</v>
      </c>
      <c r="H60" s="2" t="str">
        <f>IFERROR(__xludf.DUMMYFUNCTION("GOOGLETRANSLATE(A60, ""hr"", ""da"")"),"hegn")</f>
        <v>hegn</v>
      </c>
      <c r="I60" s="3" t="str">
        <f>IFERROR(__xludf.DUMMYFUNCTION("GOOGLETRANSLATE(A60, ""hr"", ""nl"")"),"schermen")</f>
        <v>schermen</v>
      </c>
      <c r="J60" s="3" t="str">
        <f>IFERROR(__xludf.DUMMYFUNCTION("GOOGLETRANSLATE(A60, ""hr"", ""et"")"),"vehklemine")</f>
        <v>vehklemine</v>
      </c>
      <c r="K60" s="3" t="str">
        <f>IFERROR(__xludf.DUMMYFUNCTION("GOOGLETRANSLATE(A60, ""hr"", ""tl"")"),"Fencing")</f>
        <v>Fencing</v>
      </c>
      <c r="L60" s="2" t="str">
        <f>IFERROR(__xludf.DUMMYFUNCTION("GOOGLETRANSLATE(A60, ""hr"", ""fi"")"),"miekkailu")</f>
        <v>miekkailu</v>
      </c>
      <c r="M60" s="3" t="str">
        <f>IFERROR(__xludf.DUMMYFUNCTION("GOOGLETRANSLATE(A60, ""hr"", ""fr"")"),"escrime")</f>
        <v>escrime</v>
      </c>
      <c r="N60" s="3" t="str">
        <f>IFERROR(__xludf.DUMMYFUNCTION("GOOGLETRANSLATE(A60, ""hr"", ""gl"")"),"cercado")</f>
        <v>cercado</v>
      </c>
      <c r="O60" s="2" t="str">
        <f>IFERROR(__xludf.DUMMYFUNCTION("GOOGLETRANSLATE(A60, ""hr"", ""ht"")"),"kloti")</f>
        <v>kloti</v>
      </c>
      <c r="P60" s="3" t="str">
        <f>IFERROR(__xludf.DUMMYFUNCTION("GOOGLETRANSLATE(A60, ""hr"", ""is"")"),"girðing")</f>
        <v>girðing</v>
      </c>
      <c r="Q60" s="2" t="str">
        <f>IFERROR(__xludf.DUMMYFUNCTION("GOOGLETRANSLATE(A60, ""hr"", ""id"")"),"pagar")</f>
        <v>pagar</v>
      </c>
      <c r="R60" s="2" t="str">
        <f>IFERROR(__xludf.DUMMYFUNCTION("GOOGLETRANSLATE(A60, ""hr"", ""ga"")"),"fiubadh")</f>
        <v>fiubadh</v>
      </c>
      <c r="S60" s="3" t="str">
        <f>IFERROR(__xludf.DUMMYFUNCTION("GOOGLETRANSLATE(A60, ""hr"", ""it"")"),"scherma")</f>
        <v>scherma</v>
      </c>
      <c r="T60" s="2" t="str">
        <f>IFERROR(__xludf.DUMMYFUNCTION("GOOGLETRANSLATE(A60, ""hr"", ""lv"")"),"paukošana")</f>
        <v>paukošana</v>
      </c>
      <c r="U60" s="2" t="str">
        <f>IFERROR(__xludf.DUMMYFUNCTION("GOOGLETRANSLATE(A60, ""hr"", ""lt"")"),"tvoros")</f>
        <v>tvoros</v>
      </c>
      <c r="V60" s="2" t="str">
        <f>IFERROR(__xludf.DUMMYFUNCTION("GOOGLETRANSLATE(A60, ""hr"", ""no"")"),"fekting")</f>
        <v>fekting</v>
      </c>
      <c r="W60" s="2" t="str">
        <f>IFERROR(__xludf.DUMMYFUNCTION("GOOGLETRANSLATE(A60, ""hr"", ""mt"")"),"ċnut")</f>
        <v>ċnut</v>
      </c>
      <c r="X60" s="2" t="str">
        <f>IFERROR(__xludf.DUMMYFUNCTION("GOOGLETRANSLATE(A60, ""hr"", ""es"")"),"Esgrima")</f>
        <v>Esgrima</v>
      </c>
      <c r="Y60" s="2" t="str">
        <f>IFERROR(__xludf.DUMMYFUNCTION("GOOGLETRANSLATE(A60, ""hr"", ""sl"")"),"ograje")</f>
        <v>ograje</v>
      </c>
      <c r="Z60" s="2" t="str">
        <f>IFERROR(__xludf.DUMMYFUNCTION("GOOGLETRANSLATE(A60, ""hr"", ""sk"")"),"oplotenie")</f>
        <v>oplotenie</v>
      </c>
    </row>
    <row r="61">
      <c r="A61" s="1" t="s">
        <v>60</v>
      </c>
      <c r="B61" s="2" t="str">
        <f>IFERROR(__xludf.DUMMYFUNCTION("GOOGLETRANSLATE(A61, ""hr"", ""en"")"),"root for")</f>
        <v>root for</v>
      </c>
      <c r="C61" s="2" t="str">
        <f>IFERROR(__xludf.DUMMYFUNCTION("GOOGLETRANSLATE(A61, ""hr"", ""de"")"),"Wurzel für")</f>
        <v>Wurzel für</v>
      </c>
      <c r="D61" s="2" t="str">
        <f>IFERROR(__xludf.DUMMYFUNCTION("GOOGLETRANSLATE(A61, ""hr"", ""cs"")"),"kořen pro")</f>
        <v>kořen pro</v>
      </c>
      <c r="E61" s="3" t="str">
        <f>IFERROR(__xludf.DUMMYFUNCTION("GOOGLETRANSLATE(A61, ""hr"", ""af"")"),"wortel vir")</f>
        <v>wortel vir</v>
      </c>
      <c r="F61" s="3" t="str">
        <f>IFERROR(__xludf.DUMMYFUNCTION("GOOGLETRANSLATE(A61, ""hr"", ""sq"")"),"rrënoj")</f>
        <v>rrënoj</v>
      </c>
      <c r="G61" s="3" t="str">
        <f>IFERROR(__xludf.DUMMYFUNCTION("GOOGLETRANSLATE(A61, ""hr"", ""ca"")"),"arrel per")</f>
        <v>arrel per</v>
      </c>
      <c r="H61" s="2" t="str">
        <f>IFERROR(__xludf.DUMMYFUNCTION("GOOGLETRANSLATE(A61, ""hr"", ""da"")"),"rod til")</f>
        <v>rod til</v>
      </c>
      <c r="I61" s="3" t="str">
        <f>IFERROR(__xludf.DUMMYFUNCTION("GOOGLETRANSLATE(A61, ""hr"", ""nl"")"),"Toejuichen")</f>
        <v>Toejuichen</v>
      </c>
      <c r="J61" s="3" t="str">
        <f>IFERROR(__xludf.DUMMYFUNCTION("GOOGLETRANSLATE(A61, ""hr"", ""et"")"),"kaasa elama")</f>
        <v>kaasa elama</v>
      </c>
      <c r="K61" s="3" t="str">
        <f>IFERROR(__xludf.DUMMYFUNCTION("GOOGLETRANSLATE(A61, ""hr"", ""tl"")"),"ugat para sa")</f>
        <v>ugat para sa</v>
      </c>
      <c r="L61" s="2" t="str">
        <f>IFERROR(__xludf.DUMMYFUNCTION("GOOGLETRANSLATE(A61, ""hr"", ""fi"")"),"kannustaa")</f>
        <v>kannustaa</v>
      </c>
      <c r="M61" s="3" t="str">
        <f>IFERROR(__xludf.DUMMYFUNCTION("GOOGLETRANSLATE(A61, ""hr"", ""fr"")"),"racine pour")</f>
        <v>racine pour</v>
      </c>
      <c r="N61" s="3" t="str">
        <f>IFERROR(__xludf.DUMMYFUNCTION("GOOGLETRANSLATE(A61, ""hr"", ""gl"")"),"raíz para")</f>
        <v>raíz para</v>
      </c>
      <c r="O61" s="2" t="str">
        <f>IFERROR(__xludf.DUMMYFUNCTION("GOOGLETRANSLATE(A61, ""hr"", ""ht"")"),"rasin pou")</f>
        <v>rasin pou</v>
      </c>
      <c r="P61" s="3" t="str">
        <f>IFERROR(__xludf.DUMMYFUNCTION("GOOGLETRANSLATE(A61, ""hr"", ""is"")"),"rót fyrir")</f>
        <v>rót fyrir</v>
      </c>
      <c r="Q61" s="2" t="str">
        <f>IFERROR(__xludf.DUMMYFUNCTION("GOOGLETRANSLATE(A61, ""hr"", ""id"")"),"root untuk")</f>
        <v>root untuk</v>
      </c>
      <c r="R61" s="2" t="str">
        <f>IFERROR(__xludf.DUMMYFUNCTION("GOOGLETRANSLATE(A61, ""hr"", ""ga"")"),"fréamh do")</f>
        <v>fréamh do</v>
      </c>
      <c r="S61" s="3" t="str">
        <f>IFERROR(__xludf.DUMMYFUNCTION("GOOGLETRANSLATE(A61, ""hr"", ""it"")"),"radice per")</f>
        <v>radice per</v>
      </c>
      <c r="T61" s="2" t="str">
        <f>IFERROR(__xludf.DUMMYFUNCTION("GOOGLETRANSLATE(A61, ""hr"", ""lv"")"),"sakne par")</f>
        <v>sakne par</v>
      </c>
      <c r="U61" s="2" t="str">
        <f>IFERROR(__xludf.DUMMYFUNCTION("GOOGLETRANSLATE(A61, ""hr"", ""lt"")"),"šaknis")</f>
        <v>šaknis</v>
      </c>
      <c r="V61" s="2" t="str">
        <f>IFERROR(__xludf.DUMMYFUNCTION("GOOGLETRANSLATE(A61, ""hr"", ""no"")"),"heie på")</f>
        <v>heie på</v>
      </c>
      <c r="W61" s="2" t="str">
        <f>IFERROR(__xludf.DUMMYFUNCTION("GOOGLETRANSLATE(A61, ""hr"", ""mt"")"),"għerq għal")</f>
        <v>għerq għal</v>
      </c>
      <c r="X61" s="2" t="str">
        <f>IFERROR(__xludf.DUMMYFUNCTION("GOOGLETRANSLATE(A61, ""hr"", ""es"")"),"raíz para")</f>
        <v>raíz para</v>
      </c>
      <c r="Y61" s="2" t="str">
        <f>IFERROR(__xludf.DUMMYFUNCTION("GOOGLETRANSLATE(A61, ""hr"", ""sl"")"),"Koren za")</f>
        <v>Koren za</v>
      </c>
      <c r="Z61" s="2" t="str">
        <f>IFERROR(__xludf.DUMMYFUNCTION("GOOGLETRANSLATE(A61, ""hr"", ""sk"")"),"fandiť")</f>
        <v>fandiť</v>
      </c>
    </row>
    <row r="62">
      <c r="A62" s="1" t="s">
        <v>61</v>
      </c>
      <c r="B62" s="2" t="str">
        <f>IFERROR(__xludf.DUMMYFUNCTION("GOOGLETRANSLATE(A62, ""hr"", ""en"")"),"priority")</f>
        <v>priority</v>
      </c>
      <c r="C62" s="2" t="str">
        <f>IFERROR(__xludf.DUMMYFUNCTION("GOOGLETRANSLATE(A62, ""hr"", ""de"")"),"Priorität")</f>
        <v>Priorität</v>
      </c>
      <c r="D62" s="2" t="str">
        <f>IFERROR(__xludf.DUMMYFUNCTION("GOOGLETRANSLATE(A62, ""hr"", ""cs"")"),"přednost")</f>
        <v>přednost</v>
      </c>
      <c r="E62" s="3" t="str">
        <f>IFERROR(__xludf.DUMMYFUNCTION("GOOGLETRANSLATE(A62, ""hr"", ""af"")"),"prioriteit")</f>
        <v>prioriteit</v>
      </c>
      <c r="F62" s="3" t="str">
        <f>IFERROR(__xludf.DUMMYFUNCTION("GOOGLETRANSLATE(A62, ""hr"", ""sq"")"),"prioritet")</f>
        <v>prioritet</v>
      </c>
      <c r="G62" s="3" t="str">
        <f>IFERROR(__xludf.DUMMYFUNCTION("GOOGLETRANSLATE(A62, ""hr"", ""ca"")"),"prioritat")</f>
        <v>prioritat</v>
      </c>
      <c r="H62" s="2" t="str">
        <f>IFERROR(__xludf.DUMMYFUNCTION("GOOGLETRANSLATE(A62, ""hr"", ""da"")"),"prioritet")</f>
        <v>prioritet</v>
      </c>
      <c r="I62" s="3" t="str">
        <f>IFERROR(__xludf.DUMMYFUNCTION("GOOGLETRANSLATE(A62, ""hr"", ""nl"")"),"prioriteit")</f>
        <v>prioriteit</v>
      </c>
      <c r="J62" s="3" t="str">
        <f>IFERROR(__xludf.DUMMYFUNCTION("GOOGLETRANSLATE(A62, ""hr"", ""et"")"),"prioriteet")</f>
        <v>prioriteet</v>
      </c>
      <c r="K62" s="3" t="str">
        <f>IFERROR(__xludf.DUMMYFUNCTION("GOOGLETRANSLATE(A62, ""hr"", ""tl"")"),"priyoridad")</f>
        <v>priyoridad</v>
      </c>
      <c r="L62" s="2" t="str">
        <f>IFERROR(__xludf.DUMMYFUNCTION("GOOGLETRANSLATE(A62, ""hr"", ""fi"")"),"prioriteetti")</f>
        <v>prioriteetti</v>
      </c>
      <c r="M62" s="3" t="str">
        <f>IFERROR(__xludf.DUMMYFUNCTION("GOOGLETRANSLATE(A62, ""hr"", ""fr"")"),"priorité")</f>
        <v>priorité</v>
      </c>
      <c r="N62" s="3" t="str">
        <f>IFERROR(__xludf.DUMMYFUNCTION("GOOGLETRANSLATE(A62, ""hr"", ""gl"")"),"prioridade")</f>
        <v>prioridade</v>
      </c>
      <c r="O62" s="2" t="str">
        <f>IFERROR(__xludf.DUMMYFUNCTION("GOOGLETRANSLATE(A62, ""hr"", ""ht"")"),"priyorite")</f>
        <v>priyorite</v>
      </c>
      <c r="P62" s="3" t="str">
        <f>IFERROR(__xludf.DUMMYFUNCTION("GOOGLETRANSLATE(A62, ""hr"", ""is"")"),"forgang")</f>
        <v>forgang</v>
      </c>
      <c r="Q62" s="2" t="str">
        <f>IFERROR(__xludf.DUMMYFUNCTION("GOOGLETRANSLATE(A62, ""hr"", ""id"")"),"prioritas")</f>
        <v>prioritas</v>
      </c>
      <c r="R62" s="2" t="str">
        <f>IFERROR(__xludf.DUMMYFUNCTION("GOOGLETRANSLATE(A62, ""hr"", ""ga"")"),"tosaíocht")</f>
        <v>tosaíocht</v>
      </c>
      <c r="S62" s="3" t="str">
        <f>IFERROR(__xludf.DUMMYFUNCTION("GOOGLETRANSLATE(A62, ""hr"", ""it"")"),"priorità")</f>
        <v>priorità</v>
      </c>
      <c r="T62" s="2" t="str">
        <f>IFERROR(__xludf.DUMMYFUNCTION("GOOGLETRANSLATE(A62, ""hr"", ""lv"")"),"prioritāte")</f>
        <v>prioritāte</v>
      </c>
      <c r="U62" s="2" t="str">
        <f>IFERROR(__xludf.DUMMYFUNCTION("GOOGLETRANSLATE(A62, ""hr"", ""lt"")"),"prioritetas")</f>
        <v>prioritetas</v>
      </c>
      <c r="V62" s="2" t="str">
        <f>IFERROR(__xludf.DUMMYFUNCTION("GOOGLETRANSLATE(A62, ""hr"", ""no"")"),"prioritet")</f>
        <v>prioritet</v>
      </c>
      <c r="W62" s="2" t="str">
        <f>IFERROR(__xludf.DUMMYFUNCTION("GOOGLETRANSLATE(A62, ""hr"", ""mt"")"),"prijorità")</f>
        <v>prijorità</v>
      </c>
      <c r="X62" s="2" t="str">
        <f>IFERROR(__xludf.DUMMYFUNCTION("GOOGLETRANSLATE(A62, ""hr"", ""es"")"),"prioridad")</f>
        <v>prioridad</v>
      </c>
      <c r="Y62" s="2" t="str">
        <f>IFERROR(__xludf.DUMMYFUNCTION("GOOGLETRANSLATE(A62, ""hr"", ""sl"")"),"prednostna naloga")</f>
        <v>prednostna naloga</v>
      </c>
      <c r="Z62" s="2" t="str">
        <f>IFERROR(__xludf.DUMMYFUNCTION("GOOGLETRANSLATE(A62, ""hr"", ""sk"")"),"priorita")</f>
        <v>priorita</v>
      </c>
    </row>
    <row r="63">
      <c r="A63" s="1" t="s">
        <v>62</v>
      </c>
      <c r="B63" s="2" t="str">
        <f>IFERROR(__xludf.DUMMYFUNCTION("GOOGLETRANSLATE(A63, ""hr"", ""en"")"),"cup")</f>
        <v>cup</v>
      </c>
      <c r="C63" s="2" t="str">
        <f>IFERROR(__xludf.DUMMYFUNCTION("GOOGLETRANSLATE(A63, ""hr"", ""de"")"),"Tasse")</f>
        <v>Tasse</v>
      </c>
      <c r="D63" s="2" t="str">
        <f>IFERROR(__xludf.DUMMYFUNCTION("GOOGLETRANSLATE(A63, ""hr"", ""cs"")"),"pohár")</f>
        <v>pohár</v>
      </c>
      <c r="E63" s="3" t="str">
        <f>IFERROR(__xludf.DUMMYFUNCTION("GOOGLETRANSLATE(A63, ""hr"", ""af"")"),"koppie")</f>
        <v>koppie</v>
      </c>
      <c r="F63" s="3" t="str">
        <f>IFERROR(__xludf.DUMMYFUNCTION("GOOGLETRANSLATE(A63, ""hr"", ""sq"")"),"gotë")</f>
        <v>gotë</v>
      </c>
      <c r="G63" s="3" t="str">
        <f>IFERROR(__xludf.DUMMYFUNCTION("GOOGLETRANSLATE(A63, ""hr"", ""ca"")"),"tassa")</f>
        <v>tassa</v>
      </c>
      <c r="H63" s="2" t="str">
        <f>IFERROR(__xludf.DUMMYFUNCTION("GOOGLETRANSLATE(A63, ""hr"", ""da"")"),"kop")</f>
        <v>kop</v>
      </c>
      <c r="I63" s="3" t="str">
        <f>IFERROR(__xludf.DUMMYFUNCTION("GOOGLETRANSLATE(A63, ""hr"", ""nl"")"),"beker")</f>
        <v>beker</v>
      </c>
      <c r="J63" s="3" t="str">
        <f>IFERROR(__xludf.DUMMYFUNCTION("GOOGLETRANSLATE(A63, ""hr"", ""et"")"),"tass")</f>
        <v>tass</v>
      </c>
      <c r="K63" s="3" t="str">
        <f>IFERROR(__xludf.DUMMYFUNCTION("GOOGLETRANSLATE(A63, ""hr"", ""tl"")"),"tasa")</f>
        <v>tasa</v>
      </c>
      <c r="L63" s="2" t="str">
        <f>IFERROR(__xludf.DUMMYFUNCTION("GOOGLETRANSLATE(A63, ""hr"", ""fi"")"),"kuppi")</f>
        <v>kuppi</v>
      </c>
      <c r="M63" s="3" t="str">
        <f>IFERROR(__xludf.DUMMYFUNCTION("GOOGLETRANSLATE(A63, ""hr"", ""fr"")"),"Coupe")</f>
        <v>Coupe</v>
      </c>
      <c r="N63" s="3" t="str">
        <f>IFERROR(__xludf.DUMMYFUNCTION("GOOGLETRANSLATE(A63, ""hr"", ""gl"")"),"cunca")</f>
        <v>cunca</v>
      </c>
      <c r="O63" s="2" t="str">
        <f>IFERROR(__xludf.DUMMYFUNCTION("GOOGLETRANSLATE(A63, ""hr"", ""ht"")"),"tas")</f>
        <v>tas</v>
      </c>
      <c r="P63" s="3" t="str">
        <f>IFERROR(__xludf.DUMMYFUNCTION("GOOGLETRANSLATE(A63, ""hr"", ""is"")"),"bolli")</f>
        <v>bolli</v>
      </c>
      <c r="Q63" s="2" t="str">
        <f>IFERROR(__xludf.DUMMYFUNCTION("GOOGLETRANSLATE(A63, ""hr"", ""id"")"),"cangkir")</f>
        <v>cangkir</v>
      </c>
      <c r="R63" s="2" t="str">
        <f>IFERROR(__xludf.DUMMYFUNCTION("GOOGLETRANSLATE(A63, ""hr"", ""ga"")"),"cupán")</f>
        <v>cupán</v>
      </c>
      <c r="S63" s="3" t="str">
        <f>IFERROR(__xludf.DUMMYFUNCTION("GOOGLETRANSLATE(A63, ""hr"", ""it"")"),"tazza")</f>
        <v>tazza</v>
      </c>
      <c r="T63" s="2" t="str">
        <f>IFERROR(__xludf.DUMMYFUNCTION("GOOGLETRANSLATE(A63, ""hr"", ""lv"")"),"krūze")</f>
        <v>krūze</v>
      </c>
      <c r="U63" s="2" t="str">
        <f>IFERROR(__xludf.DUMMYFUNCTION("GOOGLETRANSLATE(A63, ""hr"", ""lt"")"),"puodelis")</f>
        <v>puodelis</v>
      </c>
      <c r="V63" s="2" t="str">
        <f>IFERROR(__xludf.DUMMYFUNCTION("GOOGLETRANSLATE(A63, ""hr"", ""no"")"),"kopp")</f>
        <v>kopp</v>
      </c>
      <c r="W63" s="2" t="str">
        <f>IFERROR(__xludf.DUMMYFUNCTION("GOOGLETRANSLATE(A63, ""hr"", ""mt"")"),"tazza")</f>
        <v>tazza</v>
      </c>
      <c r="X63" s="2" t="str">
        <f>IFERROR(__xludf.DUMMYFUNCTION("GOOGLETRANSLATE(A63, ""hr"", ""es"")"),"taza")</f>
        <v>taza</v>
      </c>
      <c r="Y63" s="2" t="str">
        <f>IFERROR(__xludf.DUMMYFUNCTION("GOOGLETRANSLATE(A63, ""hr"", ""sl"")"),"skodelica")</f>
        <v>skodelica</v>
      </c>
      <c r="Z63" s="2" t="str">
        <f>IFERROR(__xludf.DUMMYFUNCTION("GOOGLETRANSLATE(A63, ""hr"", ""sk"")"),"pohár")</f>
        <v>pohár</v>
      </c>
    </row>
    <row r="64">
      <c r="A64" s="1" t="s">
        <v>63</v>
      </c>
      <c r="B64" s="2" t="str">
        <f>IFERROR(__xludf.DUMMYFUNCTION("GOOGLETRANSLATE(A64, ""hr"", ""en"")"),"rules")</f>
        <v>rules</v>
      </c>
      <c r="C64" s="2" t="str">
        <f>IFERROR(__xludf.DUMMYFUNCTION("GOOGLETRANSLATE(A64, ""hr"", ""de"")"),"Regeln")</f>
        <v>Regeln</v>
      </c>
      <c r="D64" s="2" t="str">
        <f>IFERROR(__xludf.DUMMYFUNCTION("GOOGLETRANSLATE(A64, ""hr"", ""cs"")"),"pravidla")</f>
        <v>pravidla</v>
      </c>
      <c r="E64" s="3" t="str">
        <f>IFERROR(__xludf.DUMMYFUNCTION("GOOGLETRANSLATE(A64, ""hr"", ""af"")"),"regeer")</f>
        <v>regeer</v>
      </c>
      <c r="F64" s="3" t="str">
        <f>IFERROR(__xludf.DUMMYFUNCTION("GOOGLETRANSLATE(A64, ""hr"", ""sq"")"),"rregulla")</f>
        <v>rregulla</v>
      </c>
      <c r="G64" s="3" t="str">
        <f>IFERROR(__xludf.DUMMYFUNCTION("GOOGLETRANSLATE(A64, ""hr"", ""ca"")"),"normes")</f>
        <v>normes</v>
      </c>
      <c r="H64" s="2" t="str">
        <f>IFERROR(__xludf.DUMMYFUNCTION("GOOGLETRANSLATE(A64, ""hr"", ""da"")"),"regler")</f>
        <v>regler</v>
      </c>
      <c r="I64" s="3" t="str">
        <f>IFERROR(__xludf.DUMMYFUNCTION("GOOGLETRANSLATE(A64, ""hr"", ""nl"")"),"reglement")</f>
        <v>reglement</v>
      </c>
      <c r="J64" s="3" t="str">
        <f>IFERROR(__xludf.DUMMYFUNCTION("GOOGLETRANSLATE(A64, ""hr"", ""et"")"),"reeglid")</f>
        <v>reeglid</v>
      </c>
      <c r="K64" s="3" t="str">
        <f>IFERROR(__xludf.DUMMYFUNCTION("GOOGLETRANSLATE(A64, ""hr"", ""tl"")"),"Mga Batas")</f>
        <v>Mga Batas</v>
      </c>
      <c r="L64" s="2" t="str">
        <f>IFERROR(__xludf.DUMMYFUNCTION("GOOGLETRANSLATE(A64, ""hr"", ""fi"")"),"sääntö")</f>
        <v>sääntö</v>
      </c>
      <c r="M64" s="3" t="str">
        <f>IFERROR(__xludf.DUMMYFUNCTION("GOOGLETRANSLATE(A64, ""hr"", ""fr"")"),"des règles")</f>
        <v>des règles</v>
      </c>
      <c r="N64" s="3" t="str">
        <f>IFERROR(__xludf.DUMMYFUNCTION("GOOGLETRANSLATE(A64, ""hr"", ""gl"")"),"regras")</f>
        <v>regras</v>
      </c>
      <c r="O64" s="2" t="str">
        <f>IFERROR(__xludf.DUMMYFUNCTION("GOOGLETRANSLATE(A64, ""hr"", ""ht"")"),"règ")</f>
        <v>règ</v>
      </c>
      <c r="P64" s="3" t="str">
        <f>IFERROR(__xludf.DUMMYFUNCTION("GOOGLETRANSLATE(A64, ""hr"", ""is"")"),"Reglur")</f>
        <v>Reglur</v>
      </c>
      <c r="Q64" s="2" t="str">
        <f>IFERROR(__xludf.DUMMYFUNCTION("GOOGLETRANSLATE(A64, ""hr"", ""id"")"),"aturan")</f>
        <v>aturan</v>
      </c>
      <c r="R64" s="2" t="str">
        <f>IFERROR(__xludf.DUMMYFUNCTION("GOOGLETRANSLATE(A64, ""hr"", ""ga"")"),"rianach")</f>
        <v>rianach</v>
      </c>
      <c r="S64" s="3" t="str">
        <f>IFERROR(__xludf.DUMMYFUNCTION("GOOGLETRANSLATE(A64, ""hr"", ""it"")"),"regole")</f>
        <v>regole</v>
      </c>
      <c r="T64" s="2" t="str">
        <f>IFERROR(__xludf.DUMMYFUNCTION("GOOGLETRANSLATE(A64, ""hr"", ""lv"")"),"noteikumi")</f>
        <v>noteikumi</v>
      </c>
      <c r="U64" s="2" t="str">
        <f>IFERROR(__xludf.DUMMYFUNCTION("GOOGLETRANSLATE(A64, ""hr"", ""lt"")"),"taisyklės")</f>
        <v>taisyklės</v>
      </c>
      <c r="V64" s="2" t="str">
        <f>IFERROR(__xludf.DUMMYFUNCTION("GOOGLETRANSLATE(A64, ""hr"", ""no"")"),"regler")</f>
        <v>regler</v>
      </c>
      <c r="W64" s="2" t="str">
        <f>IFERROR(__xludf.DUMMYFUNCTION("GOOGLETRANSLATE(A64, ""hr"", ""mt"")"),"regoli")</f>
        <v>regoli</v>
      </c>
      <c r="X64" s="2" t="str">
        <f>IFERROR(__xludf.DUMMYFUNCTION("GOOGLETRANSLATE(A64, ""hr"", ""es"")"),"normas")</f>
        <v>normas</v>
      </c>
      <c r="Y64" s="2" t="str">
        <f>IFERROR(__xludf.DUMMYFUNCTION("GOOGLETRANSLATE(A64, ""hr"", ""sl"")"),"pravila")</f>
        <v>pravila</v>
      </c>
      <c r="Z64" s="2" t="str">
        <f>IFERROR(__xludf.DUMMYFUNCTION("GOOGLETRANSLATE(A64, ""hr"", ""sk"")"),"pravidlá")</f>
        <v>pravidlá</v>
      </c>
    </row>
    <row r="65">
      <c r="A65" s="1" t="s">
        <v>64</v>
      </c>
      <c r="B65" s="2" t="str">
        <f>IFERROR(__xludf.DUMMYFUNCTION("GOOGLETRANSLATE(A65, ""hr"", ""en"")"),"game")</f>
        <v>game</v>
      </c>
      <c r="C65" s="2" t="str">
        <f>IFERROR(__xludf.DUMMYFUNCTION("GOOGLETRANSLATE(A65, ""hr"", ""de"")"),"Spiel")</f>
        <v>Spiel</v>
      </c>
      <c r="D65" s="2" t="str">
        <f>IFERROR(__xludf.DUMMYFUNCTION("GOOGLETRANSLATE(A65, ""hr"", ""cs"")"),"hra")</f>
        <v>hra</v>
      </c>
      <c r="E65" s="3" t="str">
        <f>IFERROR(__xludf.DUMMYFUNCTION("GOOGLETRANSLATE(A65, ""hr"", ""af"")"),"wild")</f>
        <v>wild</v>
      </c>
      <c r="F65" s="3" t="str">
        <f>IFERROR(__xludf.DUMMYFUNCTION("GOOGLETRANSLATE(A65, ""hr"", ""sq"")"),"lojë")</f>
        <v>lojë</v>
      </c>
      <c r="G65" s="3" t="str">
        <f>IFERROR(__xludf.DUMMYFUNCTION("GOOGLETRANSLATE(A65, ""hr"", ""ca"")"),"joc")</f>
        <v>joc</v>
      </c>
      <c r="H65" s="2" t="str">
        <f>IFERROR(__xludf.DUMMYFUNCTION("GOOGLETRANSLATE(A65, ""hr"", ""da"")"),"spil")</f>
        <v>spil</v>
      </c>
      <c r="I65" s="3" t="str">
        <f>IFERROR(__xludf.DUMMYFUNCTION("GOOGLETRANSLATE(A65, ""hr"", ""nl"")"),"spel")</f>
        <v>spel</v>
      </c>
      <c r="J65" s="3" t="str">
        <f>IFERROR(__xludf.DUMMYFUNCTION("GOOGLETRANSLATE(A65, ""hr"", ""et"")"),"mängumäng")</f>
        <v>mängumäng</v>
      </c>
      <c r="K65" s="3" t="str">
        <f>IFERROR(__xludf.DUMMYFUNCTION("GOOGLETRANSLATE(A65, ""hr"", ""tl"")"),"Laro")</f>
        <v>Laro</v>
      </c>
      <c r="L65" s="2" t="str">
        <f>IFERROR(__xludf.DUMMYFUNCTION("GOOGLETRANSLATE(A65, ""hr"", ""fi"")"),"peli")</f>
        <v>peli</v>
      </c>
      <c r="M65" s="3" t="str">
        <f>IFERROR(__xludf.DUMMYFUNCTION("GOOGLETRANSLATE(A65, ""hr"", ""fr"")"),"Jeu")</f>
        <v>Jeu</v>
      </c>
      <c r="N65" s="3" t="str">
        <f>IFERROR(__xludf.DUMMYFUNCTION("GOOGLETRANSLATE(A65, ""hr"", ""gl"")"),"xogo")</f>
        <v>xogo</v>
      </c>
      <c r="O65" s="2" t="str">
        <f>IFERROR(__xludf.DUMMYFUNCTION("GOOGLETRANSLATE(A65, ""hr"", ""ht"")"),"jwèt")</f>
        <v>jwèt</v>
      </c>
      <c r="P65" s="3" t="str">
        <f>IFERROR(__xludf.DUMMYFUNCTION("GOOGLETRANSLATE(A65, ""hr"", ""is"")"),"Leikur")</f>
        <v>Leikur</v>
      </c>
      <c r="Q65" s="2" t="str">
        <f>IFERROR(__xludf.DUMMYFUNCTION("GOOGLETRANSLATE(A65, ""hr"", ""id"")"),"permainan")</f>
        <v>permainan</v>
      </c>
      <c r="R65" s="2" t="str">
        <f>IFERROR(__xludf.DUMMYFUNCTION("GOOGLETRANSLATE(A65, ""hr"", ""ga"")"),"cluiche")</f>
        <v>cluiche</v>
      </c>
      <c r="S65" s="3" t="str">
        <f>IFERROR(__xludf.DUMMYFUNCTION("GOOGLETRANSLATE(A65, ""hr"", ""it"")"),"gioco")</f>
        <v>gioco</v>
      </c>
      <c r="T65" s="2" t="str">
        <f>IFERROR(__xludf.DUMMYFUNCTION("GOOGLETRANSLATE(A65, ""hr"", ""lv"")"),"spēle")</f>
        <v>spēle</v>
      </c>
      <c r="U65" s="2" t="str">
        <f>IFERROR(__xludf.DUMMYFUNCTION("GOOGLETRANSLATE(A65, ""hr"", ""lt"")"),"Žaidimas")</f>
        <v>Žaidimas</v>
      </c>
      <c r="V65" s="2" t="str">
        <f>IFERROR(__xludf.DUMMYFUNCTION("GOOGLETRANSLATE(A65, ""hr"", ""no"")"),"spill")</f>
        <v>spill</v>
      </c>
      <c r="W65" s="2" t="str">
        <f>IFERROR(__xludf.DUMMYFUNCTION("GOOGLETRANSLATE(A65, ""hr"", ""mt"")"),"logħba")</f>
        <v>logħba</v>
      </c>
      <c r="X65" s="2" t="str">
        <f>IFERROR(__xludf.DUMMYFUNCTION("GOOGLETRANSLATE(A65, ""hr"", ""es"")"),"juego")</f>
        <v>juego</v>
      </c>
      <c r="Y65" s="2" t="str">
        <f>IFERROR(__xludf.DUMMYFUNCTION("GOOGLETRANSLATE(A65, ""hr"", ""sl"")"),"igra")</f>
        <v>igra</v>
      </c>
      <c r="Z65" s="2" t="str">
        <f>IFERROR(__xludf.DUMMYFUNCTION("GOOGLETRANSLATE(A65, ""hr"", ""sk"")"),"hra")</f>
        <v>hra</v>
      </c>
    </row>
    <row r="66">
      <c r="A66" s="1" t="s">
        <v>65</v>
      </c>
      <c r="B66" s="2" t="str">
        <f>IFERROR(__xludf.DUMMYFUNCTION("GOOGLETRANSLATE(A66, ""hr"", ""en"")"),"effort")</f>
        <v>effort</v>
      </c>
      <c r="C66" s="2" t="str">
        <f>IFERROR(__xludf.DUMMYFUNCTION("GOOGLETRANSLATE(A66, ""hr"", ""de"")"),"Anstrengung")</f>
        <v>Anstrengung</v>
      </c>
      <c r="D66" s="2" t="str">
        <f>IFERROR(__xludf.DUMMYFUNCTION("GOOGLETRANSLATE(A66, ""hr"", ""cs"")"),"úsilí")</f>
        <v>úsilí</v>
      </c>
      <c r="E66" s="3" t="str">
        <f>IFERROR(__xludf.DUMMYFUNCTION("GOOGLETRANSLATE(A66, ""hr"", ""af"")"),"poging")</f>
        <v>poging</v>
      </c>
      <c r="F66" s="3" t="str">
        <f>IFERROR(__xludf.DUMMYFUNCTION("GOOGLETRANSLATE(A66, ""hr"", ""sq"")"),"përpjekje")</f>
        <v>përpjekje</v>
      </c>
      <c r="G66" s="3" t="str">
        <f>IFERROR(__xludf.DUMMYFUNCTION("GOOGLETRANSLATE(A66, ""hr"", ""ca"")"),"esforç")</f>
        <v>esforç</v>
      </c>
      <c r="H66" s="2" t="str">
        <f>IFERROR(__xludf.DUMMYFUNCTION("GOOGLETRANSLATE(A66, ""hr"", ""da"")"),"indsats")</f>
        <v>indsats</v>
      </c>
      <c r="I66" s="3" t="str">
        <f>IFERROR(__xludf.DUMMYFUNCTION("GOOGLETRANSLATE(A66, ""hr"", ""nl"")"),"poging")</f>
        <v>poging</v>
      </c>
      <c r="J66" s="3" t="str">
        <f>IFERROR(__xludf.DUMMYFUNCTION("GOOGLETRANSLATE(A66, ""hr"", ""et"")"),"pingutus")</f>
        <v>pingutus</v>
      </c>
      <c r="K66" s="3" t="str">
        <f>IFERROR(__xludf.DUMMYFUNCTION("GOOGLETRANSLATE(A66, ""hr"", ""tl"")"),"pagsisikap")</f>
        <v>pagsisikap</v>
      </c>
      <c r="L66" s="2" t="str">
        <f>IFERROR(__xludf.DUMMYFUNCTION("GOOGLETRANSLATE(A66, ""hr"", ""fi"")"),"ponnistus")</f>
        <v>ponnistus</v>
      </c>
      <c r="M66" s="3" t="str">
        <f>IFERROR(__xludf.DUMMYFUNCTION("GOOGLETRANSLATE(A66, ""hr"", ""fr"")"),"effort")</f>
        <v>effort</v>
      </c>
      <c r="N66" s="3" t="str">
        <f>IFERROR(__xludf.DUMMYFUNCTION("GOOGLETRANSLATE(A66, ""hr"", ""gl"")"),"esforzo")</f>
        <v>esforzo</v>
      </c>
      <c r="O66" s="2" t="str">
        <f>IFERROR(__xludf.DUMMYFUNCTION("GOOGLETRANSLATE(A66, ""hr"", ""ht"")"),"efò")</f>
        <v>efò</v>
      </c>
      <c r="P66" s="3" t="str">
        <f>IFERROR(__xludf.DUMMYFUNCTION("GOOGLETRANSLATE(A66, ""hr"", ""is"")"),"átak")</f>
        <v>átak</v>
      </c>
      <c r="Q66" s="2" t="str">
        <f>IFERROR(__xludf.DUMMYFUNCTION("GOOGLETRANSLATE(A66, ""hr"", ""id"")"),"upaya")</f>
        <v>upaya</v>
      </c>
      <c r="R66" s="2" t="str">
        <f>IFERROR(__xludf.DUMMYFUNCTION("GOOGLETRANSLATE(A66, ""hr"", ""ga"")"),"iarracht")</f>
        <v>iarracht</v>
      </c>
      <c r="S66" s="3" t="str">
        <f>IFERROR(__xludf.DUMMYFUNCTION("GOOGLETRANSLATE(A66, ""hr"", ""it"")"),"sforzo")</f>
        <v>sforzo</v>
      </c>
      <c r="T66" s="2" t="str">
        <f>IFERROR(__xludf.DUMMYFUNCTION("GOOGLETRANSLATE(A66, ""hr"", ""lv"")"),"piepūle")</f>
        <v>piepūle</v>
      </c>
      <c r="U66" s="2" t="str">
        <f>IFERROR(__xludf.DUMMYFUNCTION("GOOGLETRANSLATE(A66, ""hr"", ""lt"")"),"pastangos")</f>
        <v>pastangos</v>
      </c>
      <c r="V66" s="2" t="str">
        <f>IFERROR(__xludf.DUMMYFUNCTION("GOOGLETRANSLATE(A66, ""hr"", ""no"")"),"innsats")</f>
        <v>innsats</v>
      </c>
      <c r="W66" s="2" t="str">
        <f>IFERROR(__xludf.DUMMYFUNCTION("GOOGLETRANSLATE(A66, ""hr"", ""mt"")"),"sforz")</f>
        <v>sforz</v>
      </c>
      <c r="X66" s="2" t="str">
        <f>IFERROR(__xludf.DUMMYFUNCTION("GOOGLETRANSLATE(A66, ""hr"", ""es"")"),"esfuerzo")</f>
        <v>esfuerzo</v>
      </c>
      <c r="Y66" s="2" t="str">
        <f>IFERROR(__xludf.DUMMYFUNCTION("GOOGLETRANSLATE(A66, ""hr"", ""sl"")"),"trud")</f>
        <v>trud</v>
      </c>
      <c r="Z66" s="2" t="str">
        <f>IFERROR(__xludf.DUMMYFUNCTION("GOOGLETRANSLATE(A66, ""hr"", ""sk"")"),"úsilie")</f>
        <v>úsilie</v>
      </c>
    </row>
    <row r="67">
      <c r="A67" s="1" t="s">
        <v>66</v>
      </c>
      <c r="B67" s="2" t="str">
        <f>IFERROR(__xludf.DUMMYFUNCTION("GOOGLETRANSLATE(A67, ""hr"", ""en"")"),"will")</f>
        <v>will</v>
      </c>
      <c r="C67" s="2" t="str">
        <f>IFERROR(__xludf.DUMMYFUNCTION("GOOGLETRANSLATE(A67, ""hr"", ""de"")"),"Wille")</f>
        <v>Wille</v>
      </c>
      <c r="D67" s="2" t="str">
        <f>IFERROR(__xludf.DUMMYFUNCTION("GOOGLETRANSLATE(A67, ""hr"", ""cs"")"),"vůle")</f>
        <v>vůle</v>
      </c>
      <c r="E67" s="3" t="str">
        <f>IFERROR(__xludf.DUMMYFUNCTION("GOOGLETRANSLATE(A67, ""hr"", ""af"")"),"testament")</f>
        <v>testament</v>
      </c>
      <c r="F67" s="3" t="str">
        <f>IFERROR(__xludf.DUMMYFUNCTION("GOOGLETRANSLATE(A67, ""hr"", ""sq"")"),"do")</f>
        <v>do</v>
      </c>
      <c r="G67" s="3" t="str">
        <f>IFERROR(__xludf.DUMMYFUNCTION("GOOGLETRANSLATE(A67, ""hr"", ""ca"")"),"voluntat")</f>
        <v>voluntat</v>
      </c>
      <c r="H67" s="2" t="str">
        <f>IFERROR(__xludf.DUMMYFUNCTION("GOOGLETRANSLATE(A67, ""hr"", ""da"")"),"vilje")</f>
        <v>vilje</v>
      </c>
      <c r="I67" s="3" t="str">
        <f>IFERROR(__xludf.DUMMYFUNCTION("GOOGLETRANSLATE(A67, ""hr"", ""nl"")"),"zullen")</f>
        <v>zullen</v>
      </c>
      <c r="J67" s="3" t="str">
        <f>IFERROR(__xludf.DUMMYFUNCTION("GOOGLETRANSLATE(A67, ""hr"", ""et"")"),"tahe")</f>
        <v>tahe</v>
      </c>
      <c r="K67" s="3" t="str">
        <f>IFERROR(__xludf.DUMMYFUNCTION("GOOGLETRANSLATE(A67, ""hr"", ""tl"")"),"Will")</f>
        <v>Will</v>
      </c>
      <c r="L67" s="2" t="str">
        <f>IFERROR(__xludf.DUMMYFUNCTION("GOOGLETRANSLATE(A67, ""hr"", ""fi"")"),"tahtoa")</f>
        <v>tahtoa</v>
      </c>
      <c r="M67" s="3" t="str">
        <f>IFERROR(__xludf.DUMMYFUNCTION("GOOGLETRANSLATE(A67, ""hr"", ""fr"")"),"sera")</f>
        <v>sera</v>
      </c>
      <c r="N67" s="3" t="str">
        <f>IFERROR(__xludf.DUMMYFUNCTION("GOOGLETRANSLATE(A67, ""hr"", ""gl"")"),"vontade")</f>
        <v>vontade</v>
      </c>
      <c r="O67" s="2" t="str">
        <f>IFERROR(__xludf.DUMMYFUNCTION("GOOGLETRANSLATE(A67, ""hr"", ""ht"")"),"testaman")</f>
        <v>testaman</v>
      </c>
      <c r="P67" s="3" t="str">
        <f>IFERROR(__xludf.DUMMYFUNCTION("GOOGLETRANSLATE(A67, ""hr"", ""is"")"),"mun")</f>
        <v>mun</v>
      </c>
      <c r="Q67" s="2" t="str">
        <f>IFERROR(__xludf.DUMMYFUNCTION("GOOGLETRANSLATE(A67, ""hr"", ""id"")"),"akan")</f>
        <v>akan</v>
      </c>
      <c r="R67" s="2" t="str">
        <f>IFERROR(__xludf.DUMMYFUNCTION("GOOGLETRANSLATE(A67, ""hr"", ""ga"")"),"tiomna")</f>
        <v>tiomna</v>
      </c>
      <c r="S67" s="3" t="str">
        <f>IFERROR(__xludf.DUMMYFUNCTION("GOOGLETRANSLATE(A67, ""hr"", ""it"")"),"volere")</f>
        <v>volere</v>
      </c>
      <c r="T67" s="2" t="str">
        <f>IFERROR(__xludf.DUMMYFUNCTION("GOOGLETRANSLATE(A67, ""hr"", ""lv"")"),"griba")</f>
        <v>griba</v>
      </c>
      <c r="U67" s="2" t="str">
        <f>IFERROR(__xludf.DUMMYFUNCTION("GOOGLETRANSLATE(A67, ""hr"", ""lt"")"),"Valia")</f>
        <v>Valia</v>
      </c>
      <c r="V67" s="2" t="str">
        <f>IFERROR(__xludf.DUMMYFUNCTION("GOOGLETRANSLATE(A67, ""hr"", ""no"")"),"vil")</f>
        <v>vil</v>
      </c>
      <c r="W67" s="2" t="str">
        <f>IFERROR(__xludf.DUMMYFUNCTION("GOOGLETRANSLATE(A67, ""hr"", ""mt"")"),"se")</f>
        <v>se</v>
      </c>
      <c r="X67" s="2" t="str">
        <f>IFERROR(__xludf.DUMMYFUNCTION("GOOGLETRANSLATE(A67, ""hr"", ""es"")"),"voluntad")</f>
        <v>voluntad</v>
      </c>
      <c r="Y67" s="2" t="str">
        <f>IFERROR(__xludf.DUMMYFUNCTION("GOOGLETRANSLATE(A67, ""hr"", ""sl"")"),"volja")</f>
        <v>volja</v>
      </c>
      <c r="Z67" s="2" t="str">
        <f>IFERROR(__xludf.DUMMYFUNCTION("GOOGLETRANSLATE(A67, ""hr"", ""sk"")"),"vôľa")</f>
        <v>vôľa</v>
      </c>
    </row>
    <row r="68">
      <c r="A68" s="1" t="s">
        <v>67</v>
      </c>
      <c r="B68" s="2" t="str">
        <f>IFERROR(__xludf.DUMMYFUNCTION("GOOGLETRANSLATE(A68, ""hr"", ""en"")"),"heart")</f>
        <v>heart</v>
      </c>
      <c r="C68" s="2" t="str">
        <f>IFERROR(__xludf.DUMMYFUNCTION("GOOGLETRANSLATE(A68, ""hr"", ""de"")"),"Herz")</f>
        <v>Herz</v>
      </c>
      <c r="D68" s="2" t="str">
        <f>IFERROR(__xludf.DUMMYFUNCTION("GOOGLETRANSLATE(A68, ""hr"", ""cs"")"),"srdce")</f>
        <v>srdce</v>
      </c>
      <c r="E68" s="3" t="str">
        <f>IFERROR(__xludf.DUMMYFUNCTION("GOOGLETRANSLATE(A68, ""hr"", ""af"")"),"hart")</f>
        <v>hart</v>
      </c>
      <c r="F68" s="3" t="str">
        <f>IFERROR(__xludf.DUMMYFUNCTION("GOOGLETRANSLATE(A68, ""hr"", ""sq"")"),"zemër")</f>
        <v>zemër</v>
      </c>
      <c r="G68" s="3" t="str">
        <f>IFERROR(__xludf.DUMMYFUNCTION("GOOGLETRANSLATE(A68, ""hr"", ""ca"")"),"cor")</f>
        <v>cor</v>
      </c>
      <c r="H68" s="2" t="str">
        <f>IFERROR(__xludf.DUMMYFUNCTION("GOOGLETRANSLATE(A68, ""hr"", ""da"")"),"hjerte")</f>
        <v>hjerte</v>
      </c>
      <c r="I68" s="3" t="str">
        <f>IFERROR(__xludf.DUMMYFUNCTION("GOOGLETRANSLATE(A68, ""hr"", ""nl"")"),"hart")</f>
        <v>hart</v>
      </c>
      <c r="J68" s="3" t="str">
        <f>IFERROR(__xludf.DUMMYFUNCTION("GOOGLETRANSLATE(A68, ""hr"", ""et"")"),"süda")</f>
        <v>süda</v>
      </c>
      <c r="K68" s="3" t="str">
        <f>IFERROR(__xludf.DUMMYFUNCTION("GOOGLETRANSLATE(A68, ""hr"", ""tl"")"),"Puso")</f>
        <v>Puso</v>
      </c>
      <c r="L68" s="2" t="str">
        <f>IFERROR(__xludf.DUMMYFUNCTION("GOOGLETRANSLATE(A68, ""hr"", ""fi"")"),"sydän")</f>
        <v>sydän</v>
      </c>
      <c r="M68" s="3" t="str">
        <f>IFERROR(__xludf.DUMMYFUNCTION("GOOGLETRANSLATE(A68, ""hr"", ""fr"")"),"cœur")</f>
        <v>cœur</v>
      </c>
      <c r="N68" s="3" t="str">
        <f>IFERROR(__xludf.DUMMYFUNCTION("GOOGLETRANSLATE(A68, ""hr"", ""gl"")"),"corazón")</f>
        <v>corazón</v>
      </c>
      <c r="O68" s="2" t="str">
        <f>IFERROR(__xludf.DUMMYFUNCTION("GOOGLETRANSLATE(A68, ""hr"", ""ht"")"),"kè")</f>
        <v>kè</v>
      </c>
      <c r="P68" s="3" t="str">
        <f>IFERROR(__xludf.DUMMYFUNCTION("GOOGLETRANSLATE(A68, ""hr"", ""is"")"),"Hjarta")</f>
        <v>Hjarta</v>
      </c>
      <c r="Q68" s="2" t="str">
        <f>IFERROR(__xludf.DUMMYFUNCTION("GOOGLETRANSLATE(A68, ""hr"", ""id"")"),"jantung")</f>
        <v>jantung</v>
      </c>
      <c r="R68" s="2" t="str">
        <f>IFERROR(__xludf.DUMMYFUNCTION("GOOGLETRANSLATE(A68, ""hr"", ""ga"")"),"uchtach")</f>
        <v>uchtach</v>
      </c>
      <c r="S68" s="3" t="str">
        <f>IFERROR(__xludf.DUMMYFUNCTION("GOOGLETRANSLATE(A68, ""hr"", ""it"")"),"cuore")</f>
        <v>cuore</v>
      </c>
      <c r="T68" s="2" t="str">
        <f>IFERROR(__xludf.DUMMYFUNCTION("GOOGLETRANSLATE(A68, ""hr"", ""lv"")"),"sirds")</f>
        <v>sirds</v>
      </c>
      <c r="U68" s="2" t="str">
        <f>IFERROR(__xludf.DUMMYFUNCTION("GOOGLETRANSLATE(A68, ""hr"", ""lt"")"),"širdis")</f>
        <v>širdis</v>
      </c>
      <c r="V68" s="2" t="str">
        <f>IFERROR(__xludf.DUMMYFUNCTION("GOOGLETRANSLATE(A68, ""hr"", ""no"")"),"hjerte")</f>
        <v>hjerte</v>
      </c>
      <c r="W68" s="2" t="str">
        <f>IFERROR(__xludf.DUMMYFUNCTION("GOOGLETRANSLATE(A68, ""hr"", ""mt"")"),"qalb")</f>
        <v>qalb</v>
      </c>
      <c r="X68" s="2" t="str">
        <f>IFERROR(__xludf.DUMMYFUNCTION("GOOGLETRANSLATE(A68, ""hr"", ""es"")"),"corazón")</f>
        <v>corazón</v>
      </c>
      <c r="Y68" s="2" t="str">
        <f>IFERROR(__xludf.DUMMYFUNCTION("GOOGLETRANSLATE(A68, ""hr"", ""sl"")"),"srce")</f>
        <v>srce</v>
      </c>
      <c r="Z68" s="2" t="str">
        <f>IFERROR(__xludf.DUMMYFUNCTION("GOOGLETRANSLATE(A68, ""hr"", ""sk"")"),"Srdce")</f>
        <v>Srdce</v>
      </c>
    </row>
    <row r="69">
      <c r="E69" s="3"/>
      <c r="F69" s="3"/>
      <c r="G69" s="3"/>
      <c r="I69" s="3"/>
      <c r="J69" s="3"/>
      <c r="K69" s="3"/>
      <c r="M69" s="3"/>
      <c r="N69" s="3"/>
      <c r="P69" s="3"/>
      <c r="S69" s="3"/>
    </row>
    <row r="70">
      <c r="E70" s="3"/>
      <c r="F70" s="3"/>
      <c r="G70" s="3"/>
      <c r="I70" s="3"/>
      <c r="J70" s="3"/>
      <c r="K70" s="3"/>
      <c r="M70" s="3"/>
      <c r="N70" s="3"/>
      <c r="P70" s="3"/>
      <c r="S70" s="3"/>
    </row>
    <row r="71">
      <c r="E71" s="3"/>
      <c r="F71" s="3"/>
      <c r="G71" s="3"/>
      <c r="I71" s="3"/>
      <c r="J71" s="3"/>
      <c r="K71" s="3"/>
      <c r="M71" s="3"/>
      <c r="N71" s="3"/>
      <c r="P71" s="3"/>
      <c r="S71" s="3"/>
    </row>
    <row r="72">
      <c r="E72" s="3"/>
      <c r="F72" s="3"/>
      <c r="G72" s="3"/>
      <c r="I72" s="3"/>
      <c r="J72" s="3"/>
      <c r="K72" s="3"/>
      <c r="M72" s="3"/>
      <c r="N72" s="3"/>
      <c r="P72" s="3"/>
      <c r="S72" s="3"/>
    </row>
    <row r="73">
      <c r="E73" s="3"/>
      <c r="F73" s="3"/>
      <c r="G73" s="3"/>
      <c r="I73" s="3"/>
      <c r="J73" s="3"/>
      <c r="K73" s="3"/>
      <c r="M73" s="3"/>
      <c r="N73" s="3"/>
      <c r="P73" s="3"/>
      <c r="S73" s="3"/>
    </row>
    <row r="74">
      <c r="E74" s="3"/>
      <c r="F74" s="3"/>
      <c r="G74" s="3"/>
      <c r="I74" s="3"/>
      <c r="J74" s="3"/>
      <c r="K74" s="3"/>
      <c r="M74" s="3"/>
      <c r="N74" s="3"/>
      <c r="P74" s="3"/>
      <c r="S74" s="3"/>
    </row>
    <row r="75">
      <c r="E75" s="3"/>
      <c r="F75" s="3"/>
      <c r="G75" s="3"/>
      <c r="I75" s="3"/>
      <c r="J75" s="3"/>
      <c r="K75" s="3"/>
      <c r="M75" s="3"/>
      <c r="N75" s="3"/>
      <c r="P75" s="3"/>
      <c r="S75" s="3"/>
    </row>
    <row r="76">
      <c r="E76" s="3"/>
      <c r="F76" s="3"/>
      <c r="G76" s="3"/>
      <c r="I76" s="3"/>
      <c r="J76" s="3"/>
      <c r="K76" s="3"/>
      <c r="M76" s="3"/>
      <c r="N76" s="3"/>
      <c r="P76" s="3"/>
      <c r="S76" s="3"/>
    </row>
    <row r="77">
      <c r="E77" s="3"/>
      <c r="F77" s="3"/>
      <c r="G77" s="3"/>
      <c r="I77" s="3"/>
      <c r="J77" s="3"/>
      <c r="K77" s="3"/>
      <c r="M77" s="3"/>
      <c r="N77" s="3"/>
      <c r="P77" s="3"/>
      <c r="S77" s="3"/>
    </row>
    <row r="78">
      <c r="E78" s="3"/>
      <c r="F78" s="3"/>
      <c r="G78" s="3"/>
      <c r="I78" s="3"/>
      <c r="J78" s="3"/>
      <c r="K78" s="3"/>
      <c r="M78" s="3"/>
      <c r="N78" s="3"/>
      <c r="P78" s="3"/>
      <c r="S78" s="3"/>
    </row>
    <row r="79">
      <c r="E79" s="3"/>
      <c r="F79" s="3"/>
      <c r="G79" s="3"/>
      <c r="I79" s="3"/>
      <c r="J79" s="3"/>
      <c r="K79" s="3"/>
      <c r="M79" s="3"/>
      <c r="N79" s="3"/>
      <c r="P79" s="3"/>
      <c r="S79" s="3"/>
    </row>
    <row r="80">
      <c r="E80" s="3"/>
      <c r="F80" s="3"/>
      <c r="G80" s="3"/>
      <c r="I80" s="3"/>
      <c r="J80" s="3"/>
      <c r="K80" s="3"/>
      <c r="M80" s="3"/>
      <c r="N80" s="3"/>
      <c r="P80" s="3"/>
      <c r="S80" s="3"/>
    </row>
    <row r="81">
      <c r="E81" s="3"/>
      <c r="F81" s="3"/>
      <c r="G81" s="3"/>
      <c r="I81" s="3"/>
      <c r="J81" s="3"/>
      <c r="K81" s="3"/>
      <c r="M81" s="3"/>
      <c r="N81" s="3"/>
      <c r="P81" s="3"/>
      <c r="S81" s="3"/>
    </row>
    <row r="82">
      <c r="E82" s="3"/>
      <c r="F82" s="3"/>
      <c r="G82" s="3"/>
      <c r="I82" s="3"/>
      <c r="J82" s="3"/>
      <c r="K82" s="3"/>
      <c r="M82" s="3"/>
      <c r="N82" s="3"/>
      <c r="P82" s="3"/>
      <c r="S82" s="3"/>
    </row>
    <row r="83">
      <c r="E83" s="3"/>
      <c r="F83" s="3"/>
      <c r="G83" s="3"/>
      <c r="I83" s="3"/>
      <c r="J83" s="3"/>
      <c r="K83" s="3"/>
      <c r="M83" s="3"/>
      <c r="N83" s="3"/>
      <c r="P83" s="3"/>
      <c r="S83" s="3"/>
    </row>
    <row r="84">
      <c r="E84" s="3"/>
      <c r="F84" s="3"/>
      <c r="G84" s="3"/>
      <c r="I84" s="3"/>
      <c r="J84" s="3"/>
      <c r="K84" s="3"/>
      <c r="M84" s="3"/>
      <c r="N84" s="3"/>
      <c r="P84" s="3"/>
      <c r="S84" s="3"/>
    </row>
    <row r="85">
      <c r="E85" s="3"/>
      <c r="F85" s="3"/>
      <c r="G85" s="3"/>
      <c r="I85" s="3"/>
      <c r="J85" s="3"/>
      <c r="K85" s="3"/>
      <c r="M85" s="3"/>
      <c r="N85" s="3"/>
      <c r="P85" s="3"/>
      <c r="S85" s="3"/>
    </row>
    <row r="86">
      <c r="E86" s="3"/>
      <c r="F86" s="3"/>
      <c r="G86" s="3"/>
      <c r="I86" s="3"/>
      <c r="J86" s="3"/>
      <c r="K86" s="3"/>
      <c r="M86" s="3"/>
      <c r="N86" s="3"/>
      <c r="P86" s="3"/>
      <c r="S86" s="3"/>
    </row>
    <row r="87">
      <c r="E87" s="3"/>
      <c r="F87" s="3"/>
      <c r="G87" s="3"/>
      <c r="I87" s="3"/>
      <c r="J87" s="3"/>
      <c r="K87" s="3"/>
      <c r="M87" s="3"/>
      <c r="N87" s="3"/>
      <c r="P87" s="3"/>
      <c r="S87" s="3"/>
    </row>
    <row r="88">
      <c r="E88" s="3"/>
      <c r="F88" s="3"/>
      <c r="G88" s="3"/>
      <c r="I88" s="3"/>
      <c r="J88" s="3"/>
      <c r="K88" s="3"/>
      <c r="M88" s="3"/>
      <c r="N88" s="3"/>
      <c r="P88" s="3"/>
      <c r="S88" s="3"/>
    </row>
    <row r="89">
      <c r="E89" s="3"/>
      <c r="F89" s="3"/>
      <c r="G89" s="3"/>
      <c r="I89" s="3"/>
      <c r="J89" s="3"/>
      <c r="K89" s="3"/>
      <c r="M89" s="3"/>
      <c r="N89" s="3"/>
      <c r="P89" s="3"/>
      <c r="S89" s="3"/>
    </row>
    <row r="90">
      <c r="E90" s="3"/>
      <c r="F90" s="3"/>
      <c r="G90" s="3"/>
      <c r="I90" s="3"/>
      <c r="J90" s="3"/>
      <c r="K90" s="3"/>
      <c r="M90" s="3"/>
      <c r="N90" s="3"/>
      <c r="P90" s="3"/>
      <c r="S90" s="3"/>
    </row>
    <row r="91">
      <c r="E91" s="3"/>
      <c r="F91" s="3"/>
      <c r="G91" s="3"/>
      <c r="I91" s="3"/>
      <c r="J91" s="3"/>
      <c r="K91" s="3"/>
      <c r="M91" s="3"/>
      <c r="N91" s="3"/>
      <c r="P91" s="3"/>
      <c r="S91" s="3"/>
    </row>
    <row r="92">
      <c r="E92" s="3"/>
      <c r="F92" s="3"/>
      <c r="G92" s="3"/>
      <c r="I92" s="3"/>
      <c r="J92" s="3"/>
      <c r="K92" s="3"/>
      <c r="M92" s="3"/>
      <c r="N92" s="3"/>
      <c r="P92" s="3"/>
      <c r="S92" s="3"/>
    </row>
    <row r="93">
      <c r="E93" s="3"/>
      <c r="F93" s="3"/>
      <c r="G93" s="3"/>
      <c r="I93" s="3"/>
      <c r="J93" s="3"/>
      <c r="K93" s="3"/>
      <c r="M93" s="3"/>
      <c r="N93" s="3"/>
      <c r="P93" s="3"/>
      <c r="S93" s="3"/>
    </row>
    <row r="94">
      <c r="E94" s="3"/>
      <c r="F94" s="3"/>
      <c r="G94" s="3"/>
      <c r="I94" s="3"/>
      <c r="J94" s="3"/>
      <c r="K94" s="3"/>
      <c r="M94" s="3"/>
      <c r="N94" s="3"/>
      <c r="P94" s="3"/>
      <c r="S94" s="3"/>
    </row>
    <row r="95">
      <c r="E95" s="3"/>
      <c r="F95" s="3"/>
      <c r="G95" s="3"/>
      <c r="I95" s="3"/>
      <c r="J95" s="3"/>
      <c r="K95" s="3"/>
      <c r="M95" s="3"/>
      <c r="N95" s="3"/>
      <c r="P95" s="3"/>
      <c r="S95" s="3"/>
    </row>
    <row r="96">
      <c r="E96" s="3"/>
      <c r="F96" s="3"/>
      <c r="G96" s="3"/>
      <c r="I96" s="3"/>
      <c r="J96" s="3"/>
      <c r="K96" s="3"/>
      <c r="M96" s="3"/>
      <c r="N96" s="3"/>
      <c r="P96" s="3"/>
      <c r="S96" s="3"/>
    </row>
    <row r="97">
      <c r="E97" s="3"/>
      <c r="F97" s="3"/>
      <c r="G97" s="3"/>
      <c r="I97" s="3"/>
      <c r="J97" s="3"/>
      <c r="K97" s="3"/>
      <c r="M97" s="3"/>
      <c r="N97" s="3"/>
      <c r="P97" s="3"/>
      <c r="S97" s="3"/>
    </row>
    <row r="98">
      <c r="E98" s="3"/>
      <c r="F98" s="3"/>
      <c r="G98" s="3"/>
      <c r="I98" s="3"/>
      <c r="J98" s="3"/>
      <c r="K98" s="3"/>
      <c r="M98" s="3"/>
      <c r="N98" s="3"/>
      <c r="P98" s="3"/>
      <c r="S98" s="3"/>
    </row>
    <row r="99">
      <c r="E99" s="3"/>
      <c r="F99" s="3"/>
      <c r="G99" s="3"/>
      <c r="I99" s="3"/>
      <c r="J99" s="3"/>
      <c r="K99" s="3"/>
      <c r="M99" s="3"/>
      <c r="N99" s="3"/>
      <c r="P99" s="3"/>
      <c r="S99" s="3"/>
    </row>
    <row r="100">
      <c r="E100" s="3"/>
      <c r="F100" s="3"/>
      <c r="G100" s="3"/>
      <c r="I100" s="3"/>
      <c r="J100" s="3"/>
      <c r="K100" s="3"/>
      <c r="M100" s="3"/>
      <c r="N100" s="3"/>
      <c r="P100" s="3"/>
      <c r="S100" s="3"/>
    </row>
    <row r="101">
      <c r="E101" s="3"/>
      <c r="F101" s="3"/>
      <c r="G101" s="3"/>
      <c r="I101" s="3"/>
      <c r="J101" s="3"/>
      <c r="K101" s="3"/>
      <c r="M101" s="3"/>
      <c r="N101" s="3"/>
      <c r="P101" s="3"/>
      <c r="S101" s="3"/>
    </row>
    <row r="102">
      <c r="E102" s="3"/>
      <c r="F102" s="3"/>
      <c r="G102" s="3"/>
      <c r="I102" s="3"/>
      <c r="J102" s="3"/>
      <c r="K102" s="3"/>
      <c r="M102" s="3"/>
      <c r="N102" s="3"/>
      <c r="P102" s="3"/>
      <c r="S102" s="3"/>
    </row>
    <row r="103">
      <c r="E103" s="3"/>
      <c r="F103" s="3"/>
      <c r="G103" s="3"/>
      <c r="I103" s="3"/>
      <c r="J103" s="3"/>
      <c r="K103" s="3"/>
      <c r="M103" s="3"/>
      <c r="N103" s="3"/>
      <c r="P103" s="3"/>
      <c r="S103" s="3"/>
    </row>
    <row r="104">
      <c r="E104" s="3"/>
      <c r="F104" s="3"/>
      <c r="G104" s="3"/>
      <c r="I104" s="3"/>
      <c r="J104" s="3"/>
      <c r="K104" s="3"/>
      <c r="M104" s="3"/>
      <c r="N104" s="3"/>
      <c r="P104" s="3"/>
      <c r="S104" s="3"/>
    </row>
    <row r="105">
      <c r="E105" s="3"/>
      <c r="F105" s="3"/>
      <c r="G105" s="3"/>
      <c r="I105" s="3"/>
      <c r="J105" s="3"/>
      <c r="K105" s="3"/>
      <c r="M105" s="3"/>
      <c r="N105" s="3"/>
      <c r="P105" s="3"/>
      <c r="S105" s="3"/>
    </row>
    <row r="106">
      <c r="E106" s="3"/>
      <c r="F106" s="3"/>
      <c r="G106" s="3"/>
      <c r="I106" s="3"/>
      <c r="J106" s="3"/>
      <c r="K106" s="3"/>
      <c r="M106" s="3"/>
      <c r="N106" s="3"/>
      <c r="P106" s="3"/>
      <c r="S106" s="3"/>
    </row>
    <row r="107">
      <c r="E107" s="3"/>
      <c r="F107" s="3"/>
      <c r="G107" s="3"/>
      <c r="I107" s="3"/>
      <c r="J107" s="3"/>
      <c r="K107" s="3"/>
      <c r="M107" s="3"/>
      <c r="N107" s="3"/>
      <c r="P107" s="3"/>
      <c r="S107" s="3"/>
    </row>
    <row r="108">
      <c r="E108" s="3"/>
      <c r="F108" s="3"/>
      <c r="G108" s="3"/>
      <c r="I108" s="3"/>
      <c r="J108" s="3"/>
      <c r="K108" s="3"/>
      <c r="M108" s="3"/>
      <c r="N108" s="3"/>
      <c r="P108" s="3"/>
      <c r="S108" s="3"/>
    </row>
    <row r="109">
      <c r="E109" s="3"/>
      <c r="F109" s="3"/>
      <c r="G109" s="3"/>
      <c r="I109" s="3"/>
      <c r="J109" s="3"/>
      <c r="K109" s="3"/>
      <c r="M109" s="3"/>
      <c r="N109" s="3"/>
      <c r="P109" s="3"/>
      <c r="S109" s="3"/>
    </row>
    <row r="110">
      <c r="E110" s="3"/>
      <c r="F110" s="3"/>
      <c r="G110" s="3"/>
      <c r="I110" s="3"/>
      <c r="J110" s="3"/>
      <c r="K110" s="3"/>
      <c r="M110" s="3"/>
      <c r="N110" s="3"/>
      <c r="P110" s="3"/>
      <c r="S110" s="3"/>
    </row>
    <row r="111">
      <c r="E111" s="3"/>
      <c r="F111" s="3"/>
      <c r="G111" s="3"/>
      <c r="I111" s="3"/>
      <c r="J111" s="3"/>
      <c r="K111" s="3"/>
      <c r="M111" s="3"/>
      <c r="N111" s="3"/>
      <c r="P111" s="3"/>
      <c r="S111" s="3"/>
    </row>
    <row r="112">
      <c r="E112" s="3"/>
      <c r="F112" s="3"/>
      <c r="G112" s="3"/>
      <c r="I112" s="3"/>
      <c r="J112" s="3"/>
      <c r="K112" s="3"/>
      <c r="M112" s="3"/>
      <c r="N112" s="3"/>
      <c r="P112" s="3"/>
      <c r="S112" s="3"/>
    </row>
    <row r="113">
      <c r="E113" s="3"/>
      <c r="F113" s="3"/>
      <c r="G113" s="3"/>
      <c r="I113" s="3"/>
      <c r="J113" s="3"/>
      <c r="K113" s="3"/>
      <c r="M113" s="3"/>
      <c r="N113" s="3"/>
      <c r="P113" s="3"/>
      <c r="S113" s="3"/>
    </row>
    <row r="114">
      <c r="E114" s="3"/>
      <c r="F114" s="3"/>
      <c r="G114" s="3"/>
      <c r="I114" s="3"/>
      <c r="J114" s="3"/>
      <c r="K114" s="3"/>
      <c r="M114" s="3"/>
      <c r="N114" s="3"/>
      <c r="P114" s="3"/>
      <c r="S114" s="3"/>
    </row>
    <row r="115">
      <c r="E115" s="3"/>
      <c r="F115" s="3"/>
      <c r="G115" s="3"/>
      <c r="I115" s="3"/>
      <c r="J115" s="3"/>
      <c r="K115" s="3"/>
      <c r="M115" s="3"/>
      <c r="N115" s="3"/>
      <c r="P115" s="3"/>
      <c r="S115" s="3"/>
    </row>
    <row r="116">
      <c r="E116" s="3"/>
      <c r="F116" s="3"/>
      <c r="G116" s="3"/>
      <c r="I116" s="3"/>
      <c r="J116" s="3"/>
      <c r="K116" s="3"/>
      <c r="M116" s="3"/>
      <c r="N116" s="3"/>
      <c r="P116" s="3"/>
      <c r="S116" s="3"/>
    </row>
    <row r="117">
      <c r="E117" s="3"/>
      <c r="F117" s="3"/>
      <c r="G117" s="3"/>
      <c r="I117" s="3"/>
      <c r="J117" s="3"/>
      <c r="K117" s="3"/>
      <c r="M117" s="3"/>
      <c r="N117" s="3"/>
      <c r="P117" s="3"/>
      <c r="S117" s="3"/>
    </row>
    <row r="118">
      <c r="E118" s="3"/>
      <c r="F118" s="3"/>
      <c r="G118" s="3"/>
      <c r="I118" s="3"/>
      <c r="J118" s="3"/>
      <c r="K118" s="3"/>
      <c r="M118" s="3"/>
      <c r="N118" s="3"/>
      <c r="P118" s="3"/>
      <c r="S118" s="3"/>
    </row>
    <row r="119">
      <c r="E119" s="3"/>
      <c r="F119" s="3"/>
      <c r="G119" s="3"/>
      <c r="I119" s="3"/>
      <c r="J119" s="3"/>
      <c r="K119" s="3"/>
      <c r="M119" s="3"/>
      <c r="N119" s="3"/>
      <c r="P119" s="3"/>
      <c r="S119" s="3"/>
    </row>
    <row r="120">
      <c r="E120" s="3"/>
      <c r="F120" s="3"/>
      <c r="G120" s="3"/>
      <c r="I120" s="3"/>
      <c r="J120" s="3"/>
      <c r="K120" s="3"/>
      <c r="M120" s="3"/>
      <c r="N120" s="3"/>
      <c r="P120" s="3"/>
      <c r="S120" s="3"/>
    </row>
  </sheetData>
  <drawing r:id="rId1"/>
</worksheet>
</file>