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filterPrivacy="1"/>
  <xr:revisionPtr revIDLastSave="0" documentId="8_{8FABEA13-5B03-4945-919F-3A957D26458D}" xr6:coauthVersionLast="36" xr6:coauthVersionMax="36" xr10:uidLastSave="{00000000-0000-0000-0000-000000000000}"/>
  <workbookProtection workbookAlgorithmName="SHA-512" workbookHashValue="iMBpeTmND7semoKs1veHvz5XVMLkRu9N+cTw5DpztZblfJBp4tIjFBwEorLbaWQpyr5Ugz3K1B3dbBJx+Es+RA==" workbookSaltValue="2U2yDBGcgnOurzt6Rtyitg==" workbookSpinCount="100000" lockStructure="1"/>
  <bookViews>
    <workbookView xWindow="0" yWindow="460" windowWidth="25600" windowHeight="14620" tabRatio="800" activeTab="2" xr2:uid="{00000000-000D-0000-FFFF-FFFF00000000}"/>
  </bookViews>
  <sheets>
    <sheet name="FrontPage" sheetId="46" r:id="rId1"/>
    <sheet name="Instructions" sheetId="48" r:id="rId2"/>
    <sheet name="Cost-of-Service" sheetId="26" r:id="rId3"/>
    <sheet name="Dropdowns" sheetId="47" state="hidden" r:id="rId4"/>
    <sheet name="Visualisation" sheetId="45" state="hidden" r:id="rId5"/>
    <sheet name="Applications" sheetId="31" r:id="rId6"/>
    <sheet name="List of Storage Technologies" sheetId="41" state="hidden" r:id="rId7"/>
    <sheet name="Overview 2016 (in)" sheetId="19" state="hidden" r:id="rId8"/>
    <sheet name="Pumped Hydro (calc)" sheetId="1" state="hidden" r:id="rId9"/>
    <sheet name="Pumped Hydro" sheetId="22" state="hidden" r:id="rId10"/>
    <sheet name="CAES (calc)" sheetId="5" state="hidden" r:id="rId11"/>
    <sheet name="CAES" sheetId="23" state="hidden" r:id="rId12"/>
    <sheet name="Flywheel (calc)" sheetId="6" state="hidden" r:id="rId13"/>
    <sheet name="Flywheel" sheetId="25" state="hidden" r:id="rId14"/>
    <sheet name="Flooded LA (calc)" sheetId="17" state="hidden" r:id="rId15"/>
    <sheet name="Flooded LA" sheetId="24" state="hidden" r:id="rId16"/>
    <sheet name="VRLA (calc)" sheetId="16" state="hidden" r:id="rId17"/>
    <sheet name="VRLA" sheetId="33" state="hidden" r:id="rId18"/>
    <sheet name="Li-Ion (NMC) (calc)" sheetId="8" state="hidden" r:id="rId19"/>
    <sheet name="Li-Ion (NMC)" sheetId="34" state="hidden" r:id="rId20"/>
    <sheet name="Li-Ion (NCA) (calc)" sheetId="9" state="hidden" r:id="rId21"/>
    <sheet name="Li-Ion (NCA)" sheetId="35" state="hidden" r:id="rId22"/>
    <sheet name="Li-Ion (LFP) (calc)" sheetId="10" state="hidden" r:id="rId23"/>
    <sheet name="Li-Ion (LFP)" sheetId="37" state="hidden" r:id="rId24"/>
    <sheet name="Li-Ion (Titanate) (calc)" sheetId="11" state="hidden" r:id="rId25"/>
    <sheet name="Li-Ion (Titanate)" sheetId="36" state="hidden" r:id="rId26"/>
    <sheet name="NaNiCl (calc)" sheetId="12" state="hidden" r:id="rId27"/>
    <sheet name="NaNiCl" sheetId="38" state="hidden" r:id="rId28"/>
    <sheet name="NaS (calc)" sheetId="13" state="hidden" r:id="rId29"/>
    <sheet name="NaS" sheetId="39" state="hidden" r:id="rId30"/>
    <sheet name="Vanadium Flow (calc)" sheetId="14" state="hidden" r:id="rId31"/>
    <sheet name="Vanadium Flow" sheetId="40" state="hidden" r:id="rId32"/>
    <sheet name="ZnBr Flow (calc)" sheetId="15" state="hidden" r:id="rId33"/>
    <sheet name="ZnBr Flow" sheetId="30" state="hidden" r:id="rId34"/>
    <sheet name="Inverter small (calc)" sheetId="20" state="hidden" r:id="rId35"/>
    <sheet name="Inverter small" sheetId="27" state="hidden" r:id="rId36"/>
    <sheet name="Inverter large (calc)" sheetId="21" state="hidden" r:id="rId37"/>
    <sheet name="Inverter large" sheetId="28" state="hidden" r:id="rId38"/>
    <sheet name="No Inverter" sheetId="29" state="hidden" r:id="rId39"/>
    <sheet name="Generator PHS" sheetId="42" state="hidden" r:id="rId40"/>
    <sheet name="Generator CAES" sheetId="43" state="hidden" r:id="rId41"/>
    <sheet name="Generator Flywheel" sheetId="44" state="hidden" r:id="rId42"/>
  </sheets>
  <definedNames>
    <definedName name="Applications">Applications!$B$4:$B$40</definedName>
    <definedName name="PCU_options">INDEX(techCPU_tbl[],,MATCH(tech_choice,tech_list,0))</definedName>
    <definedName name="Speichertechnologien">'List of Storage Technologies'!$A$1:$A$40</definedName>
    <definedName name="tech_choice">'Cost-of-Service'!$B$4</definedName>
    <definedName name="tech_list">techCPU_tbl[#Headers]</definedName>
  </definedNames>
  <calcPr calcId="162913"/>
</workbook>
</file>

<file path=xl/calcChain.xml><?xml version="1.0" encoding="utf-8"?>
<calcChain xmlns="http://schemas.openxmlformats.org/spreadsheetml/2006/main">
  <c r="G136" i="26" l="1"/>
  <c r="B141" i="26" l="1"/>
  <c r="C104" i="26" s="1"/>
  <c r="B136" i="26"/>
  <c r="B105" i="26" s="1"/>
  <c r="G106" i="26"/>
  <c r="L105" i="26"/>
  <c r="M105" i="26"/>
  <c r="N105" i="26"/>
  <c r="G9" i="26"/>
  <c r="I105" i="26" l="1"/>
  <c r="G108" i="26"/>
  <c r="G107" i="26"/>
  <c r="K105" i="26"/>
  <c r="M141" i="26" s="1"/>
  <c r="L37" i="21"/>
  <c r="H37" i="21" s="1"/>
  <c r="D54" i="21" s="1"/>
  <c r="L30" i="21"/>
  <c r="G30" i="21" s="1"/>
  <c r="K30" i="21"/>
  <c r="E30" i="21" s="1"/>
  <c r="L25" i="21"/>
  <c r="H25" i="21" s="1"/>
  <c r="G25" i="21"/>
  <c r="L23" i="21"/>
  <c r="G23" i="21" s="1"/>
  <c r="H23" i="21"/>
  <c r="E6" i="20"/>
  <c r="D6" i="20"/>
  <c r="K30" i="20"/>
  <c r="E30" i="20" s="1"/>
  <c r="L37" i="20"/>
  <c r="H37" i="20" s="1"/>
  <c r="D54" i="20" s="1"/>
  <c r="L30" i="20"/>
  <c r="H30" i="20" s="1"/>
  <c r="D53" i="20" s="1"/>
  <c r="L25" i="20"/>
  <c r="H25" i="20" s="1"/>
  <c r="L23" i="20"/>
  <c r="G23" i="20" s="1"/>
  <c r="H23" i="20"/>
  <c r="H51" i="15"/>
  <c r="G51" i="15"/>
  <c r="G56" i="15" s="1"/>
  <c r="F51" i="15"/>
  <c r="F56" i="15" s="1"/>
  <c r="E51" i="15"/>
  <c r="E56" i="15" s="1"/>
  <c r="D51" i="15"/>
  <c r="L43" i="15"/>
  <c r="H43" i="15" s="1"/>
  <c r="D54" i="15" s="1"/>
  <c r="L33" i="15"/>
  <c r="H33" i="15" s="1"/>
  <c r="K33" i="15"/>
  <c r="E33" i="15"/>
  <c r="L30" i="15"/>
  <c r="H30" i="15" s="1"/>
  <c r="H52" i="15" s="1"/>
  <c r="K30" i="15"/>
  <c r="E30" i="15" s="1"/>
  <c r="L29" i="15"/>
  <c r="G29" i="15" s="1"/>
  <c r="K29" i="15"/>
  <c r="E29" i="15" s="1"/>
  <c r="K26" i="15"/>
  <c r="E26" i="15" s="1"/>
  <c r="K25" i="15"/>
  <c r="E25" i="15"/>
  <c r="K24" i="15"/>
  <c r="E24" i="15" s="1"/>
  <c r="K23" i="15"/>
  <c r="K22" i="15"/>
  <c r="E22" i="15" s="1"/>
  <c r="H51" i="14"/>
  <c r="G51" i="14"/>
  <c r="F51" i="14"/>
  <c r="F56" i="14" s="1"/>
  <c r="E51" i="14"/>
  <c r="E56" i="14" s="1"/>
  <c r="D51" i="14"/>
  <c r="D56" i="14" s="1"/>
  <c r="G50" i="13"/>
  <c r="G54" i="13" s="1"/>
  <c r="E50" i="13"/>
  <c r="E54" i="13"/>
  <c r="K43" i="13"/>
  <c r="L33" i="13"/>
  <c r="G33" i="13" s="1"/>
  <c r="K33" i="13"/>
  <c r="H33" i="13"/>
  <c r="G51" i="13" s="1"/>
  <c r="E33" i="13"/>
  <c r="K29" i="13"/>
  <c r="E29" i="13" s="1"/>
  <c r="K26" i="13"/>
  <c r="G26" i="13" s="1"/>
  <c r="K23" i="13"/>
  <c r="G23" i="13" s="1"/>
  <c r="K24" i="13"/>
  <c r="K25" i="13"/>
  <c r="G25" i="13" s="1"/>
  <c r="K22" i="13"/>
  <c r="E22" i="13" s="1"/>
  <c r="G24" i="13"/>
  <c r="E24" i="13"/>
  <c r="D50" i="13"/>
  <c r="F50" i="13"/>
  <c r="F54" i="13" s="1"/>
  <c r="L33" i="14"/>
  <c r="G33" i="14" s="1"/>
  <c r="K33" i="14"/>
  <c r="E33" i="14" s="1"/>
  <c r="K30" i="14"/>
  <c r="E30" i="14" s="1"/>
  <c r="L30" i="14"/>
  <c r="G30" i="14" s="1"/>
  <c r="G29" i="14"/>
  <c r="K29" i="14"/>
  <c r="E29" i="14" s="1"/>
  <c r="E26" i="14"/>
  <c r="K23" i="14"/>
  <c r="K24" i="14"/>
  <c r="E24" i="14" s="1"/>
  <c r="K25" i="14"/>
  <c r="E25" i="14" s="1"/>
  <c r="K26" i="14"/>
  <c r="K22" i="14"/>
  <c r="E22" i="14" s="1"/>
  <c r="L43" i="14"/>
  <c r="H43" i="14" s="1"/>
  <c r="D54" i="14" s="1"/>
  <c r="L29" i="14"/>
  <c r="H29" i="14" s="1"/>
  <c r="D52" i="14" s="1"/>
  <c r="L43" i="13"/>
  <c r="H43" i="13" s="1"/>
  <c r="D52" i="13" s="1"/>
  <c r="L29" i="13"/>
  <c r="H29" i="13" s="1"/>
  <c r="G22" i="13" l="1"/>
  <c r="G22" i="15"/>
  <c r="H29" i="15"/>
  <c r="D52" i="15" s="1"/>
  <c r="G30" i="20"/>
  <c r="G43" i="13"/>
  <c r="H33" i="14"/>
  <c r="E23" i="13"/>
  <c r="G30" i="15"/>
  <c r="G29" i="13"/>
  <c r="E25" i="13"/>
  <c r="H30" i="21"/>
  <c r="D53" i="21" s="1"/>
  <c r="G25" i="20"/>
  <c r="D56" i="15"/>
  <c r="H56" i="15"/>
  <c r="G33" i="15"/>
  <c r="G43" i="15"/>
  <c r="E23" i="15"/>
  <c r="G22" i="14"/>
  <c r="E23" i="14"/>
  <c r="G56" i="14"/>
  <c r="D51" i="13"/>
  <c r="D54" i="13" s="1"/>
  <c r="E26" i="13"/>
  <c r="H30" i="14"/>
  <c r="H52" i="14" s="1"/>
  <c r="H56" i="14" s="1"/>
  <c r="G43" i="14"/>
  <c r="L30" i="12" l="1"/>
  <c r="G30" i="12" s="1"/>
  <c r="K30" i="12"/>
  <c r="K23" i="12"/>
  <c r="H23" i="12" s="1"/>
  <c r="D37" i="12" s="1"/>
  <c r="H30" i="12" l="1"/>
  <c r="D38" i="12" s="1"/>
  <c r="D40" i="12" s="1"/>
  <c r="G23" i="12"/>
  <c r="E23" i="12"/>
  <c r="G60" i="16"/>
  <c r="G59" i="16"/>
  <c r="F59" i="16"/>
  <c r="E59" i="16"/>
  <c r="G57" i="16"/>
  <c r="F57" i="16"/>
  <c r="E57" i="16"/>
  <c r="D57" i="16"/>
  <c r="E59" i="17"/>
  <c r="G60" i="17"/>
  <c r="G59" i="17"/>
  <c r="F59" i="17"/>
  <c r="G57" i="17"/>
  <c r="F57" i="17"/>
  <c r="E57" i="17"/>
  <c r="D57" i="17"/>
  <c r="G59" i="11"/>
  <c r="F59" i="11"/>
  <c r="E59" i="11"/>
  <c r="E58" i="11"/>
  <c r="G57" i="11"/>
  <c r="F57" i="11"/>
  <c r="E57" i="11"/>
  <c r="D57" i="11"/>
  <c r="L50" i="11"/>
  <c r="G50" i="11" s="1"/>
  <c r="K50" i="11"/>
  <c r="L47" i="11"/>
  <c r="H47" i="11" s="1"/>
  <c r="G60" i="11" s="1"/>
  <c r="K47" i="11"/>
  <c r="E47" i="11" s="1"/>
  <c r="G47" i="11"/>
  <c r="L46" i="11"/>
  <c r="G46" i="11" s="1"/>
  <c r="K46" i="11"/>
  <c r="E46" i="11" s="1"/>
  <c r="H46" i="11"/>
  <c r="F60" i="11" s="1"/>
  <c r="L45" i="11"/>
  <c r="H45" i="11" s="1"/>
  <c r="E60" i="11" s="1"/>
  <c r="K45" i="11"/>
  <c r="E45" i="11"/>
  <c r="L43" i="11"/>
  <c r="H43" i="11" s="1"/>
  <c r="D60" i="11" s="1"/>
  <c r="K43" i="11"/>
  <c r="E43" i="11" s="1"/>
  <c r="L40" i="11"/>
  <c r="K40" i="11"/>
  <c r="G40" i="11"/>
  <c r="L39" i="11"/>
  <c r="G39" i="11" s="1"/>
  <c r="K39" i="11"/>
  <c r="L38" i="11"/>
  <c r="G38" i="11" s="1"/>
  <c r="K38" i="11"/>
  <c r="L36" i="11"/>
  <c r="H36" i="11"/>
  <c r="D59" i="11" s="1"/>
  <c r="L33" i="11"/>
  <c r="H33" i="11" s="1"/>
  <c r="G58" i="11" s="1"/>
  <c r="K33" i="11"/>
  <c r="E33" i="11" s="1"/>
  <c r="G33" i="11"/>
  <c r="L32" i="11"/>
  <c r="G32" i="11" s="1"/>
  <c r="K32" i="11"/>
  <c r="E32" i="11" s="1"/>
  <c r="H32" i="11"/>
  <c r="F58" i="11" s="1"/>
  <c r="L29" i="11"/>
  <c r="H29" i="11" s="1"/>
  <c r="D58" i="11" s="1"/>
  <c r="K29" i="11"/>
  <c r="E29" i="11"/>
  <c r="K26" i="11"/>
  <c r="G26" i="11" s="1"/>
  <c r="K25" i="11"/>
  <c r="G25" i="11" s="1"/>
  <c r="K24" i="11"/>
  <c r="G24" i="11" s="1"/>
  <c r="E24" i="11"/>
  <c r="K23" i="11"/>
  <c r="G23" i="11" s="1"/>
  <c r="E23" i="11"/>
  <c r="K22" i="11"/>
  <c r="G22" i="11" s="1"/>
  <c r="L50" i="10"/>
  <c r="H50" i="10" s="1"/>
  <c r="D61" i="10" s="1"/>
  <c r="G59" i="10"/>
  <c r="F59" i="10"/>
  <c r="E59" i="10"/>
  <c r="G57" i="10"/>
  <c r="F57" i="10"/>
  <c r="E57" i="10"/>
  <c r="D57" i="10"/>
  <c r="K50" i="10"/>
  <c r="L47" i="10"/>
  <c r="H47" i="10" s="1"/>
  <c r="G60" i="10" s="1"/>
  <c r="K47" i="10"/>
  <c r="E47" i="10" s="1"/>
  <c r="L46" i="10"/>
  <c r="H46" i="10" s="1"/>
  <c r="F60" i="10" s="1"/>
  <c r="K46" i="10"/>
  <c r="E46" i="10" s="1"/>
  <c r="L45" i="10"/>
  <c r="G45" i="10" s="1"/>
  <c r="K45" i="10"/>
  <c r="E45" i="10" s="1"/>
  <c r="H45" i="10"/>
  <c r="E60" i="10" s="1"/>
  <c r="L43" i="10"/>
  <c r="G43" i="10" s="1"/>
  <c r="K43" i="10"/>
  <c r="E43" i="10" s="1"/>
  <c r="H43" i="10"/>
  <c r="D60" i="10" s="1"/>
  <c r="L40" i="10"/>
  <c r="G40" i="10" s="1"/>
  <c r="K40" i="10"/>
  <c r="L39" i="10"/>
  <c r="G39" i="10" s="1"/>
  <c r="K39" i="10"/>
  <c r="L38" i="10"/>
  <c r="K38" i="10"/>
  <c r="G38" i="10"/>
  <c r="L36" i="10"/>
  <c r="H36" i="10" s="1"/>
  <c r="L33" i="10"/>
  <c r="H33" i="10" s="1"/>
  <c r="G58" i="10" s="1"/>
  <c r="K33" i="10"/>
  <c r="E33" i="10" s="1"/>
  <c r="L32" i="10"/>
  <c r="H32" i="10" s="1"/>
  <c r="K32" i="10"/>
  <c r="E32" i="10"/>
  <c r="L29" i="10"/>
  <c r="H29" i="10" s="1"/>
  <c r="D58" i="10" s="1"/>
  <c r="K29" i="10"/>
  <c r="E29" i="10" s="1"/>
  <c r="G29" i="10"/>
  <c r="K26" i="10"/>
  <c r="E26" i="10" s="1"/>
  <c r="G26" i="10"/>
  <c r="K25" i="10"/>
  <c r="G25" i="10"/>
  <c r="E25" i="10"/>
  <c r="K24" i="10"/>
  <c r="G24" i="10" s="1"/>
  <c r="K23" i="10"/>
  <c r="E23" i="10" s="1"/>
  <c r="K22" i="10"/>
  <c r="G22" i="10" s="1"/>
  <c r="G59" i="9"/>
  <c r="F59" i="9"/>
  <c r="E59" i="9"/>
  <c r="G57" i="9"/>
  <c r="F57" i="9"/>
  <c r="E57" i="9"/>
  <c r="D57" i="9"/>
  <c r="L50" i="9"/>
  <c r="H50" i="9" s="1"/>
  <c r="D61" i="9" s="1"/>
  <c r="K50" i="9"/>
  <c r="L47" i="9"/>
  <c r="G47" i="9" s="1"/>
  <c r="K47" i="9"/>
  <c r="E47" i="9" s="1"/>
  <c r="H47" i="9"/>
  <c r="G60" i="9" s="1"/>
  <c r="L46" i="9"/>
  <c r="H46" i="9" s="1"/>
  <c r="F60" i="9" s="1"/>
  <c r="K46" i="9"/>
  <c r="E46" i="9" s="1"/>
  <c r="L45" i="9"/>
  <c r="H45" i="9" s="1"/>
  <c r="E60" i="9" s="1"/>
  <c r="K45" i="9"/>
  <c r="E45" i="9"/>
  <c r="L43" i="9"/>
  <c r="H43" i="9" s="1"/>
  <c r="D60" i="9" s="1"/>
  <c r="K43" i="9"/>
  <c r="E43" i="9" s="1"/>
  <c r="G43" i="9"/>
  <c r="L40" i="9"/>
  <c r="K40" i="9"/>
  <c r="G40" i="9"/>
  <c r="L39" i="9"/>
  <c r="G39" i="9" s="1"/>
  <c r="K39" i="9"/>
  <c r="L38" i="9"/>
  <c r="G38" i="9" s="1"/>
  <c r="K38" i="9"/>
  <c r="L36" i="9"/>
  <c r="H36" i="9" s="1"/>
  <c r="L33" i="9"/>
  <c r="K33" i="9"/>
  <c r="E33" i="9" s="1"/>
  <c r="H33" i="9"/>
  <c r="G58" i="9" s="1"/>
  <c r="G33" i="9"/>
  <c r="L32" i="9"/>
  <c r="H32" i="9" s="1"/>
  <c r="K32" i="9"/>
  <c r="E32" i="9" s="1"/>
  <c r="L29" i="9"/>
  <c r="H29" i="9" s="1"/>
  <c r="D58" i="9" s="1"/>
  <c r="K29" i="9"/>
  <c r="E29" i="9"/>
  <c r="K26" i="9"/>
  <c r="G26" i="9" s="1"/>
  <c r="K25" i="9"/>
  <c r="G25" i="9" s="1"/>
  <c r="K24" i="9"/>
  <c r="E24" i="9" s="1"/>
  <c r="G24" i="9"/>
  <c r="K23" i="9"/>
  <c r="G23" i="9"/>
  <c r="E23" i="9"/>
  <c r="K22" i="9"/>
  <c r="G22" i="9" s="1"/>
  <c r="G59" i="8"/>
  <c r="G57" i="8"/>
  <c r="F59" i="8"/>
  <c r="F57" i="8"/>
  <c r="E60" i="8"/>
  <c r="E59" i="8"/>
  <c r="E57" i="8"/>
  <c r="D60" i="8"/>
  <c r="D57" i="8"/>
  <c r="L38" i="8"/>
  <c r="L39" i="8"/>
  <c r="L40" i="8"/>
  <c r="L36" i="8"/>
  <c r="K39" i="8"/>
  <c r="K40" i="8"/>
  <c r="K38" i="8"/>
  <c r="K47" i="8"/>
  <c r="K46" i="8"/>
  <c r="E46" i="8" s="1"/>
  <c r="K45" i="8"/>
  <c r="E45" i="8" s="1"/>
  <c r="E47" i="8"/>
  <c r="K43" i="8"/>
  <c r="E43" i="8" s="1"/>
  <c r="L50" i="8"/>
  <c r="K50" i="8"/>
  <c r="H50" i="8"/>
  <c r="D61" i="8" s="1"/>
  <c r="G50" i="8"/>
  <c r="H36" i="8"/>
  <c r="K36" i="8" s="1"/>
  <c r="L33" i="8"/>
  <c r="H33" i="8" s="1"/>
  <c r="G58" i="8" s="1"/>
  <c r="L32" i="8"/>
  <c r="G32" i="8" s="1"/>
  <c r="K33" i="8"/>
  <c r="K32" i="8"/>
  <c r="G33" i="8"/>
  <c r="E33" i="8"/>
  <c r="E32" i="8"/>
  <c r="L29" i="8"/>
  <c r="H29" i="8" s="1"/>
  <c r="D58" i="8" s="1"/>
  <c r="K29" i="8"/>
  <c r="E29" i="8" s="1"/>
  <c r="K23" i="8"/>
  <c r="E23" i="8" s="1"/>
  <c r="K24" i="8"/>
  <c r="E24" i="8" s="1"/>
  <c r="K25" i="8"/>
  <c r="G25" i="8" s="1"/>
  <c r="K26" i="8"/>
  <c r="G26" i="8" s="1"/>
  <c r="G23" i="8"/>
  <c r="G24" i="8"/>
  <c r="E25" i="8"/>
  <c r="E26" i="8"/>
  <c r="K22" i="8"/>
  <c r="E22" i="8" s="1"/>
  <c r="G22" i="8"/>
  <c r="L47" i="8"/>
  <c r="H47" i="8" s="1"/>
  <c r="G60" i="8" s="1"/>
  <c r="G47" i="8"/>
  <c r="L46" i="8"/>
  <c r="G46" i="8" s="1"/>
  <c r="L45" i="8"/>
  <c r="H45" i="8" s="1"/>
  <c r="L43" i="8"/>
  <c r="H43" i="8" s="1"/>
  <c r="G63" i="11" l="1"/>
  <c r="G45" i="8"/>
  <c r="D59" i="8"/>
  <c r="D63" i="8" s="1"/>
  <c r="G23" i="10"/>
  <c r="E22" i="9"/>
  <c r="E26" i="9"/>
  <c r="G63" i="10"/>
  <c r="K36" i="11"/>
  <c r="G29" i="8"/>
  <c r="E22" i="10"/>
  <c r="H46" i="8"/>
  <c r="F60" i="8" s="1"/>
  <c r="H32" i="8"/>
  <c r="G43" i="11"/>
  <c r="H50" i="11"/>
  <c r="D61" i="11" s="1"/>
  <c r="D63" i="11" s="1"/>
  <c r="E63" i="11"/>
  <c r="F63" i="11"/>
  <c r="E22" i="11"/>
  <c r="E26" i="11"/>
  <c r="G29" i="11"/>
  <c r="G45" i="11"/>
  <c r="E25" i="11"/>
  <c r="K36" i="10"/>
  <c r="D59" i="10"/>
  <c r="D63" i="10" s="1"/>
  <c r="F58" i="10"/>
  <c r="F63" i="10" s="1"/>
  <c r="E58" i="10"/>
  <c r="E63" i="10" s="1"/>
  <c r="G32" i="10"/>
  <c r="G46" i="10"/>
  <c r="E24" i="10"/>
  <c r="G33" i="10"/>
  <c r="G47" i="10"/>
  <c r="G50" i="10"/>
  <c r="G50" i="9"/>
  <c r="F58" i="9"/>
  <c r="F63" i="9" s="1"/>
  <c r="E58" i="9"/>
  <c r="D59" i="9"/>
  <c r="D63" i="9" s="1"/>
  <c r="K36" i="9"/>
  <c r="E63" i="9"/>
  <c r="G63" i="9"/>
  <c r="G29" i="9"/>
  <c r="G45" i="9"/>
  <c r="E25" i="9"/>
  <c r="G32" i="9"/>
  <c r="G46" i="9"/>
  <c r="G63" i="8"/>
  <c r="G43" i="8"/>
  <c r="E58" i="8" l="1"/>
  <c r="E63" i="8" s="1"/>
  <c r="F58" i="8"/>
  <c r="F63" i="8" s="1"/>
  <c r="L50" i="16"/>
  <c r="H50" i="16" s="1"/>
  <c r="D59" i="16" s="1"/>
  <c r="K50" i="16"/>
  <c r="L47" i="16"/>
  <c r="G47" i="16" s="1"/>
  <c r="K47" i="16"/>
  <c r="L46" i="16"/>
  <c r="G46" i="16" s="1"/>
  <c r="K46" i="16"/>
  <c r="L45" i="16"/>
  <c r="G45" i="16" s="1"/>
  <c r="K45" i="16"/>
  <c r="E45" i="16"/>
  <c r="L40" i="16"/>
  <c r="G40" i="16"/>
  <c r="L39" i="16"/>
  <c r="G39" i="16" s="1"/>
  <c r="L38" i="16"/>
  <c r="G38" i="16" s="1"/>
  <c r="L33" i="16"/>
  <c r="H33" i="16" s="1"/>
  <c r="G58" i="16" s="1"/>
  <c r="G63" i="16" s="1"/>
  <c r="K33" i="16"/>
  <c r="E33" i="16" s="1"/>
  <c r="G33" i="16"/>
  <c r="L32" i="16"/>
  <c r="H32" i="16" s="1"/>
  <c r="K32" i="16"/>
  <c r="E32" i="16" s="1"/>
  <c r="L30" i="16"/>
  <c r="H30" i="16" s="1"/>
  <c r="K30" i="16"/>
  <c r="E30" i="16" s="1"/>
  <c r="L29" i="16"/>
  <c r="G29" i="16" s="1"/>
  <c r="K29" i="16"/>
  <c r="E29" i="16" s="1"/>
  <c r="H29" i="16"/>
  <c r="D58" i="16" s="1"/>
  <c r="D63" i="16" s="1"/>
  <c r="K26" i="16"/>
  <c r="E26" i="16" s="1"/>
  <c r="K25" i="16"/>
  <c r="G25" i="16" s="1"/>
  <c r="E25" i="16"/>
  <c r="K24" i="16"/>
  <c r="G24" i="16"/>
  <c r="E24" i="16"/>
  <c r="K23" i="16"/>
  <c r="G23" i="16" s="1"/>
  <c r="K22" i="16"/>
  <c r="E22" i="16" s="1"/>
  <c r="K50" i="17"/>
  <c r="K47" i="17"/>
  <c r="K46" i="17"/>
  <c r="K45" i="17"/>
  <c r="E45" i="17" s="1"/>
  <c r="L38" i="17"/>
  <c r="K30" i="17"/>
  <c r="E30" i="17" s="1"/>
  <c r="L30" i="17"/>
  <c r="G30" i="17" s="1"/>
  <c r="E33" i="17"/>
  <c r="L33" i="17"/>
  <c r="K33" i="17"/>
  <c r="L32" i="17"/>
  <c r="H32" i="17" s="1"/>
  <c r="K32" i="17"/>
  <c r="E32" i="17" s="1"/>
  <c r="L29" i="17"/>
  <c r="G29" i="17" s="1"/>
  <c r="K29" i="17"/>
  <c r="E29" i="17" s="1"/>
  <c r="G32" i="17"/>
  <c r="G33" i="17"/>
  <c r="H33" i="17"/>
  <c r="G58" i="17" s="1"/>
  <c r="G63" i="17" s="1"/>
  <c r="G23" i="17"/>
  <c r="G25" i="17"/>
  <c r="E25" i="17"/>
  <c r="E26" i="17"/>
  <c r="K23" i="17"/>
  <c r="E23" i="17" s="1"/>
  <c r="K24" i="17"/>
  <c r="E24" i="17" s="1"/>
  <c r="K25" i="17"/>
  <c r="K26" i="17"/>
  <c r="G26" i="17" s="1"/>
  <c r="K22" i="17"/>
  <c r="G22" i="17" s="1"/>
  <c r="F58" i="17" l="1"/>
  <c r="F63" i="17" s="1"/>
  <c r="E58" i="17"/>
  <c r="E63" i="17" s="1"/>
  <c r="G24" i="17"/>
  <c r="F58" i="16"/>
  <c r="F63" i="16" s="1"/>
  <c r="E58" i="16"/>
  <c r="E63" i="16" s="1"/>
  <c r="E22" i="17"/>
  <c r="H29" i="17"/>
  <c r="D58" i="17" s="1"/>
  <c r="H30" i="17"/>
  <c r="G30" i="16"/>
  <c r="G22" i="16"/>
  <c r="G26" i="16"/>
  <c r="G32" i="16"/>
  <c r="G50" i="16"/>
  <c r="E23" i="16"/>
  <c r="K33" i="5" l="1"/>
  <c r="L33" i="5"/>
  <c r="K29" i="5"/>
  <c r="L29" i="5"/>
  <c r="K30" i="5"/>
  <c r="E30" i="5" s="1"/>
  <c r="L30" i="5"/>
  <c r="G30" i="5" s="1"/>
  <c r="K31" i="5"/>
  <c r="L31" i="5"/>
  <c r="G25" i="5"/>
  <c r="G26" i="5"/>
  <c r="K26" i="5"/>
  <c r="E26" i="5" s="1"/>
  <c r="K25" i="5"/>
  <c r="E25" i="5" s="1"/>
  <c r="E30" i="1"/>
  <c r="H30" i="5" l="1"/>
  <c r="M30" i="1"/>
  <c r="K23" i="1"/>
  <c r="K24" i="1"/>
  <c r="K25" i="1"/>
  <c r="K26" i="1"/>
  <c r="K22" i="1"/>
  <c r="K24" i="5"/>
  <c r="K32" i="5"/>
  <c r="E32" i="5" s="1"/>
  <c r="L32" i="5"/>
  <c r="G32" i="5" s="1"/>
  <c r="E33" i="5"/>
  <c r="G33" i="5"/>
  <c r="H31" i="5"/>
  <c r="G31" i="5"/>
  <c r="E31" i="5"/>
  <c r="E29" i="5"/>
  <c r="E22" i="1" l="1"/>
  <c r="G22" i="1"/>
  <c r="G24" i="5"/>
  <c r="E24" i="5"/>
  <c r="G25" i="1"/>
  <c r="E25" i="1"/>
  <c r="G24" i="1"/>
  <c r="E24" i="1"/>
  <c r="G23" i="1"/>
  <c r="E23" i="1"/>
  <c r="E26" i="1"/>
  <c r="G26" i="1"/>
  <c r="K23" i="5"/>
  <c r="K22" i="5"/>
  <c r="E22" i="5" l="1"/>
  <c r="G22" i="5"/>
  <c r="E23" i="5"/>
  <c r="G23" i="5"/>
  <c r="C6" i="16"/>
  <c r="C5" i="16"/>
  <c r="F6" i="16" l="1"/>
  <c r="N5" i="16" s="1"/>
  <c r="E6" i="16" s="1"/>
  <c r="D15" i="31"/>
  <c r="D6" i="16" l="1"/>
  <c r="D9" i="31"/>
  <c r="D46" i="26"/>
  <c r="E46" i="26" s="1"/>
  <c r="F46" i="26" s="1"/>
  <c r="G46" i="26" s="1"/>
  <c r="H46" i="26" s="1"/>
  <c r="I46" i="26" s="1"/>
  <c r="J46" i="26" s="1"/>
  <c r="K46" i="26" s="1"/>
  <c r="L46" i="26" s="1"/>
  <c r="M46" i="26" s="1"/>
  <c r="N46" i="26" s="1"/>
  <c r="D47" i="26"/>
  <c r="E47" i="26" s="1"/>
  <c r="F47" i="26" s="1"/>
  <c r="G47" i="26" s="1"/>
  <c r="H47" i="26" s="1"/>
  <c r="I47" i="26" s="1"/>
  <c r="J47" i="26" s="1"/>
  <c r="K47" i="26" s="1"/>
  <c r="L47" i="26" s="1"/>
  <c r="M47" i="26" s="1"/>
  <c r="N47" i="26" s="1"/>
  <c r="D48" i="26" l="1"/>
  <c r="E48" i="26" s="1"/>
  <c r="D50" i="26" l="1"/>
  <c r="E50" i="26" s="1"/>
  <c r="F50" i="26" s="1"/>
  <c r="G50" i="26" s="1"/>
  <c r="H50" i="26" s="1"/>
  <c r="I50" i="26" s="1"/>
  <c r="J50" i="26" s="1"/>
  <c r="K50" i="26" s="1"/>
  <c r="L50" i="26" s="1"/>
  <c r="M50" i="26" s="1"/>
  <c r="N50" i="26" s="1"/>
  <c r="E8" i="44" l="1"/>
  <c r="D8" i="44"/>
  <c r="C8" i="44"/>
  <c r="D15" i="43"/>
  <c r="E15" i="43"/>
  <c r="C15" i="43"/>
  <c r="E13" i="34" l="1"/>
  <c r="E12" i="34"/>
  <c r="E11" i="34"/>
  <c r="E10" i="34"/>
  <c r="E9" i="34"/>
  <c r="E8" i="34"/>
  <c r="E7" i="34"/>
  <c r="E6" i="34"/>
  <c r="E5" i="34"/>
  <c r="E15" i="34"/>
  <c r="E14" i="34"/>
  <c r="E11" i="31" l="1"/>
  <c r="E8" i="31"/>
  <c r="K15" i="38"/>
  <c r="K15" i="33"/>
  <c r="N15" i="24"/>
  <c r="N15" i="33"/>
  <c r="N15" i="35"/>
  <c r="K15" i="24"/>
  <c r="N15" i="34"/>
  <c r="N15" i="39"/>
  <c r="K15" i="30"/>
  <c r="K14" i="28"/>
  <c r="H15" i="30"/>
  <c r="K15" i="34"/>
  <c r="K15" i="39"/>
  <c r="K15" i="37"/>
  <c r="H15" i="39"/>
  <c r="H15" i="24"/>
  <c r="O10" i="19"/>
  <c r="H15" i="35"/>
  <c r="N14" i="28"/>
  <c r="H15" i="36"/>
  <c r="N15" i="38"/>
  <c r="K15" i="36"/>
  <c r="H15" i="34"/>
  <c r="H14" i="28"/>
  <c r="N15" i="37"/>
  <c r="H14" i="27"/>
  <c r="O9" i="19"/>
  <c r="N14" i="27"/>
  <c r="H15" i="37"/>
  <c r="K15" i="35"/>
  <c r="K14" i="27"/>
  <c r="H15" i="33"/>
  <c r="H15" i="38"/>
  <c r="N15" i="36"/>
  <c r="E14" i="30" l="1"/>
  <c r="E15" i="30"/>
  <c r="E14" i="40"/>
  <c r="E15" i="40"/>
  <c r="E14" i="39"/>
  <c r="E15" i="39"/>
  <c r="E14" i="36"/>
  <c r="E15" i="36"/>
  <c r="E14" i="37"/>
  <c r="E15" i="37"/>
  <c r="E14" i="35"/>
  <c r="E15" i="35"/>
  <c r="E14" i="33"/>
  <c r="E15" i="33"/>
  <c r="E14" i="24"/>
  <c r="E15" i="24"/>
  <c r="E14" i="25"/>
  <c r="E15" i="25"/>
  <c r="E14" i="23"/>
  <c r="E15" i="23"/>
  <c r="E14" i="22"/>
  <c r="E15" i="22"/>
  <c r="N40" i="26" l="1"/>
  <c r="M40" i="26"/>
  <c r="L40" i="26"/>
  <c r="K40" i="26"/>
  <c r="J40" i="26"/>
  <c r="I40" i="26"/>
  <c r="H40" i="26"/>
  <c r="G40" i="26"/>
  <c r="F40" i="26"/>
  <c r="E40" i="26"/>
  <c r="D40" i="26"/>
  <c r="C40" i="26"/>
  <c r="N39" i="26"/>
  <c r="M39" i="26"/>
  <c r="L39" i="26"/>
  <c r="K39" i="26"/>
  <c r="J39" i="26"/>
  <c r="I39" i="26"/>
  <c r="H39" i="26"/>
  <c r="G39" i="26"/>
  <c r="F39" i="26"/>
  <c r="E39" i="26"/>
  <c r="D39" i="26"/>
  <c r="C39" i="26"/>
  <c r="N38" i="26"/>
  <c r="M38" i="26"/>
  <c r="L38" i="26"/>
  <c r="K38" i="26"/>
  <c r="J38" i="26"/>
  <c r="I38" i="26"/>
  <c r="H38" i="26"/>
  <c r="G38" i="26"/>
  <c r="F38" i="26"/>
  <c r="E38" i="26"/>
  <c r="D38" i="26"/>
  <c r="C38" i="26"/>
  <c r="N37" i="26"/>
  <c r="M37" i="26"/>
  <c r="L37" i="26"/>
  <c r="K37" i="26"/>
  <c r="J37" i="26"/>
  <c r="I37" i="26"/>
  <c r="H37" i="26"/>
  <c r="G37" i="26"/>
  <c r="F37" i="26"/>
  <c r="E37" i="26"/>
  <c r="D37" i="26"/>
  <c r="C37" i="26"/>
  <c r="C5" i="22" l="1"/>
  <c r="C6" i="30" l="1"/>
  <c r="D6" i="30"/>
  <c r="E6" i="30"/>
  <c r="C7" i="30"/>
  <c r="D7" i="30"/>
  <c r="E7" i="30"/>
  <c r="C8" i="30"/>
  <c r="D8" i="30"/>
  <c r="E8" i="30"/>
  <c r="C9" i="30"/>
  <c r="D9" i="30"/>
  <c r="E9" i="30"/>
  <c r="H9" i="30" s="1"/>
  <c r="C10" i="30"/>
  <c r="D10" i="30"/>
  <c r="E10" i="30"/>
  <c r="C11" i="30"/>
  <c r="D11" i="30"/>
  <c r="E11" i="30"/>
  <c r="H11" i="30" s="1"/>
  <c r="C12" i="30"/>
  <c r="D12" i="30"/>
  <c r="E12" i="30"/>
  <c r="H12" i="30" s="1"/>
  <c r="C13" i="30"/>
  <c r="D13" i="30"/>
  <c r="E13" i="30"/>
  <c r="H13" i="30" s="1"/>
  <c r="C14" i="30"/>
  <c r="D14" i="30"/>
  <c r="C15" i="30"/>
  <c r="F15" i="30" s="1"/>
  <c r="I15" i="30" s="1"/>
  <c r="D15" i="30"/>
  <c r="G15" i="30" s="1"/>
  <c r="J15" i="30" s="1"/>
  <c r="D5" i="30"/>
  <c r="E5" i="30"/>
  <c r="H5" i="30" s="1"/>
  <c r="C5" i="30"/>
  <c r="C6" i="40"/>
  <c r="D6" i="40"/>
  <c r="E6" i="40"/>
  <c r="H6" i="40" s="1"/>
  <c r="C7" i="40"/>
  <c r="D7" i="40"/>
  <c r="E7" i="40"/>
  <c r="C8" i="40"/>
  <c r="D8" i="40"/>
  <c r="E8" i="40"/>
  <c r="C9" i="40"/>
  <c r="D9" i="40"/>
  <c r="E9" i="40"/>
  <c r="H9" i="40" s="1"/>
  <c r="C10" i="40"/>
  <c r="D10" i="40"/>
  <c r="E10" i="40"/>
  <c r="C11" i="40"/>
  <c r="D11" i="40"/>
  <c r="E11" i="40"/>
  <c r="H11" i="40" s="1"/>
  <c r="C12" i="40"/>
  <c r="D12" i="40"/>
  <c r="E12" i="40"/>
  <c r="H12" i="40" s="1"/>
  <c r="C13" i="40"/>
  <c r="D13" i="40"/>
  <c r="E13" i="40"/>
  <c r="H13" i="40" s="1"/>
  <c r="C14" i="40"/>
  <c r="D14" i="40"/>
  <c r="C15" i="40"/>
  <c r="D15" i="40"/>
  <c r="D5" i="40"/>
  <c r="E5" i="40"/>
  <c r="H5" i="40" s="1"/>
  <c r="C5" i="40"/>
  <c r="C15" i="39"/>
  <c r="F15" i="39" s="1"/>
  <c r="I15" i="39" s="1"/>
  <c r="L15" i="39" s="1"/>
  <c r="D15" i="39"/>
  <c r="G15" i="39" s="1"/>
  <c r="J15" i="39" s="1"/>
  <c r="M15" i="39" s="1"/>
  <c r="C6" i="39"/>
  <c r="D6" i="39"/>
  <c r="E6" i="39"/>
  <c r="H6" i="39" s="1"/>
  <c r="C7" i="39"/>
  <c r="D7" i="39"/>
  <c r="E7" i="39"/>
  <c r="C8" i="39"/>
  <c r="D8" i="39"/>
  <c r="E8" i="39"/>
  <c r="C9" i="39"/>
  <c r="D9" i="39"/>
  <c r="E9" i="39"/>
  <c r="H9" i="39" s="1"/>
  <c r="C10" i="39"/>
  <c r="D10" i="39"/>
  <c r="E10" i="39"/>
  <c r="C11" i="39"/>
  <c r="D11" i="39"/>
  <c r="E11" i="39"/>
  <c r="H11" i="39" s="1"/>
  <c r="C12" i="39"/>
  <c r="D12" i="39"/>
  <c r="E12" i="39"/>
  <c r="H12" i="39" s="1"/>
  <c r="C13" i="39"/>
  <c r="D13" i="39"/>
  <c r="E13" i="39"/>
  <c r="H13" i="39" s="1"/>
  <c r="C14" i="39"/>
  <c r="D14" i="39"/>
  <c r="D5" i="39"/>
  <c r="E5" i="39"/>
  <c r="H5" i="39" s="1"/>
  <c r="C5" i="39"/>
  <c r="C6" i="38"/>
  <c r="D6" i="38"/>
  <c r="E6" i="38"/>
  <c r="H6" i="38" s="1"/>
  <c r="C7" i="38"/>
  <c r="D7" i="38"/>
  <c r="E7" i="38"/>
  <c r="C8" i="38"/>
  <c r="D8" i="38"/>
  <c r="E8" i="38"/>
  <c r="C9" i="38"/>
  <c r="D9" i="38"/>
  <c r="E9" i="38"/>
  <c r="H9" i="38" s="1"/>
  <c r="C10" i="38"/>
  <c r="D10" i="38"/>
  <c r="E10" i="38"/>
  <c r="C11" i="38"/>
  <c r="D11" i="38"/>
  <c r="E11" i="38"/>
  <c r="H11" i="38" s="1"/>
  <c r="C12" i="38"/>
  <c r="D12" i="38"/>
  <c r="E12" i="38"/>
  <c r="H12" i="38" s="1"/>
  <c r="C13" i="38"/>
  <c r="D13" i="38"/>
  <c r="E13" i="38"/>
  <c r="H13" i="38" s="1"/>
  <c r="C14" i="38"/>
  <c r="D14" i="38"/>
  <c r="E14" i="38"/>
  <c r="C15" i="38"/>
  <c r="D15" i="38"/>
  <c r="E15" i="38"/>
  <c r="D5" i="38"/>
  <c r="E5" i="38"/>
  <c r="H5" i="38" s="1"/>
  <c r="C5" i="38"/>
  <c r="H6" i="30"/>
  <c r="C6" i="36"/>
  <c r="D6" i="36"/>
  <c r="E6" i="36"/>
  <c r="H6" i="36" s="1"/>
  <c r="C7" i="36"/>
  <c r="D7" i="36"/>
  <c r="E7" i="36"/>
  <c r="C8" i="36"/>
  <c r="D8" i="36"/>
  <c r="E8" i="36"/>
  <c r="C9" i="36"/>
  <c r="D9" i="36"/>
  <c r="E9" i="36"/>
  <c r="H9" i="36" s="1"/>
  <c r="C10" i="36"/>
  <c r="D10" i="36"/>
  <c r="E10" i="36"/>
  <c r="C11" i="36"/>
  <c r="D11" i="36"/>
  <c r="E11" i="36"/>
  <c r="H11" i="36" s="1"/>
  <c r="C12" i="36"/>
  <c r="D12" i="36"/>
  <c r="E12" i="36"/>
  <c r="H12" i="36" s="1"/>
  <c r="C13" i="36"/>
  <c r="D13" i="36"/>
  <c r="E13" i="36"/>
  <c r="C14" i="36"/>
  <c r="D14" i="36"/>
  <c r="C15" i="36"/>
  <c r="F15" i="36" s="1"/>
  <c r="I15" i="36" s="1"/>
  <c r="L15" i="36" s="1"/>
  <c r="D15" i="36"/>
  <c r="G15" i="36" s="1"/>
  <c r="J15" i="36" s="1"/>
  <c r="M15" i="36" s="1"/>
  <c r="D5" i="36"/>
  <c r="E5" i="36"/>
  <c r="H5" i="36" s="1"/>
  <c r="C5" i="36"/>
  <c r="H13" i="36"/>
  <c r="C6" i="37"/>
  <c r="D6" i="37"/>
  <c r="E6" i="37"/>
  <c r="H6" i="37" s="1"/>
  <c r="C7" i="37"/>
  <c r="D7" i="37"/>
  <c r="E7" i="37"/>
  <c r="C8" i="37"/>
  <c r="D8" i="37"/>
  <c r="E8" i="37"/>
  <c r="C9" i="37"/>
  <c r="D9" i="37"/>
  <c r="E9" i="37"/>
  <c r="H9" i="37" s="1"/>
  <c r="C10" i="37"/>
  <c r="D10" i="37"/>
  <c r="E10" i="37"/>
  <c r="C11" i="37"/>
  <c r="D11" i="37"/>
  <c r="E11" i="37"/>
  <c r="H11" i="37" s="1"/>
  <c r="C12" i="37"/>
  <c r="D12" i="37"/>
  <c r="E12" i="37"/>
  <c r="H12" i="37" s="1"/>
  <c r="C13" i="37"/>
  <c r="D13" i="37"/>
  <c r="E13" i="37"/>
  <c r="H13" i="37" s="1"/>
  <c r="C14" i="37"/>
  <c r="D14" i="37"/>
  <c r="C15" i="37"/>
  <c r="F15" i="37" s="1"/>
  <c r="I15" i="37" s="1"/>
  <c r="L15" i="37" s="1"/>
  <c r="D15" i="37"/>
  <c r="G15" i="37" s="1"/>
  <c r="J15" i="37" s="1"/>
  <c r="M15" i="37" s="1"/>
  <c r="D5" i="37"/>
  <c r="E5" i="37"/>
  <c r="H5" i="37" s="1"/>
  <c r="C5" i="37"/>
  <c r="C6" i="33"/>
  <c r="D6" i="33"/>
  <c r="E6" i="33"/>
  <c r="C7" i="33"/>
  <c r="D7" i="33"/>
  <c r="E7" i="33"/>
  <c r="C8" i="33"/>
  <c r="D8" i="33"/>
  <c r="E8" i="33"/>
  <c r="C9" i="33"/>
  <c r="D9" i="33"/>
  <c r="E9" i="33"/>
  <c r="C10" i="33"/>
  <c r="D10" i="33"/>
  <c r="E10" i="33"/>
  <c r="C11" i="33"/>
  <c r="D11" i="33"/>
  <c r="E11" i="33"/>
  <c r="C12" i="33"/>
  <c r="D12" i="33"/>
  <c r="E12" i="33"/>
  <c r="C13" i="33"/>
  <c r="D13" i="33"/>
  <c r="E13" i="33"/>
  <c r="C14" i="33"/>
  <c r="D14" i="33"/>
  <c r="C15" i="33"/>
  <c r="F15" i="33" s="1"/>
  <c r="I15" i="33" s="1"/>
  <c r="L15" i="33" s="1"/>
  <c r="D15" i="33"/>
  <c r="G15" i="33" s="1"/>
  <c r="J15" i="33" s="1"/>
  <c r="M15" i="33" s="1"/>
  <c r="D5" i="33"/>
  <c r="E5" i="33"/>
  <c r="C5" i="33"/>
  <c r="N10" i="38"/>
  <c r="K10" i="38"/>
  <c r="N10" i="39"/>
  <c r="N7" i="39"/>
  <c r="H10" i="38"/>
  <c r="F9" i="40" l="1"/>
  <c r="F9" i="38"/>
  <c r="F6" i="37"/>
  <c r="F5" i="30"/>
  <c r="F13" i="38"/>
  <c r="F5" i="36"/>
  <c r="F6" i="38"/>
  <c r="F13" i="30"/>
  <c r="F6" i="40"/>
  <c r="F12" i="39"/>
  <c r="F12" i="30"/>
  <c r="G15" i="38"/>
  <c r="J15" i="38" s="1"/>
  <c r="M15" i="38" s="1"/>
  <c r="F15" i="38"/>
  <c r="I15" i="38" s="1"/>
  <c r="L15" i="38" s="1"/>
  <c r="F13" i="37"/>
  <c r="F9" i="37"/>
  <c r="F13" i="39"/>
  <c r="F13" i="40"/>
  <c r="F9" i="36"/>
  <c r="F9" i="39"/>
  <c r="F9" i="30"/>
  <c r="F6" i="36"/>
  <c r="F5" i="38"/>
  <c r="F5" i="40"/>
  <c r="F5" i="39"/>
  <c r="K6" i="30"/>
  <c r="N6" i="30" s="1"/>
  <c r="G6" i="30"/>
  <c r="K5" i="30"/>
  <c r="N5" i="30" s="1"/>
  <c r="G5" i="30"/>
  <c r="K9" i="30"/>
  <c r="N9" i="30" s="1"/>
  <c r="G9" i="30"/>
  <c r="F11" i="30"/>
  <c r="K13" i="30"/>
  <c r="N13" i="30" s="1"/>
  <c r="G13" i="30"/>
  <c r="F6" i="30"/>
  <c r="K12" i="30"/>
  <c r="N12" i="30" s="1"/>
  <c r="G12" i="30"/>
  <c r="K11" i="30"/>
  <c r="N11" i="30" s="1"/>
  <c r="G11" i="30"/>
  <c r="K11" i="40"/>
  <c r="N11" i="40" s="1"/>
  <c r="G11" i="40"/>
  <c r="K6" i="40"/>
  <c r="N6" i="40" s="1"/>
  <c r="G6" i="40"/>
  <c r="F12" i="40"/>
  <c r="K5" i="40"/>
  <c r="N5" i="40" s="1"/>
  <c r="G5" i="40"/>
  <c r="K9" i="40"/>
  <c r="N9" i="40" s="1"/>
  <c r="G9" i="40"/>
  <c r="F11" i="40"/>
  <c r="K13" i="40"/>
  <c r="N13" i="40" s="1"/>
  <c r="G13" i="40"/>
  <c r="K12" i="40"/>
  <c r="N12" i="40" s="1"/>
  <c r="G12" i="40"/>
  <c r="K11" i="39"/>
  <c r="N11" i="39" s="1"/>
  <c r="G11" i="39"/>
  <c r="K6" i="39"/>
  <c r="N6" i="39" s="1"/>
  <c r="G6" i="39"/>
  <c r="K5" i="39"/>
  <c r="N5" i="39" s="1"/>
  <c r="G5" i="39"/>
  <c r="K9" i="39"/>
  <c r="N9" i="39" s="1"/>
  <c r="G9" i="39"/>
  <c r="F11" i="39"/>
  <c r="K13" i="39"/>
  <c r="N13" i="39" s="1"/>
  <c r="G13" i="39"/>
  <c r="F6" i="39"/>
  <c r="K12" i="39"/>
  <c r="N12" i="39" s="1"/>
  <c r="G12" i="39"/>
  <c r="G10" i="38"/>
  <c r="J10" i="38" s="1"/>
  <c r="M10" i="38" s="1"/>
  <c r="K11" i="38"/>
  <c r="N11" i="38" s="1"/>
  <c r="G11" i="38"/>
  <c r="K6" i="38"/>
  <c r="N6" i="38" s="1"/>
  <c r="G6" i="38"/>
  <c r="F12" i="38"/>
  <c r="K5" i="38"/>
  <c r="N5" i="38" s="1"/>
  <c r="G5" i="38"/>
  <c r="K9" i="38"/>
  <c r="N9" i="38" s="1"/>
  <c r="G9" i="38"/>
  <c r="F11" i="38"/>
  <c r="K13" i="38"/>
  <c r="N13" i="38" s="1"/>
  <c r="G13" i="38"/>
  <c r="F10" i="38"/>
  <c r="I10" i="38" s="1"/>
  <c r="L10" i="38" s="1"/>
  <c r="K12" i="38"/>
  <c r="N12" i="38" s="1"/>
  <c r="G12" i="38"/>
  <c r="F13" i="36"/>
  <c r="K11" i="36"/>
  <c r="N11" i="36" s="1"/>
  <c r="G11" i="36"/>
  <c r="K6" i="36"/>
  <c r="N6" i="36" s="1"/>
  <c r="G6" i="36"/>
  <c r="F12" i="36"/>
  <c r="K5" i="36"/>
  <c r="N5" i="36" s="1"/>
  <c r="G5" i="36"/>
  <c r="K9" i="36"/>
  <c r="N9" i="36" s="1"/>
  <c r="G9" i="36"/>
  <c r="F11" i="36"/>
  <c r="K13" i="36"/>
  <c r="N13" i="36" s="1"/>
  <c r="G13" i="36"/>
  <c r="K12" i="36"/>
  <c r="N12" i="36" s="1"/>
  <c r="G12" i="36"/>
  <c r="F5" i="37"/>
  <c r="K11" i="37"/>
  <c r="N11" i="37" s="1"/>
  <c r="G11" i="37"/>
  <c r="K6" i="37"/>
  <c r="N6" i="37" s="1"/>
  <c r="G6" i="37"/>
  <c r="F12" i="37"/>
  <c r="K5" i="37"/>
  <c r="N5" i="37" s="1"/>
  <c r="G5" i="37"/>
  <c r="K9" i="37"/>
  <c r="N9" i="37" s="1"/>
  <c r="G9" i="37"/>
  <c r="F11" i="37"/>
  <c r="K13" i="37"/>
  <c r="N13" i="37" s="1"/>
  <c r="G13" i="37"/>
  <c r="K12" i="37"/>
  <c r="N12" i="37" s="1"/>
  <c r="G12" i="37"/>
  <c r="I9" i="39" l="1"/>
  <c r="L9" i="39" s="1"/>
  <c r="J11" i="38"/>
  <c r="M11" i="38" s="1"/>
  <c r="J9" i="39"/>
  <c r="M9" i="39" s="1"/>
  <c r="J11" i="39"/>
  <c r="M11" i="39" s="1"/>
  <c r="J12" i="40"/>
  <c r="M12" i="40" s="1"/>
  <c r="I11" i="39"/>
  <c r="L11" i="39" s="1"/>
  <c r="J9" i="30"/>
  <c r="M9" i="30" s="1"/>
  <c r="I9" i="30"/>
  <c r="L9" i="30" s="1"/>
  <c r="J12" i="37"/>
  <c r="M12" i="37" s="1"/>
  <c r="J11" i="36"/>
  <c r="M11" i="36" s="1"/>
  <c r="I9" i="40"/>
  <c r="L9" i="40" s="1"/>
  <c r="J11" i="30"/>
  <c r="M11" i="30" s="1"/>
  <c r="J12" i="38"/>
  <c r="M12" i="38" s="1"/>
  <c r="I11" i="37"/>
  <c r="L11" i="37" s="1"/>
  <c r="J11" i="37"/>
  <c r="M11" i="37" s="1"/>
  <c r="I11" i="38"/>
  <c r="L11" i="38" s="1"/>
  <c r="I9" i="38"/>
  <c r="L9" i="38" s="1"/>
  <c r="J12" i="39"/>
  <c r="M12" i="39" s="1"/>
  <c r="J11" i="40"/>
  <c r="M11" i="40" s="1"/>
  <c r="J12" i="30"/>
  <c r="M12" i="30" s="1"/>
  <c r="I11" i="40"/>
  <c r="L11" i="40" s="1"/>
  <c r="J13" i="37"/>
  <c r="M13" i="37" s="1"/>
  <c r="I5" i="30"/>
  <c r="L5" i="30" s="1"/>
  <c r="I11" i="30"/>
  <c r="L11" i="30" s="1"/>
  <c r="J9" i="40"/>
  <c r="M9" i="40" s="1"/>
  <c r="J9" i="38"/>
  <c r="M9" i="38" s="1"/>
  <c r="J13" i="38"/>
  <c r="M13" i="38" s="1"/>
  <c r="I13" i="38"/>
  <c r="L13" i="38" s="1"/>
  <c r="J13" i="30"/>
  <c r="M13" i="30" s="1"/>
  <c r="I12" i="30"/>
  <c r="L12" i="30" s="1"/>
  <c r="I13" i="30"/>
  <c r="L13" i="30" s="1"/>
  <c r="I6" i="30"/>
  <c r="L6" i="30" s="1"/>
  <c r="J5" i="30"/>
  <c r="M5" i="30" s="1"/>
  <c r="J6" i="30"/>
  <c r="M6" i="30" s="1"/>
  <c r="I5" i="40"/>
  <c r="L5" i="40" s="1"/>
  <c r="I6" i="40"/>
  <c r="L6" i="40" s="1"/>
  <c r="J5" i="40"/>
  <c r="M5" i="40" s="1"/>
  <c r="J6" i="40"/>
  <c r="M6" i="40" s="1"/>
  <c r="J13" i="40"/>
  <c r="M13" i="40" s="1"/>
  <c r="I12" i="40"/>
  <c r="L12" i="40" s="1"/>
  <c r="I13" i="40"/>
  <c r="L13" i="40" s="1"/>
  <c r="I5" i="39"/>
  <c r="L5" i="39" s="1"/>
  <c r="I6" i="39"/>
  <c r="L6" i="39" s="1"/>
  <c r="J5" i="39"/>
  <c r="M5" i="39" s="1"/>
  <c r="J6" i="39"/>
  <c r="M6" i="39" s="1"/>
  <c r="J13" i="39"/>
  <c r="M13" i="39" s="1"/>
  <c r="I12" i="39"/>
  <c r="L12" i="39" s="1"/>
  <c r="I13" i="39"/>
  <c r="L13" i="39" s="1"/>
  <c r="I12" i="38"/>
  <c r="L12" i="38" s="1"/>
  <c r="I5" i="38"/>
  <c r="L5" i="38" s="1"/>
  <c r="I6" i="38"/>
  <c r="L6" i="38" s="1"/>
  <c r="J5" i="38"/>
  <c r="M5" i="38" s="1"/>
  <c r="J6" i="38"/>
  <c r="M6" i="38" s="1"/>
  <c r="I6" i="36"/>
  <c r="L6" i="36" s="1"/>
  <c r="I11" i="36"/>
  <c r="L11" i="36" s="1"/>
  <c r="J5" i="36"/>
  <c r="M5" i="36" s="1"/>
  <c r="J6" i="36"/>
  <c r="M6" i="36" s="1"/>
  <c r="I5" i="36"/>
  <c r="L5" i="36" s="1"/>
  <c r="J12" i="36"/>
  <c r="M12" i="36" s="1"/>
  <c r="J9" i="36"/>
  <c r="M9" i="36" s="1"/>
  <c r="I9" i="36"/>
  <c r="L9" i="36" s="1"/>
  <c r="J13" i="36"/>
  <c r="M13" i="36" s="1"/>
  <c r="I12" i="36"/>
  <c r="L12" i="36" s="1"/>
  <c r="I13" i="36"/>
  <c r="L13" i="36" s="1"/>
  <c r="I13" i="37"/>
  <c r="L13" i="37" s="1"/>
  <c r="J9" i="37"/>
  <c r="M9" i="37" s="1"/>
  <c r="I9" i="37"/>
  <c r="L9" i="37" s="1"/>
  <c r="I12" i="37"/>
  <c r="L12" i="37" s="1"/>
  <c r="I5" i="37"/>
  <c r="L5" i="37" s="1"/>
  <c r="I6" i="37"/>
  <c r="L6" i="37" s="1"/>
  <c r="J5" i="37"/>
  <c r="M5" i="37" s="1"/>
  <c r="J6" i="37"/>
  <c r="M6" i="37" s="1"/>
  <c r="H13" i="33" l="1"/>
  <c r="F13" i="33" s="1"/>
  <c r="H12" i="33"/>
  <c r="K12" i="33" s="1"/>
  <c r="N12" i="33" s="1"/>
  <c r="H11" i="33"/>
  <c r="G11" i="33" s="1"/>
  <c r="H9" i="33"/>
  <c r="F9" i="33" s="1"/>
  <c r="H6" i="33"/>
  <c r="K6" i="33" s="1"/>
  <c r="N6" i="33" s="1"/>
  <c r="H5" i="33"/>
  <c r="F5" i="33" s="1"/>
  <c r="N10" i="23"/>
  <c r="H7" i="33"/>
  <c r="H10" i="23"/>
  <c r="H10" i="25"/>
  <c r="N7" i="33"/>
  <c r="N8" i="23"/>
  <c r="K8" i="23"/>
  <c r="K10" i="23"/>
  <c r="K7" i="33"/>
  <c r="K10" i="25"/>
  <c r="H8" i="23"/>
  <c r="F11" i="33" l="1"/>
  <c r="K11" i="33"/>
  <c r="N11" i="33" s="1"/>
  <c r="G6" i="33"/>
  <c r="J6" i="33" s="1"/>
  <c r="M6" i="33" s="1"/>
  <c r="K13" i="33"/>
  <c r="N13" i="33" s="1"/>
  <c r="G9" i="33"/>
  <c r="G13" i="33"/>
  <c r="F6" i="33"/>
  <c r="I6" i="33" s="1"/>
  <c r="L6" i="33" s="1"/>
  <c r="K9" i="33"/>
  <c r="N9" i="33" s="1"/>
  <c r="G5" i="33"/>
  <c r="K5" i="33"/>
  <c r="N5" i="33" s="1"/>
  <c r="F7" i="33"/>
  <c r="G7" i="33"/>
  <c r="J7" i="33" s="1"/>
  <c r="M7" i="33" s="1"/>
  <c r="F12" i="33"/>
  <c r="I12" i="33" s="1"/>
  <c r="L12" i="33" s="1"/>
  <c r="G12" i="33"/>
  <c r="J12" i="33" s="1"/>
  <c r="M12" i="33" s="1"/>
  <c r="C6" i="35"/>
  <c r="D6" i="35"/>
  <c r="E6" i="35"/>
  <c r="H6" i="35" s="1"/>
  <c r="K6" i="35" s="1"/>
  <c r="N6" i="35" s="1"/>
  <c r="C7" i="35"/>
  <c r="D7" i="35"/>
  <c r="E7" i="35"/>
  <c r="C8" i="35"/>
  <c r="D8" i="35"/>
  <c r="E8" i="35"/>
  <c r="C9" i="35"/>
  <c r="D9" i="35"/>
  <c r="E9" i="35"/>
  <c r="H9" i="35" s="1"/>
  <c r="C10" i="35"/>
  <c r="D10" i="35"/>
  <c r="E10" i="35"/>
  <c r="C11" i="35"/>
  <c r="D11" i="35"/>
  <c r="E11" i="35"/>
  <c r="H11" i="35" s="1"/>
  <c r="K11" i="35" s="1"/>
  <c r="N11" i="35" s="1"/>
  <c r="C12" i="35"/>
  <c r="D12" i="35"/>
  <c r="E12" i="35"/>
  <c r="H12" i="35" s="1"/>
  <c r="K12" i="35" s="1"/>
  <c r="N12" i="35" s="1"/>
  <c r="C13" i="35"/>
  <c r="D13" i="35"/>
  <c r="E13" i="35"/>
  <c r="H13" i="35" s="1"/>
  <c r="C14" i="35"/>
  <c r="D14" i="35"/>
  <c r="C15" i="35"/>
  <c r="F15" i="35" s="1"/>
  <c r="I15" i="35" s="1"/>
  <c r="L15" i="35" s="1"/>
  <c r="D15" i="35"/>
  <c r="G15" i="35" s="1"/>
  <c r="J15" i="35" s="1"/>
  <c r="M15" i="35" s="1"/>
  <c r="D5" i="35"/>
  <c r="E5" i="35"/>
  <c r="H5" i="35" s="1"/>
  <c r="C5" i="35"/>
  <c r="C6" i="34"/>
  <c r="D6" i="34"/>
  <c r="C7" i="34"/>
  <c r="D7" i="34"/>
  <c r="C8" i="34"/>
  <c r="D8" i="34"/>
  <c r="C9" i="34"/>
  <c r="D9" i="34"/>
  <c r="C10" i="34"/>
  <c r="D10" i="34"/>
  <c r="C11" i="34"/>
  <c r="D11" i="34"/>
  <c r="C12" i="34"/>
  <c r="D12" i="34"/>
  <c r="C13" i="34"/>
  <c r="D13" i="34"/>
  <c r="C14" i="34"/>
  <c r="D14" i="34"/>
  <c r="C15" i="34"/>
  <c r="F15" i="34" s="1"/>
  <c r="I15" i="34" s="1"/>
  <c r="L15" i="34" s="1"/>
  <c r="D15" i="34"/>
  <c r="G15" i="34" s="1"/>
  <c r="J15" i="34" s="1"/>
  <c r="M15" i="34" s="1"/>
  <c r="D5" i="34"/>
  <c r="C5" i="34"/>
  <c r="H13" i="34"/>
  <c r="H12" i="34"/>
  <c r="K12" i="34" s="1"/>
  <c r="N12" i="34" s="1"/>
  <c r="H11" i="34"/>
  <c r="K11" i="34" s="1"/>
  <c r="N11" i="34" s="1"/>
  <c r="H9" i="34"/>
  <c r="H6" i="34"/>
  <c r="K6" i="34" s="1"/>
  <c r="N6" i="34" s="1"/>
  <c r="H5" i="34"/>
  <c r="C6" i="25"/>
  <c r="D6" i="25"/>
  <c r="E6" i="25"/>
  <c r="H6" i="25" s="1"/>
  <c r="K6" i="25" s="1"/>
  <c r="N6" i="25" s="1"/>
  <c r="C7" i="25"/>
  <c r="D7" i="25"/>
  <c r="E7" i="25"/>
  <c r="C8" i="25"/>
  <c r="D8" i="25"/>
  <c r="E8" i="25"/>
  <c r="C9" i="25"/>
  <c r="D9" i="25"/>
  <c r="E9" i="25"/>
  <c r="H9" i="25" s="1"/>
  <c r="C10" i="25"/>
  <c r="F10" i="25" s="1"/>
  <c r="I10" i="25" s="1"/>
  <c r="L10" i="25" s="1"/>
  <c r="D10" i="25"/>
  <c r="E10" i="25"/>
  <c r="C11" i="25"/>
  <c r="D11" i="25"/>
  <c r="E11" i="25"/>
  <c r="H11" i="25" s="1"/>
  <c r="C12" i="25"/>
  <c r="D12" i="25"/>
  <c r="E12" i="25"/>
  <c r="H12" i="25" s="1"/>
  <c r="K12" i="25" s="1"/>
  <c r="N12" i="25" s="1"/>
  <c r="C13" i="25"/>
  <c r="D13" i="25"/>
  <c r="E13" i="25"/>
  <c r="H13" i="25" s="1"/>
  <c r="C14" i="25"/>
  <c r="D14" i="25"/>
  <c r="C15" i="25"/>
  <c r="D15" i="25"/>
  <c r="D5" i="25"/>
  <c r="E5" i="25"/>
  <c r="H5" i="25" s="1"/>
  <c r="C5" i="25"/>
  <c r="F11" i="25" l="1"/>
  <c r="I11" i="25" s="1"/>
  <c r="K11" i="25"/>
  <c r="G11" i="25"/>
  <c r="I7" i="33"/>
  <c r="L7" i="33" s="1"/>
  <c r="I11" i="33"/>
  <c r="L11" i="33" s="1"/>
  <c r="J11" i="33"/>
  <c r="M11" i="33" s="1"/>
  <c r="G5" i="25"/>
  <c r="G13" i="34"/>
  <c r="G9" i="34"/>
  <c r="G13" i="35"/>
  <c r="F12" i="35"/>
  <c r="I12" i="35" s="1"/>
  <c r="L12" i="35" s="1"/>
  <c r="G9" i="35"/>
  <c r="G5" i="35"/>
  <c r="G11" i="35"/>
  <c r="J11" i="35" s="1"/>
  <c r="M11" i="35" s="1"/>
  <c r="G9" i="25"/>
  <c r="G13" i="25"/>
  <c r="F12" i="34"/>
  <c r="I12" i="34" s="1"/>
  <c r="L12" i="34" s="1"/>
  <c r="F12" i="25"/>
  <c r="I12" i="25" s="1"/>
  <c r="L12" i="25" s="1"/>
  <c r="G12" i="34"/>
  <c r="J12" i="34" s="1"/>
  <c r="M12" i="34" s="1"/>
  <c r="F6" i="35"/>
  <c r="I6" i="35" s="1"/>
  <c r="L6" i="35" s="1"/>
  <c r="G10" i="25"/>
  <c r="J10" i="25" s="1"/>
  <c r="G6" i="25"/>
  <c r="J6" i="25" s="1"/>
  <c r="M6" i="25" s="1"/>
  <c r="G5" i="34"/>
  <c r="F13" i="35"/>
  <c r="G12" i="35"/>
  <c r="J12" i="35" s="1"/>
  <c r="M12" i="35" s="1"/>
  <c r="F11" i="35"/>
  <c r="I11" i="35" s="1"/>
  <c r="L11" i="35" s="1"/>
  <c r="K13" i="35"/>
  <c r="N13" i="35" s="1"/>
  <c r="G6" i="34"/>
  <c r="J6" i="34" s="1"/>
  <c r="M6" i="34" s="1"/>
  <c r="F6" i="25"/>
  <c r="I6" i="25" s="1"/>
  <c r="L6" i="25" s="1"/>
  <c r="G11" i="34"/>
  <c r="J11" i="34" s="1"/>
  <c r="M11" i="34" s="1"/>
  <c r="G12" i="25"/>
  <c r="J12" i="25" s="1"/>
  <c r="M12" i="25" s="1"/>
  <c r="F13" i="25"/>
  <c r="F9" i="25"/>
  <c r="K9" i="25"/>
  <c r="N9" i="25" s="1"/>
  <c r="F5" i="34"/>
  <c r="K5" i="34"/>
  <c r="N5" i="34" s="1"/>
  <c r="F9" i="34"/>
  <c r="K9" i="34"/>
  <c r="N9" i="34" s="1"/>
  <c r="F13" i="34"/>
  <c r="K13" i="34"/>
  <c r="N13" i="34" s="1"/>
  <c r="F11" i="34"/>
  <c r="I11" i="34" s="1"/>
  <c r="L11" i="34" s="1"/>
  <c r="F5" i="35"/>
  <c r="K5" i="35"/>
  <c r="N5" i="35" s="1"/>
  <c r="F5" i="25"/>
  <c r="K5" i="25"/>
  <c r="N5" i="25" s="1"/>
  <c r="F6" i="34"/>
  <c r="I6" i="34" s="1"/>
  <c r="L6" i="34" s="1"/>
  <c r="F9" i="35"/>
  <c r="K9" i="35"/>
  <c r="N9" i="35" s="1"/>
  <c r="G6" i="35"/>
  <c r="J6" i="35" s="1"/>
  <c r="M6" i="35" s="1"/>
  <c r="I13" i="33"/>
  <c r="L13" i="33" s="1"/>
  <c r="K13" i="25"/>
  <c r="N13" i="25" s="1"/>
  <c r="J5" i="33"/>
  <c r="M5" i="33" s="1"/>
  <c r="J13" i="33"/>
  <c r="M13" i="33" s="1"/>
  <c r="I5" i="33"/>
  <c r="L5" i="33" s="1"/>
  <c r="J9" i="33"/>
  <c r="M9" i="33" s="1"/>
  <c r="I9" i="33"/>
  <c r="L9" i="33" s="1"/>
  <c r="N10" i="25"/>
  <c r="J11" i="25" l="1"/>
  <c r="N11" i="25"/>
  <c r="L11" i="25" s="1"/>
  <c r="M10" i="25"/>
  <c r="J5" i="35"/>
  <c r="M5" i="35" s="1"/>
  <c r="J13" i="35"/>
  <c r="M13" i="35" s="1"/>
  <c r="I13" i="35"/>
  <c r="L13" i="35" s="1"/>
  <c r="I5" i="35"/>
  <c r="L5" i="35" s="1"/>
  <c r="J13" i="34"/>
  <c r="M13" i="34" s="1"/>
  <c r="I5" i="25"/>
  <c r="L5" i="25" s="1"/>
  <c r="I9" i="25"/>
  <c r="L9" i="25" s="1"/>
  <c r="J9" i="34"/>
  <c r="M9" i="34" s="1"/>
  <c r="J5" i="34"/>
  <c r="M5" i="34" s="1"/>
  <c r="I13" i="34"/>
  <c r="L13" i="34" s="1"/>
  <c r="I5" i="34"/>
  <c r="L5" i="34" s="1"/>
  <c r="I13" i="25"/>
  <c r="L13" i="25" s="1"/>
  <c r="J9" i="25"/>
  <c r="M9" i="25" s="1"/>
  <c r="I9" i="35"/>
  <c r="L9" i="35" s="1"/>
  <c r="I9" i="34"/>
  <c r="L9" i="34" s="1"/>
  <c r="J9" i="35"/>
  <c r="M9" i="35" s="1"/>
  <c r="J5" i="25"/>
  <c r="M5" i="25" s="1"/>
  <c r="J13" i="25"/>
  <c r="M13" i="25" s="1"/>
  <c r="D58" i="26"/>
  <c r="D59" i="26" s="1"/>
  <c r="D75" i="26" s="1"/>
  <c r="E58" i="26"/>
  <c r="F58" i="26"/>
  <c r="F59" i="26" s="1"/>
  <c r="G58" i="26"/>
  <c r="G59" i="26" s="1"/>
  <c r="H58" i="26"/>
  <c r="H59" i="26" s="1"/>
  <c r="H75" i="26" s="1"/>
  <c r="I58" i="26"/>
  <c r="I59" i="26" s="1"/>
  <c r="I75" i="26" s="1"/>
  <c r="J58" i="26"/>
  <c r="J59" i="26" s="1"/>
  <c r="K58" i="26"/>
  <c r="K59" i="26" s="1"/>
  <c r="L58" i="26"/>
  <c r="L59" i="26" s="1"/>
  <c r="L75" i="26" s="1"/>
  <c r="M58" i="26"/>
  <c r="M59" i="26" s="1"/>
  <c r="M75" i="26" s="1"/>
  <c r="N58" i="26"/>
  <c r="N59" i="26" s="1"/>
  <c r="D66" i="26"/>
  <c r="E66" i="26"/>
  <c r="F66" i="26"/>
  <c r="G66" i="26"/>
  <c r="H66" i="26"/>
  <c r="I66" i="26"/>
  <c r="J66" i="26"/>
  <c r="K66" i="26"/>
  <c r="L66" i="26"/>
  <c r="M66" i="26"/>
  <c r="N66" i="26"/>
  <c r="C66" i="26"/>
  <c r="C58" i="26"/>
  <c r="C59" i="26" s="1"/>
  <c r="C75" i="26" s="1"/>
  <c r="D49" i="26"/>
  <c r="E49" i="26" s="1"/>
  <c r="C6" i="28"/>
  <c r="D6" i="28"/>
  <c r="E6" i="28"/>
  <c r="C7" i="28"/>
  <c r="D7" i="28"/>
  <c r="E7" i="28"/>
  <c r="C8" i="28"/>
  <c r="D8" i="28"/>
  <c r="E8" i="28"/>
  <c r="C9" i="28"/>
  <c r="D9" i="28"/>
  <c r="E9" i="28"/>
  <c r="H9" i="28" s="1"/>
  <c r="C10" i="28"/>
  <c r="D10" i="28"/>
  <c r="E10" i="28"/>
  <c r="C11" i="28"/>
  <c r="D11" i="28"/>
  <c r="E11" i="28"/>
  <c r="C12" i="28"/>
  <c r="D12" i="28"/>
  <c r="E12" i="28"/>
  <c r="H12" i="28" s="1"/>
  <c r="C13" i="28"/>
  <c r="D13" i="28"/>
  <c r="E13" i="28"/>
  <c r="H13" i="28" s="1"/>
  <c r="C14" i="28"/>
  <c r="D14" i="28"/>
  <c r="E14" i="28"/>
  <c r="C15" i="28"/>
  <c r="D15" i="28"/>
  <c r="E15" i="28"/>
  <c r="D5" i="28"/>
  <c r="E5" i="28"/>
  <c r="H5" i="28" s="1"/>
  <c r="C5" i="28"/>
  <c r="H11" i="28"/>
  <c r="H6" i="28"/>
  <c r="C6" i="27"/>
  <c r="D6" i="27"/>
  <c r="E6" i="27"/>
  <c r="H6" i="27" s="1"/>
  <c r="C7" i="27"/>
  <c r="D7" i="27"/>
  <c r="E7" i="27"/>
  <c r="C8" i="27"/>
  <c r="D8" i="27"/>
  <c r="E8" i="27"/>
  <c r="C9" i="27"/>
  <c r="D9" i="27"/>
  <c r="E9" i="27"/>
  <c r="H9" i="27" s="1"/>
  <c r="C10" i="27"/>
  <c r="D10" i="27"/>
  <c r="E10" i="27"/>
  <c r="C11" i="27"/>
  <c r="D11" i="27"/>
  <c r="E11" i="27"/>
  <c r="H11" i="27" s="1"/>
  <c r="C12" i="27"/>
  <c r="D12" i="27"/>
  <c r="E12" i="27"/>
  <c r="H12" i="27" s="1"/>
  <c r="C13" i="27"/>
  <c r="D13" i="27"/>
  <c r="E13" i="27"/>
  <c r="H13" i="27" s="1"/>
  <c r="C14" i="27"/>
  <c r="D14" i="27"/>
  <c r="E14" i="27"/>
  <c r="C15" i="27"/>
  <c r="D15" i="27"/>
  <c r="E15" i="27"/>
  <c r="D5" i="27"/>
  <c r="E5" i="27"/>
  <c r="H5" i="27" s="1"/>
  <c r="C5" i="27"/>
  <c r="C6" i="24"/>
  <c r="D6" i="24"/>
  <c r="E6" i="24"/>
  <c r="H6" i="24" s="1"/>
  <c r="K6" i="24" s="1"/>
  <c r="N6" i="24" s="1"/>
  <c r="C7" i="24"/>
  <c r="D7" i="24"/>
  <c r="E7" i="24"/>
  <c r="C8" i="24"/>
  <c r="D8" i="24"/>
  <c r="E8" i="24"/>
  <c r="C9" i="24"/>
  <c r="D9" i="24"/>
  <c r="E9" i="24"/>
  <c r="H9" i="24" s="1"/>
  <c r="C10" i="24"/>
  <c r="D10" i="24"/>
  <c r="E10" i="24"/>
  <c r="C11" i="24"/>
  <c r="D11" i="24"/>
  <c r="E11" i="24"/>
  <c r="H11" i="24" s="1"/>
  <c r="K11" i="24" s="1"/>
  <c r="N11" i="24" s="1"/>
  <c r="C12" i="24"/>
  <c r="D12" i="24"/>
  <c r="E12" i="24"/>
  <c r="H12" i="24" s="1"/>
  <c r="K12" i="24" s="1"/>
  <c r="N12" i="24" s="1"/>
  <c r="C13" i="24"/>
  <c r="D13" i="24"/>
  <c r="E13" i="24"/>
  <c r="H13" i="24" s="1"/>
  <c r="C14" i="24"/>
  <c r="D14" i="24"/>
  <c r="C15" i="24"/>
  <c r="F15" i="24" s="1"/>
  <c r="I15" i="24" s="1"/>
  <c r="L15" i="24" s="1"/>
  <c r="D15" i="24"/>
  <c r="G15" i="24" s="1"/>
  <c r="J15" i="24" s="1"/>
  <c r="M15" i="24" s="1"/>
  <c r="D5" i="24"/>
  <c r="E5" i="24"/>
  <c r="H5" i="24" s="1"/>
  <c r="C5" i="24"/>
  <c r="C6" i="23"/>
  <c r="D6" i="23"/>
  <c r="E6" i="23"/>
  <c r="H6" i="23" s="1"/>
  <c r="K6" i="23" s="1"/>
  <c r="N6" i="23" s="1"/>
  <c r="C7" i="23"/>
  <c r="D7" i="23"/>
  <c r="E7" i="23"/>
  <c r="C8" i="23"/>
  <c r="D8" i="23"/>
  <c r="E8" i="23"/>
  <c r="C9" i="23"/>
  <c r="D9" i="23"/>
  <c r="E9" i="23"/>
  <c r="H9" i="23" s="1"/>
  <c r="C10" i="23"/>
  <c r="D10" i="23"/>
  <c r="E10" i="23"/>
  <c r="C11" i="23"/>
  <c r="D11" i="23"/>
  <c r="E11" i="23"/>
  <c r="H11" i="23" s="1"/>
  <c r="K11" i="23" s="1"/>
  <c r="N11" i="23" s="1"/>
  <c r="C12" i="23"/>
  <c r="D12" i="23"/>
  <c r="E12" i="23"/>
  <c r="H12" i="23" s="1"/>
  <c r="K12" i="23" s="1"/>
  <c r="N12" i="23" s="1"/>
  <c r="C13" i="23"/>
  <c r="D13" i="23"/>
  <c r="E13" i="23"/>
  <c r="H13" i="23" s="1"/>
  <c r="C14" i="23"/>
  <c r="D14" i="23"/>
  <c r="C15" i="23"/>
  <c r="D15" i="23"/>
  <c r="D5" i="23"/>
  <c r="E5" i="23"/>
  <c r="H5" i="23" s="1"/>
  <c r="C5" i="23"/>
  <c r="D5" i="22"/>
  <c r="E5" i="22"/>
  <c r="H5" i="22" s="1"/>
  <c r="D6" i="22"/>
  <c r="E6" i="22"/>
  <c r="H6" i="22" s="1"/>
  <c r="K6" i="22" s="1"/>
  <c r="N6" i="22" s="1"/>
  <c r="D7" i="22"/>
  <c r="E7" i="22"/>
  <c r="D8" i="22"/>
  <c r="E8" i="22"/>
  <c r="D9" i="22"/>
  <c r="E9" i="22"/>
  <c r="H9" i="22" s="1"/>
  <c r="K9" i="22" s="1"/>
  <c r="N9" i="22" s="1"/>
  <c r="D10" i="22"/>
  <c r="E10" i="22"/>
  <c r="D11" i="22"/>
  <c r="E11" i="22"/>
  <c r="H11" i="22" s="1"/>
  <c r="K11" i="22" s="1"/>
  <c r="N11" i="22" s="1"/>
  <c r="D12" i="22"/>
  <c r="E12" i="22"/>
  <c r="H12" i="22" s="1"/>
  <c r="K12" i="22" s="1"/>
  <c r="N12" i="22" s="1"/>
  <c r="D13" i="22"/>
  <c r="E13" i="22"/>
  <c r="H13" i="22" s="1"/>
  <c r="D14" i="22"/>
  <c r="D15" i="22"/>
  <c r="C15" i="22"/>
  <c r="C6" i="22"/>
  <c r="C7" i="22"/>
  <c r="C8" i="22"/>
  <c r="C9" i="22"/>
  <c r="C10" i="22"/>
  <c r="C11" i="22"/>
  <c r="C12" i="22"/>
  <c r="C13" i="22"/>
  <c r="C14" i="22"/>
  <c r="C5" i="26"/>
  <c r="D10" i="26"/>
  <c r="L104" i="26" l="1"/>
  <c r="N104" i="26"/>
  <c r="O104" i="26"/>
  <c r="P104" i="26"/>
  <c r="Q104" i="26"/>
  <c r="M104" i="26"/>
  <c r="M11" i="25"/>
  <c r="F11" i="27"/>
  <c r="I11" i="27" s="1"/>
  <c r="L11" i="27" s="1"/>
  <c r="F9" i="27"/>
  <c r="I9" i="27" s="1"/>
  <c r="L9" i="27" s="1"/>
  <c r="F14" i="28"/>
  <c r="I14" i="28" s="1"/>
  <c r="L14" i="28" s="1"/>
  <c r="E59" i="26"/>
  <c r="E75" i="26" s="1"/>
  <c r="F49" i="26"/>
  <c r="G49" i="26" s="1"/>
  <c r="H49" i="26" s="1"/>
  <c r="I49" i="26" s="1"/>
  <c r="J49" i="26" s="1"/>
  <c r="K49" i="26" s="1"/>
  <c r="L49" i="26" s="1"/>
  <c r="M49" i="26" s="1"/>
  <c r="N49" i="26" s="1"/>
  <c r="G13" i="24"/>
  <c r="G9" i="24"/>
  <c r="G12" i="23"/>
  <c r="J12" i="23" s="1"/>
  <c r="M12" i="23" s="1"/>
  <c r="G8" i="23"/>
  <c r="J8" i="23" s="1"/>
  <c r="M8" i="23" s="1"/>
  <c r="F48" i="26"/>
  <c r="G48" i="26" s="1"/>
  <c r="H48" i="26" s="1"/>
  <c r="I48" i="26" s="1"/>
  <c r="J48" i="26" s="1"/>
  <c r="K48" i="26" s="1"/>
  <c r="L48" i="26" s="1"/>
  <c r="M48" i="26" s="1"/>
  <c r="N48" i="26" s="1"/>
  <c r="G5" i="27"/>
  <c r="J5" i="27" s="1"/>
  <c r="M5" i="27" s="1"/>
  <c r="G9" i="27"/>
  <c r="J9" i="27" s="1"/>
  <c r="M9" i="27" s="1"/>
  <c r="F6" i="28"/>
  <c r="I6" i="28" s="1"/>
  <c r="L6" i="28" s="1"/>
  <c r="F13" i="27"/>
  <c r="I13" i="27" s="1"/>
  <c r="L13" i="27" s="1"/>
  <c r="G10" i="23"/>
  <c r="J10" i="23" s="1"/>
  <c r="M10" i="23" s="1"/>
  <c r="G6" i="23"/>
  <c r="J6" i="23" s="1"/>
  <c r="M6" i="23" s="1"/>
  <c r="G5" i="24"/>
  <c r="G11" i="24"/>
  <c r="J11" i="24" s="1"/>
  <c r="M11" i="24" s="1"/>
  <c r="F5" i="27"/>
  <c r="I5" i="27" s="1"/>
  <c r="L5" i="27" s="1"/>
  <c r="F9" i="28"/>
  <c r="I9" i="28" s="1"/>
  <c r="L9" i="28" s="1"/>
  <c r="G13" i="27"/>
  <c r="J13" i="27" s="1"/>
  <c r="M13" i="27" s="1"/>
  <c r="F6" i="24"/>
  <c r="I6" i="24" s="1"/>
  <c r="L6" i="24" s="1"/>
  <c r="G11" i="22"/>
  <c r="J11" i="22" s="1"/>
  <c r="M11" i="22" s="1"/>
  <c r="G5" i="22"/>
  <c r="F10" i="23"/>
  <c r="I10" i="23" s="1"/>
  <c r="L10" i="23" s="1"/>
  <c r="F6" i="23"/>
  <c r="I6" i="23" s="1"/>
  <c r="L6" i="23" s="1"/>
  <c r="F11" i="24"/>
  <c r="I11" i="24" s="1"/>
  <c r="L11" i="24" s="1"/>
  <c r="G12" i="27"/>
  <c r="J12" i="27" s="1"/>
  <c r="M12" i="27" s="1"/>
  <c r="G11" i="28"/>
  <c r="J11" i="28" s="1"/>
  <c r="M11" i="28" s="1"/>
  <c r="F12" i="27"/>
  <c r="I12" i="27" s="1"/>
  <c r="L12" i="27" s="1"/>
  <c r="G12" i="22"/>
  <c r="J12" i="22" s="1"/>
  <c r="M12" i="22" s="1"/>
  <c r="G6" i="22"/>
  <c r="J6" i="22" s="1"/>
  <c r="M6" i="22" s="1"/>
  <c r="G6" i="27"/>
  <c r="J6" i="27" s="1"/>
  <c r="M6" i="27" s="1"/>
  <c r="G11" i="27"/>
  <c r="J11" i="27" s="1"/>
  <c r="M11" i="27" s="1"/>
  <c r="F6" i="27"/>
  <c r="I6" i="27" s="1"/>
  <c r="L6" i="27" s="1"/>
  <c r="G9" i="22"/>
  <c r="J9" i="22" s="1"/>
  <c r="M9" i="22" s="1"/>
  <c r="F11" i="22"/>
  <c r="I11" i="22" s="1"/>
  <c r="L11" i="22" s="1"/>
  <c r="F13" i="23"/>
  <c r="K13" i="23"/>
  <c r="N13" i="23" s="1"/>
  <c r="F11" i="23"/>
  <c r="I11" i="23" s="1"/>
  <c r="L11" i="23" s="1"/>
  <c r="F9" i="23"/>
  <c r="K9" i="23"/>
  <c r="N9" i="23" s="1"/>
  <c r="F12" i="24"/>
  <c r="I12" i="24" s="1"/>
  <c r="L12" i="24" s="1"/>
  <c r="F14" i="27"/>
  <c r="I14" i="27" s="1"/>
  <c r="L14" i="27" s="1"/>
  <c r="G5" i="28"/>
  <c r="J5" i="28" s="1"/>
  <c r="M5" i="28" s="1"/>
  <c r="F12" i="28"/>
  <c r="I12" i="28" s="1"/>
  <c r="L12" i="28" s="1"/>
  <c r="F6" i="22"/>
  <c r="I6" i="22" s="1"/>
  <c r="L6" i="22" s="1"/>
  <c r="G13" i="23"/>
  <c r="F12" i="23"/>
  <c r="I12" i="23" s="1"/>
  <c r="L12" i="23" s="1"/>
  <c r="G9" i="23"/>
  <c r="F8" i="23"/>
  <c r="I8" i="23" s="1"/>
  <c r="L8" i="23" s="1"/>
  <c r="F5" i="24"/>
  <c r="K5" i="24"/>
  <c r="N5" i="24" s="1"/>
  <c r="G6" i="24"/>
  <c r="J6" i="24" s="1"/>
  <c r="M6" i="24" s="1"/>
  <c r="G14" i="28"/>
  <c r="J14" i="28" s="1"/>
  <c r="M14" i="28" s="1"/>
  <c r="F9" i="22"/>
  <c r="I9" i="22" s="1"/>
  <c r="L9" i="22" s="1"/>
  <c r="F5" i="23"/>
  <c r="K5" i="23"/>
  <c r="N5" i="23" s="1"/>
  <c r="F12" i="22"/>
  <c r="I12" i="22" s="1"/>
  <c r="L12" i="22" s="1"/>
  <c r="K5" i="22"/>
  <c r="N5" i="22" s="1"/>
  <c r="F5" i="22"/>
  <c r="G5" i="23"/>
  <c r="G11" i="23"/>
  <c r="J11" i="23" s="1"/>
  <c r="M11" i="23" s="1"/>
  <c r="F13" i="24"/>
  <c r="K13" i="24"/>
  <c r="N13" i="24" s="1"/>
  <c r="G12" i="24"/>
  <c r="J12" i="24" s="1"/>
  <c r="M12" i="24" s="1"/>
  <c r="F9" i="24"/>
  <c r="K9" i="24"/>
  <c r="N9" i="24" s="1"/>
  <c r="G14" i="27"/>
  <c r="J14" i="27" s="1"/>
  <c r="M14" i="27" s="1"/>
  <c r="G12" i="28"/>
  <c r="J12" i="28" s="1"/>
  <c r="M12" i="28" s="1"/>
  <c r="K13" i="22"/>
  <c r="N13" i="22" s="1"/>
  <c r="F13" i="22"/>
  <c r="G13" i="22"/>
  <c r="K75" i="26"/>
  <c r="G75" i="26"/>
  <c r="N75" i="26"/>
  <c r="J75" i="26"/>
  <c r="F75" i="26"/>
  <c r="F13" i="28"/>
  <c r="I13" i="28" s="1"/>
  <c r="L13" i="28" s="1"/>
  <c r="G13" i="28"/>
  <c r="J13" i="28" s="1"/>
  <c r="M13" i="28" s="1"/>
  <c r="G9" i="28"/>
  <c r="J9" i="28" s="1"/>
  <c r="M9" i="28" s="1"/>
  <c r="F11" i="28"/>
  <c r="I11" i="28" s="1"/>
  <c r="L11" i="28" s="1"/>
  <c r="F5" i="28"/>
  <c r="I5" i="28" s="1"/>
  <c r="L5" i="28" s="1"/>
  <c r="G6" i="28"/>
  <c r="J6" i="28" s="1"/>
  <c r="M6" i="28" s="1"/>
  <c r="C8" i="21"/>
  <c r="F8" i="21" s="1"/>
  <c r="C7" i="21"/>
  <c r="C7" i="20"/>
  <c r="C8" i="20"/>
  <c r="C15" i="26"/>
  <c r="J5" i="24" l="1"/>
  <c r="M5" i="24" s="1"/>
  <c r="J9" i="23"/>
  <c r="M9" i="23" s="1"/>
  <c r="I5" i="22"/>
  <c r="L5" i="22" s="1"/>
  <c r="J13" i="23"/>
  <c r="M13" i="23" s="1"/>
  <c r="I13" i="22"/>
  <c r="L13" i="22" s="1"/>
  <c r="J5" i="23"/>
  <c r="M5" i="23" s="1"/>
  <c r="I9" i="23"/>
  <c r="L9" i="23" s="1"/>
  <c r="I13" i="24"/>
  <c r="L13" i="24" s="1"/>
  <c r="I9" i="24"/>
  <c r="L9" i="24" s="1"/>
  <c r="I5" i="23"/>
  <c r="L5" i="23" s="1"/>
  <c r="J9" i="24"/>
  <c r="M9" i="24" s="1"/>
  <c r="I13" i="23"/>
  <c r="L13" i="23" s="1"/>
  <c r="I5" i="24"/>
  <c r="L5" i="24" s="1"/>
  <c r="J13" i="24"/>
  <c r="M13" i="24" s="1"/>
  <c r="J5" i="22"/>
  <c r="M5" i="22" s="1"/>
  <c r="J13" i="22"/>
  <c r="M13" i="22" s="1"/>
  <c r="N7" i="21"/>
  <c r="F8" i="20"/>
  <c r="N7" i="20" s="1"/>
  <c r="E8" i="20" s="1"/>
  <c r="C8" i="10"/>
  <c r="C7" i="10"/>
  <c r="C6" i="10"/>
  <c r="C8" i="9"/>
  <c r="C7" i="9"/>
  <c r="C6" i="9"/>
  <c r="L50" i="17"/>
  <c r="H50" i="17" l="1"/>
  <c r="D59" i="17" s="1"/>
  <c r="D63" i="17" s="1"/>
  <c r="G50" i="17"/>
  <c r="D8" i="20"/>
  <c r="C53" i="10"/>
  <c r="F7" i="10"/>
  <c r="C53" i="9"/>
  <c r="F7" i="9"/>
  <c r="C54" i="10"/>
  <c r="F8" i="10"/>
  <c r="C52" i="9"/>
  <c r="F6" i="9"/>
  <c r="C54" i="9"/>
  <c r="F8" i="9"/>
  <c r="C52" i="10"/>
  <c r="F6" i="10"/>
  <c r="D8" i="21"/>
  <c r="E8" i="21"/>
  <c r="C5" i="10"/>
  <c r="C4" i="10"/>
  <c r="C5" i="9"/>
  <c r="C4" i="9"/>
  <c r="C5" i="21"/>
  <c r="C5" i="20"/>
  <c r="N7" i="37"/>
  <c r="N7" i="35"/>
  <c r="N10" i="37"/>
  <c r="N8" i="37"/>
  <c r="N8" i="35"/>
  <c r="N10" i="35"/>
  <c r="N7" i="9" l="1"/>
  <c r="F4" i="9"/>
  <c r="N5" i="10"/>
  <c r="N7" i="10"/>
  <c r="N6" i="9"/>
  <c r="N6" i="10"/>
  <c r="F4" i="10"/>
  <c r="N5" i="9"/>
  <c r="C44" i="20"/>
  <c r="D55" i="20" s="1"/>
  <c r="C37" i="20"/>
  <c r="C30" i="20"/>
  <c r="C23" i="20"/>
  <c r="C50" i="10"/>
  <c r="C43" i="10"/>
  <c r="C29" i="10"/>
  <c r="C36" i="10"/>
  <c r="C22" i="10"/>
  <c r="C44" i="21"/>
  <c r="D55" i="21" s="1"/>
  <c r="C37" i="21"/>
  <c r="C30" i="21"/>
  <c r="C23" i="21"/>
  <c r="C51" i="10"/>
  <c r="C37" i="10"/>
  <c r="C23" i="10"/>
  <c r="C44" i="10"/>
  <c r="C30" i="10"/>
  <c r="C43" i="9"/>
  <c r="C29" i="9"/>
  <c r="C36" i="9"/>
  <c r="C22" i="9"/>
  <c r="C37" i="9"/>
  <c r="C23" i="9"/>
  <c r="C44" i="9"/>
  <c r="C30" i="9"/>
  <c r="C25" i="21"/>
  <c r="K25" i="21" s="1"/>
  <c r="E25" i="21" s="1"/>
  <c r="F52" i="21" s="1"/>
  <c r="F57" i="21" s="1"/>
  <c r="F7" i="21" s="1"/>
  <c r="N6" i="21" s="1"/>
  <c r="C25" i="20"/>
  <c r="N14" i="37"/>
  <c r="N14" i="35"/>
  <c r="D52" i="20" l="1"/>
  <c r="D57" i="20" s="1"/>
  <c r="F5" i="20" s="1"/>
  <c r="K23" i="20"/>
  <c r="E23" i="20" s="1"/>
  <c r="D6" i="10"/>
  <c r="E6" i="10"/>
  <c r="E7" i="10"/>
  <c r="D7" i="10"/>
  <c r="D6" i="9"/>
  <c r="E6" i="9"/>
  <c r="E7" i="9"/>
  <c r="D7" i="9"/>
  <c r="N3" i="9"/>
  <c r="N3" i="10"/>
  <c r="E8" i="10"/>
  <c r="D8" i="10"/>
  <c r="E8" i="9"/>
  <c r="D8" i="9"/>
  <c r="E7" i="21"/>
  <c r="D7" i="21"/>
  <c r="K23" i="21"/>
  <c r="E23" i="21" s="1"/>
  <c r="D52" i="21"/>
  <c r="D57" i="21" s="1"/>
  <c r="F5" i="21" s="1"/>
  <c r="K25" i="20"/>
  <c r="E25" i="20"/>
  <c r="F52" i="20" s="1"/>
  <c r="F57" i="20" s="1"/>
  <c r="F7" i="20" s="1"/>
  <c r="N6" i="20" s="1"/>
  <c r="C8" i="11"/>
  <c r="C8" i="15"/>
  <c r="C7" i="15"/>
  <c r="C6" i="15"/>
  <c r="C8" i="14"/>
  <c r="F8" i="14" s="1"/>
  <c r="C7" i="14"/>
  <c r="F7" i="14" s="1"/>
  <c r="C6" i="14"/>
  <c r="F6" i="14" s="1"/>
  <c r="C8" i="13"/>
  <c r="C7" i="13"/>
  <c r="C6" i="13"/>
  <c r="C5" i="13"/>
  <c r="C4" i="13"/>
  <c r="C8" i="12"/>
  <c r="D34" i="12" s="1"/>
  <c r="C7" i="12"/>
  <c r="C6" i="12"/>
  <c r="D6" i="12" s="1"/>
  <c r="C5" i="12"/>
  <c r="D31" i="12" s="1"/>
  <c r="C4" i="12"/>
  <c r="C7" i="11"/>
  <c r="C6" i="11"/>
  <c r="C5" i="11"/>
  <c r="C4" i="11"/>
  <c r="C50" i="9"/>
  <c r="C8" i="8"/>
  <c r="C7" i="8"/>
  <c r="C6" i="8"/>
  <c r="C5" i="8"/>
  <c r="C4" i="16"/>
  <c r="C8" i="16"/>
  <c r="C7" i="16"/>
  <c r="C52" i="16"/>
  <c r="C8" i="17"/>
  <c r="C7" i="17"/>
  <c r="C6" i="17"/>
  <c r="C8" i="6"/>
  <c r="C7" i="6"/>
  <c r="D7" i="6" s="1"/>
  <c r="C6" i="6"/>
  <c r="D6" i="6" s="1"/>
  <c r="C8" i="5"/>
  <c r="C7" i="5"/>
  <c r="C25" i="5" s="1"/>
  <c r="C6" i="5"/>
  <c r="D6" i="5" s="1"/>
  <c r="C5" i="5"/>
  <c r="F5" i="5" s="1"/>
  <c r="C4" i="5"/>
  <c r="C8" i="1"/>
  <c r="C7" i="1"/>
  <c r="C6" i="1"/>
  <c r="C5" i="1"/>
  <c r="D5" i="1" s="1"/>
  <c r="C4" i="1"/>
  <c r="D4" i="1" s="1"/>
  <c r="C5" i="15"/>
  <c r="F5" i="15" s="1"/>
  <c r="C4" i="15"/>
  <c r="C5" i="14"/>
  <c r="C4" i="14"/>
  <c r="C5" i="17"/>
  <c r="C4" i="8"/>
  <c r="C4" i="17"/>
  <c r="C5" i="6"/>
  <c r="D5" i="6" s="1"/>
  <c r="E5" i="6" s="1"/>
  <c r="C4" i="6"/>
  <c r="H7" i="23"/>
  <c r="H7" i="35"/>
  <c r="N15" i="30"/>
  <c r="K10" i="35"/>
  <c r="N8" i="40"/>
  <c r="H10" i="35"/>
  <c r="N15" i="23"/>
  <c r="H15" i="22"/>
  <c r="K8" i="37"/>
  <c r="N15" i="27"/>
  <c r="H8" i="35"/>
  <c r="K15" i="25"/>
  <c r="K7" i="35"/>
  <c r="H14" i="22"/>
  <c r="N15" i="28"/>
  <c r="H7" i="38"/>
  <c r="H15" i="25"/>
  <c r="K7" i="37"/>
  <c r="H10" i="37"/>
  <c r="H7" i="37"/>
  <c r="H7" i="25"/>
  <c r="H8" i="25"/>
  <c r="N7" i="40"/>
  <c r="K8" i="35"/>
  <c r="K10" i="37"/>
  <c r="H8" i="37"/>
  <c r="N10" i="40"/>
  <c r="M15" i="30" l="1"/>
  <c r="L15" i="30"/>
  <c r="F4" i="15"/>
  <c r="C45" i="15"/>
  <c r="F6" i="15"/>
  <c r="C47" i="15"/>
  <c r="F8" i="15"/>
  <c r="E7" i="20"/>
  <c r="D7" i="20"/>
  <c r="C46" i="15"/>
  <c r="F7" i="15"/>
  <c r="N4" i="20"/>
  <c r="G7" i="38"/>
  <c r="F7" i="38"/>
  <c r="F4" i="14"/>
  <c r="D33" i="12"/>
  <c r="D7" i="12"/>
  <c r="C45" i="13"/>
  <c r="N5" i="13"/>
  <c r="D6" i="13" s="1"/>
  <c r="E6" i="13"/>
  <c r="F4" i="13"/>
  <c r="C47" i="13"/>
  <c r="N7" i="13"/>
  <c r="D8" i="13" s="1"/>
  <c r="E6" i="12"/>
  <c r="F5" i="14"/>
  <c r="F4" i="12"/>
  <c r="C46" i="13"/>
  <c r="F7" i="13"/>
  <c r="F10" i="37"/>
  <c r="I10" i="37" s="1"/>
  <c r="L10" i="37" s="1"/>
  <c r="G10" i="37"/>
  <c r="J10" i="37" s="1"/>
  <c r="M10" i="37" s="1"/>
  <c r="G8" i="35"/>
  <c r="J8" i="35" s="1"/>
  <c r="M8" i="35" s="1"/>
  <c r="F8" i="35"/>
  <c r="I8" i="35" s="1"/>
  <c r="L8" i="35" s="1"/>
  <c r="G8" i="37"/>
  <c r="J8" i="37" s="1"/>
  <c r="M8" i="37" s="1"/>
  <c r="F8" i="37"/>
  <c r="I8" i="37" s="1"/>
  <c r="L8" i="37" s="1"/>
  <c r="G10" i="35"/>
  <c r="J10" i="35" s="1"/>
  <c r="M10" i="35" s="1"/>
  <c r="F10" i="35"/>
  <c r="G7" i="35"/>
  <c r="J7" i="35" s="1"/>
  <c r="M7" i="35" s="1"/>
  <c r="F7" i="35"/>
  <c r="I7" i="35" s="1"/>
  <c r="L7" i="35" s="1"/>
  <c r="G7" i="37"/>
  <c r="J7" i="37" s="1"/>
  <c r="M7" i="37" s="1"/>
  <c r="F7" i="37"/>
  <c r="I7" i="37" s="1"/>
  <c r="L7" i="37" s="1"/>
  <c r="C53" i="11"/>
  <c r="F7" i="11"/>
  <c r="E4" i="10"/>
  <c r="D4" i="10"/>
  <c r="C52" i="11"/>
  <c r="F6" i="11"/>
  <c r="F4" i="11"/>
  <c r="C54" i="11"/>
  <c r="F8" i="11"/>
  <c r="E4" i="9"/>
  <c r="D4" i="9"/>
  <c r="F4" i="8"/>
  <c r="C53" i="8"/>
  <c r="F7" i="8"/>
  <c r="C52" i="8"/>
  <c r="F6" i="8"/>
  <c r="C54" i="8"/>
  <c r="F8" i="8"/>
  <c r="G15" i="22"/>
  <c r="F15" i="22"/>
  <c r="G14" i="22"/>
  <c r="F14" i="22"/>
  <c r="E5" i="1"/>
  <c r="E4" i="1"/>
  <c r="F7" i="23"/>
  <c r="G7" i="23"/>
  <c r="E6" i="5"/>
  <c r="N4" i="21"/>
  <c r="C46" i="14"/>
  <c r="N6" i="14"/>
  <c r="C47" i="14"/>
  <c r="N7" i="14"/>
  <c r="C45" i="14"/>
  <c r="N5" i="14"/>
  <c r="C53" i="17"/>
  <c r="F7" i="17"/>
  <c r="C54" i="16"/>
  <c r="F8" i="16"/>
  <c r="C54" i="17"/>
  <c r="F8" i="17"/>
  <c r="F4" i="16"/>
  <c r="F4" i="17"/>
  <c r="C52" i="17"/>
  <c r="F6" i="17"/>
  <c r="C53" i="16"/>
  <c r="F7" i="16"/>
  <c r="D4" i="5"/>
  <c r="D5" i="5"/>
  <c r="E5" i="5"/>
  <c r="G7" i="25"/>
  <c r="F7" i="25"/>
  <c r="G8" i="25"/>
  <c r="F8" i="25"/>
  <c r="E6" i="6"/>
  <c r="E7" i="6"/>
  <c r="F5" i="6"/>
  <c r="F15" i="25"/>
  <c r="I15" i="25" s="1"/>
  <c r="G15" i="25"/>
  <c r="J15" i="25" s="1"/>
  <c r="D4" i="6"/>
  <c r="E4" i="6" s="1"/>
  <c r="F4" i="6" s="1"/>
  <c r="C43" i="14"/>
  <c r="K43" i="14" s="1"/>
  <c r="C29" i="14"/>
  <c r="C36" i="14"/>
  <c r="C22" i="14"/>
  <c r="C51" i="16"/>
  <c r="C37" i="16"/>
  <c r="C23" i="16"/>
  <c r="C44" i="16"/>
  <c r="C30" i="16"/>
  <c r="C23" i="13"/>
  <c r="C30" i="13"/>
  <c r="C50" i="17"/>
  <c r="C43" i="17"/>
  <c r="C29" i="17"/>
  <c r="C36" i="17"/>
  <c r="C22" i="17"/>
  <c r="C29" i="5"/>
  <c r="C22" i="5"/>
  <c r="C51" i="8"/>
  <c r="C37" i="8"/>
  <c r="C23" i="8"/>
  <c r="C44" i="8"/>
  <c r="C30" i="8"/>
  <c r="C22" i="1"/>
  <c r="C44" i="14"/>
  <c r="C30" i="14"/>
  <c r="C37" i="14"/>
  <c r="C23" i="14"/>
  <c r="G23" i="14" s="1"/>
  <c r="C23" i="1"/>
  <c r="C50" i="8"/>
  <c r="C43" i="8"/>
  <c r="C29" i="8"/>
  <c r="C36" i="8"/>
  <c r="C22" i="8"/>
  <c r="C43" i="15"/>
  <c r="K43" i="15" s="1"/>
  <c r="C36" i="15"/>
  <c r="C22" i="15"/>
  <c r="C29" i="15"/>
  <c r="C23" i="5"/>
  <c r="C30" i="5"/>
  <c r="C50" i="11"/>
  <c r="C43" i="11"/>
  <c r="C29" i="11"/>
  <c r="C36" i="11"/>
  <c r="C22" i="11"/>
  <c r="C51" i="17"/>
  <c r="C37" i="17"/>
  <c r="C23" i="17"/>
  <c r="C44" i="17"/>
  <c r="C30" i="17"/>
  <c r="C44" i="15"/>
  <c r="C37" i="15"/>
  <c r="C23" i="15"/>
  <c r="G23" i="15" s="1"/>
  <c r="C30" i="15"/>
  <c r="C50" i="16"/>
  <c r="C43" i="16"/>
  <c r="K43" i="16" s="1"/>
  <c r="C29" i="16"/>
  <c r="C36" i="16"/>
  <c r="C22" i="16"/>
  <c r="C51" i="11"/>
  <c r="C37" i="11"/>
  <c r="C23" i="11"/>
  <c r="C44" i="11"/>
  <c r="C30" i="11"/>
  <c r="C22" i="13"/>
  <c r="C29" i="13"/>
  <c r="C51" i="9"/>
  <c r="C43" i="13"/>
  <c r="C44" i="13"/>
  <c r="C40" i="15"/>
  <c r="C39" i="15"/>
  <c r="C38" i="15"/>
  <c r="C33" i="15"/>
  <c r="C32" i="15"/>
  <c r="C31" i="15"/>
  <c r="C26" i="15"/>
  <c r="G26" i="15" s="1"/>
  <c r="C25" i="15"/>
  <c r="G25" i="15" s="1"/>
  <c r="C24" i="15"/>
  <c r="G24" i="15" s="1"/>
  <c r="C40" i="14"/>
  <c r="C39" i="14"/>
  <c r="C38" i="14"/>
  <c r="C33" i="14"/>
  <c r="C32" i="14"/>
  <c r="C31" i="14"/>
  <c r="C26" i="14"/>
  <c r="G26" i="14" s="1"/>
  <c r="C25" i="14"/>
  <c r="G25" i="14" s="1"/>
  <c r="C24" i="14"/>
  <c r="G24" i="14" s="1"/>
  <c r="N14" i="24"/>
  <c r="N14" i="40"/>
  <c r="N14" i="36"/>
  <c r="N7" i="34"/>
  <c r="N15" i="40"/>
  <c r="H14" i="37"/>
  <c r="H14" i="35"/>
  <c r="K14" i="37"/>
  <c r="N7" i="36"/>
  <c r="K15" i="22"/>
  <c r="K15" i="23"/>
  <c r="N15" i="25"/>
  <c r="H7" i="39"/>
  <c r="N10" i="36"/>
  <c r="N8" i="33"/>
  <c r="N14" i="34"/>
  <c r="N8" i="24"/>
  <c r="K7" i="25"/>
  <c r="H15" i="23"/>
  <c r="N8" i="34"/>
  <c r="N14" i="38"/>
  <c r="N10" i="24"/>
  <c r="K14" i="35"/>
  <c r="K14" i="22"/>
  <c r="K8" i="25"/>
  <c r="N7" i="24"/>
  <c r="H14" i="25"/>
  <c r="N10" i="34"/>
  <c r="K7" i="23"/>
  <c r="N7" i="30"/>
  <c r="N10" i="33"/>
  <c r="N8" i="36"/>
  <c r="H10" i="39"/>
  <c r="H14" i="23"/>
  <c r="N14" i="30"/>
  <c r="N14" i="25"/>
  <c r="N10" i="30"/>
  <c r="N8" i="39"/>
  <c r="H8" i="38"/>
  <c r="N8" i="30"/>
  <c r="N14" i="33"/>
  <c r="K7" i="38"/>
  <c r="K7" i="39"/>
  <c r="N14" i="39"/>
  <c r="E8" i="13" l="1"/>
  <c r="E5" i="20"/>
  <c r="D5" i="20"/>
  <c r="N7" i="15"/>
  <c r="N3" i="15"/>
  <c r="N6" i="15"/>
  <c r="N5" i="15"/>
  <c r="G10" i="39"/>
  <c r="F10" i="39"/>
  <c r="G7" i="39"/>
  <c r="J7" i="39" s="1"/>
  <c r="M7" i="39" s="1"/>
  <c r="F7" i="39"/>
  <c r="I7" i="39" s="1"/>
  <c r="L7" i="39" s="1"/>
  <c r="F8" i="38"/>
  <c r="G8" i="38"/>
  <c r="N6" i="13"/>
  <c r="N3" i="13"/>
  <c r="N3" i="14"/>
  <c r="N3" i="12"/>
  <c r="F6" i="12"/>
  <c r="E7" i="12"/>
  <c r="I7" i="38"/>
  <c r="N4" i="14"/>
  <c r="J7" i="38"/>
  <c r="F14" i="37"/>
  <c r="I14" i="37" s="1"/>
  <c r="L14" i="37" s="1"/>
  <c r="G14" i="37"/>
  <c r="J14" i="37" s="1"/>
  <c r="M14" i="37" s="1"/>
  <c r="G14" i="35"/>
  <c r="J14" i="35" s="1"/>
  <c r="M14" i="35" s="1"/>
  <c r="F14" i="35"/>
  <c r="I14" i="35" s="1"/>
  <c r="L14" i="35" s="1"/>
  <c r="N3" i="11"/>
  <c r="N6" i="11"/>
  <c r="N5" i="11"/>
  <c r="N7" i="11"/>
  <c r="N7" i="8"/>
  <c r="N5" i="8"/>
  <c r="N6" i="8"/>
  <c r="N3" i="8"/>
  <c r="I14" i="22"/>
  <c r="J14" i="22"/>
  <c r="F4" i="1"/>
  <c r="I15" i="22"/>
  <c r="F5" i="1"/>
  <c r="J15" i="22"/>
  <c r="F6" i="5"/>
  <c r="J7" i="23"/>
  <c r="I7" i="23"/>
  <c r="E5" i="21"/>
  <c r="D5" i="21"/>
  <c r="D8" i="14"/>
  <c r="E8" i="14"/>
  <c r="E6" i="14"/>
  <c r="D6" i="14"/>
  <c r="E7" i="14"/>
  <c r="D7" i="14"/>
  <c r="N6" i="17"/>
  <c r="N3" i="17"/>
  <c r="N3" i="16"/>
  <c r="N7" i="16"/>
  <c r="N6" i="16"/>
  <c r="N5" i="17"/>
  <c r="N7" i="17"/>
  <c r="G14" i="23"/>
  <c r="F14" i="23"/>
  <c r="G15" i="23"/>
  <c r="J15" i="23" s="1"/>
  <c r="M15" i="23" s="1"/>
  <c r="F15" i="23"/>
  <c r="I15" i="23" s="1"/>
  <c r="L15" i="23" s="1"/>
  <c r="I8" i="25"/>
  <c r="J8" i="25"/>
  <c r="F7" i="6"/>
  <c r="I7" i="25"/>
  <c r="F6" i="6"/>
  <c r="J7" i="25"/>
  <c r="L15" i="25"/>
  <c r="M15" i="25"/>
  <c r="G14" i="25"/>
  <c r="F14" i="25"/>
  <c r="C33" i="13"/>
  <c r="C32" i="13"/>
  <c r="C31" i="13"/>
  <c r="C26" i="13"/>
  <c r="C25" i="13"/>
  <c r="C24" i="13"/>
  <c r="H7" i="40"/>
  <c r="K15" i="28"/>
  <c r="K10" i="39"/>
  <c r="N8" i="25"/>
  <c r="N15" i="22"/>
  <c r="K8" i="38"/>
  <c r="K7" i="40"/>
  <c r="K10" i="40"/>
  <c r="H15" i="27"/>
  <c r="H10" i="40"/>
  <c r="H15" i="28"/>
  <c r="N14" i="22"/>
  <c r="N7" i="23"/>
  <c r="N7" i="25"/>
  <c r="K14" i="25"/>
  <c r="H8" i="40"/>
  <c r="K8" i="40"/>
  <c r="K15" i="27"/>
  <c r="N7" i="38"/>
  <c r="J10" i="39" l="1"/>
  <c r="M10" i="39" s="1"/>
  <c r="I10" i="39"/>
  <c r="L10" i="39" s="1"/>
  <c r="F15" i="27"/>
  <c r="I15" i="27" s="1"/>
  <c r="L15" i="27" s="1"/>
  <c r="G15" i="27"/>
  <c r="J15" i="27" s="1"/>
  <c r="M15" i="27" s="1"/>
  <c r="E4" i="15"/>
  <c r="D4" i="15"/>
  <c r="D8" i="15"/>
  <c r="E8" i="15"/>
  <c r="E6" i="15"/>
  <c r="D6" i="15"/>
  <c r="D7" i="15"/>
  <c r="E7" i="15"/>
  <c r="F7" i="12"/>
  <c r="D4" i="13"/>
  <c r="E4" i="13"/>
  <c r="M7" i="38"/>
  <c r="E7" i="13"/>
  <c r="D7" i="13"/>
  <c r="E5" i="14"/>
  <c r="D5" i="14"/>
  <c r="D4" i="12"/>
  <c r="E4" i="12"/>
  <c r="J8" i="38"/>
  <c r="L7" i="38"/>
  <c r="E4" i="14"/>
  <c r="D4" i="14"/>
  <c r="I8" i="38"/>
  <c r="E8" i="11"/>
  <c r="D8" i="11"/>
  <c r="D6" i="11"/>
  <c r="E6" i="11"/>
  <c r="D7" i="11"/>
  <c r="E7" i="11"/>
  <c r="D4" i="11"/>
  <c r="E4" i="11"/>
  <c r="D4" i="8"/>
  <c r="E4" i="8"/>
  <c r="E7" i="8"/>
  <c r="D7" i="8"/>
  <c r="D6" i="8"/>
  <c r="E6" i="8"/>
  <c r="E8" i="8"/>
  <c r="D8" i="8"/>
  <c r="L15" i="22"/>
  <c r="M15" i="22"/>
  <c r="M14" i="22"/>
  <c r="L14" i="22"/>
  <c r="M7" i="23"/>
  <c r="L7" i="23"/>
  <c r="G15" i="28"/>
  <c r="J15" i="28" s="1"/>
  <c r="M15" i="28" s="1"/>
  <c r="F15" i="28"/>
  <c r="I15" i="28" s="1"/>
  <c r="L15" i="28" s="1"/>
  <c r="F7" i="40"/>
  <c r="I7" i="40" s="1"/>
  <c r="L7" i="40" s="1"/>
  <c r="G7" i="40"/>
  <c r="J7" i="40" s="1"/>
  <c r="M7" i="40" s="1"/>
  <c r="F8" i="40"/>
  <c r="I8" i="40" s="1"/>
  <c r="L8" i="40" s="1"/>
  <c r="G8" i="40"/>
  <c r="J8" i="40" s="1"/>
  <c r="M8" i="40" s="1"/>
  <c r="F10" i="40"/>
  <c r="I10" i="40" s="1"/>
  <c r="L10" i="40" s="1"/>
  <c r="G10" i="40"/>
  <c r="J10" i="40" s="1"/>
  <c r="M10" i="40" s="1"/>
  <c r="E6" i="17"/>
  <c r="D6" i="17"/>
  <c r="E4" i="17"/>
  <c r="D4" i="17"/>
  <c r="E8" i="16"/>
  <c r="D8" i="16"/>
  <c r="D8" i="17"/>
  <c r="E8" i="17"/>
  <c r="D4" i="16"/>
  <c r="E4" i="16"/>
  <c r="E7" i="16"/>
  <c r="D7" i="16"/>
  <c r="E7" i="17"/>
  <c r="D7" i="17"/>
  <c r="L8" i="25"/>
  <c r="L7" i="25"/>
  <c r="M7" i="25"/>
  <c r="M8" i="25"/>
  <c r="I14" i="25"/>
  <c r="L14" i="25" s="1"/>
  <c r="J14" i="25"/>
  <c r="M14" i="25" s="1"/>
  <c r="C47" i="11"/>
  <c r="C46" i="11"/>
  <c r="C45" i="11"/>
  <c r="C40" i="11"/>
  <c r="C39" i="11"/>
  <c r="C38" i="11"/>
  <c r="C33" i="11"/>
  <c r="C32" i="11"/>
  <c r="C31" i="11"/>
  <c r="C26" i="11"/>
  <c r="C25" i="11"/>
  <c r="C24" i="11"/>
  <c r="C47" i="9"/>
  <c r="C46" i="9"/>
  <c r="C45" i="9"/>
  <c r="C40" i="9"/>
  <c r="C39" i="9"/>
  <c r="C38" i="9"/>
  <c r="C33" i="9"/>
  <c r="C32" i="9"/>
  <c r="C31" i="9"/>
  <c r="C26" i="9"/>
  <c r="C25" i="9"/>
  <c r="C24" i="9"/>
  <c r="C47" i="10"/>
  <c r="C46" i="10"/>
  <c r="C45" i="10"/>
  <c r="C40" i="10"/>
  <c r="C39" i="10"/>
  <c r="C38" i="10"/>
  <c r="C33" i="10"/>
  <c r="C32" i="10"/>
  <c r="C31" i="10"/>
  <c r="C26" i="10"/>
  <c r="C25" i="10"/>
  <c r="C24" i="10"/>
  <c r="C45" i="8"/>
  <c r="C46" i="8"/>
  <c r="C47" i="8"/>
  <c r="C47" i="16"/>
  <c r="E47" i="16" s="1"/>
  <c r="C46" i="16"/>
  <c r="E46" i="16" s="1"/>
  <c r="C45" i="16"/>
  <c r="C39" i="16"/>
  <c r="C38" i="16"/>
  <c r="C33" i="16"/>
  <c r="C32" i="16"/>
  <c r="C31" i="16"/>
  <c r="C26" i="16"/>
  <c r="C25" i="16"/>
  <c r="C24" i="16"/>
  <c r="L46" i="17"/>
  <c r="G46" i="17" s="1"/>
  <c r="L47" i="17"/>
  <c r="G47" i="17" s="1"/>
  <c r="L45" i="17"/>
  <c r="G45" i="17" s="1"/>
  <c r="C45" i="17"/>
  <c r="C46" i="17"/>
  <c r="C47" i="17"/>
  <c r="K43" i="17"/>
  <c r="L39" i="17"/>
  <c r="G39" i="17" s="1"/>
  <c r="L40" i="17"/>
  <c r="G40" i="17" s="1"/>
  <c r="G38" i="17"/>
  <c r="C39" i="17"/>
  <c r="C38" i="17"/>
  <c r="C33" i="17"/>
  <c r="C32" i="17"/>
  <c r="C31" i="17"/>
  <c r="C26" i="17"/>
  <c r="C25" i="17"/>
  <c r="C24" i="17"/>
  <c r="H33" i="5"/>
  <c r="C33" i="5"/>
  <c r="C31" i="5"/>
  <c r="C32" i="5"/>
  <c r="C24" i="5"/>
  <c r="C26" i="5"/>
  <c r="H10" i="33"/>
  <c r="K8" i="30"/>
  <c r="K8" i="36"/>
  <c r="N8" i="38"/>
  <c r="H14" i="40"/>
  <c r="H14" i="36"/>
  <c r="H10" i="30"/>
  <c r="H7" i="24"/>
  <c r="K14" i="38"/>
  <c r="H10" i="36"/>
  <c r="K8" i="34"/>
  <c r="K14" i="34"/>
  <c r="H8" i="30"/>
  <c r="K8" i="39"/>
  <c r="K10" i="24"/>
  <c r="H7" i="34"/>
  <c r="H14" i="30"/>
  <c r="K14" i="39"/>
  <c r="K14" i="40"/>
  <c r="H10" i="34"/>
  <c r="H8" i="36"/>
  <c r="K7" i="30"/>
  <c r="H10" i="24"/>
  <c r="K10" i="33"/>
  <c r="H15" i="40"/>
  <c r="H8" i="34"/>
  <c r="H14" i="24"/>
  <c r="K15" i="40"/>
  <c r="K14" i="36"/>
  <c r="K8" i="24"/>
  <c r="K7" i="34"/>
  <c r="H7" i="36"/>
  <c r="K14" i="24"/>
  <c r="K10" i="34"/>
  <c r="K10" i="36"/>
  <c r="H14" i="39"/>
  <c r="K10" i="30"/>
  <c r="H7" i="30"/>
  <c r="H8" i="24"/>
  <c r="K8" i="33"/>
  <c r="H8" i="39"/>
  <c r="K7" i="24"/>
  <c r="H14" i="38"/>
  <c r="K14" i="30"/>
  <c r="K14" i="33"/>
  <c r="H14" i="33"/>
  <c r="H8" i="33"/>
  <c r="K7" i="36"/>
  <c r="G7" i="30" l="1"/>
  <c r="J7" i="30" s="1"/>
  <c r="M7" i="30" s="1"/>
  <c r="F7" i="30"/>
  <c r="I7" i="30" s="1"/>
  <c r="L7" i="30" s="1"/>
  <c r="G14" i="30"/>
  <c r="J14" i="30" s="1"/>
  <c r="M14" i="30" s="1"/>
  <c r="F14" i="30"/>
  <c r="I14" i="30" s="1"/>
  <c r="L14" i="30" s="1"/>
  <c r="G8" i="30"/>
  <c r="J8" i="30" s="1"/>
  <c r="M8" i="30" s="1"/>
  <c r="F8" i="30"/>
  <c r="I8" i="30" s="1"/>
  <c r="L8" i="30" s="1"/>
  <c r="G10" i="30"/>
  <c r="J10" i="30" s="1"/>
  <c r="M10" i="30" s="1"/>
  <c r="F10" i="30"/>
  <c r="I10" i="30" s="1"/>
  <c r="L10" i="30" s="1"/>
  <c r="G15" i="40"/>
  <c r="J15" i="40" s="1"/>
  <c r="M15" i="40" s="1"/>
  <c r="F15" i="40"/>
  <c r="I15" i="40" s="1"/>
  <c r="L15" i="40" s="1"/>
  <c r="F14" i="40"/>
  <c r="I14" i="40" s="1"/>
  <c r="L14" i="40" s="1"/>
  <c r="G14" i="40"/>
  <c r="J14" i="40" s="1"/>
  <c r="M14" i="40" s="1"/>
  <c r="F8" i="39"/>
  <c r="I8" i="39" s="1"/>
  <c r="L8" i="39" s="1"/>
  <c r="G8" i="39"/>
  <c r="J8" i="39" s="1"/>
  <c r="M8" i="39" s="1"/>
  <c r="G14" i="39"/>
  <c r="J14" i="39" s="1"/>
  <c r="M14" i="39" s="1"/>
  <c r="F14" i="39"/>
  <c r="I14" i="39" s="1"/>
  <c r="L14" i="39" s="1"/>
  <c r="F14" i="38"/>
  <c r="I14" i="38" s="1"/>
  <c r="L14" i="38" s="1"/>
  <c r="G14" i="38"/>
  <c r="J14" i="38" s="1"/>
  <c r="M14" i="38" s="1"/>
  <c r="M8" i="38"/>
  <c r="L8" i="38"/>
  <c r="F14" i="36"/>
  <c r="I14" i="36" s="1"/>
  <c r="L14" i="36" s="1"/>
  <c r="G14" i="36"/>
  <c r="J14" i="36" s="1"/>
  <c r="M14" i="36" s="1"/>
  <c r="F7" i="36"/>
  <c r="I7" i="36" s="1"/>
  <c r="L7" i="36" s="1"/>
  <c r="G7" i="36"/>
  <c r="J7" i="36" s="1"/>
  <c r="M7" i="36" s="1"/>
  <c r="G10" i="36"/>
  <c r="J10" i="36" s="1"/>
  <c r="M10" i="36" s="1"/>
  <c r="F8" i="36"/>
  <c r="I8" i="36" s="1"/>
  <c r="L8" i="36" s="1"/>
  <c r="G8" i="36"/>
  <c r="J8" i="36" s="1"/>
  <c r="M8" i="36" s="1"/>
  <c r="G8" i="34"/>
  <c r="J8" i="34" s="1"/>
  <c r="M8" i="34" s="1"/>
  <c r="F8" i="34"/>
  <c r="I8" i="34" s="1"/>
  <c r="L8" i="34" s="1"/>
  <c r="G10" i="34"/>
  <c r="J10" i="34" s="1"/>
  <c r="M10" i="34" s="1"/>
  <c r="G7" i="34"/>
  <c r="J7" i="34" s="1"/>
  <c r="M7" i="34" s="1"/>
  <c r="F7" i="34"/>
  <c r="I7" i="34" s="1"/>
  <c r="L7" i="34" s="1"/>
  <c r="G8" i="33"/>
  <c r="J8" i="33" s="1"/>
  <c r="M8" i="33" s="1"/>
  <c r="F8" i="33"/>
  <c r="I8" i="33" s="1"/>
  <c r="L8" i="33" s="1"/>
  <c r="F14" i="24"/>
  <c r="I14" i="24" s="1"/>
  <c r="L14" i="24" s="1"/>
  <c r="G14" i="24"/>
  <c r="J14" i="24" s="1"/>
  <c r="M14" i="24" s="1"/>
  <c r="G10" i="24"/>
  <c r="J10" i="24" s="1"/>
  <c r="M10" i="24" s="1"/>
  <c r="F10" i="24"/>
  <c r="I10" i="24" s="1"/>
  <c r="L10" i="24" s="1"/>
  <c r="F8" i="24"/>
  <c r="I8" i="24" s="1"/>
  <c r="L8" i="24" s="1"/>
  <c r="G8" i="24"/>
  <c r="J8" i="24" s="1"/>
  <c r="M8" i="24" s="1"/>
  <c r="G10" i="33"/>
  <c r="J10" i="33" s="1"/>
  <c r="M10" i="33" s="1"/>
  <c r="F10" i="33"/>
  <c r="I10" i="33" s="1"/>
  <c r="L10" i="33" s="1"/>
  <c r="F7" i="24"/>
  <c r="I7" i="24" s="1"/>
  <c r="L7" i="24" s="1"/>
  <c r="G7" i="24"/>
  <c r="J7" i="24" s="1"/>
  <c r="M7" i="24" s="1"/>
  <c r="G14" i="33"/>
  <c r="J14" i="33" s="1"/>
  <c r="M14" i="33" s="1"/>
  <c r="F14" i="33"/>
  <c r="I14" i="33" s="1"/>
  <c r="L14" i="33" s="1"/>
  <c r="E46" i="17"/>
  <c r="E47" i="17"/>
  <c r="C15" i="42" l="1"/>
  <c r="C15" i="44"/>
  <c r="G29" i="5" l="1"/>
  <c r="E4" i="5" s="1"/>
  <c r="H29" i="5"/>
  <c r="F4" i="5" s="1"/>
  <c r="H32" i="5"/>
  <c r="K40" i="1"/>
  <c r="H40" i="1" s="1"/>
  <c r="C39" i="1"/>
  <c r="K37" i="1"/>
  <c r="K36" i="1"/>
  <c r="L33" i="1"/>
  <c r="G33" i="1" s="1"/>
  <c r="C33" i="1"/>
  <c r="L32" i="1"/>
  <c r="H32" i="1" s="1"/>
  <c r="C32" i="1"/>
  <c r="C31" i="1"/>
  <c r="L29" i="1"/>
  <c r="K29" i="1"/>
  <c r="E29" i="1" s="1"/>
  <c r="C26" i="1"/>
  <c r="C24" i="1"/>
  <c r="H29" i="1" l="1"/>
  <c r="G29" i="1"/>
  <c r="K32" i="1"/>
  <c r="E32" i="1" s="1"/>
  <c r="K33" i="1"/>
  <c r="E33" i="1" s="1"/>
  <c r="G60" i="26"/>
  <c r="G40" i="1"/>
  <c r="F40" i="1"/>
  <c r="E40" i="1"/>
  <c r="K38" i="1"/>
  <c r="G38" i="1" s="1"/>
  <c r="K39" i="1"/>
  <c r="F39" i="1" s="1"/>
  <c r="H33" i="1"/>
  <c r="G32" i="1"/>
  <c r="C39" i="8"/>
  <c r="C40" i="8"/>
  <c r="C38" i="8"/>
  <c r="C32" i="8"/>
  <c r="C33" i="8"/>
  <c r="C31" i="8"/>
  <c r="C24" i="8"/>
  <c r="C25" i="8"/>
  <c r="C26" i="8"/>
  <c r="K14" i="23"/>
  <c r="E27" i="26"/>
  <c r="J11" i="26"/>
  <c r="I27" i="26"/>
  <c r="C28" i="26"/>
  <c r="F11" i="26"/>
  <c r="L6" i="26"/>
  <c r="M5" i="26"/>
  <c r="C11" i="26"/>
  <c r="G12" i="26"/>
  <c r="H29" i="26"/>
  <c r="L12" i="26"/>
  <c r="K8" i="22"/>
  <c r="G20" i="26"/>
  <c r="O23" i="26"/>
  <c r="E15" i="26"/>
  <c r="C29" i="26"/>
  <c r="G15" i="26"/>
  <c r="H5" i="26"/>
  <c r="N29" i="26"/>
  <c r="H21" i="26"/>
  <c r="H4" i="26"/>
  <c r="G27" i="26"/>
  <c r="O29" i="26"/>
  <c r="F22" i="26"/>
  <c r="B9" i="26"/>
  <c r="H15" i="26"/>
  <c r="E25" i="26"/>
  <c r="C19" i="26"/>
  <c r="O11" i="26"/>
  <c r="E11" i="26"/>
  <c r="K13" i="26"/>
  <c r="N25" i="26"/>
  <c r="M22" i="26"/>
  <c r="H20" i="26"/>
  <c r="I29" i="26"/>
  <c r="I5" i="26"/>
  <c r="L15" i="26"/>
  <c r="E6" i="26"/>
  <c r="O13" i="26"/>
  <c r="N20" i="26"/>
  <c r="F9" i="26"/>
  <c r="D6" i="26"/>
  <c r="I25" i="26"/>
  <c r="K28" i="26"/>
  <c r="I22" i="26"/>
  <c r="F28" i="26"/>
  <c r="B13" i="26"/>
  <c r="D30" i="26"/>
  <c r="D20" i="26"/>
  <c r="J13" i="26"/>
  <c r="N22" i="26"/>
  <c r="N12" i="26"/>
  <c r="G4" i="26"/>
  <c r="K29" i="26"/>
  <c r="H27" i="26"/>
  <c r="H8" i="22"/>
  <c r="E21" i="26"/>
  <c r="B7" i="26"/>
  <c r="B30" i="26"/>
  <c r="N21" i="26"/>
  <c r="D21" i="26"/>
  <c r="F13" i="26"/>
  <c r="C12" i="26"/>
  <c r="L28" i="26"/>
  <c r="C21" i="26"/>
  <c r="B11" i="26"/>
  <c r="N28" i="26"/>
  <c r="J15" i="26"/>
  <c r="F19" i="26"/>
  <c r="N4" i="26"/>
  <c r="C14" i="26"/>
  <c r="H7" i="22"/>
  <c r="E20" i="26"/>
  <c r="K6" i="26"/>
  <c r="E29" i="26"/>
  <c r="N5" i="26"/>
  <c r="L29" i="26"/>
  <c r="B21" i="26"/>
  <c r="K8" i="26"/>
  <c r="O27" i="26"/>
  <c r="D26" i="26"/>
  <c r="J25" i="26"/>
  <c r="L21" i="26"/>
  <c r="N9" i="26"/>
  <c r="O10" i="26"/>
  <c r="H12" i="26"/>
  <c r="K12" i="26"/>
  <c r="M6" i="26"/>
  <c r="D13" i="26"/>
  <c r="B12" i="26"/>
  <c r="J21" i="26"/>
  <c r="L19" i="26"/>
  <c r="E7" i="26"/>
  <c r="E10" i="26"/>
  <c r="O9" i="26"/>
  <c r="D29" i="26"/>
  <c r="L22" i="26"/>
  <c r="K22" i="26"/>
  <c r="E22" i="26"/>
  <c r="H8" i="28"/>
  <c r="H6" i="26"/>
  <c r="M21" i="26"/>
  <c r="D28" i="26"/>
  <c r="F6" i="26"/>
  <c r="J27" i="26"/>
  <c r="N15" i="26"/>
  <c r="M11" i="26"/>
  <c r="G13" i="26"/>
  <c r="B23" i="26"/>
  <c r="M29" i="26"/>
  <c r="I6" i="26"/>
  <c r="B14" i="26"/>
  <c r="J9" i="26"/>
  <c r="J12" i="26"/>
  <c r="K5" i="26"/>
  <c r="J4" i="26"/>
  <c r="B27" i="26"/>
  <c r="F5" i="26"/>
  <c r="C31" i="26"/>
  <c r="C9" i="26"/>
  <c r="O31" i="26"/>
  <c r="E13" i="26"/>
  <c r="B29" i="26"/>
  <c r="K4" i="26"/>
  <c r="K25" i="26"/>
  <c r="C3" i="26"/>
  <c r="H25" i="26"/>
  <c r="I11" i="26"/>
  <c r="G11" i="26"/>
  <c r="N7" i="28"/>
  <c r="O22" i="26"/>
  <c r="O12" i="26"/>
  <c r="C6" i="26"/>
  <c r="J6" i="26"/>
  <c r="D11" i="26"/>
  <c r="M20" i="26"/>
  <c r="O20" i="26"/>
  <c r="H9" i="26"/>
  <c r="B10" i="26"/>
  <c r="B8" i="26"/>
  <c r="B31" i="26"/>
  <c r="J20" i="26"/>
  <c r="F20" i="26"/>
  <c r="M27" i="26"/>
  <c r="O28" i="26"/>
  <c r="L25" i="26"/>
  <c r="K8" i="28"/>
  <c r="K14" i="26"/>
  <c r="G28" i="26"/>
  <c r="H7" i="26"/>
  <c r="F27" i="26"/>
  <c r="J22" i="26"/>
  <c r="H28" i="26"/>
  <c r="M9" i="26"/>
  <c r="N8" i="22"/>
  <c r="N8" i="26" s="1"/>
  <c r="M4" i="26"/>
  <c r="E9" i="26"/>
  <c r="H13" i="26"/>
  <c r="C10" i="26"/>
  <c r="M25" i="26"/>
  <c r="G6" i="26"/>
  <c r="K10" i="22"/>
  <c r="B24" i="26"/>
  <c r="G25" i="26"/>
  <c r="N7" i="22"/>
  <c r="N14" i="26"/>
  <c r="B22" i="26"/>
  <c r="D12" i="26"/>
  <c r="K21" i="26"/>
  <c r="G5" i="26"/>
  <c r="G29" i="26"/>
  <c r="N27" i="26"/>
  <c r="C27" i="26"/>
  <c r="K11" i="26"/>
  <c r="F25" i="26"/>
  <c r="G21" i="26"/>
  <c r="M15" i="26"/>
  <c r="B25" i="26"/>
  <c r="C25" i="26"/>
  <c r="O30" i="26"/>
  <c r="O21" i="26"/>
  <c r="E12" i="26"/>
  <c r="M13" i="26"/>
  <c r="J28" i="26"/>
  <c r="O8" i="26"/>
  <c r="N13" i="26"/>
  <c r="O14" i="26"/>
  <c r="O25" i="26"/>
  <c r="H8" i="26"/>
  <c r="C7" i="26"/>
  <c r="D15" i="26"/>
  <c r="C4" i="26"/>
  <c r="L3" i="26"/>
  <c r="L20" i="26"/>
  <c r="J29" i="26"/>
  <c r="D25" i="26"/>
  <c r="D5" i="26"/>
  <c r="D27" i="26"/>
  <c r="L4" i="26"/>
  <c r="F29" i="26"/>
  <c r="O4" i="26"/>
  <c r="E4" i="26"/>
  <c r="C26" i="26"/>
  <c r="N14" i="23"/>
  <c r="I28" i="26"/>
  <c r="C13" i="26"/>
  <c r="C24" i="26"/>
  <c r="H10" i="28"/>
  <c r="C8" i="26"/>
  <c r="G22" i="26"/>
  <c r="I21" i="26"/>
  <c r="B26" i="26"/>
  <c r="B6" i="26"/>
  <c r="I19" i="26"/>
  <c r="I20" i="26"/>
  <c r="B28" i="26"/>
  <c r="K10" i="28"/>
  <c r="L27" i="26"/>
  <c r="O24" i="26"/>
  <c r="N7" i="26"/>
  <c r="F12" i="26"/>
  <c r="I15" i="26"/>
  <c r="K9" i="26"/>
  <c r="K7" i="28"/>
  <c r="D7" i="26"/>
  <c r="C30" i="26"/>
  <c r="D22" i="26"/>
  <c r="K20" i="26"/>
  <c r="I9" i="26"/>
  <c r="D9" i="26"/>
  <c r="L9" i="26"/>
  <c r="C20" i="26"/>
  <c r="O6" i="26"/>
  <c r="N6" i="26"/>
  <c r="O26" i="26"/>
  <c r="E30" i="26"/>
  <c r="M28" i="26"/>
  <c r="F3" i="26"/>
  <c r="L13" i="26"/>
  <c r="O5" i="26"/>
  <c r="I3" i="26"/>
  <c r="D4" i="26"/>
  <c r="H7" i="28"/>
  <c r="K15" i="26"/>
  <c r="F21" i="26"/>
  <c r="B15" i="26"/>
  <c r="O15" i="26"/>
  <c r="K27" i="26"/>
  <c r="D8" i="26"/>
  <c r="N10" i="28"/>
  <c r="L5" i="26"/>
  <c r="N8" i="28"/>
  <c r="C22" i="26"/>
  <c r="H10" i="22"/>
  <c r="I4" i="26"/>
  <c r="O7" i="26"/>
  <c r="D23" i="26"/>
  <c r="B5" i="26"/>
  <c r="E28" i="26"/>
  <c r="F4" i="26"/>
  <c r="M12" i="26"/>
  <c r="H11" i="26"/>
  <c r="H22" i="26"/>
  <c r="D14" i="26"/>
  <c r="C23" i="26"/>
  <c r="N10" i="22"/>
  <c r="F15" i="26"/>
  <c r="N11" i="26"/>
  <c r="H10" i="26"/>
  <c r="D24" i="26"/>
  <c r="J5" i="26"/>
  <c r="E5" i="26"/>
  <c r="L11" i="26"/>
  <c r="I13" i="26"/>
  <c r="I12" i="26"/>
  <c r="K7" i="22"/>
  <c r="D31" i="26"/>
  <c r="E23" i="26"/>
  <c r="E26" i="26"/>
  <c r="E14" i="26"/>
  <c r="E8" i="26"/>
  <c r="E24" i="26"/>
  <c r="E31" i="26"/>
  <c r="F15" i="44" l="1"/>
  <c r="F15" i="43"/>
  <c r="F15" i="42"/>
  <c r="G10" i="22"/>
  <c r="F10" i="22"/>
  <c r="K15" i="43"/>
  <c r="K15" i="42"/>
  <c r="K15" i="44"/>
  <c r="F7" i="28"/>
  <c r="I7" i="28" s="1"/>
  <c r="L7" i="28" s="1"/>
  <c r="G7" i="28"/>
  <c r="J7" i="28" s="1"/>
  <c r="M7" i="28" s="1"/>
  <c r="L60" i="26"/>
  <c r="L80" i="26" s="1"/>
  <c r="L81" i="26" s="1"/>
  <c r="L89" i="26" s="1"/>
  <c r="D60" i="26"/>
  <c r="D62" i="26" s="1"/>
  <c r="I60" i="26"/>
  <c r="I80" i="26" s="1"/>
  <c r="I81" i="26" s="1"/>
  <c r="I89" i="26" s="1"/>
  <c r="D61" i="26"/>
  <c r="K60" i="26"/>
  <c r="K80" i="26" s="1"/>
  <c r="K81" i="26" s="1"/>
  <c r="K89" i="26" s="1"/>
  <c r="I15" i="42"/>
  <c r="I15" i="44"/>
  <c r="I15" i="43"/>
  <c r="N61" i="26"/>
  <c r="G10" i="28"/>
  <c r="J10" i="28" s="1"/>
  <c r="M10" i="28" s="1"/>
  <c r="F10" i="28"/>
  <c r="I10" i="28" s="1"/>
  <c r="L10" i="28" s="1"/>
  <c r="D15" i="44"/>
  <c r="D15" i="42"/>
  <c r="C61" i="26"/>
  <c r="S104" i="26"/>
  <c r="R104" i="26"/>
  <c r="M15" i="43"/>
  <c r="M15" i="42"/>
  <c r="M15" i="44"/>
  <c r="C76" i="26"/>
  <c r="C77" i="26" s="1"/>
  <c r="C78" i="26" s="1"/>
  <c r="C88" i="26" s="1"/>
  <c r="E60" i="26"/>
  <c r="E80" i="26" s="1"/>
  <c r="E81" i="26" s="1"/>
  <c r="E89" i="26" s="1"/>
  <c r="M60" i="26"/>
  <c r="M80" i="26" s="1"/>
  <c r="M81" i="26" s="1"/>
  <c r="M89" i="26" s="1"/>
  <c r="H61" i="26"/>
  <c r="H60" i="26"/>
  <c r="H80" i="26" s="1"/>
  <c r="H81" i="26" s="1"/>
  <c r="H89" i="26" s="1"/>
  <c r="C60" i="26"/>
  <c r="C80" i="26" s="1"/>
  <c r="C81" i="26" s="1"/>
  <c r="C89" i="26" s="1"/>
  <c r="C67" i="26"/>
  <c r="C68" i="26" s="1"/>
  <c r="J60" i="26"/>
  <c r="J80" i="26" s="1"/>
  <c r="J81" i="26" s="1"/>
  <c r="J89" i="26" s="1"/>
  <c r="N15" i="44"/>
  <c r="N15" i="42"/>
  <c r="N15" i="43"/>
  <c r="F8" i="28"/>
  <c r="I8" i="28" s="1"/>
  <c r="L8" i="28" s="1"/>
  <c r="G8" i="28"/>
  <c r="J8" i="28" s="1"/>
  <c r="M8" i="28" s="1"/>
  <c r="N60" i="26"/>
  <c r="N80" i="26" s="1"/>
  <c r="N81" i="26" s="1"/>
  <c r="N89" i="26" s="1"/>
  <c r="D76" i="26"/>
  <c r="D77" i="26" s="1"/>
  <c r="D78" i="26" s="1"/>
  <c r="D88" i="26" s="1"/>
  <c r="G7" i="22"/>
  <c r="F7" i="22"/>
  <c r="J15" i="44"/>
  <c r="J15" i="42"/>
  <c r="J15" i="43"/>
  <c r="F8" i="22"/>
  <c r="G8" i="22"/>
  <c r="F60" i="26"/>
  <c r="F80" i="26" s="1"/>
  <c r="F81" i="26" s="1"/>
  <c r="F89" i="26" s="1"/>
  <c r="L15" i="43"/>
  <c r="L15" i="42"/>
  <c r="L15" i="44"/>
  <c r="H15" i="43"/>
  <c r="H15" i="44"/>
  <c r="H15" i="42"/>
  <c r="G15" i="43"/>
  <c r="G15" i="44"/>
  <c r="G15" i="42"/>
  <c r="E15" i="42"/>
  <c r="E15" i="44"/>
  <c r="I14" i="23"/>
  <c r="L14" i="23" s="1"/>
  <c r="J14" i="23"/>
  <c r="M14" i="23" s="1"/>
  <c r="G80" i="26"/>
  <c r="G81" i="26" s="1"/>
  <c r="G89" i="26" s="1"/>
  <c r="E76" i="26"/>
  <c r="E77" i="26" s="1"/>
  <c r="E78" i="26" s="1"/>
  <c r="E88" i="26" s="1"/>
  <c r="E61" i="26"/>
  <c r="E67" i="26"/>
  <c r="E68" i="26" s="1"/>
  <c r="D67" i="26"/>
  <c r="D68" i="26" s="1"/>
  <c r="E38" i="1"/>
  <c r="H39" i="1"/>
  <c r="F38" i="1"/>
  <c r="H38" i="1"/>
  <c r="E39" i="1"/>
  <c r="G39" i="1"/>
  <c r="F10" i="26"/>
  <c r="G7" i="26"/>
  <c r="F7" i="26"/>
  <c r="F8" i="26"/>
  <c r="G10" i="26"/>
  <c r="G8" i="26"/>
  <c r="K7" i="26"/>
  <c r="N10" i="26"/>
  <c r="K10" i="26"/>
  <c r="K104" i="26" l="1"/>
  <c r="C62" i="26"/>
  <c r="C71" i="26" s="1"/>
  <c r="C72" i="26" s="1"/>
  <c r="E62" i="26"/>
  <c r="E71" i="26" s="1"/>
  <c r="E72" i="26" s="1"/>
  <c r="D80" i="26"/>
  <c r="D81" i="26" s="1"/>
  <c r="D89" i="26" s="1"/>
  <c r="F61" i="26"/>
  <c r="G61" i="26"/>
  <c r="J8" i="22"/>
  <c r="J10" i="22"/>
  <c r="I8" i="22"/>
  <c r="I7" i="22"/>
  <c r="J7" i="22"/>
  <c r="I10" i="22"/>
  <c r="D87" i="26"/>
  <c r="K61" i="26"/>
  <c r="D63" i="26"/>
  <c r="D86" i="26" s="1"/>
  <c r="D71" i="26"/>
  <c r="D72" i="26" s="1"/>
  <c r="I8" i="26"/>
  <c r="I7" i="26"/>
  <c r="I10" i="26"/>
  <c r="J8" i="26"/>
  <c r="J7" i="26"/>
  <c r="J10" i="26"/>
  <c r="H10" i="27"/>
  <c r="K8" i="27"/>
  <c r="K10" i="27"/>
  <c r="N7" i="27"/>
  <c r="K7" i="27"/>
  <c r="C63" i="26" l="1"/>
  <c r="C86" i="26" s="1"/>
  <c r="C87" i="26"/>
  <c r="E63" i="26"/>
  <c r="E86" i="26" s="1"/>
  <c r="E87" i="26"/>
  <c r="J61" i="26"/>
  <c r="I61" i="26"/>
  <c r="M10" i="22"/>
  <c r="M7" i="22"/>
  <c r="M8" i="22"/>
  <c r="L10" i="22"/>
  <c r="L7" i="22"/>
  <c r="L8" i="22"/>
  <c r="D84" i="26"/>
  <c r="D90" i="26" s="1"/>
  <c r="F10" i="27"/>
  <c r="G10" i="27"/>
  <c r="J10" i="27" s="1"/>
  <c r="M8" i="26"/>
  <c r="L10" i="26"/>
  <c r="M10" i="26"/>
  <c r="L7" i="26"/>
  <c r="M7" i="26"/>
  <c r="L8" i="26"/>
  <c r="N30" i="26"/>
  <c r="K23" i="26"/>
  <c r="K24" i="26"/>
  <c r="F26" i="26"/>
  <c r="K26" i="26"/>
  <c r="N31" i="26"/>
  <c r="K30" i="26"/>
  <c r="H26" i="26"/>
  <c r="K31" i="26"/>
  <c r="G26" i="26"/>
  <c r="N23" i="26"/>
  <c r="J26" i="26"/>
  <c r="C84" i="26" l="1"/>
  <c r="C85" i="26" s="1"/>
  <c r="E84" i="26"/>
  <c r="E85" i="26" s="1"/>
  <c r="M61" i="26"/>
  <c r="L61" i="26"/>
  <c r="D94" i="26"/>
  <c r="C107" i="26" s="1"/>
  <c r="D95" i="26"/>
  <c r="D85" i="26"/>
  <c r="N62" i="26"/>
  <c r="K62" i="26"/>
  <c r="K76" i="26"/>
  <c r="K77" i="26" s="1"/>
  <c r="H76" i="26"/>
  <c r="H77" i="26" s="1"/>
  <c r="K67" i="26"/>
  <c r="K68" i="26" s="1"/>
  <c r="N67" i="26"/>
  <c r="F76" i="26"/>
  <c r="F77" i="26" s="1"/>
  <c r="J76" i="26"/>
  <c r="J77" i="26" s="1"/>
  <c r="G76" i="26"/>
  <c r="G77" i="26" s="1"/>
  <c r="I10" i="27"/>
  <c r="I26" i="26"/>
  <c r="C90" i="26" l="1"/>
  <c r="C95" i="26" s="1"/>
  <c r="E90" i="26"/>
  <c r="E95" i="26" s="1"/>
  <c r="K63" i="26"/>
  <c r="K86" i="26" s="1"/>
  <c r="N63" i="26"/>
  <c r="N87" i="26"/>
  <c r="K87" i="26"/>
  <c r="K71" i="26"/>
  <c r="N71" i="26"/>
  <c r="I76" i="26"/>
  <c r="I77" i="26" s="1"/>
  <c r="C94" i="26" l="1"/>
  <c r="C106" i="26" s="1"/>
  <c r="E94" i="26"/>
  <c r="C136" i="26" s="1"/>
  <c r="N72" i="26"/>
  <c r="K72" i="26"/>
  <c r="K78" i="26"/>
  <c r="J78" i="26"/>
  <c r="G78" i="26"/>
  <c r="F78" i="26"/>
  <c r="H78" i="26"/>
  <c r="K84" i="26"/>
  <c r="F31" i="26"/>
  <c r="L31" i="26"/>
  <c r="G31" i="26"/>
  <c r="H31" i="26"/>
  <c r="I31" i="26"/>
  <c r="C108" i="26" l="1"/>
  <c r="H88" i="26"/>
  <c r="F88" i="26"/>
  <c r="J88" i="26"/>
  <c r="I78" i="26"/>
  <c r="K85" i="26"/>
  <c r="G88" i="26"/>
  <c r="K88" i="26"/>
  <c r="H67" i="26"/>
  <c r="L67" i="26"/>
  <c r="G67" i="26"/>
  <c r="I67" i="26"/>
  <c r="F67" i="26"/>
  <c r="J31" i="26"/>
  <c r="H8" i="27"/>
  <c r="F8" i="27" l="1"/>
  <c r="I8" i="27" s="1"/>
  <c r="K90" i="26"/>
  <c r="I88" i="26"/>
  <c r="J67" i="26"/>
  <c r="G8" i="27"/>
  <c r="N10" i="27"/>
  <c r="M31" i="26"/>
  <c r="F24" i="26"/>
  <c r="H24" i="26"/>
  <c r="G24" i="26"/>
  <c r="K95" i="26" l="1"/>
  <c r="F68" i="26"/>
  <c r="H68" i="26"/>
  <c r="G68" i="26"/>
  <c r="K94" i="26"/>
  <c r="M10" i="27"/>
  <c r="L10" i="27"/>
  <c r="M67" i="26"/>
  <c r="J8" i="27"/>
  <c r="I24" i="26"/>
  <c r="J24" i="26"/>
  <c r="M26" i="26"/>
  <c r="N26" i="26"/>
  <c r="H7" i="27"/>
  <c r="L26" i="26"/>
  <c r="E108" i="26" l="1"/>
  <c r="E136" i="26"/>
  <c r="I68" i="26"/>
  <c r="J68" i="26"/>
  <c r="N76" i="26"/>
  <c r="N77" i="26" s="1"/>
  <c r="L76" i="26"/>
  <c r="L77" i="26" s="1"/>
  <c r="M76" i="26"/>
  <c r="M77" i="26" s="1"/>
  <c r="F7" i="27"/>
  <c r="G7" i="27"/>
  <c r="J7" i="27" s="1"/>
  <c r="F23" i="26"/>
  <c r="G23" i="26"/>
  <c r="N8" i="27"/>
  <c r="J23" i="26"/>
  <c r="H23" i="26"/>
  <c r="H30" i="26"/>
  <c r="L8" i="27" l="1"/>
  <c r="M8" i="27"/>
  <c r="M7" i="27"/>
  <c r="I7" i="27"/>
  <c r="J30" i="26"/>
  <c r="G30" i="26"/>
  <c r="N24" i="26"/>
  <c r="I23" i="26"/>
  <c r="M23" i="26"/>
  <c r="L24" i="26"/>
  <c r="M24" i="26"/>
  <c r="F30" i="26"/>
  <c r="N68" i="26" l="1"/>
  <c r="N86" i="26" s="1"/>
  <c r="L68" i="26"/>
  <c r="M68" i="26"/>
  <c r="M78" i="26"/>
  <c r="N78" i="26"/>
  <c r="L78" i="26"/>
  <c r="L7" i="27"/>
  <c r="L23" i="26"/>
  <c r="I30" i="26"/>
  <c r="M30" i="26"/>
  <c r="L30" i="26"/>
  <c r="N88" i="26" l="1"/>
  <c r="L88" i="26"/>
  <c r="M88" i="26"/>
  <c r="N84" i="26"/>
  <c r="N90" i="26" l="1"/>
  <c r="N85" i="26"/>
  <c r="N95" i="26" l="1"/>
  <c r="N94" i="26"/>
  <c r="F108" i="26" l="1"/>
  <c r="F136" i="26"/>
  <c r="G38" i="8"/>
  <c r="G40" i="8"/>
  <c r="G39" i="8"/>
  <c r="H14" i="34"/>
  <c r="F14" i="34" l="1"/>
  <c r="G14" i="34"/>
  <c r="F14" i="26"/>
  <c r="H14" i="26"/>
  <c r="G14" i="26"/>
  <c r="H62" i="26" l="1"/>
  <c r="H87" i="26" s="1"/>
  <c r="G62" i="26"/>
  <c r="F62" i="26"/>
  <c r="J14" i="34"/>
  <c r="I14" i="34"/>
  <c r="J14" i="26"/>
  <c r="I14" i="26"/>
  <c r="H71" i="26" l="1"/>
  <c r="H72" i="26" s="1"/>
  <c r="H63" i="26"/>
  <c r="H84" i="26" s="1"/>
  <c r="I62" i="26"/>
  <c r="J62" i="26"/>
  <c r="F63" i="26"/>
  <c r="F71" i="26"/>
  <c r="F72" i="26" s="1"/>
  <c r="F87" i="26"/>
  <c r="G87" i="26"/>
  <c r="G71" i="26"/>
  <c r="G72" i="26" s="1"/>
  <c r="G63" i="26"/>
  <c r="L14" i="34"/>
  <c r="M14" i="34"/>
  <c r="L14" i="26"/>
  <c r="M14" i="26"/>
  <c r="H86" i="26" l="1"/>
  <c r="H85" i="26" s="1"/>
  <c r="L62" i="26"/>
  <c r="M62" i="26"/>
  <c r="G86" i="26"/>
  <c r="G84" i="26"/>
  <c r="F84" i="26"/>
  <c r="F86" i="26"/>
  <c r="H90" i="26"/>
  <c r="H95" i="26" s="1"/>
  <c r="J63" i="26"/>
  <c r="J87" i="26"/>
  <c r="J71" i="26"/>
  <c r="J72" i="26" s="1"/>
  <c r="I71" i="26"/>
  <c r="I72" i="26" s="1"/>
  <c r="I63" i="26"/>
  <c r="I87" i="26"/>
  <c r="M71" i="26" l="1"/>
  <c r="M72" i="26" s="1"/>
  <c r="M63" i="26"/>
  <c r="M87" i="26"/>
  <c r="J86" i="26"/>
  <c r="J84" i="26"/>
  <c r="F90" i="26"/>
  <c r="F95" i="26" s="1"/>
  <c r="F85" i="26"/>
  <c r="L71" i="26"/>
  <c r="L72" i="26" s="1"/>
  <c r="L63" i="26"/>
  <c r="L87" i="26"/>
  <c r="H94" i="26"/>
  <c r="G85" i="26"/>
  <c r="G90" i="26"/>
  <c r="G95" i="26" s="1"/>
  <c r="I86" i="26"/>
  <c r="I84" i="26"/>
  <c r="D108" i="26" l="1"/>
  <c r="D136" i="26"/>
  <c r="L84" i="26"/>
  <c r="L86" i="26"/>
  <c r="J85" i="26"/>
  <c r="J90" i="26"/>
  <c r="J95" i="26" s="1"/>
  <c r="I85" i="26"/>
  <c r="I90" i="26"/>
  <c r="I95" i="26" s="1"/>
  <c r="G94" i="26"/>
  <c r="D107" i="26" s="1"/>
  <c r="F94" i="26"/>
  <c r="D106" i="26" s="1"/>
  <c r="M86" i="26"/>
  <c r="M84" i="26"/>
  <c r="J94" i="26" l="1"/>
  <c r="E107" i="26" s="1"/>
  <c r="M85" i="26"/>
  <c r="M90" i="26"/>
  <c r="M95" i="26" s="1"/>
  <c r="I94" i="26"/>
  <c r="E106" i="26" s="1"/>
  <c r="L85" i="26"/>
  <c r="L90" i="26"/>
  <c r="L95" i="26" s="1"/>
  <c r="L94" i="26" l="1"/>
  <c r="F106" i="26" s="1"/>
  <c r="M94" i="26"/>
  <c r="F107" i="26" s="1"/>
</calcChain>
</file>

<file path=xl/sharedStrings.xml><?xml version="1.0" encoding="utf-8"?>
<sst xmlns="http://schemas.openxmlformats.org/spreadsheetml/2006/main" count="3102" uniqueCount="331">
  <si>
    <t>Sources</t>
  </si>
  <si>
    <t>unit</t>
  </si>
  <si>
    <t>Energy installation cost</t>
  </si>
  <si>
    <t>Power installation cost</t>
  </si>
  <si>
    <t>Cycle life</t>
  </si>
  <si>
    <t>equivalent full-cycles</t>
  </si>
  <si>
    <t>Calendar life</t>
  </si>
  <si>
    <t>a</t>
  </si>
  <si>
    <t>Round-trip efficiency</t>
  </si>
  <si>
    <t>%</t>
  </si>
  <si>
    <t>References</t>
  </si>
  <si>
    <t>Number of Source</t>
  </si>
  <si>
    <t>Titel</t>
  </si>
  <si>
    <t>Authors</t>
  </si>
  <si>
    <t>Internal File</t>
  </si>
  <si>
    <t>Technology Overview on Electricity Storage</t>
  </si>
  <si>
    <t>Fuchs, Lunz, Leuthold, Sauer</t>
  </si>
  <si>
    <t>Source 2016</t>
  </si>
  <si>
    <t>Source 2020</t>
  </si>
  <si>
    <t>Source 2025</t>
  </si>
  <si>
    <t>Source 2030</t>
  </si>
  <si>
    <t>Example</t>
  </si>
  <si>
    <t>USD / kWh</t>
  </si>
  <si>
    <t>USD / kW</t>
  </si>
  <si>
    <t>Agora Stromspeicher in der Energiewende</t>
  </si>
  <si>
    <t>Agora Energiewende</t>
  </si>
  <si>
    <t>Pumped Hydro</t>
  </si>
  <si>
    <t>Li-Ion</t>
  </si>
  <si>
    <t>LA</t>
  </si>
  <si>
    <t>Batteriespeicher in der Nieder- und Mittelspannungsebene</t>
  </si>
  <si>
    <t>VDE</t>
  </si>
  <si>
    <t>Mechanical</t>
  </si>
  <si>
    <t>CAES</t>
  </si>
  <si>
    <t>Flywheel</t>
  </si>
  <si>
    <t>Lead-Acid</t>
  </si>
  <si>
    <t>Flooded LA</t>
  </si>
  <si>
    <t>VRLA</t>
  </si>
  <si>
    <t>NMC/LMO</t>
  </si>
  <si>
    <t>NCA</t>
  </si>
  <si>
    <t>LiFePo4</t>
  </si>
  <si>
    <t>Titanate</t>
  </si>
  <si>
    <t>High Temperature</t>
  </si>
  <si>
    <t>Flow</t>
  </si>
  <si>
    <t>NaNiCl</t>
  </si>
  <si>
    <t>NaS</t>
  </si>
  <si>
    <t>Vanadium</t>
  </si>
  <si>
    <t>Zn/Br</t>
  </si>
  <si>
    <t>Interpolation</t>
  </si>
  <si>
    <t>Source 3</t>
  </si>
  <si>
    <t>Source 1</t>
  </si>
  <si>
    <t>Vanadium Flow</t>
  </si>
  <si>
    <t>Source 4</t>
  </si>
  <si>
    <t>ref 2016</t>
  </si>
  <si>
    <t>combination</t>
  </si>
  <si>
    <t>X1</t>
  </si>
  <si>
    <t>X2</t>
  </si>
  <si>
    <t>Source 2</t>
  </si>
  <si>
    <t>Li-Ion (NMC)</t>
  </si>
  <si>
    <t>Energiesysteme der Zukunft - Technologiesteckbrief Energiespeicher</t>
  </si>
  <si>
    <t>Prof. Dr. Peter Elsner, Prof. Dr. Dirk Uwe Sauer</t>
  </si>
  <si>
    <t>Date</t>
  </si>
  <si>
    <t>June 2012</t>
  </si>
  <si>
    <t>September 2014</t>
  </si>
  <si>
    <t>November 2015</t>
  </si>
  <si>
    <t>Data</t>
  </si>
  <si>
    <t>Mai 2015</t>
  </si>
  <si>
    <t>Combination</t>
  </si>
  <si>
    <t>Zn/Br Flow</t>
  </si>
  <si>
    <t>interpolated</t>
  </si>
  <si>
    <t>extrapolated</t>
  </si>
  <si>
    <t>SEFEP does not expect any improvement/cost reduction of Pumped Hydro</t>
  </si>
  <si>
    <t>not needed or not available</t>
  </si>
  <si>
    <t>best</t>
  </si>
  <si>
    <t>worst</t>
  </si>
  <si>
    <t>Energy density</t>
  </si>
  <si>
    <t>Wh/l</t>
  </si>
  <si>
    <t>Power density</t>
  </si>
  <si>
    <t>W/l</t>
  </si>
  <si>
    <t>Depth of discharge</t>
  </si>
  <si>
    <t>Self-discharge</t>
  </si>
  <si>
    <t>% per day</t>
  </si>
  <si>
    <t>Power dynamic</t>
  </si>
  <si>
    <t>s to rated power</t>
  </si>
  <si>
    <t>Planning &amp; Construction Time</t>
  </si>
  <si>
    <t>Li-Ion (LFP)</t>
  </si>
  <si>
    <t>Li-Ion (NCA)</t>
  </si>
  <si>
    <t>Li-Ion (Titanate)</t>
  </si>
  <si>
    <t>October 2014</t>
  </si>
  <si>
    <t>no</t>
  </si>
  <si>
    <t>specific size</t>
  </si>
  <si>
    <t>"stationary systems"</t>
  </si>
  <si>
    <t>ISEA estimation</t>
  </si>
  <si>
    <t>2015</t>
  </si>
  <si>
    <t>home storage systems</t>
  </si>
  <si>
    <t>Inverter</t>
  </si>
  <si>
    <t>Small (1-30kW)</t>
  </si>
  <si>
    <t>Large (&gt;30kW)</t>
  </si>
  <si>
    <t>dollar/euro conversion</t>
  </si>
  <si>
    <t>€-Format</t>
  </si>
  <si>
    <t>$-Format</t>
  </si>
  <si>
    <t>Battery Storage for Renewables: Market Status and Technology Outlook</t>
  </si>
  <si>
    <t>Ruud Kempener (IRENA) and Eric Borden</t>
  </si>
  <si>
    <t>January 2015</t>
  </si>
  <si>
    <t>Source 5</t>
  </si>
  <si>
    <t>advanced lead-acid</t>
  </si>
  <si>
    <t>Type</t>
  </si>
  <si>
    <t>lead-acid batteries</t>
  </si>
  <si>
    <t>flow batteries</t>
  </si>
  <si>
    <t>redox flow batteries</t>
  </si>
  <si>
    <t>sodium sulphur</t>
  </si>
  <si>
    <t>High temperature batteries (NaS)</t>
  </si>
  <si>
    <t>sodium sulphur batteries</t>
  </si>
  <si>
    <t>NaS/NaCl</t>
  </si>
  <si>
    <t>sodium metal halide</t>
  </si>
  <si>
    <t>NMC</t>
  </si>
  <si>
    <t>lithium-ion batteries</t>
  </si>
  <si>
    <t>LFP</t>
  </si>
  <si>
    <t>Inverter small</t>
  </si>
  <si>
    <t>Choose ---&gt;</t>
  </si>
  <si>
    <t>Application</t>
  </si>
  <si>
    <t>Power</t>
  </si>
  <si>
    <t>E/P Ratio</t>
  </si>
  <si>
    <t>Cycles per day</t>
  </si>
  <si>
    <t>Electricity price</t>
  </si>
  <si>
    <t>Calculations</t>
  </si>
  <si>
    <t>Installed Storage Power</t>
  </si>
  <si>
    <t>Total Storage Invest</t>
  </si>
  <si>
    <t>Interest rate</t>
  </si>
  <si>
    <t>Inverter large</t>
  </si>
  <si>
    <t>Annuities</t>
  </si>
  <si>
    <t>kW</t>
  </si>
  <si>
    <t>kWh</t>
  </si>
  <si>
    <t>Energy throughput per year</t>
  </si>
  <si>
    <t>Usable Storage Capacity</t>
  </si>
  <si>
    <t>Installed Storage Capacity</t>
  </si>
  <si>
    <t>Efficiency losses</t>
  </si>
  <si>
    <t>Total efficiency</t>
  </si>
  <si>
    <t>Efficiency losses [kWh]</t>
  </si>
  <si>
    <t>Efficiency losses [USD]</t>
  </si>
  <si>
    <t>Self-discharge losses [kWh]</t>
  </si>
  <si>
    <t>Self-discharge losses [USD]</t>
  </si>
  <si>
    <t>Energy Storage Unit</t>
  </si>
  <si>
    <t>Energy losses</t>
  </si>
  <si>
    <t>Sum</t>
  </si>
  <si>
    <t>Maintenance</t>
  </si>
  <si>
    <t>Maintenance storage system</t>
  </si>
  <si>
    <t>Enhanced Frequency Respose</t>
  </si>
  <si>
    <t>Frequency Containment Reserve</t>
  </si>
  <si>
    <t>Frequency Restoration Reserve</t>
  </si>
  <si>
    <t>Energy shifting</t>
  </si>
  <si>
    <t>Self-consumption
(small residential)</t>
  </si>
  <si>
    <t>Community storage</t>
  </si>
  <si>
    <t>Increase Power 
Quality</t>
  </si>
  <si>
    <t>Peak shaving</t>
  </si>
  <si>
    <t>Time-of-use</t>
  </si>
  <si>
    <t>Village electrification</t>
  </si>
  <si>
    <t>Island grid</t>
  </si>
  <si>
    <t>No inverter</t>
  </si>
  <si>
    <t>1 $</t>
  </si>
  <si>
    <t>ZnBr Flow</t>
  </si>
  <si>
    <t>[kW]</t>
  </si>
  <si>
    <t>[kWh/kW]</t>
  </si>
  <si>
    <t>[N/day]</t>
  </si>
  <si>
    <t>Nano Offgrid</t>
  </si>
  <si>
    <t>Power Conversion Unit</t>
  </si>
  <si>
    <t>Annuities Energy Storage Unit</t>
  </si>
  <si>
    <t>Annuities Invest</t>
  </si>
  <si>
    <t>Financing</t>
  </si>
  <si>
    <t>Energy Storage + Power Conversion</t>
  </si>
  <si>
    <t>Capital</t>
  </si>
  <si>
    <t>h</t>
  </si>
  <si>
    <t>Generator PHS</t>
  </si>
  <si>
    <t>Generator CAES</t>
  </si>
  <si>
    <t>Generator Flywheel</t>
  </si>
  <si>
    <t>Please note: Only change the Calendar life in this sheet - all other values are references and need to stay that way.</t>
  </si>
  <si>
    <t>USD</t>
  </si>
  <si>
    <t>Country-specific data</t>
  </si>
  <si>
    <t>Results --&gt;</t>
  </si>
  <si>
    <t>reference</t>
  </si>
  <si>
    <t>Comment</t>
  </si>
  <si>
    <t>Installed Conversion Power</t>
  </si>
  <si>
    <t>Total Conversion Invest</t>
  </si>
  <si>
    <t>Annuities Power Conversion Unit</t>
  </si>
  <si>
    <t>ref</t>
  </si>
  <si>
    <t>Largest PHS in Germany: Goldisthal, operational since 1991</t>
  </si>
  <si>
    <t>Maintenance power conversion unit</t>
  </si>
  <si>
    <t>USD per year</t>
  </si>
  <si>
    <t>% of invest per year</t>
  </si>
  <si>
    <t>-</t>
  </si>
  <si>
    <t>Validity check:</t>
  </si>
  <si>
    <t>Lifetime in application</t>
  </si>
  <si>
    <t>Total Invest per usable kWh storage</t>
  </si>
  <si>
    <t>Other fixed costs (upfront)</t>
  </si>
  <si>
    <t>Other fixed costs (yearly)</t>
  </si>
  <si>
    <t>&lt;-- If new storage technologies are added, reference them here</t>
  </si>
  <si>
    <t>Unit</t>
  </si>
  <si>
    <t>Pumped Hydro (calc)</t>
  </si>
  <si>
    <t>CAES (calc)</t>
  </si>
  <si>
    <t>Flywheel (calc)</t>
  </si>
  <si>
    <t>Flooded LA (calc)</t>
  </si>
  <si>
    <t>VRLA (calc)</t>
  </si>
  <si>
    <t>Li-Ion (NMC) (calc)</t>
  </si>
  <si>
    <t>Li-Ion (NCA) (calc)</t>
  </si>
  <si>
    <t>Li-Ion (LFP) (calc)</t>
  </si>
  <si>
    <t>Li-Ion (Titanate) (calc)</t>
  </si>
  <si>
    <t>NaNiCl (calc)</t>
  </si>
  <si>
    <t>NaS (calc)</t>
  </si>
  <si>
    <t>Vanadium Flow (calc)</t>
  </si>
  <si>
    <t>ZnBr Flow (calc)</t>
  </si>
  <si>
    <t>Inverter small (calc)</t>
  </si>
  <si>
    <t>Inverter large (calc)</t>
  </si>
  <si>
    <t>Best</t>
  </si>
  <si>
    <t>Worst</t>
  </si>
  <si>
    <t>Reference</t>
  </si>
  <si>
    <t>Suitable:</t>
  </si>
  <si>
    <t>Greek island Tilos: 2x 400 kWh ZEBRA battery used for RE integration</t>
  </si>
  <si>
    <t>Typical 5MW design comparable to WEMAG or M5BATT</t>
  </si>
  <si>
    <t>EnergyNeighbor research project</t>
  </si>
  <si>
    <t>Small hut with 200W PV</t>
  </si>
  <si>
    <t>Small village in Columbia</t>
  </si>
  <si>
    <t>Note: As no reliable data could be found, a simple estimation of 3% annual performance increase / price decrease was used as a reference. For the round-trip efficiency, an increase of 1 percent point per period was assumed.</t>
  </si>
  <si>
    <t>sec</t>
  </si>
  <si>
    <t>&lt; 0,004</t>
  </si>
  <si>
    <t>&lt; 1</t>
  </si>
  <si>
    <t>&lt; 0.001</t>
  </si>
  <si>
    <t>Web</t>
  </si>
  <si>
    <t>http://www.sefep.eu/activities/projects-studies/120628_Technology_Overview_Electricity_Storage_SEFEP_ISEA.pdf</t>
  </si>
  <si>
    <t>http://www.speicherinitiative.at/assets/Uploads/19-AgoraEnergiewende-Speicherstudie-Langfassung.pdf</t>
  </si>
  <si>
    <t>http://www.acatech.de/fileadmin/user_upload/Baumstruktur_nach_Website/Acatech/root/de/Publikationen/Materialien/ESYS_Technologiesteckbrief_Energiespeicher.pdf</t>
  </si>
  <si>
    <t>Source 4,X</t>
  </si>
  <si>
    <t>http://www.speicherinitiative.at/assets/Uploads/03-Batterienspeicher.pdf</t>
  </si>
  <si>
    <t>http://www.irena.org/documentdownloads/publications/irena_battery_storage_report_2015.pdf</t>
  </si>
  <si>
    <t>Percental</t>
  </si>
  <si>
    <t>Expert Guess ISEA</t>
  </si>
  <si>
    <t>source</t>
  </si>
  <si>
    <t>Instead of years, the Agora study refers to shares of renewable energies  (see below). Therefore, respective assumptions were made.</t>
  </si>
  <si>
    <t>S. 44</t>
  </si>
  <si>
    <t>Seite</t>
  </si>
  <si>
    <t>S. 127-128</t>
  </si>
  <si>
    <t>S.64</t>
  </si>
  <si>
    <t>S. 93</t>
  </si>
  <si>
    <t>Batterie, auch daten für Bat plus Umrichter</t>
  </si>
  <si>
    <t>im Text: 235 €/kWH in 2014</t>
  </si>
  <si>
    <t>S. 95</t>
  </si>
  <si>
    <t>S. 23</t>
  </si>
  <si>
    <t>technische Daten aus 2013!</t>
  </si>
  <si>
    <t>Preise aus 2014!</t>
  </si>
  <si>
    <t>€ / kWh</t>
  </si>
  <si>
    <t>€ / kW</t>
  </si>
  <si>
    <t>S.30</t>
  </si>
  <si>
    <t>S. 41</t>
  </si>
  <si>
    <t>up to 17</t>
  </si>
  <si>
    <t>S.42</t>
  </si>
  <si>
    <t>Kommentar</t>
  </si>
  <si>
    <t>S. 90</t>
  </si>
  <si>
    <t>Es gibt auch Preise von Li-Ionen-System PV Speicher (2015: 750€/kWh - 1250€/kWh 2020</t>
  </si>
  <si>
    <t>S. 61</t>
  </si>
  <si>
    <t>S. 31-32</t>
  </si>
  <si>
    <t>Kosten sind für Großspeicher eingetragen, es gibt aber auch PV</t>
  </si>
  <si>
    <t>Sehr gering!</t>
  </si>
  <si>
    <t xml:space="preserve">S- 30 </t>
  </si>
  <si>
    <t>avg</t>
  </si>
  <si>
    <t>price</t>
  </si>
  <si>
    <t>cycle life</t>
  </si>
  <si>
    <t>calender</t>
  </si>
  <si>
    <t>efficiency</t>
  </si>
  <si>
    <t>S. 43</t>
  </si>
  <si>
    <t>Tabelle</t>
  </si>
  <si>
    <t>S.47</t>
  </si>
  <si>
    <t>S.39</t>
  </si>
  <si>
    <t>€  / kW</t>
  </si>
  <si>
    <t>S. 30</t>
  </si>
  <si>
    <t>power</t>
  </si>
  <si>
    <t>S.32</t>
  </si>
  <si>
    <t>S.95</t>
  </si>
  <si>
    <t>X</t>
  </si>
  <si>
    <t>Typical PV Battery System in Germany</t>
  </si>
  <si>
    <t>x</t>
  </si>
  <si>
    <t xml:space="preserve">Technology Comparison Chart (to place results of various runs) </t>
  </si>
  <si>
    <t>2. You can copy results into table to form your own calculations history that will be displayed in the chart to the right</t>
  </si>
  <si>
    <t>Electricity storage and renewables: Costs and markets to 2030</t>
  </si>
  <si>
    <t>Cost-of-service tool. Version 1.0</t>
  </si>
  <si>
    <t>Add additional data below if available</t>
  </si>
  <si>
    <t>Total Investment</t>
  </si>
  <si>
    <t>Calculations -key results</t>
  </si>
  <si>
    <t>Technology Development (Results Summary and Visualisation)</t>
  </si>
  <si>
    <t>1. Current selected reference case values are shown below</t>
  </si>
  <si>
    <t>Step 1</t>
  </si>
  <si>
    <t>Instructions</t>
  </si>
  <si>
    <t>Applications</t>
  </si>
  <si>
    <t>Select the 'Cost of Service' sheet.</t>
  </si>
  <si>
    <t>Step 2</t>
  </si>
  <si>
    <t>Select the Power conversion unit to evaluate:</t>
  </si>
  <si>
    <t>Step 3</t>
  </si>
  <si>
    <t>Select the application type to evaluate:</t>
  </si>
  <si>
    <t>Step 4</t>
  </si>
  <si>
    <t>Note: The tool assumes the same value you input would apply for all cases in each period.</t>
  </si>
  <si>
    <t>The purpose of this tool is to assist you in determining the cost-of-service of different storage technologies.</t>
  </si>
  <si>
    <t>Contact information:</t>
  </si>
  <si>
    <t>costs@irena.org</t>
  </si>
  <si>
    <t>Select the storage technology option that you wish to evaluate:</t>
  </si>
  <si>
    <t>The tool displays results for major calculation steps and also displays a summary of the results as shown below:</t>
  </si>
  <si>
    <t>Results: Key results</t>
  </si>
  <si>
    <t>Results: Technology Development (Results Summary and Visualisation)</t>
  </si>
  <si>
    <t>Cost-of-service type</t>
  </si>
  <si>
    <t>If available, you can add additional information on local conditions:</t>
  </si>
  <si>
    <t xml:space="preserve">Results: Technology Comparison Chart (to place results of various runs) </t>
  </si>
  <si>
    <t xml:space="preserve">The tool provides a section where you can store some of the runs of estimates that you have done and in this way compare different technology options. It also charts these so you can visualise them automatically. </t>
  </si>
  <si>
    <t xml:space="preserve">In the 'Applications' sheet, the tool provides a section where you can modify the 12 predefined storage applications altering their key parameters. You also have the option to define your own applications defining them by these parameters. </t>
  </si>
  <si>
    <t xml:space="preserve"> </t>
  </si>
  <si>
    <t>If you add additional applications to the 'Applications' sheet, they will appear as an option in the 'Cost-of-Service' sheet (see Step 3 of these instructions).</t>
  </si>
  <si>
    <t>[USDcents/kWh]</t>
  </si>
  <si>
    <t xml:space="preserve">This tool is based on data which were compiled from over 150 data sources, supplemented by expert interviews and analysis by IRENA of the latest battery developments. </t>
  </si>
  <si>
    <t xml:space="preserve">As a result, this data is a blend of different analytical approaches, including data from: installed projects, regulatory databases, installer surveys, individual projects, bottom-up engineering analyses and learning curve studies. </t>
  </si>
  <si>
    <t>Given the rapidly changing market place for electricity storage and the difficulty in always obtaining up-to-date data for each technology, the results should be treated with caution.</t>
  </si>
  <si>
    <t>http://www.irena.org/DocumentDownloads/Publications/IRENA_Electricity_Storage_Costs_2017.pdf</t>
  </si>
  <si>
    <t>This sheet provides step-by-step instruction on how to utilise it.</t>
  </si>
  <si>
    <t>Disclaimer</t>
  </si>
  <si>
    <t>The methodology of the calculations is explained in Annex 2 of the report which can be downloaded from:</t>
  </si>
  <si>
    <t>Electricity price [USDcents / kWh]</t>
  </si>
  <si>
    <t>USDcents / kWh</t>
  </si>
  <si>
    <t>Levelised cost-of-service</t>
  </si>
  <si>
    <t>Cost per kW storage system per year [USD]</t>
  </si>
  <si>
    <t>Cost per kWh stored electricity   [USD]</t>
  </si>
  <si>
    <t>Applications: Modifying parameters or creating new applications</t>
  </si>
  <si>
    <t xml:space="preserve">Note: The tool contains 12 predefined storage applications, which can be chosen from this dropdown menu. However, in the 'Applications' sheet, you can modify their parameters. </t>
  </si>
  <si>
    <t>You can also create new ones (see also "Applications: Modifying parameters or creating new applications" section at the end of this sheet).</t>
  </si>
  <si>
    <t>The tool contains charts to visualise the key results and provides a summarized table of cost-of-services estimates for the selected technology and application combination evaluated.</t>
  </si>
  <si>
    <t>You can toggle between the cost-of service type ("electricity" or "power" options). The charts displaying the composition of the annuities (left) and the cost-of-service development will update accordingly.</t>
  </si>
  <si>
    <t>USD per kW</t>
  </si>
  <si>
    <t>Note:  After you have changed the energy storage unit choice the first time, you may need to adjust the power conversion unit choice again, from those available in the dropdown.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</si>
</sst>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164" formatCode="#,##0\ &quot;€&quot;;[Red]\-#,##0\ &quot;€&quot;"/>
    <numFmt numFmtId="165" formatCode="_-* #,##0\ _€_-;\-* #,##0\ _€_-;_-* &quot;-&quot;\ _€_-;_-@_-"/>
    <numFmt numFmtId="166" formatCode="_-* #,##0.00\ _€_-;\-* #,##0.00\ _€_-;_-* &quot;-&quot;??\ _€_-;_-@_-"/>
    <numFmt numFmtId="167" formatCode="#,##0.00_ ;\-#,##0.00\ "/>
    <numFmt numFmtId="168" formatCode="#,##0_ ;\-#,##0\ "/>
    <numFmt numFmtId="169" formatCode="#,##0_ ;[Red]\-#,##0\ "/>
    <numFmt numFmtId="170" formatCode="0.000"/>
    <numFmt numFmtId="171" formatCode="0.0"/>
    <numFmt numFmtId="172" formatCode="#,##0\ &quot;€&quot;"/>
    <numFmt numFmtId="173" formatCode="[$$-409]#,##0"/>
    <numFmt numFmtId="174" formatCode="\+\ 0%;\ \-0%"/>
  </numFmts>
  <fonts count="25" x14ac:knownFonts="1">
    <font>
      <sz val="11"/>
      <color theme="1"/>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
      <b/>
      <sz val="12"/>
      <color theme="0"/>
      <name val="Calibri"/>
      <family val="2"/>
      <scheme val="minor"/>
    </font>
    <font>
      <b/>
      <sz val="14"/>
      <color theme="1"/>
      <name val="Calibri"/>
      <family val="2"/>
      <scheme val="minor"/>
    </font>
    <font>
      <sz val="11"/>
      <color theme="1"/>
      <name val="Calibri"/>
      <family val="2"/>
      <scheme val="minor"/>
    </font>
    <font>
      <b/>
      <sz val="12"/>
      <color theme="1"/>
      <name val="Calibri"/>
      <family val="2"/>
      <scheme val="minor"/>
    </font>
    <font>
      <sz val="11"/>
      <name val="Calibri"/>
      <family val="2"/>
      <scheme val="minor"/>
    </font>
    <font>
      <b/>
      <sz val="11"/>
      <name val="Calibri"/>
      <family val="2"/>
      <scheme val="minor"/>
    </font>
    <font>
      <b/>
      <sz val="14"/>
      <color rgb="FFFF0000"/>
      <name val="Calibri"/>
      <family val="2"/>
      <scheme val="minor"/>
    </font>
    <font>
      <sz val="14"/>
      <color theme="1"/>
      <name val="Calibri"/>
      <family val="2"/>
      <scheme val="minor"/>
    </font>
    <font>
      <b/>
      <i/>
      <sz val="11"/>
      <color theme="1"/>
      <name val="Calibri"/>
      <family val="2"/>
      <scheme val="minor"/>
    </font>
    <font>
      <b/>
      <u/>
      <sz val="14"/>
      <color theme="1"/>
      <name val="Calibri"/>
      <family val="2"/>
      <scheme val="minor"/>
    </font>
    <font>
      <b/>
      <sz val="10"/>
      <color theme="1"/>
      <name val="Calibri"/>
      <family val="2"/>
      <scheme val="minor"/>
    </font>
    <font>
      <sz val="11"/>
      <color theme="0"/>
      <name val="Calibri"/>
      <family val="2"/>
      <scheme val="minor"/>
    </font>
    <font>
      <u/>
      <sz val="11"/>
      <color theme="10"/>
      <name val="Calibri"/>
      <family val="2"/>
      <scheme val="minor"/>
    </font>
    <font>
      <sz val="11"/>
      <color rgb="FFFF0000"/>
      <name val="Calibri"/>
      <family val="2"/>
      <scheme val="minor"/>
    </font>
    <font>
      <b/>
      <sz val="11"/>
      <color rgb="FFFF0000"/>
      <name val="Calibri"/>
      <family val="2"/>
      <scheme val="minor"/>
    </font>
    <font>
      <i/>
      <sz val="11"/>
      <color rgb="FFFF0000"/>
      <name val="Calibri"/>
      <family val="2"/>
      <scheme val="minor"/>
    </font>
    <font>
      <i/>
      <sz val="11"/>
      <name val="Calibri"/>
      <family val="2"/>
      <scheme val="minor"/>
    </font>
    <font>
      <b/>
      <i/>
      <sz val="11"/>
      <name val="Calibri"/>
      <family val="2"/>
      <scheme val="minor"/>
    </font>
    <font>
      <sz val="30"/>
      <color rgb="FF181717"/>
      <name val="Calibri"/>
      <family val="2"/>
      <scheme val="minor"/>
    </font>
    <font>
      <sz val="30"/>
      <color theme="9"/>
      <name val="Calibri"/>
      <family val="2"/>
      <scheme val="minor"/>
    </font>
    <font>
      <sz val="12"/>
      <color theme="9" tint="-0.499984740745262"/>
      <name val="Calibri"/>
      <family val="2"/>
      <scheme val="minor"/>
    </font>
  </fonts>
  <fills count="21">
    <fill>
      <patternFill patternType="none"/>
    </fill>
    <fill>
      <patternFill patternType="gray125"/>
    </fill>
    <fill>
      <patternFill patternType="solid">
        <fgColor rgb="FFFF0000"/>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0"/>
        <bgColor indexed="64"/>
      </patternFill>
    </fill>
    <fill>
      <patternFill patternType="solid">
        <fgColor theme="8" tint="0.79998168889431442"/>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DCE6F1"/>
        <bgColor indexed="64"/>
      </patternFill>
    </fill>
    <fill>
      <patternFill patternType="solid">
        <fgColor theme="9" tint="0.79998168889431442"/>
        <bgColor indexed="65"/>
      </patternFill>
    </fill>
    <fill>
      <patternFill patternType="solid">
        <fgColor theme="6" tint="0.79998168889431442"/>
        <bgColor indexed="64"/>
      </patternFill>
    </fill>
    <fill>
      <patternFill patternType="solid">
        <fgColor theme="4"/>
      </patternFill>
    </fill>
    <fill>
      <patternFill patternType="solid">
        <fgColor theme="6" tint="0.39997558519241921"/>
        <bgColor indexed="65"/>
      </patternFill>
    </fill>
  </fills>
  <borders count="36">
    <border>
      <left/>
      <right/>
      <top/>
      <bottom/>
      <diagonal/>
    </border>
    <border>
      <left/>
      <right/>
      <top style="medium">
        <color indexed="64"/>
      </top>
      <bottom style="thin">
        <color indexed="64"/>
      </bottom>
      <diagonal/>
    </border>
    <border>
      <left/>
      <right/>
      <top/>
      <bottom style="medium">
        <color auto="1"/>
      </bottom>
      <diagonal/>
    </border>
    <border>
      <left/>
      <right/>
      <top style="medium">
        <color auto="1"/>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right style="thin">
        <color indexed="64"/>
      </right>
      <top/>
      <bottom style="medium">
        <color auto="1"/>
      </bottom>
      <diagonal/>
    </border>
    <border>
      <left style="thin">
        <color indexed="64"/>
      </left>
      <right/>
      <top/>
      <bottom style="medium">
        <color auto="1"/>
      </bottom>
      <diagonal/>
    </border>
    <border>
      <left style="thin">
        <color indexed="64"/>
      </left>
      <right/>
      <top style="thin">
        <color indexed="64"/>
      </top>
      <bottom/>
      <diagonal/>
    </border>
    <border>
      <left style="thin">
        <color indexed="64"/>
      </left>
      <right/>
      <top style="medium">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bottom style="dotted">
        <color auto="1"/>
      </bottom>
      <diagonal/>
    </border>
  </borders>
  <cellStyleXfs count="6">
    <xf numFmtId="0" fontId="0" fillId="0" borderId="0"/>
    <xf numFmtId="166" fontId="6" fillId="0" borderId="0" applyFont="0" applyFill="0" applyBorder="0" applyAlignment="0" applyProtection="0"/>
    <xf numFmtId="0" fontId="16" fillId="0" borderId="0" applyNumberFormat="0" applyFill="0" applyBorder="0" applyAlignment="0" applyProtection="0"/>
    <xf numFmtId="0" fontId="6" fillId="17"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cellStyleXfs>
  <cellXfs count="592">
    <xf numFmtId="0" fontId="0" fillId="0" borderId="0" xfId="0"/>
    <xf numFmtId="0" fontId="5" fillId="0" borderId="0" xfId="0" applyFont="1"/>
    <xf numFmtId="0" fontId="0" fillId="3" borderId="0" xfId="0" applyFill="1" applyBorder="1"/>
    <xf numFmtId="0" fontId="0" fillId="0" borderId="0" xfId="0"/>
    <xf numFmtId="0" fontId="2" fillId="0" borderId="0" xfId="0" applyFont="1"/>
    <xf numFmtId="0" fontId="2" fillId="0" borderId="1" xfId="0" applyFont="1" applyBorder="1"/>
    <xf numFmtId="0" fontId="2" fillId="0" borderId="2" xfId="0" applyFont="1" applyBorder="1"/>
    <xf numFmtId="0" fontId="0" fillId="0" borderId="2" xfId="0" applyBorder="1"/>
    <xf numFmtId="0" fontId="2" fillId="0" borderId="3" xfId="0" applyFont="1" applyBorder="1"/>
    <xf numFmtId="0" fontId="0" fillId="0" borderId="3" xfId="0" applyBorder="1"/>
    <xf numFmtId="0" fontId="0" fillId="0" borderId="0" xfId="0" applyBorder="1"/>
    <xf numFmtId="0" fontId="2" fillId="0" borderId="0" xfId="0" applyFont="1" applyBorder="1"/>
    <xf numFmtId="0" fontId="0" fillId="0" borderId="0" xfId="0" applyFont="1"/>
    <xf numFmtId="0" fontId="2" fillId="0" borderId="0" xfId="0" applyFont="1" applyAlignment="1">
      <alignment horizontal="left"/>
    </xf>
    <xf numFmtId="0" fontId="3" fillId="0" borderId="0" xfId="0" applyFont="1"/>
    <xf numFmtId="0" fontId="3" fillId="0" borderId="0" xfId="0" applyFont="1" applyBorder="1"/>
    <xf numFmtId="0" fontId="0" fillId="0" borderId="0" xfId="0" applyFill="1"/>
    <xf numFmtId="0" fontId="0" fillId="0" borderId="0" xfId="0" applyFill="1" applyBorder="1"/>
    <xf numFmtId="0" fontId="0" fillId="4" borderId="0" xfId="0" applyFill="1"/>
    <xf numFmtId="0" fontId="0" fillId="0" borderId="2" xfId="0" applyFont="1" applyBorder="1"/>
    <xf numFmtId="164" fontId="0" fillId="0" borderId="0" xfId="0" applyNumberFormat="1" applyFont="1"/>
    <xf numFmtId="0" fontId="0" fillId="0" borderId="0" xfId="0"/>
    <xf numFmtId="0" fontId="2" fillId="0" borderId="0" xfId="0" applyFont="1"/>
    <xf numFmtId="0" fontId="2" fillId="0" borderId="1" xfId="0" applyFont="1" applyBorder="1"/>
    <xf numFmtId="0" fontId="2" fillId="0" borderId="3" xfId="0" applyFont="1" applyBorder="1"/>
    <xf numFmtId="0" fontId="0" fillId="0" borderId="0" xfId="0" applyBorder="1"/>
    <xf numFmtId="0" fontId="2" fillId="0" borderId="0" xfId="0" applyFont="1" applyBorder="1"/>
    <xf numFmtId="0" fontId="5" fillId="0" borderId="0" xfId="0" applyFont="1"/>
    <xf numFmtId="0" fontId="0" fillId="0" borderId="0" xfId="0" applyFill="1"/>
    <xf numFmtId="0" fontId="0" fillId="0" borderId="0" xfId="0" applyFill="1" applyBorder="1"/>
    <xf numFmtId="0" fontId="3" fillId="0" borderId="0" xfId="0" applyFont="1"/>
    <xf numFmtId="0" fontId="0" fillId="0" borderId="0" xfId="0"/>
    <xf numFmtId="0" fontId="2" fillId="0" borderId="1" xfId="0" applyFont="1" applyBorder="1"/>
    <xf numFmtId="0" fontId="0" fillId="0" borderId="0" xfId="0" applyBorder="1"/>
    <xf numFmtId="0" fontId="0" fillId="0" borderId="0" xfId="0" applyFill="1"/>
    <xf numFmtId="0" fontId="0" fillId="0" borderId="0" xfId="0" applyFill="1" applyBorder="1"/>
    <xf numFmtId="0" fontId="0" fillId="0" borderId="0" xfId="0"/>
    <xf numFmtId="0" fontId="2" fillId="0" borderId="0" xfId="0" applyFont="1"/>
    <xf numFmtId="0" fontId="2" fillId="0" borderId="1" xfId="0" applyFont="1" applyBorder="1"/>
    <xf numFmtId="0" fontId="0" fillId="0" borderId="0" xfId="0" applyBorder="1"/>
    <xf numFmtId="0" fontId="2" fillId="0" borderId="0" xfId="0" applyFont="1" applyBorder="1"/>
    <xf numFmtId="0" fontId="5" fillId="0" borderId="0" xfId="0" applyFont="1"/>
    <xf numFmtId="0" fontId="0" fillId="0" borderId="0" xfId="0" applyFill="1"/>
    <xf numFmtId="0" fontId="0" fillId="0" borderId="0" xfId="0" applyFill="1" applyBorder="1"/>
    <xf numFmtId="0" fontId="3" fillId="0" borderId="0" xfId="0" applyFont="1"/>
    <xf numFmtId="0" fontId="0" fillId="5" borderId="0" xfId="0" applyFill="1"/>
    <xf numFmtId="0" fontId="7" fillId="5" borderId="0" xfId="0" applyFont="1" applyFill="1" applyAlignment="1"/>
    <xf numFmtId="0" fontId="7" fillId="0" borderId="0" xfId="0" applyFont="1" applyBorder="1"/>
    <xf numFmtId="0" fontId="2" fillId="0" borderId="4" xfId="0" applyFont="1" applyBorder="1"/>
    <xf numFmtId="0" fontId="2" fillId="0" borderId="5" xfId="0" applyFont="1" applyBorder="1"/>
    <xf numFmtId="0" fontId="2" fillId="0" borderId="0" xfId="0" applyFont="1" applyFill="1" applyBorder="1"/>
    <xf numFmtId="0" fontId="2" fillId="6" borderId="0" xfId="0" applyFont="1" applyFill="1"/>
    <xf numFmtId="167" fontId="0" fillId="6" borderId="0" xfId="1" applyNumberFormat="1" applyFont="1" applyFill="1" applyBorder="1" applyAlignment="1">
      <alignment horizontal="right"/>
    </xf>
    <xf numFmtId="167" fontId="0" fillId="6" borderId="7" xfId="1" applyNumberFormat="1" applyFont="1" applyFill="1" applyBorder="1" applyAlignment="1">
      <alignment horizontal="right"/>
    </xf>
    <xf numFmtId="0" fontId="0" fillId="6" borderId="6" xfId="0" applyFill="1" applyBorder="1"/>
    <xf numFmtId="0" fontId="0" fillId="0" borderId="6" xfId="0" applyBorder="1"/>
    <xf numFmtId="168" fontId="0" fillId="6" borderId="0" xfId="1" applyNumberFormat="1" applyFont="1" applyFill="1" applyBorder="1" applyAlignment="1">
      <alignment horizontal="right"/>
    </xf>
    <xf numFmtId="168" fontId="0" fillId="6" borderId="7" xfId="1" applyNumberFormat="1" applyFont="1" applyFill="1" applyBorder="1" applyAlignment="1">
      <alignment horizontal="right"/>
    </xf>
    <xf numFmtId="165" fontId="0" fillId="6" borderId="0" xfId="1" applyNumberFormat="1" applyFont="1" applyFill="1" applyBorder="1" applyAlignment="1">
      <alignment horizontal="right"/>
    </xf>
    <xf numFmtId="165" fontId="0" fillId="6" borderId="7" xfId="1" applyNumberFormat="1" applyFont="1" applyFill="1" applyBorder="1" applyAlignment="1">
      <alignment horizontal="right"/>
    </xf>
    <xf numFmtId="0" fontId="0" fillId="6" borderId="10" xfId="0" applyFill="1" applyBorder="1"/>
    <xf numFmtId="0" fontId="2" fillId="5" borderId="0" xfId="0" applyFont="1" applyFill="1" applyBorder="1" applyAlignment="1"/>
    <xf numFmtId="0" fontId="2" fillId="7" borderId="1" xfId="0" applyFont="1" applyFill="1" applyBorder="1"/>
    <xf numFmtId="1" fontId="0" fillId="3" borderId="0" xfId="0" applyNumberFormat="1" applyFont="1" applyFill="1"/>
    <xf numFmtId="1" fontId="0" fillId="3" borderId="2" xfId="0" applyNumberFormat="1" applyFont="1" applyFill="1" applyBorder="1"/>
    <xf numFmtId="0" fontId="2" fillId="0" borderId="0" xfId="0" applyFont="1" applyFill="1"/>
    <xf numFmtId="1" fontId="0" fillId="0" borderId="0" xfId="0" applyNumberFormat="1" applyFont="1"/>
    <xf numFmtId="1" fontId="0" fillId="0" borderId="2" xfId="0" applyNumberFormat="1" applyFont="1" applyBorder="1"/>
    <xf numFmtId="164" fontId="0" fillId="0" borderId="0" xfId="0" applyNumberFormat="1" applyFont="1" applyFill="1"/>
    <xf numFmtId="1" fontId="0" fillId="0" borderId="0" xfId="0" applyNumberFormat="1" applyFont="1" applyFill="1"/>
    <xf numFmtId="1" fontId="0" fillId="0" borderId="2" xfId="0" applyNumberFormat="1" applyFont="1" applyFill="1" applyBorder="1"/>
    <xf numFmtId="0" fontId="0" fillId="0" borderId="0" xfId="0"/>
    <xf numFmtId="164" fontId="0" fillId="0" borderId="0" xfId="0" applyNumberFormat="1" applyFont="1" applyFill="1" applyBorder="1"/>
    <xf numFmtId="1" fontId="0" fillId="0" borderId="0" xfId="0" applyNumberFormat="1" applyFont="1" applyFill="1" applyBorder="1"/>
    <xf numFmtId="0" fontId="0" fillId="0" borderId="0" xfId="0" applyFont="1" applyFill="1" applyBorder="1"/>
    <xf numFmtId="0" fontId="0" fillId="0" borderId="0" xfId="0" applyNumberFormat="1" applyFont="1" applyFill="1"/>
    <xf numFmtId="0" fontId="0" fillId="0" borderId="0" xfId="0" applyNumberFormat="1" applyFont="1"/>
    <xf numFmtId="0" fontId="0" fillId="0" borderId="2" xfId="0" applyNumberFormat="1" applyFont="1" applyBorder="1"/>
    <xf numFmtId="171" fontId="0" fillId="0" borderId="2" xfId="0" applyNumberFormat="1" applyFont="1" applyFill="1" applyBorder="1"/>
    <xf numFmtId="0" fontId="0" fillId="0" borderId="0" xfId="0" applyAlignment="1">
      <alignment horizontal="right"/>
    </xf>
    <xf numFmtId="0" fontId="0" fillId="0" borderId="2" xfId="0" applyBorder="1" applyAlignment="1">
      <alignment horizontal="right"/>
    </xf>
    <xf numFmtId="0" fontId="0" fillId="0" borderId="0" xfId="0" applyFont="1" applyFill="1"/>
    <xf numFmtId="0" fontId="0" fillId="0" borderId="2" xfId="0" applyFont="1" applyFill="1" applyBorder="1"/>
    <xf numFmtId="0" fontId="0" fillId="0" borderId="2" xfId="0" applyFill="1" applyBorder="1"/>
    <xf numFmtId="1" fontId="0" fillId="0" borderId="0" xfId="0" applyNumberFormat="1" applyFont="1" applyBorder="1"/>
    <xf numFmtId="171" fontId="0" fillId="0" borderId="0" xfId="0" applyNumberFormat="1" applyFont="1" applyFill="1" applyBorder="1"/>
    <xf numFmtId="0" fontId="0" fillId="0" borderId="0" xfId="0" applyNumberFormat="1" applyFont="1" applyBorder="1"/>
    <xf numFmtId="164" fontId="0" fillId="8" borderId="0" xfId="0" applyNumberFormat="1" applyFont="1" applyFill="1"/>
    <xf numFmtId="1" fontId="0" fillId="8" borderId="0" xfId="0" applyNumberFormat="1" applyFont="1" applyFill="1"/>
    <xf numFmtId="0" fontId="0" fillId="8" borderId="0" xfId="0" applyNumberFormat="1" applyFont="1" applyFill="1"/>
    <xf numFmtId="1" fontId="0" fillId="8" borderId="2" xfId="0" applyNumberFormat="1" applyFont="1" applyFill="1" applyBorder="1"/>
    <xf numFmtId="0" fontId="0" fillId="8" borderId="0" xfId="0" applyFont="1" applyFill="1"/>
    <xf numFmtId="0" fontId="0" fillId="8" borderId="2" xfId="0" applyFont="1" applyFill="1" applyBorder="1"/>
    <xf numFmtId="0" fontId="0" fillId="8" borderId="0" xfId="0" applyFill="1"/>
    <xf numFmtId="171" fontId="0" fillId="8" borderId="2" xfId="0" applyNumberFormat="1" applyFont="1" applyFill="1" applyBorder="1"/>
    <xf numFmtId="170" fontId="0" fillId="0" borderId="0" xfId="0" applyNumberFormat="1"/>
    <xf numFmtId="49" fontId="0" fillId="0" borderId="6" xfId="0" applyNumberFormat="1" applyBorder="1"/>
    <xf numFmtId="0" fontId="0" fillId="0" borderId="0" xfId="0"/>
    <xf numFmtId="0" fontId="2" fillId="0" borderId="3" xfId="0" applyFont="1" applyBorder="1"/>
    <xf numFmtId="0" fontId="0" fillId="0" borderId="0" xfId="0" applyFont="1"/>
    <xf numFmtId="0" fontId="2" fillId="0" borderId="12" xfId="0" applyFont="1" applyBorder="1"/>
    <xf numFmtId="0" fontId="0" fillId="0" borderId="0" xfId="0"/>
    <xf numFmtId="0" fontId="0" fillId="0" borderId="2" xfId="0" applyNumberFormat="1" applyFont="1" applyFill="1" applyBorder="1"/>
    <xf numFmtId="164" fontId="0" fillId="9" borderId="0" xfId="0" applyNumberFormat="1" applyFont="1" applyFill="1"/>
    <xf numFmtId="1" fontId="0" fillId="9" borderId="0" xfId="0" applyNumberFormat="1" applyFont="1" applyFill="1"/>
    <xf numFmtId="1" fontId="0" fillId="9" borderId="2" xfId="0" applyNumberFormat="1" applyFont="1" applyFill="1" applyBorder="1"/>
    <xf numFmtId="0" fontId="0" fillId="9" borderId="0" xfId="0" applyFont="1" applyFill="1"/>
    <xf numFmtId="0" fontId="0" fillId="9" borderId="2" xfId="0" applyFont="1" applyFill="1" applyBorder="1"/>
    <xf numFmtId="0" fontId="0" fillId="9" borderId="0" xfId="0" applyNumberFormat="1" applyFont="1" applyFill="1"/>
    <xf numFmtId="0" fontId="8" fillId="0" borderId="0" xfId="0" applyFont="1" applyFill="1"/>
    <xf numFmtId="164" fontId="2" fillId="3" borderId="0" xfId="0" applyNumberFormat="1" applyFont="1" applyFill="1"/>
    <xf numFmtId="1" fontId="2" fillId="3" borderId="0" xfId="0" applyNumberFormat="1" applyFont="1" applyFill="1"/>
    <xf numFmtId="1" fontId="2" fillId="3" borderId="2" xfId="0" applyNumberFormat="1" applyFont="1" applyFill="1" applyBorder="1"/>
    <xf numFmtId="164" fontId="2" fillId="0" borderId="0" xfId="0" applyNumberFormat="1" applyFont="1" applyFill="1"/>
    <xf numFmtId="0" fontId="2" fillId="0" borderId="0" xfId="0" applyNumberFormat="1" applyFont="1" applyFill="1"/>
    <xf numFmtId="0" fontId="2" fillId="0" borderId="2" xfId="0" applyNumberFormat="1" applyFont="1" applyFill="1" applyBorder="1"/>
    <xf numFmtId="164" fontId="2" fillId="9" borderId="0" xfId="0" applyNumberFormat="1" applyFont="1" applyFill="1"/>
    <xf numFmtId="1" fontId="2" fillId="9" borderId="0" xfId="0" applyNumberFormat="1" applyFont="1" applyFill="1"/>
    <xf numFmtId="1" fontId="2" fillId="0" borderId="0" xfId="0" applyNumberFormat="1" applyFont="1" applyFill="1"/>
    <xf numFmtId="1" fontId="2" fillId="0" borderId="2" xfId="0" applyNumberFormat="1" applyFont="1" applyFill="1" applyBorder="1"/>
    <xf numFmtId="171" fontId="2" fillId="9" borderId="0" xfId="0" applyNumberFormat="1" applyFont="1" applyFill="1" applyBorder="1"/>
    <xf numFmtId="171" fontId="2" fillId="3" borderId="2" xfId="0" applyNumberFormat="1" applyFont="1" applyFill="1" applyBorder="1"/>
    <xf numFmtId="164" fontId="2" fillId="0" borderId="0" xfId="0" applyNumberFormat="1" applyFont="1"/>
    <xf numFmtId="164" fontId="2" fillId="8" borderId="0" xfId="0" applyNumberFormat="1" applyFont="1" applyFill="1"/>
    <xf numFmtId="1" fontId="2" fillId="8" borderId="0" xfId="0" applyNumberFormat="1" applyFont="1" applyFill="1"/>
    <xf numFmtId="1" fontId="2" fillId="4" borderId="0" xfId="0" applyNumberFormat="1" applyFont="1" applyFill="1"/>
    <xf numFmtId="171" fontId="2" fillId="8" borderId="0" xfId="0" applyNumberFormat="1" applyFont="1" applyFill="1" applyBorder="1"/>
    <xf numFmtId="171" fontId="0" fillId="0" borderId="0" xfId="0" applyNumberFormat="1" applyFont="1" applyFill="1"/>
    <xf numFmtId="0" fontId="2" fillId="0" borderId="0" xfId="0" applyNumberFormat="1" applyFont="1"/>
    <xf numFmtId="0" fontId="2" fillId="0" borderId="2" xfId="0" applyNumberFormat="1" applyFont="1" applyBorder="1"/>
    <xf numFmtId="1" fontId="2" fillId="8" borderId="2" xfId="0" applyNumberFormat="1" applyFont="1" applyFill="1" applyBorder="1"/>
    <xf numFmtId="171" fontId="9" fillId="0" borderId="0" xfId="0" applyNumberFormat="1" applyFont="1" applyFill="1" applyBorder="1"/>
    <xf numFmtId="1" fontId="8" fillId="0" borderId="0" xfId="0" applyNumberFormat="1" applyFont="1" applyFill="1" applyBorder="1"/>
    <xf numFmtId="171" fontId="8" fillId="0" borderId="0" xfId="0" applyNumberFormat="1" applyFont="1" applyFill="1" applyBorder="1"/>
    <xf numFmtId="0" fontId="9" fillId="0" borderId="0" xfId="0" applyFont="1" applyFill="1" applyBorder="1"/>
    <xf numFmtId="0" fontId="8" fillId="0" borderId="0" xfId="0" applyNumberFormat="1" applyFont="1" applyFill="1" applyBorder="1"/>
    <xf numFmtId="0" fontId="8" fillId="0" borderId="0" xfId="0" applyFont="1" applyFill="1" applyBorder="1"/>
    <xf numFmtId="170" fontId="8" fillId="0" borderId="0" xfId="0" applyNumberFormat="1" applyFont="1" applyFill="1" applyBorder="1"/>
    <xf numFmtId="164" fontId="8" fillId="0" borderId="0" xfId="0" applyNumberFormat="1" applyFont="1" applyFill="1" applyBorder="1"/>
    <xf numFmtId="164" fontId="9" fillId="0" borderId="0" xfId="0" applyNumberFormat="1" applyFont="1" applyFill="1" applyBorder="1"/>
    <xf numFmtId="1" fontId="9" fillId="0" borderId="0" xfId="0" applyNumberFormat="1" applyFont="1" applyFill="1" applyBorder="1"/>
    <xf numFmtId="0" fontId="4" fillId="0" borderId="0" xfId="0" applyFont="1" applyFill="1"/>
    <xf numFmtId="0" fontId="1" fillId="0" borderId="0" xfId="0" applyFont="1" applyFill="1"/>
    <xf numFmtId="0" fontId="3" fillId="0" borderId="0" xfId="0" applyFont="1" applyFill="1" applyBorder="1"/>
    <xf numFmtId="0" fontId="5" fillId="0" borderId="0" xfId="0" applyFont="1" applyFill="1" applyBorder="1"/>
    <xf numFmtId="49" fontId="0" fillId="0" borderId="6" xfId="0" applyNumberFormat="1" applyBorder="1" applyAlignment="1">
      <alignment horizontal="left"/>
    </xf>
    <xf numFmtId="0" fontId="0" fillId="0" borderId="0" xfId="0"/>
    <xf numFmtId="167" fontId="0" fillId="6" borderId="6" xfId="1" applyNumberFormat="1" applyFont="1" applyFill="1" applyBorder="1" applyAlignment="1">
      <alignment horizontal="right"/>
    </xf>
    <xf numFmtId="167" fontId="0" fillId="5" borderId="6" xfId="1" applyNumberFormat="1" applyFont="1" applyFill="1" applyBorder="1" applyAlignment="1">
      <alignment horizontal="right"/>
    </xf>
    <xf numFmtId="167" fontId="0" fillId="5" borderId="0" xfId="1" applyNumberFormat="1" applyFont="1" applyFill="1" applyBorder="1" applyAlignment="1">
      <alignment horizontal="right"/>
    </xf>
    <xf numFmtId="167" fontId="0" fillId="5" borderId="7" xfId="1" applyNumberFormat="1" applyFont="1" applyFill="1" applyBorder="1" applyAlignment="1">
      <alignment horizontal="right"/>
    </xf>
    <xf numFmtId="168" fontId="0" fillId="6" borderId="6" xfId="1" applyNumberFormat="1" applyFont="1" applyFill="1" applyBorder="1" applyAlignment="1">
      <alignment horizontal="right"/>
    </xf>
    <xf numFmtId="168" fontId="0" fillId="5" borderId="6" xfId="1" applyNumberFormat="1" applyFont="1" applyFill="1" applyBorder="1" applyAlignment="1">
      <alignment horizontal="right"/>
    </xf>
    <xf numFmtId="168" fontId="0" fillId="5" borderId="0" xfId="1" applyNumberFormat="1" applyFont="1" applyFill="1" applyBorder="1" applyAlignment="1">
      <alignment horizontal="right"/>
    </xf>
    <xf numFmtId="0" fontId="2" fillId="5" borderId="0" xfId="0" applyFont="1" applyFill="1"/>
    <xf numFmtId="0" fontId="0" fillId="5" borderId="6" xfId="0" applyFill="1" applyBorder="1"/>
    <xf numFmtId="2" fontId="2" fillId="6" borderId="7" xfId="0" applyNumberFormat="1" applyFont="1" applyFill="1" applyBorder="1"/>
    <xf numFmtId="165" fontId="0" fillId="6" borderId="6" xfId="1" applyNumberFormat="1" applyFont="1" applyFill="1" applyBorder="1" applyAlignment="1"/>
    <xf numFmtId="2" fontId="2" fillId="6" borderId="9" xfId="0" applyNumberFormat="1" applyFont="1" applyFill="1" applyBorder="1"/>
    <xf numFmtId="3" fontId="0" fillId="0" borderId="0" xfId="0" applyNumberFormat="1" applyFont="1" applyFill="1"/>
    <xf numFmtId="3" fontId="0" fillId="0" borderId="0" xfId="0" applyNumberFormat="1" applyFont="1"/>
    <xf numFmtId="3" fontId="0" fillId="0" borderId="2" xfId="0" applyNumberFormat="1" applyFont="1" applyFill="1" applyBorder="1"/>
    <xf numFmtId="3" fontId="2" fillId="8" borderId="0" xfId="0" applyNumberFormat="1" applyFont="1" applyFill="1"/>
    <xf numFmtId="3" fontId="0" fillId="8" borderId="0" xfId="0" applyNumberFormat="1" applyFont="1" applyFill="1"/>
    <xf numFmtId="169" fontId="0" fillId="0" borderId="0" xfId="0" applyNumberFormat="1" applyFont="1" applyFill="1"/>
    <xf numFmtId="169" fontId="0" fillId="0" borderId="0" xfId="0" applyNumberFormat="1" applyFont="1"/>
    <xf numFmtId="169" fontId="0" fillId="8" borderId="0" xfId="0" applyNumberFormat="1" applyFont="1" applyFill="1"/>
    <xf numFmtId="169" fontId="2" fillId="8" borderId="0" xfId="0" applyNumberFormat="1" applyFont="1" applyFill="1"/>
    <xf numFmtId="0" fontId="0" fillId="0" borderId="0" xfId="0" applyBorder="1" applyAlignment="1">
      <alignment horizontal="left"/>
    </xf>
    <xf numFmtId="0" fontId="0" fillId="0" borderId="6" xfId="0" applyBorder="1" applyAlignment="1">
      <alignment horizontal="left"/>
    </xf>
    <xf numFmtId="0" fontId="5" fillId="0" borderId="0" xfId="0" applyFont="1" applyFill="1"/>
    <xf numFmtId="0" fontId="2" fillId="0" borderId="0" xfId="0" applyFont="1" applyFill="1" applyBorder="1" applyAlignment="1">
      <alignment horizontal="left"/>
    </xf>
    <xf numFmtId="172" fontId="2" fillId="3" borderId="0" xfId="0" applyNumberFormat="1" applyFont="1" applyFill="1"/>
    <xf numFmtId="172" fontId="2" fillId="0" borderId="0" xfId="0" applyNumberFormat="1" applyFont="1" applyFill="1"/>
    <xf numFmtId="49" fontId="0" fillId="0" borderId="6" xfId="0" applyNumberFormat="1" applyBorder="1" applyAlignment="1"/>
    <xf numFmtId="0" fontId="10" fillId="10" borderId="13" xfId="0" applyFont="1" applyFill="1" applyBorder="1"/>
    <xf numFmtId="0" fontId="11" fillId="10" borderId="14" xfId="0" applyFont="1" applyFill="1" applyBorder="1"/>
    <xf numFmtId="0" fontId="10" fillId="10" borderId="15" xfId="0" applyFont="1" applyFill="1" applyBorder="1"/>
    <xf numFmtId="0" fontId="11" fillId="10" borderId="16" xfId="0" applyFont="1" applyFill="1" applyBorder="1"/>
    <xf numFmtId="14" fontId="0" fillId="0" borderId="0" xfId="0" applyNumberFormat="1"/>
    <xf numFmtId="168" fontId="0" fillId="6" borderId="2" xfId="1" applyNumberFormat="1" applyFont="1" applyFill="1" applyBorder="1" applyAlignment="1">
      <alignment horizontal="right"/>
    </xf>
    <xf numFmtId="172" fontId="2" fillId="4" borderId="0" xfId="0" applyNumberFormat="1" applyFont="1" applyFill="1"/>
    <xf numFmtId="0" fontId="0" fillId="0" borderId="0" xfId="0"/>
    <xf numFmtId="3" fontId="0" fillId="0" borderId="2" xfId="0" applyNumberFormat="1" applyFont="1" applyBorder="1"/>
    <xf numFmtId="3" fontId="2" fillId="0" borderId="0" xfId="0" applyNumberFormat="1" applyFont="1" applyFill="1"/>
    <xf numFmtId="0" fontId="0" fillId="0" borderId="6" xfId="0" applyFill="1" applyBorder="1"/>
    <xf numFmtId="0" fontId="0" fillId="0" borderId="6" xfId="0" applyFill="1" applyBorder="1" applyAlignment="1">
      <alignment horizontal="left"/>
    </xf>
    <xf numFmtId="169" fontId="0" fillId="0" borderId="2" xfId="0" applyNumberFormat="1" applyFont="1" applyBorder="1"/>
    <xf numFmtId="168" fontId="0" fillId="0" borderId="0" xfId="1" applyNumberFormat="1" applyFont="1" applyFill="1" applyAlignment="1"/>
    <xf numFmtId="170" fontId="0" fillId="0" borderId="0" xfId="0" applyNumberFormat="1" applyFill="1" applyBorder="1"/>
    <xf numFmtId="1" fontId="0" fillId="0" borderId="0" xfId="0" applyNumberFormat="1" applyFill="1" applyBorder="1"/>
    <xf numFmtId="0" fontId="0" fillId="0" borderId="0" xfId="0" applyNumberFormat="1" applyFont="1" applyFill="1" applyBorder="1"/>
    <xf numFmtId="0" fontId="0" fillId="0" borderId="0" xfId="0"/>
    <xf numFmtId="0" fontId="0" fillId="0" borderId="0" xfId="0"/>
    <xf numFmtId="0" fontId="5" fillId="0" borderId="2" xfId="0" applyFont="1" applyBorder="1"/>
    <xf numFmtId="0" fontId="8" fillId="5" borderId="0" xfId="0" applyFont="1" applyFill="1"/>
    <xf numFmtId="0" fontId="9" fillId="5" borderId="2" xfId="0" applyFont="1" applyFill="1" applyBorder="1"/>
    <xf numFmtId="168" fontId="2" fillId="6" borderId="7" xfId="1" applyNumberFormat="1" applyFont="1" applyFill="1" applyBorder="1" applyAlignment="1">
      <alignment horizontal="right"/>
    </xf>
    <xf numFmtId="168" fontId="2" fillId="5" borderId="0" xfId="1" applyNumberFormat="1" applyFont="1" applyFill="1" applyBorder="1" applyAlignment="1">
      <alignment horizontal="right"/>
    </xf>
    <xf numFmtId="168" fontId="2" fillId="5" borderId="7" xfId="1" applyNumberFormat="1" applyFont="1" applyFill="1" applyBorder="1" applyAlignment="1">
      <alignment horizontal="right"/>
    </xf>
    <xf numFmtId="168" fontId="2" fillId="6" borderId="9" xfId="1" applyNumberFormat="1" applyFont="1" applyFill="1" applyBorder="1" applyAlignment="1">
      <alignment horizontal="right"/>
    </xf>
    <xf numFmtId="0" fontId="5" fillId="0" borderId="0" xfId="0" applyFont="1" applyBorder="1"/>
    <xf numFmtId="0" fontId="12" fillId="0" borderId="0" xfId="0" applyFont="1"/>
    <xf numFmtId="0" fontId="0" fillId="0" borderId="0" xfId="0"/>
    <xf numFmtId="0" fontId="0" fillId="0" borderId="11" xfId="0" applyBorder="1"/>
    <xf numFmtId="0" fontId="0" fillId="0" borderId="8" xfId="0" applyBorder="1"/>
    <xf numFmtId="164" fontId="8" fillId="0" borderId="17" xfId="0" applyNumberFormat="1" applyFont="1" applyBorder="1"/>
    <xf numFmtId="0" fontId="0" fillId="0" borderId="18" xfId="0" applyBorder="1"/>
    <xf numFmtId="0" fontId="0" fillId="0" borderId="19" xfId="0" applyBorder="1"/>
    <xf numFmtId="173" fontId="0" fillId="0" borderId="20" xfId="0" applyNumberFormat="1" applyBorder="1" applyAlignment="1">
      <alignment horizontal="right"/>
    </xf>
    <xf numFmtId="167" fontId="2" fillId="5" borderId="7" xfId="1" applyNumberFormat="1" applyFont="1" applyFill="1" applyBorder="1" applyAlignment="1">
      <alignment horizontal="right"/>
    </xf>
    <xf numFmtId="0" fontId="0" fillId="0" borderId="21" xfId="0" applyBorder="1"/>
    <xf numFmtId="0" fontId="0" fillId="0" borderId="22" xfId="0" applyBorder="1"/>
    <xf numFmtId="0" fontId="0" fillId="0" borderId="7" xfId="0" applyBorder="1"/>
    <xf numFmtId="0" fontId="0" fillId="0" borderId="17" xfId="0" applyBorder="1"/>
    <xf numFmtId="0" fontId="0" fillId="0" borderId="0" xfId="0"/>
    <xf numFmtId="0" fontId="0" fillId="0" borderId="0" xfId="0"/>
    <xf numFmtId="167" fontId="2" fillId="5" borderId="0" xfId="1" applyNumberFormat="1" applyFont="1" applyFill="1" applyBorder="1" applyAlignment="1">
      <alignment horizontal="right"/>
    </xf>
    <xf numFmtId="167" fontId="0" fillId="6" borderId="2" xfId="1" applyNumberFormat="1" applyFont="1" applyFill="1" applyBorder="1" applyAlignment="1">
      <alignment horizontal="right"/>
    </xf>
    <xf numFmtId="167" fontId="0" fillId="6" borderId="9" xfId="1" applyNumberFormat="1" applyFont="1" applyFill="1" applyBorder="1" applyAlignment="1">
      <alignment horizontal="right"/>
    </xf>
    <xf numFmtId="167" fontId="0" fillId="6" borderId="6" xfId="1" applyNumberFormat="1" applyFont="1" applyFill="1" applyBorder="1" applyAlignment="1">
      <alignment horizontal="right"/>
    </xf>
    <xf numFmtId="167" fontId="0" fillId="6" borderId="0" xfId="1" applyNumberFormat="1" applyFont="1" applyFill="1" applyBorder="1" applyAlignment="1">
      <alignment horizontal="right"/>
    </xf>
    <xf numFmtId="167" fontId="0" fillId="6" borderId="7" xfId="1" applyNumberFormat="1" applyFont="1" applyFill="1" applyBorder="1" applyAlignment="1">
      <alignment horizontal="right"/>
    </xf>
    <xf numFmtId="167" fontId="0" fillId="5" borderId="6" xfId="1" applyNumberFormat="1" applyFont="1" applyFill="1" applyBorder="1" applyAlignment="1">
      <alignment horizontal="right"/>
    </xf>
    <xf numFmtId="167" fontId="0" fillId="5" borderId="0" xfId="1" applyNumberFormat="1" applyFont="1" applyFill="1" applyBorder="1" applyAlignment="1">
      <alignment horizontal="right"/>
    </xf>
    <xf numFmtId="167" fontId="0" fillId="5" borderId="7" xfId="1" applyNumberFormat="1" applyFont="1" applyFill="1" applyBorder="1" applyAlignment="1">
      <alignment horizontal="right"/>
    </xf>
    <xf numFmtId="168" fontId="0" fillId="6" borderId="6" xfId="1" applyNumberFormat="1" applyFont="1" applyFill="1" applyBorder="1" applyAlignment="1">
      <alignment horizontal="right"/>
    </xf>
    <xf numFmtId="168" fontId="0" fillId="6" borderId="0" xfId="1" applyNumberFormat="1" applyFont="1" applyFill="1" applyBorder="1" applyAlignment="1">
      <alignment horizontal="right"/>
    </xf>
    <xf numFmtId="168" fontId="0" fillId="6" borderId="7" xfId="1" applyNumberFormat="1" applyFont="1" applyFill="1" applyBorder="1" applyAlignment="1">
      <alignment horizontal="right"/>
    </xf>
    <xf numFmtId="168" fontId="0" fillId="5" borderId="6" xfId="1" applyNumberFormat="1" applyFont="1" applyFill="1" applyBorder="1" applyAlignment="1">
      <alignment horizontal="right"/>
    </xf>
    <xf numFmtId="168" fontId="0" fillId="5" borderId="0" xfId="1" applyNumberFormat="1" applyFont="1" applyFill="1" applyBorder="1" applyAlignment="1">
      <alignment horizontal="right"/>
    </xf>
    <xf numFmtId="165" fontId="0" fillId="6" borderId="6" xfId="1" applyNumberFormat="1" applyFont="1" applyFill="1" applyBorder="1" applyAlignment="1"/>
    <xf numFmtId="165" fontId="0" fillId="6" borderId="0" xfId="1" applyNumberFormat="1" applyFont="1" applyFill="1" applyBorder="1" applyAlignment="1">
      <alignment horizontal="right"/>
    </xf>
    <xf numFmtId="165" fontId="0" fillId="6" borderId="7" xfId="1" applyNumberFormat="1" applyFont="1" applyFill="1" applyBorder="1" applyAlignment="1">
      <alignment horizontal="right"/>
    </xf>
    <xf numFmtId="0" fontId="0" fillId="0" borderId="0" xfId="0"/>
    <xf numFmtId="0" fontId="0" fillId="0" borderId="0" xfId="0"/>
    <xf numFmtId="0" fontId="0" fillId="0" borderId="0" xfId="0" applyProtection="1">
      <protection locked="0"/>
    </xf>
    <xf numFmtId="0" fontId="2" fillId="5" borderId="0" xfId="0" applyFont="1" applyFill="1" applyProtection="1">
      <protection locked="0"/>
    </xf>
    <xf numFmtId="0" fontId="13" fillId="5" borderId="0" xfId="0" applyFont="1" applyFill="1" applyProtection="1">
      <protection locked="0"/>
    </xf>
    <xf numFmtId="0" fontId="0" fillId="5" borderId="0" xfId="0" applyFill="1" applyProtection="1">
      <protection locked="0"/>
    </xf>
    <xf numFmtId="0" fontId="5" fillId="5" borderId="0" xfId="0" applyFont="1" applyFill="1" applyProtection="1">
      <protection locked="0"/>
    </xf>
    <xf numFmtId="0" fontId="13" fillId="5" borderId="0" xfId="0" applyFont="1" applyFill="1" applyBorder="1" applyProtection="1">
      <protection locked="0"/>
    </xf>
    <xf numFmtId="0" fontId="2" fillId="9" borderId="2" xfId="0" applyFont="1" applyFill="1" applyBorder="1" applyAlignment="1" applyProtection="1">
      <alignment horizontal="center"/>
      <protection locked="0"/>
    </xf>
    <xf numFmtId="0" fontId="0" fillId="5" borderId="2" xfId="0" applyFill="1" applyBorder="1" applyProtection="1">
      <protection locked="0"/>
    </xf>
    <xf numFmtId="0" fontId="12" fillId="9" borderId="2" xfId="0" applyFont="1" applyFill="1" applyBorder="1" applyAlignment="1" applyProtection="1">
      <alignment horizontal="center"/>
      <protection locked="0"/>
    </xf>
    <xf numFmtId="0" fontId="2" fillId="5" borderId="0" xfId="0" applyFont="1" applyFill="1" applyBorder="1" applyAlignment="1" applyProtection="1">
      <alignment horizontal="left"/>
      <protection locked="0"/>
    </xf>
    <xf numFmtId="0" fontId="0" fillId="5" borderId="0" xfId="0" applyFont="1" applyFill="1" applyAlignment="1" applyProtection="1">
      <alignment horizontal="right"/>
      <protection locked="0"/>
    </xf>
    <xf numFmtId="0" fontId="2" fillId="5" borderId="0" xfId="0" applyFont="1" applyFill="1" applyAlignment="1" applyProtection="1">
      <alignment horizontal="left"/>
      <protection locked="0"/>
    </xf>
    <xf numFmtId="0" fontId="2" fillId="5" borderId="0" xfId="0" applyFont="1" applyFill="1" applyAlignment="1" applyProtection="1">
      <alignment horizontal="right"/>
      <protection locked="0"/>
    </xf>
    <xf numFmtId="0" fontId="3" fillId="5" borderId="0" xfId="0" applyFont="1" applyFill="1" applyAlignment="1" applyProtection="1">
      <alignment horizontal="right"/>
      <protection locked="0"/>
    </xf>
    <xf numFmtId="0" fontId="14" fillId="5" borderId="0" xfId="0" applyFont="1" applyFill="1" applyProtection="1">
      <protection locked="0"/>
    </xf>
    <xf numFmtId="0" fontId="8" fillId="5" borderId="0" xfId="0" applyFont="1" applyFill="1" applyProtection="1">
      <protection locked="0"/>
    </xf>
    <xf numFmtId="0" fontId="0" fillId="0" borderId="6" xfId="0" applyBorder="1"/>
    <xf numFmtId="0" fontId="2" fillId="5" borderId="23" xfId="0" applyFont="1" applyFill="1" applyBorder="1" applyAlignment="1" applyProtection="1">
      <alignment horizontal="right"/>
    </xf>
    <xf numFmtId="0" fontId="0" fillId="0" borderId="0" xfId="0"/>
    <xf numFmtId="0" fontId="2" fillId="5" borderId="2" xfId="0" applyFont="1" applyFill="1" applyBorder="1"/>
    <xf numFmtId="0" fontId="2" fillId="15" borderId="2" xfId="0" applyFont="1" applyFill="1" applyBorder="1"/>
    <xf numFmtId="0" fontId="2" fillId="5" borderId="0" xfId="0" applyFont="1" applyFill="1" applyAlignment="1"/>
    <xf numFmtId="0" fontId="3" fillId="5" borderId="0" xfId="0" applyFont="1" applyFill="1"/>
    <xf numFmtId="0" fontId="5" fillId="5" borderId="2" xfId="0" applyFont="1" applyFill="1" applyBorder="1"/>
    <xf numFmtId="0" fontId="2" fillId="5" borderId="25" xfId="0" applyFont="1" applyFill="1" applyBorder="1" applyAlignment="1" applyProtection="1">
      <alignment horizontal="right"/>
      <protection locked="0"/>
    </xf>
    <xf numFmtId="0" fontId="15" fillId="5" borderId="0" xfId="0" applyFont="1" applyFill="1" applyProtection="1">
      <protection locked="0"/>
    </xf>
    <xf numFmtId="0" fontId="0" fillId="0" borderId="0" xfId="0"/>
    <xf numFmtId="2" fontId="2" fillId="6" borderId="7" xfId="1" applyNumberFormat="1" applyFont="1" applyFill="1" applyBorder="1" applyAlignment="1">
      <alignment horizontal="right"/>
    </xf>
    <xf numFmtId="2" fontId="2" fillId="5" borderId="7" xfId="1" applyNumberFormat="1" applyFont="1" applyFill="1" applyBorder="1" applyAlignment="1">
      <alignment horizontal="right"/>
    </xf>
    <xf numFmtId="2" fontId="2" fillId="5" borderId="0" xfId="1" applyNumberFormat="1" applyFont="1" applyFill="1" applyBorder="1" applyAlignment="1">
      <alignment horizontal="right"/>
    </xf>
    <xf numFmtId="0" fontId="0" fillId="6" borderId="11" xfId="1" applyNumberFormat="1" applyFont="1" applyFill="1" applyBorder="1" applyAlignment="1"/>
    <xf numFmtId="0" fontId="0" fillId="0" borderId="6" xfId="1" applyNumberFormat="1" applyFont="1" applyFill="1" applyBorder="1" applyAlignment="1"/>
    <xf numFmtId="0" fontId="0" fillId="6" borderId="6" xfId="1" applyNumberFormat="1" applyFont="1" applyFill="1" applyBorder="1" applyAlignment="1"/>
    <xf numFmtId="0" fontId="0" fillId="6" borderId="10" xfId="1" applyNumberFormat="1" applyFont="1" applyFill="1" applyBorder="1" applyAlignment="1"/>
    <xf numFmtId="2" fontId="0" fillId="6" borderId="6" xfId="1" applyNumberFormat="1" applyFont="1" applyFill="1" applyBorder="1" applyAlignment="1">
      <alignment horizontal="right"/>
    </xf>
    <xf numFmtId="2" fontId="0" fillId="6" borderId="0" xfId="1" applyNumberFormat="1" applyFont="1" applyFill="1" applyBorder="1" applyAlignment="1">
      <alignment horizontal="right"/>
    </xf>
    <xf numFmtId="2" fontId="0" fillId="6" borderId="7" xfId="1" applyNumberFormat="1" applyFont="1" applyFill="1" applyBorder="1" applyAlignment="1">
      <alignment horizontal="right"/>
    </xf>
    <xf numFmtId="2" fontId="0" fillId="5" borderId="6" xfId="1" applyNumberFormat="1" applyFont="1" applyFill="1" applyBorder="1" applyAlignment="1">
      <alignment horizontal="right"/>
    </xf>
    <xf numFmtId="2" fontId="0" fillId="5" borderId="0" xfId="1" applyNumberFormat="1" applyFont="1" applyFill="1" applyBorder="1" applyAlignment="1">
      <alignment horizontal="right"/>
    </xf>
    <xf numFmtId="2" fontId="0" fillId="5" borderId="7" xfId="1" applyNumberFormat="1" applyFont="1" applyFill="1" applyBorder="1" applyAlignment="1">
      <alignment horizontal="right"/>
    </xf>
    <xf numFmtId="2" fontId="0" fillId="6" borderId="6" xfId="1" applyNumberFormat="1" applyFont="1" applyFill="1" applyBorder="1" applyAlignment="1"/>
    <xf numFmtId="2" fontId="0" fillId="6" borderId="2" xfId="1" applyNumberFormat="1" applyFont="1" applyFill="1" applyBorder="1" applyAlignment="1">
      <alignment horizontal="right"/>
    </xf>
    <xf numFmtId="2" fontId="2" fillId="6" borderId="9" xfId="1" applyNumberFormat="1" applyFont="1" applyFill="1" applyBorder="1" applyAlignment="1">
      <alignment horizontal="right"/>
    </xf>
    <xf numFmtId="0" fontId="0" fillId="5" borderId="0" xfId="0" applyFill="1"/>
    <xf numFmtId="0" fontId="2" fillId="5" borderId="0" xfId="0" applyFont="1" applyFill="1"/>
    <xf numFmtId="0" fontId="0" fillId="6" borderId="6" xfId="0" applyFill="1" applyBorder="1"/>
    <xf numFmtId="0" fontId="0" fillId="0" borderId="6" xfId="0" applyBorder="1"/>
    <xf numFmtId="0" fontId="0" fillId="5" borderId="6" xfId="0" applyFill="1" applyBorder="1"/>
    <xf numFmtId="0" fontId="0" fillId="6" borderId="10" xfId="0" applyFill="1" applyBorder="1"/>
    <xf numFmtId="2" fontId="2" fillId="5" borderId="7" xfId="0" applyNumberFormat="1" applyFont="1" applyFill="1" applyBorder="1"/>
    <xf numFmtId="2" fontId="2" fillId="5" borderId="9" xfId="0" applyNumberFormat="1" applyFont="1" applyFill="1" applyBorder="1"/>
    <xf numFmtId="2" fontId="0" fillId="6" borderId="6" xfId="1" applyNumberFormat="1" applyFont="1" applyFill="1" applyBorder="1" applyAlignment="1">
      <alignment horizontal="right"/>
    </xf>
    <xf numFmtId="2" fontId="0" fillId="6" borderId="0" xfId="1" applyNumberFormat="1" applyFont="1" applyFill="1" applyBorder="1" applyAlignment="1">
      <alignment horizontal="right"/>
    </xf>
    <xf numFmtId="2" fontId="0" fillId="6" borderId="7" xfId="1" applyNumberFormat="1" applyFont="1" applyFill="1" applyBorder="1" applyAlignment="1">
      <alignment horizontal="right"/>
    </xf>
    <xf numFmtId="2" fontId="0" fillId="5" borderId="6" xfId="1" applyNumberFormat="1" applyFont="1" applyFill="1" applyBorder="1" applyAlignment="1">
      <alignment horizontal="right"/>
    </xf>
    <xf numFmtId="2" fontId="0" fillId="5" borderId="0" xfId="1" applyNumberFormat="1" applyFont="1" applyFill="1" applyBorder="1" applyAlignment="1">
      <alignment horizontal="right"/>
    </xf>
    <xf numFmtId="2" fontId="0" fillId="5" borderId="7" xfId="1" applyNumberFormat="1" applyFont="1" applyFill="1" applyBorder="1" applyAlignment="1">
      <alignment horizontal="right"/>
    </xf>
    <xf numFmtId="2" fontId="0" fillId="6" borderId="6" xfId="1" applyNumberFormat="1" applyFont="1" applyFill="1" applyBorder="1" applyAlignment="1"/>
    <xf numFmtId="2" fontId="0" fillId="6" borderId="2" xfId="1" applyNumberFormat="1" applyFont="1" applyFill="1" applyBorder="1" applyAlignment="1">
      <alignment horizontal="right"/>
    </xf>
    <xf numFmtId="2" fontId="0" fillId="6" borderId="8" xfId="1" applyNumberFormat="1" applyFont="1" applyFill="1" applyBorder="1" applyAlignment="1">
      <alignment horizontal="right"/>
    </xf>
    <xf numFmtId="2" fontId="0" fillId="0" borderId="0" xfId="1" applyNumberFormat="1" applyFont="1" applyFill="1" applyBorder="1" applyAlignment="1">
      <alignment horizontal="right"/>
    </xf>
    <xf numFmtId="2" fontId="0" fillId="0" borderId="7" xfId="1" applyNumberFormat="1" applyFont="1" applyFill="1" applyBorder="1" applyAlignment="1">
      <alignment horizontal="right"/>
    </xf>
    <xf numFmtId="2" fontId="0" fillId="6" borderId="10" xfId="1" applyNumberFormat="1" applyFont="1" applyFill="1" applyBorder="1" applyAlignment="1">
      <alignment horizontal="right"/>
    </xf>
    <xf numFmtId="2" fontId="0" fillId="0" borderId="7" xfId="1" applyNumberFormat="1" applyFont="1" applyBorder="1" applyAlignment="1">
      <alignment horizontal="right"/>
    </xf>
    <xf numFmtId="0" fontId="0" fillId="0" borderId="0" xfId="0"/>
    <xf numFmtId="0" fontId="4" fillId="2" borderId="0" xfId="0" applyFont="1" applyFill="1" applyAlignment="1">
      <alignment horizontal="left" vertical="top" wrapText="1"/>
    </xf>
    <xf numFmtId="0" fontId="0" fillId="0" borderId="0" xfId="0"/>
    <xf numFmtId="0" fontId="16" fillId="0" borderId="0" xfId="2"/>
    <xf numFmtId="0" fontId="2" fillId="8" borderId="0" xfId="0" applyFont="1" applyFill="1"/>
    <xf numFmtId="0" fontId="0" fillId="0" borderId="0" xfId="0"/>
    <xf numFmtId="0" fontId="0" fillId="0" borderId="0" xfId="0" applyFill="1" applyBorder="1" applyAlignment="1">
      <alignment horizontal="left"/>
    </xf>
    <xf numFmtId="49" fontId="0" fillId="0" borderId="0" xfId="0" applyNumberFormat="1" applyBorder="1" applyAlignment="1">
      <alignment horizontal="right"/>
    </xf>
    <xf numFmtId="0" fontId="0" fillId="0" borderId="0" xfId="0"/>
    <xf numFmtId="170" fontId="0" fillId="0" borderId="2" xfId="0" applyNumberFormat="1" applyBorder="1"/>
    <xf numFmtId="170" fontId="2" fillId="0" borderId="1" xfId="0" applyNumberFormat="1" applyFont="1" applyBorder="1"/>
    <xf numFmtId="170" fontId="0" fillId="0" borderId="0" xfId="0" applyNumberFormat="1" applyBorder="1"/>
    <xf numFmtId="170" fontId="0" fillId="0" borderId="6" xfId="0" applyNumberFormat="1" applyBorder="1"/>
    <xf numFmtId="170" fontId="0" fillId="0" borderId="10" xfId="0" applyNumberFormat="1" applyBorder="1"/>
    <xf numFmtId="170" fontId="2" fillId="0" borderId="4" xfId="0" applyNumberFormat="1" applyFont="1" applyBorder="1"/>
    <xf numFmtId="0" fontId="0" fillId="0" borderId="0" xfId="0"/>
    <xf numFmtId="164" fontId="0" fillId="9" borderId="2" xfId="0" applyNumberFormat="1" applyFont="1" applyFill="1" applyBorder="1"/>
    <xf numFmtId="172" fontId="0" fillId="8" borderId="0" xfId="0" applyNumberFormat="1" applyFont="1" applyFill="1"/>
    <xf numFmtId="3" fontId="0" fillId="8" borderId="2" xfId="0" applyNumberFormat="1" applyFont="1" applyFill="1" applyBorder="1"/>
    <xf numFmtId="164" fontId="0" fillId="8" borderId="2" xfId="0" applyNumberFormat="1" applyFont="1" applyFill="1" applyBorder="1"/>
    <xf numFmtId="0" fontId="0" fillId="0" borderId="0" xfId="0"/>
    <xf numFmtId="171" fontId="0" fillId="5" borderId="0" xfId="0" applyNumberFormat="1" applyFill="1" applyProtection="1">
      <protection locked="0"/>
    </xf>
    <xf numFmtId="174" fontId="0" fillId="5" borderId="0" xfId="0" applyNumberFormat="1" applyFill="1" applyProtection="1">
      <protection locked="0"/>
    </xf>
    <xf numFmtId="164" fontId="0" fillId="0" borderId="7" xfId="0" applyNumberFormat="1" applyFont="1" applyFill="1" applyBorder="1"/>
    <xf numFmtId="169" fontId="0" fillId="0" borderId="7" xfId="0" applyNumberFormat="1" applyFont="1" applyFill="1" applyBorder="1"/>
    <xf numFmtId="169" fontId="0" fillId="0" borderId="9" xfId="0" applyNumberFormat="1" applyFont="1" applyFill="1" applyBorder="1"/>
    <xf numFmtId="1" fontId="0" fillId="0" borderId="7" xfId="0" applyNumberFormat="1" applyFont="1" applyFill="1" applyBorder="1"/>
    <xf numFmtId="1" fontId="0" fillId="0" borderId="9" xfId="0" applyNumberFormat="1" applyFont="1" applyFill="1" applyBorder="1"/>
    <xf numFmtId="164" fontId="0" fillId="0" borderId="7" xfId="0" applyNumberFormat="1" applyFont="1" applyBorder="1"/>
    <xf numFmtId="0" fontId="0" fillId="0" borderId="7" xfId="0" applyNumberFormat="1" applyFont="1" applyBorder="1"/>
    <xf numFmtId="0" fontId="0" fillId="0" borderId="9" xfId="0" applyNumberFormat="1" applyFont="1" applyBorder="1"/>
    <xf numFmtId="1" fontId="0" fillId="0" borderId="9" xfId="0" applyNumberFormat="1" applyFont="1" applyBorder="1"/>
    <xf numFmtId="0" fontId="12" fillId="0" borderId="7" xfId="0" applyFont="1" applyFill="1" applyBorder="1" applyAlignment="1">
      <alignment horizontal="right"/>
    </xf>
    <xf numFmtId="0" fontId="12" fillId="0" borderId="0" xfId="0" applyFont="1" applyFill="1" applyAlignment="1">
      <alignment horizontal="right"/>
    </xf>
    <xf numFmtId="3" fontId="0" fillId="0" borderId="7" xfId="0" applyNumberFormat="1" applyFont="1" applyBorder="1"/>
    <xf numFmtId="3" fontId="0" fillId="0" borderId="9" xfId="0" applyNumberFormat="1" applyFont="1" applyBorder="1"/>
    <xf numFmtId="171" fontId="0" fillId="0" borderId="9" xfId="0" applyNumberFormat="1" applyFont="1" applyBorder="1"/>
    <xf numFmtId="1" fontId="0" fillId="0" borderId="7" xfId="0" applyNumberFormat="1" applyFont="1" applyBorder="1"/>
    <xf numFmtId="172" fontId="0" fillId="0" borderId="7" xfId="0" applyNumberFormat="1" applyFont="1" applyBorder="1"/>
    <xf numFmtId="169" fontId="0" fillId="0" borderId="7" xfId="0" applyNumberFormat="1" applyFont="1" applyBorder="1"/>
    <xf numFmtId="169" fontId="0" fillId="8" borderId="7" xfId="0" applyNumberFormat="1" applyFont="1" applyFill="1" applyBorder="1"/>
    <xf numFmtId="0" fontId="0" fillId="8" borderId="7" xfId="0" applyNumberFormat="1" applyFont="1" applyFill="1" applyBorder="1"/>
    <xf numFmtId="0" fontId="0" fillId="8" borderId="9" xfId="0" applyNumberFormat="1" applyFont="1" applyFill="1" applyBorder="1"/>
    <xf numFmtId="1" fontId="0" fillId="8" borderId="7" xfId="0" applyNumberFormat="1" applyFont="1" applyFill="1" applyBorder="1"/>
    <xf numFmtId="1" fontId="0" fillId="8" borderId="9" xfId="0" applyNumberFormat="1" applyFont="1" applyFill="1" applyBorder="1"/>
    <xf numFmtId="164" fontId="0" fillId="8" borderId="7" xfId="0" applyNumberFormat="1" applyFont="1" applyFill="1" applyBorder="1"/>
    <xf numFmtId="164" fontId="0" fillId="8" borderId="9" xfId="0" applyNumberFormat="1" applyFont="1" applyFill="1" applyBorder="1"/>
    <xf numFmtId="164" fontId="0" fillId="3" borderId="0" xfId="0" applyNumberFormat="1" applyFont="1" applyFill="1"/>
    <xf numFmtId="164" fontId="2" fillId="0" borderId="0" xfId="0" applyNumberFormat="1" applyFont="1" applyFill="1" applyBorder="1"/>
    <xf numFmtId="1" fontId="2" fillId="0" borderId="0" xfId="0" applyNumberFormat="1" applyFont="1" applyFill="1" applyBorder="1"/>
    <xf numFmtId="1" fontId="2" fillId="0" borderId="0" xfId="0" applyNumberFormat="1" applyFont="1" applyFill="1" applyAlignment="1">
      <alignment horizontal="right"/>
    </xf>
    <xf numFmtId="169" fontId="2" fillId="0" borderId="0" xfId="0" applyNumberFormat="1" applyFont="1" applyFill="1"/>
    <xf numFmtId="169" fontId="2" fillId="0" borderId="2" xfId="0" applyNumberFormat="1" applyFont="1" applyFill="1" applyBorder="1"/>
    <xf numFmtId="164" fontId="0" fillId="3" borderId="2" xfId="0" applyNumberFormat="1" applyFont="1" applyFill="1" applyBorder="1"/>
    <xf numFmtId="0" fontId="17" fillId="0" borderId="0" xfId="0" applyFont="1"/>
    <xf numFmtId="0" fontId="17" fillId="0" borderId="0" xfId="0" applyFont="1" applyFill="1"/>
    <xf numFmtId="164" fontId="17" fillId="9" borderId="0" xfId="0" applyNumberFormat="1" applyFont="1" applyFill="1"/>
    <xf numFmtId="0" fontId="2" fillId="2" borderId="1" xfId="0" applyFont="1" applyFill="1" applyBorder="1"/>
    <xf numFmtId="169" fontId="0" fillId="3" borderId="0" xfId="0" applyNumberFormat="1" applyFont="1" applyFill="1"/>
    <xf numFmtId="169" fontId="0" fillId="3" borderId="2" xfId="0" applyNumberFormat="1" applyFont="1" applyFill="1" applyBorder="1"/>
    <xf numFmtId="0" fontId="9" fillId="0" borderId="1" xfId="0" applyFont="1" applyBorder="1"/>
    <xf numFmtId="164" fontId="8" fillId="0" borderId="0" xfId="0" applyNumberFormat="1" applyFont="1"/>
    <xf numFmtId="0" fontId="8" fillId="0" borderId="0" xfId="0" applyNumberFormat="1" applyFont="1"/>
    <xf numFmtId="0" fontId="8" fillId="0" borderId="2" xfId="0" applyNumberFormat="1" applyFont="1" applyBorder="1"/>
    <xf numFmtId="164" fontId="9" fillId="0" borderId="0" xfId="0" applyNumberFormat="1" applyFont="1" applyFill="1"/>
    <xf numFmtId="0" fontId="9" fillId="0" borderId="0" xfId="0" applyNumberFormat="1" applyFont="1" applyFill="1"/>
    <xf numFmtId="0" fontId="9" fillId="0" borderId="2" xfId="0" applyNumberFormat="1" applyFont="1" applyFill="1" applyBorder="1"/>
    <xf numFmtId="0" fontId="2" fillId="0" borderId="1" xfId="0" applyFont="1" applyFill="1" applyBorder="1"/>
    <xf numFmtId="164" fontId="9" fillId="0" borderId="0" xfId="0" applyNumberFormat="1" applyFont="1"/>
    <xf numFmtId="0" fontId="9" fillId="0" borderId="0" xfId="0" applyNumberFormat="1" applyFont="1"/>
    <xf numFmtId="0" fontId="9" fillId="0" borderId="2" xfId="0" applyNumberFormat="1" applyFont="1" applyBorder="1"/>
    <xf numFmtId="0" fontId="8" fillId="9" borderId="0" xfId="0" applyNumberFormat="1" applyFont="1" applyFill="1"/>
    <xf numFmtId="0" fontId="8" fillId="0" borderId="0" xfId="0" applyFont="1"/>
    <xf numFmtId="0" fontId="8" fillId="0" borderId="2" xfId="0" applyFont="1" applyBorder="1"/>
    <xf numFmtId="0" fontId="9" fillId="0" borderId="1" xfId="0" applyFont="1" applyFill="1" applyBorder="1"/>
    <xf numFmtId="164" fontId="8" fillId="9" borderId="0" xfId="0" applyNumberFormat="1" applyFont="1" applyFill="1"/>
    <xf numFmtId="0" fontId="8" fillId="9" borderId="0" xfId="0" applyFont="1" applyFill="1"/>
    <xf numFmtId="0" fontId="19" fillId="0" borderId="0" xfId="0" applyFont="1"/>
    <xf numFmtId="0" fontId="20" fillId="0" borderId="0" xfId="0" applyFont="1" applyFill="1" applyBorder="1"/>
    <xf numFmtId="0" fontId="20" fillId="0" borderId="0" xfId="0" applyFont="1"/>
    <xf numFmtId="1" fontId="9" fillId="0" borderId="0" xfId="0" applyNumberFormat="1" applyFont="1" applyFill="1"/>
    <xf numFmtId="1" fontId="8" fillId="0" borderId="2" xfId="0" applyNumberFormat="1" applyFont="1" applyBorder="1"/>
    <xf numFmtId="1" fontId="9" fillId="0" borderId="2" xfId="0" applyNumberFormat="1" applyFont="1" applyFill="1" applyBorder="1"/>
    <xf numFmtId="1" fontId="9" fillId="3" borderId="0" xfId="0" applyNumberFormat="1" applyFont="1" applyFill="1"/>
    <xf numFmtId="1" fontId="9" fillId="3" borderId="2" xfId="0" applyNumberFormat="1" applyFont="1" applyFill="1" applyBorder="1"/>
    <xf numFmtId="164" fontId="8" fillId="0" borderId="0" xfId="0" applyNumberFormat="1" applyFont="1" applyFill="1"/>
    <xf numFmtId="1" fontId="8" fillId="0" borderId="0" xfId="0" applyNumberFormat="1" applyFont="1" applyFill="1"/>
    <xf numFmtId="1" fontId="8" fillId="0" borderId="2" xfId="0" applyNumberFormat="1" applyFont="1" applyFill="1" applyBorder="1"/>
    <xf numFmtId="3" fontId="8" fillId="0" borderId="0" xfId="0" applyNumberFormat="1" applyFont="1"/>
    <xf numFmtId="3" fontId="9" fillId="0" borderId="0" xfId="0" applyNumberFormat="1" applyFont="1" applyFill="1"/>
    <xf numFmtId="164" fontId="18" fillId="8" borderId="0" xfId="0" applyNumberFormat="1" applyFont="1" applyFill="1"/>
    <xf numFmtId="0" fontId="17" fillId="8" borderId="0" xfId="0" applyNumberFormat="1" applyFont="1" applyFill="1"/>
    <xf numFmtId="3" fontId="18" fillId="8" borderId="0" xfId="0" applyNumberFormat="1" applyFont="1" applyFill="1"/>
    <xf numFmtId="0" fontId="9" fillId="7" borderId="1" xfId="0" applyFont="1" applyFill="1" applyBorder="1"/>
    <xf numFmtId="1" fontId="9" fillId="0" borderId="0" xfId="0" applyNumberFormat="1" applyFont="1"/>
    <xf numFmtId="1" fontId="9" fillId="0" borderId="2" xfId="0" applyNumberFormat="1" applyFont="1" applyBorder="1"/>
    <xf numFmtId="1" fontId="9" fillId="8" borderId="0" xfId="0" applyNumberFormat="1" applyFont="1" applyFill="1"/>
    <xf numFmtId="164" fontId="8" fillId="8" borderId="0" xfId="0" applyNumberFormat="1" applyFont="1" applyFill="1"/>
    <xf numFmtId="1" fontId="8" fillId="8" borderId="0" xfId="0" applyNumberFormat="1" applyFont="1" applyFill="1"/>
    <xf numFmtId="0" fontId="8" fillId="8" borderId="0" xfId="0" applyNumberFormat="1" applyFont="1" applyFill="1"/>
    <xf numFmtId="171" fontId="8" fillId="0" borderId="2" xfId="0" applyNumberFormat="1" applyFont="1" applyBorder="1"/>
    <xf numFmtId="164" fontId="9" fillId="8" borderId="0" xfId="0" applyNumberFormat="1" applyFont="1" applyFill="1"/>
    <xf numFmtId="171" fontId="9" fillId="8" borderId="0" xfId="0" applyNumberFormat="1" applyFont="1" applyFill="1" applyBorder="1"/>
    <xf numFmtId="0" fontId="8" fillId="0" borderId="0" xfId="0" applyNumberFormat="1" applyFont="1" applyFill="1"/>
    <xf numFmtId="171" fontId="8" fillId="0" borderId="2" xfId="0" applyNumberFormat="1" applyFont="1" applyFill="1" applyBorder="1"/>
    <xf numFmtId="171" fontId="8" fillId="0" borderId="0" xfId="0" applyNumberFormat="1" applyFont="1" applyFill="1"/>
    <xf numFmtId="10" fontId="0" fillId="0" borderId="0" xfId="0" applyNumberFormat="1"/>
    <xf numFmtId="170" fontId="3" fillId="0" borderId="0" xfId="0" applyNumberFormat="1" applyFont="1" applyBorder="1"/>
    <xf numFmtId="0" fontId="12" fillId="0" borderId="0" xfId="0" applyFont="1" applyAlignment="1">
      <alignment horizontal="right"/>
    </xf>
    <xf numFmtId="1" fontId="8" fillId="8" borderId="2" xfId="0" applyNumberFormat="1" applyFont="1" applyFill="1" applyBorder="1"/>
    <xf numFmtId="0" fontId="8" fillId="8" borderId="0" xfId="0" applyFont="1" applyFill="1"/>
    <xf numFmtId="0" fontId="8" fillId="8" borderId="2" xfId="0" applyFont="1" applyFill="1" applyBorder="1"/>
    <xf numFmtId="0" fontId="12" fillId="0" borderId="7" xfId="0" applyFont="1" applyBorder="1" applyAlignment="1">
      <alignment horizontal="right"/>
    </xf>
    <xf numFmtId="0" fontId="2" fillId="0" borderId="7" xfId="0" applyFont="1" applyBorder="1"/>
    <xf numFmtId="0" fontId="2" fillId="0" borderId="9" xfId="0" applyFont="1" applyBorder="1"/>
    <xf numFmtId="3" fontId="8" fillId="0" borderId="2" xfId="0" applyNumberFormat="1" applyFont="1" applyBorder="1"/>
    <xf numFmtId="1" fontId="0" fillId="5" borderId="0" xfId="0" applyNumberFormat="1" applyFill="1" applyProtection="1">
      <protection locked="0"/>
    </xf>
    <xf numFmtId="172" fontId="8" fillId="0" borderId="0" xfId="0" applyNumberFormat="1" applyFont="1"/>
    <xf numFmtId="172" fontId="8" fillId="0" borderId="0" xfId="0" applyNumberFormat="1" applyFont="1" applyFill="1"/>
    <xf numFmtId="1" fontId="8" fillId="0" borderId="0" xfId="0" applyNumberFormat="1" applyFont="1" applyBorder="1"/>
    <xf numFmtId="172" fontId="9" fillId="0" borderId="0" xfId="0" applyNumberFormat="1" applyFont="1"/>
    <xf numFmtId="172" fontId="9" fillId="3" borderId="0" xfId="0" applyNumberFormat="1" applyFont="1" applyFill="1"/>
    <xf numFmtId="3" fontId="9" fillId="8" borderId="0" xfId="0" applyNumberFormat="1" applyFont="1" applyFill="1"/>
    <xf numFmtId="172" fontId="9" fillId="0" borderId="0" xfId="0" applyNumberFormat="1" applyFont="1" applyFill="1"/>
    <xf numFmtId="1" fontId="9" fillId="4" borderId="0" xfId="0" applyNumberFormat="1" applyFont="1" applyFill="1"/>
    <xf numFmtId="1" fontId="9" fillId="8" borderId="2" xfId="0" applyNumberFormat="1" applyFont="1" applyFill="1" applyBorder="1"/>
    <xf numFmtId="3" fontId="8" fillId="8" borderId="0" xfId="0" applyNumberFormat="1" applyFont="1" applyFill="1"/>
    <xf numFmtId="3" fontId="8" fillId="0" borderId="0" xfId="0" applyNumberFormat="1" applyFont="1" applyFill="1"/>
    <xf numFmtId="0" fontId="8" fillId="0" borderId="2" xfId="0" applyFont="1" applyFill="1" applyBorder="1"/>
    <xf numFmtId="0" fontId="8" fillId="0" borderId="0" xfId="0" applyFont="1" applyBorder="1"/>
    <xf numFmtId="0" fontId="21" fillId="0" borderId="0" xfId="0" applyFont="1" applyFill="1" applyBorder="1"/>
    <xf numFmtId="164" fontId="20" fillId="0" borderId="0" xfId="0" applyNumberFormat="1" applyFont="1" applyFill="1" applyBorder="1"/>
    <xf numFmtId="1" fontId="20" fillId="0" borderId="0" xfId="0" applyNumberFormat="1" applyFont="1" applyFill="1" applyBorder="1"/>
    <xf numFmtId="0" fontId="8" fillId="0" borderId="0" xfId="0" applyNumberFormat="1" applyFont="1" applyBorder="1"/>
    <xf numFmtId="172" fontId="8" fillId="8" borderId="0" xfId="0" applyNumberFormat="1" applyFont="1" applyFill="1"/>
    <xf numFmtId="0" fontId="8" fillId="0" borderId="10" xfId="0" applyNumberFormat="1" applyFont="1" applyBorder="1"/>
    <xf numFmtId="0" fontId="12" fillId="0" borderId="0" xfId="0" applyFont="1" applyFill="1" applyBorder="1" applyAlignment="1">
      <alignment horizontal="right"/>
    </xf>
    <xf numFmtId="10" fontId="0" fillId="0" borderId="0" xfId="0" applyNumberFormat="1" applyFill="1" applyBorder="1"/>
    <xf numFmtId="169" fontId="8" fillId="8" borderId="0" xfId="0" applyNumberFormat="1" applyFont="1" applyFill="1"/>
    <xf numFmtId="0" fontId="8" fillId="8" borderId="2" xfId="0" applyNumberFormat="1" applyFont="1" applyFill="1" applyBorder="1"/>
    <xf numFmtId="169" fontId="8" fillId="8" borderId="0" xfId="0" applyNumberFormat="1" applyFont="1" applyFill="1" applyBorder="1"/>
    <xf numFmtId="172" fontId="9" fillId="2" borderId="0" xfId="0" applyNumberFormat="1" applyFont="1" applyFill="1"/>
    <xf numFmtId="0" fontId="0" fillId="0" borderId="0" xfId="0"/>
    <xf numFmtId="0" fontId="0" fillId="0" borderId="0" xfId="0"/>
    <xf numFmtId="0" fontId="2" fillId="0" borderId="6" xfId="0" applyFont="1" applyFill="1" applyBorder="1" applyAlignment="1">
      <alignment horizontal="center"/>
    </xf>
    <xf numFmtId="0" fontId="2" fillId="0" borderId="7" xfId="0" applyFont="1" applyFill="1" applyBorder="1"/>
    <xf numFmtId="0" fontId="3" fillId="0" borderId="28" xfId="0" applyFont="1" applyBorder="1"/>
    <xf numFmtId="0" fontId="3" fillId="0" borderId="31" xfId="0" applyFont="1" applyBorder="1"/>
    <xf numFmtId="0" fontId="2" fillId="13" borderId="29" xfId="0" applyNumberFormat="1" applyFont="1" applyFill="1" applyBorder="1" applyAlignment="1">
      <alignment horizontal="right"/>
    </xf>
    <xf numFmtId="0" fontId="0" fillId="13" borderId="30" xfId="0" applyFill="1" applyBorder="1"/>
    <xf numFmtId="0" fontId="2" fillId="0" borderId="29" xfId="0" applyNumberFormat="1" applyFont="1" applyFill="1" applyBorder="1" applyAlignment="1">
      <alignment horizontal="right"/>
    </xf>
    <xf numFmtId="0" fontId="0" fillId="0" borderId="30" xfId="0" applyBorder="1"/>
    <xf numFmtId="0" fontId="0" fillId="0" borderId="31" xfId="0" applyBorder="1"/>
    <xf numFmtId="0" fontId="12" fillId="0" borderId="29" xfId="0" applyFont="1" applyBorder="1" applyAlignment="1">
      <alignment horizontal="right"/>
    </xf>
    <xf numFmtId="0" fontId="0" fillId="0" borderId="29" xfId="0" applyBorder="1"/>
    <xf numFmtId="0" fontId="0" fillId="0" borderId="32" xfId="0" applyBorder="1"/>
    <xf numFmtId="0" fontId="0" fillId="0" borderId="33" xfId="0" applyBorder="1"/>
    <xf numFmtId="0" fontId="0" fillId="0" borderId="34" xfId="0" applyBorder="1"/>
    <xf numFmtId="0" fontId="2" fillId="16" borderId="2" xfId="0" applyFont="1" applyFill="1" applyBorder="1" applyAlignment="1" applyProtection="1">
      <alignment horizontal="right"/>
      <protection locked="0"/>
    </xf>
    <xf numFmtId="0" fontId="2" fillId="12" borderId="2" xfId="0" applyFont="1" applyFill="1" applyBorder="1" applyAlignment="1" applyProtection="1">
      <alignment horizontal="right"/>
      <protection locked="0"/>
    </xf>
    <xf numFmtId="0" fontId="2" fillId="5" borderId="2" xfId="0" applyFont="1" applyFill="1" applyBorder="1" applyProtection="1">
      <protection locked="0"/>
    </xf>
    <xf numFmtId="0" fontId="0" fillId="5" borderId="0" xfId="0" applyFont="1" applyFill="1" applyProtection="1">
      <protection locked="0"/>
    </xf>
    <xf numFmtId="10" fontId="0" fillId="5" borderId="0" xfId="0" applyNumberFormat="1" applyFill="1" applyProtection="1">
      <protection locked="0"/>
    </xf>
    <xf numFmtId="9" fontId="0" fillId="5" borderId="0" xfId="0" applyNumberFormat="1" applyFill="1" applyProtection="1">
      <protection locked="0"/>
    </xf>
    <xf numFmtId="0" fontId="0" fillId="16" borderId="0" xfId="0" applyFont="1" applyFill="1" applyBorder="1" applyAlignment="1" applyProtection="1">
      <alignment horizontal="right"/>
      <protection locked="0"/>
    </xf>
    <xf numFmtId="0" fontId="2" fillId="16" borderId="0" xfId="0" applyFont="1" applyFill="1" applyBorder="1" applyAlignment="1" applyProtection="1">
      <alignment horizontal="right"/>
      <protection locked="0"/>
    </xf>
    <xf numFmtId="0" fontId="2" fillId="12" borderId="0" xfId="0" applyFont="1" applyFill="1" applyBorder="1" applyAlignment="1" applyProtection="1">
      <alignment horizontal="right"/>
      <protection locked="0"/>
    </xf>
    <xf numFmtId="0" fontId="2" fillId="5" borderId="0" xfId="0" applyFont="1" applyFill="1" applyBorder="1" applyProtection="1">
      <protection locked="0"/>
    </xf>
    <xf numFmtId="0" fontId="3" fillId="5" borderId="0" xfId="0" applyFont="1" applyFill="1" applyProtection="1">
      <protection locked="0"/>
    </xf>
    <xf numFmtId="0" fontId="2" fillId="16" borderId="2" xfId="0" applyFont="1" applyFill="1" applyBorder="1" applyAlignment="1" applyProtection="1">
      <alignment horizontal="right"/>
      <protection hidden="1"/>
    </xf>
    <xf numFmtId="0" fontId="2" fillId="12" borderId="2" xfId="0" applyFont="1" applyFill="1" applyBorder="1" applyAlignment="1" applyProtection="1">
      <alignment horizontal="right"/>
      <protection hidden="1"/>
    </xf>
    <xf numFmtId="0" fontId="2" fillId="5" borderId="2" xfId="0" applyFont="1" applyFill="1" applyBorder="1" applyProtection="1">
      <protection hidden="1"/>
    </xf>
    <xf numFmtId="0" fontId="2" fillId="5" borderId="0" xfId="0" applyFont="1" applyFill="1" applyProtection="1">
      <protection hidden="1"/>
    </xf>
    <xf numFmtId="171" fontId="0" fillId="16" borderId="0" xfId="0" applyNumberFormat="1" applyFill="1" applyProtection="1">
      <protection hidden="1"/>
    </xf>
    <xf numFmtId="171" fontId="0" fillId="12" borderId="0" xfId="0" applyNumberFormat="1" applyFill="1" applyProtection="1">
      <protection hidden="1"/>
    </xf>
    <xf numFmtId="0" fontId="0" fillId="5" borderId="0" xfId="0" applyFont="1" applyFill="1" applyProtection="1">
      <protection hidden="1"/>
    </xf>
    <xf numFmtId="0" fontId="0" fillId="16" borderId="0" xfId="0" applyFill="1" applyProtection="1">
      <protection hidden="1"/>
    </xf>
    <xf numFmtId="1" fontId="0" fillId="12" borderId="0" xfId="0" applyNumberFormat="1" applyFill="1" applyProtection="1">
      <protection hidden="1"/>
    </xf>
    <xf numFmtId="2" fontId="0" fillId="16" borderId="0" xfId="0" applyNumberFormat="1" applyFill="1" applyProtection="1">
      <protection hidden="1"/>
    </xf>
    <xf numFmtId="0" fontId="2" fillId="5" borderId="25" xfId="0" applyFont="1" applyFill="1" applyBorder="1" applyAlignment="1" applyProtection="1">
      <alignment horizontal="right"/>
      <protection hidden="1"/>
    </xf>
    <xf numFmtId="0" fontId="17" fillId="5" borderId="0" xfId="0" applyFont="1" applyFill="1" applyProtection="1">
      <protection locked="0"/>
    </xf>
    <xf numFmtId="0" fontId="15" fillId="5" borderId="0" xfId="0" applyFont="1" applyFill="1" applyProtection="1">
      <protection hidden="1"/>
    </xf>
    <xf numFmtId="0" fontId="15" fillId="0" borderId="0" xfId="0" applyFont="1" applyProtection="1">
      <protection locked="0"/>
    </xf>
    <xf numFmtId="0" fontId="2" fillId="17" borderId="2" xfId="3" applyFont="1" applyBorder="1"/>
    <xf numFmtId="0" fontId="3" fillId="5" borderId="0" xfId="0" applyFont="1" applyFill="1" applyAlignment="1">
      <alignment horizontal="right"/>
    </xf>
    <xf numFmtId="0" fontId="3" fillId="5" borderId="2" xfId="0" applyFont="1" applyFill="1" applyBorder="1" applyAlignment="1">
      <alignment horizontal="right"/>
    </xf>
    <xf numFmtId="0" fontId="14" fillId="5" borderId="0" xfId="0" applyFont="1" applyFill="1" applyAlignment="1" applyProtection="1">
      <alignment horizontal="right"/>
      <protection locked="0"/>
    </xf>
    <xf numFmtId="0" fontId="2" fillId="14" borderId="2" xfId="0" applyFont="1" applyFill="1" applyBorder="1" applyAlignment="1" applyProtection="1">
      <alignment horizontal="right"/>
      <protection hidden="1"/>
    </xf>
    <xf numFmtId="171" fontId="0" fillId="14" borderId="0" xfId="0" applyNumberFormat="1" applyFill="1" applyProtection="1">
      <protection hidden="1"/>
    </xf>
    <xf numFmtId="171" fontId="0" fillId="14" borderId="0" xfId="0" applyNumberFormat="1" applyFill="1" applyAlignment="1" applyProtection="1">
      <alignment horizontal="right"/>
      <protection hidden="1"/>
    </xf>
    <xf numFmtId="0" fontId="2" fillId="14" borderId="2" xfId="0" applyFont="1" applyFill="1" applyBorder="1" applyAlignment="1" applyProtection="1">
      <alignment horizontal="right"/>
      <protection locked="0"/>
    </xf>
    <xf numFmtId="0" fontId="0" fillId="14" borderId="0" xfId="0" applyFill="1" applyProtection="1">
      <protection hidden="1"/>
    </xf>
    <xf numFmtId="2" fontId="0" fillId="14" borderId="0" xfId="0" applyNumberFormat="1" applyFill="1" applyProtection="1">
      <protection hidden="1"/>
    </xf>
    <xf numFmtId="0" fontId="0" fillId="14" borderId="0" xfId="0" applyFont="1" applyFill="1" applyBorder="1" applyAlignment="1" applyProtection="1">
      <alignment horizontal="right"/>
      <protection locked="0"/>
    </xf>
    <xf numFmtId="0" fontId="2" fillId="14" borderId="0" xfId="0" applyFont="1" applyFill="1" applyBorder="1" applyAlignment="1" applyProtection="1">
      <alignment horizontal="right"/>
      <protection locked="0"/>
    </xf>
    <xf numFmtId="0" fontId="2" fillId="18" borderId="2" xfId="0" applyFont="1" applyFill="1" applyBorder="1" applyAlignment="1" applyProtection="1">
      <alignment horizontal="right"/>
      <protection hidden="1"/>
    </xf>
    <xf numFmtId="171" fontId="0" fillId="18" borderId="0" xfId="0" applyNumberFormat="1" applyFill="1" applyProtection="1">
      <protection hidden="1"/>
    </xf>
    <xf numFmtId="0" fontId="2" fillId="18" borderId="2" xfId="0" applyFont="1" applyFill="1" applyBorder="1" applyAlignment="1" applyProtection="1">
      <alignment horizontal="right"/>
      <protection locked="0"/>
    </xf>
    <xf numFmtId="0" fontId="0" fillId="18" borderId="0" xfId="0" applyFill="1" applyProtection="1">
      <protection hidden="1"/>
    </xf>
    <xf numFmtId="2" fontId="0" fillId="18" borderId="0" xfId="0" applyNumberFormat="1" applyFill="1" applyProtection="1">
      <protection hidden="1"/>
    </xf>
    <xf numFmtId="0" fontId="0" fillId="18" borderId="0" xfId="0" applyFont="1" applyFill="1" applyBorder="1" applyAlignment="1" applyProtection="1">
      <alignment horizontal="right"/>
      <protection locked="0"/>
    </xf>
    <xf numFmtId="0" fontId="2" fillId="18" borderId="0" xfId="0" applyFont="1" applyFill="1" applyBorder="1" applyAlignment="1" applyProtection="1">
      <alignment horizontal="right"/>
      <protection locked="0"/>
    </xf>
    <xf numFmtId="0" fontId="2" fillId="0" borderId="2" xfId="0" applyFont="1" applyFill="1" applyBorder="1" applyProtection="1">
      <protection hidden="1"/>
    </xf>
    <xf numFmtId="0" fontId="2" fillId="0" borderId="0" xfId="0" applyFont="1" applyFill="1" applyAlignment="1">
      <alignment horizontal="center"/>
    </xf>
    <xf numFmtId="0" fontId="0" fillId="5" borderId="0" xfId="0" applyFill="1" applyBorder="1"/>
    <xf numFmtId="0" fontId="0" fillId="5" borderId="35" xfId="0" applyFill="1" applyBorder="1"/>
    <xf numFmtId="0" fontId="0" fillId="0" borderId="0" xfId="0" applyBorder="1" applyProtection="1">
      <protection locked="0"/>
    </xf>
    <xf numFmtId="0" fontId="22" fillId="0" borderId="0" xfId="0" applyFont="1"/>
    <xf numFmtId="0" fontId="23" fillId="0" borderId="0" xfId="0" applyFont="1" applyAlignment="1">
      <alignment horizontal="left" indent="26"/>
    </xf>
    <xf numFmtId="0" fontId="0" fillId="5" borderId="0" xfId="0" applyFill="1" applyProtection="1">
      <protection hidden="1"/>
    </xf>
    <xf numFmtId="0" fontId="0" fillId="5" borderId="2" xfId="0" applyFill="1" applyBorder="1" applyProtection="1">
      <protection hidden="1"/>
    </xf>
    <xf numFmtId="0" fontId="2" fillId="11" borderId="0" xfId="0" quotePrefix="1" applyFont="1" applyFill="1" applyProtection="1">
      <protection hidden="1"/>
    </xf>
    <xf numFmtId="0" fontId="0" fillId="0" borderId="0" xfId="0" applyFill="1" applyProtection="1">
      <protection hidden="1"/>
    </xf>
    <xf numFmtId="0" fontId="2" fillId="15" borderId="0" xfId="0" applyFont="1" applyFill="1" applyAlignment="1" applyProtection="1">
      <alignment horizontal="center"/>
      <protection hidden="1"/>
    </xf>
    <xf numFmtId="0" fontId="2" fillId="5" borderId="24" xfId="0" applyFont="1" applyFill="1" applyBorder="1" applyAlignment="1" applyProtection="1">
      <alignment horizontal="right"/>
      <protection hidden="1"/>
    </xf>
    <xf numFmtId="0" fontId="0" fillId="0" borderId="0" xfId="0"/>
    <xf numFmtId="0" fontId="0" fillId="0" borderId="0" xfId="0" applyFont="1" applyFill="1" applyBorder="1" applyAlignment="1" applyProtection="1">
      <alignment horizontal="right"/>
      <protection locked="0"/>
    </xf>
    <xf numFmtId="0" fontId="0" fillId="0" borderId="0" xfId="0" applyFill="1" applyProtection="1">
      <protection locked="0"/>
    </xf>
    <xf numFmtId="2" fontId="2" fillId="14" borderId="0" xfId="0" applyNumberFormat="1" applyFont="1" applyFill="1" applyBorder="1" applyAlignment="1" applyProtection="1">
      <alignment horizontal="right"/>
      <protection hidden="1"/>
    </xf>
    <xf numFmtId="2" fontId="2" fillId="18" borderId="0" xfId="0" applyNumberFormat="1" applyFont="1" applyFill="1" applyProtection="1">
      <protection hidden="1"/>
    </xf>
    <xf numFmtId="2" fontId="2" fillId="16" borderId="0" xfId="0" applyNumberFormat="1" applyFont="1" applyFill="1" applyBorder="1" applyAlignment="1" applyProtection="1">
      <alignment horizontal="right"/>
      <protection hidden="1"/>
    </xf>
    <xf numFmtId="2" fontId="2" fillId="12" borderId="0" xfId="0" applyNumberFormat="1" applyFont="1" applyFill="1" applyProtection="1">
      <protection hidden="1"/>
    </xf>
    <xf numFmtId="171" fontId="0" fillId="14" borderId="0" xfId="0" applyNumberFormat="1" applyFont="1" applyFill="1" applyBorder="1" applyAlignment="1" applyProtection="1">
      <alignment horizontal="right"/>
      <protection hidden="1"/>
    </xf>
    <xf numFmtId="171" fontId="0" fillId="18" borderId="0" xfId="0" applyNumberFormat="1" applyFont="1" applyFill="1" applyBorder="1" applyAlignment="1" applyProtection="1">
      <alignment horizontal="right"/>
      <protection hidden="1"/>
    </xf>
    <xf numFmtId="171" fontId="0" fillId="16" borderId="0" xfId="0" applyNumberFormat="1" applyFont="1" applyFill="1" applyBorder="1" applyAlignment="1" applyProtection="1">
      <alignment horizontal="right"/>
      <protection hidden="1"/>
    </xf>
    <xf numFmtId="171" fontId="0" fillId="12" borderId="0" xfId="0" applyNumberFormat="1" applyFont="1" applyFill="1" applyBorder="1" applyAlignment="1" applyProtection="1">
      <alignment horizontal="right"/>
      <protection hidden="1"/>
    </xf>
    <xf numFmtId="171" fontId="2" fillId="14" borderId="0" xfId="0" applyNumberFormat="1" applyFont="1" applyFill="1" applyBorder="1" applyAlignment="1" applyProtection="1">
      <alignment horizontal="right"/>
      <protection hidden="1"/>
    </xf>
    <xf numFmtId="171" fontId="2" fillId="18" borderId="0" xfId="0" applyNumberFormat="1" applyFont="1" applyFill="1" applyBorder="1" applyAlignment="1" applyProtection="1">
      <alignment horizontal="right"/>
      <protection hidden="1"/>
    </xf>
    <xf numFmtId="171" fontId="2" fillId="16" borderId="0" xfId="0" applyNumberFormat="1" applyFont="1" applyFill="1" applyBorder="1" applyAlignment="1" applyProtection="1">
      <alignment horizontal="right"/>
      <protection hidden="1"/>
    </xf>
    <xf numFmtId="171" fontId="2" fillId="12" borderId="0" xfId="0" applyNumberFormat="1" applyFont="1" applyFill="1" applyBorder="1" applyAlignment="1" applyProtection="1">
      <alignment horizontal="right"/>
      <protection hidden="1"/>
    </xf>
    <xf numFmtId="171" fontId="0" fillId="14" borderId="0" xfId="0" applyNumberFormat="1" applyFont="1" applyFill="1" applyBorder="1" applyAlignment="1" applyProtection="1">
      <alignment horizontal="right"/>
      <protection locked="0"/>
    </xf>
    <xf numFmtId="171" fontId="0" fillId="18" borderId="0" xfId="0" applyNumberFormat="1" applyFont="1" applyFill="1" applyBorder="1" applyAlignment="1" applyProtection="1">
      <alignment horizontal="right"/>
      <protection locked="0"/>
    </xf>
    <xf numFmtId="171" fontId="0" fillId="16" borderId="0" xfId="0" applyNumberFormat="1" applyFont="1" applyFill="1" applyBorder="1" applyAlignment="1" applyProtection="1">
      <alignment horizontal="right"/>
      <protection locked="0"/>
    </xf>
    <xf numFmtId="171" fontId="0" fillId="12" borderId="0" xfId="0" applyNumberFormat="1" applyFont="1" applyFill="1" applyBorder="1" applyAlignment="1" applyProtection="1">
      <alignment horizontal="right"/>
      <protection locked="0"/>
    </xf>
    <xf numFmtId="171" fontId="3" fillId="14" borderId="0" xfId="0" applyNumberFormat="1" applyFont="1" applyFill="1" applyBorder="1" applyAlignment="1" applyProtection="1">
      <alignment horizontal="right"/>
      <protection hidden="1"/>
    </xf>
    <xf numFmtId="171" fontId="3" fillId="18" borderId="0" xfId="0" applyNumberFormat="1" applyFont="1" applyFill="1" applyBorder="1" applyAlignment="1" applyProtection="1">
      <alignment horizontal="right"/>
      <protection hidden="1"/>
    </xf>
    <xf numFmtId="171" fontId="3" fillId="16" borderId="0" xfId="0" applyNumberFormat="1" applyFont="1" applyFill="1" applyBorder="1" applyAlignment="1" applyProtection="1">
      <alignment horizontal="right"/>
      <protection hidden="1"/>
    </xf>
    <xf numFmtId="171" fontId="3" fillId="12" borderId="0" xfId="0" applyNumberFormat="1" applyFont="1" applyFill="1" applyBorder="1" applyAlignment="1" applyProtection="1">
      <alignment horizontal="right"/>
      <protection hidden="1"/>
    </xf>
    <xf numFmtId="0" fontId="2" fillId="5" borderId="0" xfId="0" applyFont="1" applyFill="1" applyAlignment="1" applyProtection="1">
      <alignment horizontal="center"/>
      <protection locked="0"/>
    </xf>
    <xf numFmtId="0" fontId="24" fillId="5" borderId="0" xfId="0" applyFont="1" applyFill="1"/>
    <xf numFmtId="0" fontId="0" fillId="0" borderId="0" xfId="0"/>
    <xf numFmtId="0" fontId="15" fillId="19" borderId="0" xfId="4"/>
    <xf numFmtId="10" fontId="2" fillId="9" borderId="0" xfId="0" applyNumberFormat="1" applyFont="1" applyFill="1" applyProtection="1">
      <protection locked="0"/>
    </xf>
    <xf numFmtId="0" fontId="2" fillId="9" borderId="0" xfId="0" applyFont="1" applyFill="1" applyProtection="1">
      <protection locked="0"/>
    </xf>
    <xf numFmtId="10" fontId="0" fillId="14" borderId="0" xfId="0" applyNumberFormat="1" applyFont="1" applyFill="1" applyProtection="1">
      <protection hidden="1"/>
    </xf>
    <xf numFmtId="10" fontId="0" fillId="18" borderId="0" xfId="0" applyNumberFormat="1" applyFont="1" applyFill="1" applyProtection="1">
      <protection hidden="1"/>
    </xf>
    <xf numFmtId="10" fontId="0" fillId="16" borderId="0" xfId="0" applyNumberFormat="1" applyFont="1" applyFill="1" applyProtection="1">
      <protection hidden="1"/>
    </xf>
    <xf numFmtId="10" fontId="0" fillId="12" borderId="0" xfId="0" applyNumberFormat="1" applyFont="1" applyFill="1" applyProtection="1">
      <protection hidden="1"/>
    </xf>
    <xf numFmtId="0" fontId="0" fillId="14" borderId="0" xfId="0" applyFont="1" applyFill="1" applyProtection="1">
      <protection hidden="1"/>
    </xf>
    <xf numFmtId="0" fontId="0" fillId="18" borderId="0" xfId="0" applyFont="1" applyFill="1" applyProtection="1">
      <protection hidden="1"/>
    </xf>
    <xf numFmtId="0" fontId="0" fillId="16" borderId="0" xfId="0" applyFont="1" applyFill="1" applyProtection="1">
      <protection hidden="1"/>
    </xf>
    <xf numFmtId="0" fontId="0" fillId="12" borderId="0" xfId="0" applyFont="1" applyFill="1" applyProtection="1">
      <protection hidden="1"/>
    </xf>
    <xf numFmtId="0" fontId="0" fillId="20" borderId="0" xfId="5" applyFont="1"/>
    <xf numFmtId="0" fontId="2" fillId="18" borderId="26" xfId="0" applyNumberFormat="1" applyFont="1" applyFill="1" applyBorder="1" applyAlignment="1">
      <alignment horizontal="right"/>
    </xf>
    <xf numFmtId="0" fontId="0" fillId="18" borderId="27" xfId="0" applyFill="1" applyBorder="1"/>
    <xf numFmtId="0" fontId="2" fillId="18" borderId="29" xfId="0" applyNumberFormat="1" applyFont="1" applyFill="1" applyBorder="1" applyAlignment="1">
      <alignment horizontal="right"/>
    </xf>
    <xf numFmtId="0" fontId="0" fillId="18" borderId="30" xfId="0" applyFill="1" applyBorder="1"/>
    <xf numFmtId="0" fontId="2" fillId="14" borderId="29" xfId="0" applyNumberFormat="1" applyFont="1" applyFill="1" applyBorder="1" applyAlignment="1">
      <alignment horizontal="right"/>
    </xf>
    <xf numFmtId="0" fontId="0" fillId="14" borderId="30" xfId="0" applyFill="1" applyBorder="1"/>
    <xf numFmtId="0" fontId="0" fillId="0" borderId="0" xfId="0" applyAlignment="1">
      <alignment horizontal="left" indent="1"/>
    </xf>
    <xf numFmtId="0" fontId="0" fillId="0" borderId="0" xfId="0" applyAlignment="1">
      <alignment horizontal="left" indent="5"/>
    </xf>
    <xf numFmtId="0" fontId="0" fillId="5" borderId="0" xfId="0" applyFill="1" applyBorder="1" applyProtection="1">
      <protection locked="0"/>
    </xf>
    <xf numFmtId="0" fontId="3" fillId="0" borderId="0" xfId="0" applyFont="1" applyAlignment="1">
      <alignment horizontal="left" indent="24"/>
    </xf>
    <xf numFmtId="0" fontId="0" fillId="0" borderId="0" xfId="0"/>
    <xf numFmtId="170" fontId="6" fillId="17" borderId="0" xfId="3" applyNumberFormat="1" applyProtection="1">
      <protection hidden="1"/>
    </xf>
    <xf numFmtId="170" fontId="6" fillId="17" borderId="2" xfId="3" applyNumberFormat="1" applyBorder="1" applyProtection="1">
      <protection hidden="1"/>
    </xf>
    <xf numFmtId="170" fontId="2" fillId="14" borderId="0" xfId="0" applyNumberFormat="1" applyFont="1" applyFill="1" applyBorder="1" applyAlignment="1" applyProtection="1">
      <alignment horizontal="right"/>
      <protection hidden="1"/>
    </xf>
    <xf numFmtId="170" fontId="2" fillId="18" borderId="0" xfId="0" applyNumberFormat="1" applyFont="1" applyFill="1" applyProtection="1">
      <protection hidden="1"/>
    </xf>
    <xf numFmtId="170" fontId="2" fillId="16" borderId="0" xfId="0" applyNumberFormat="1" applyFont="1" applyFill="1" applyBorder="1" applyAlignment="1" applyProtection="1">
      <alignment horizontal="right"/>
      <protection hidden="1"/>
    </xf>
    <xf numFmtId="170" fontId="2" fillId="12" borderId="0" xfId="0" applyNumberFormat="1" applyFont="1" applyFill="1" applyProtection="1">
      <protection hidden="1"/>
    </xf>
    <xf numFmtId="170" fontId="0" fillId="15" borderId="0" xfId="0" applyNumberFormat="1" applyFill="1" applyProtection="1">
      <protection hidden="1"/>
    </xf>
    <xf numFmtId="2" fontId="0" fillId="15" borderId="0" xfId="0" applyNumberFormat="1" applyFill="1" applyProtection="1">
      <protection locked="0"/>
    </xf>
    <xf numFmtId="2" fontId="3" fillId="15" borderId="0" xfId="0" applyNumberFormat="1" applyFont="1" applyFill="1" applyProtection="1">
      <protection locked="0"/>
    </xf>
    <xf numFmtId="0" fontId="2" fillId="14" borderId="0" xfId="0" applyFont="1" applyFill="1" applyAlignment="1" applyProtection="1">
      <alignment horizontal="center"/>
      <protection hidden="1"/>
    </xf>
    <xf numFmtId="0" fontId="2" fillId="18" borderId="0" xfId="0" applyFont="1" applyFill="1" applyAlignment="1" applyProtection="1">
      <alignment horizontal="center"/>
      <protection hidden="1"/>
    </xf>
    <xf numFmtId="0" fontId="2" fillId="16" borderId="0" xfId="0" applyFont="1" applyFill="1" applyAlignment="1" applyProtection="1">
      <alignment horizontal="center"/>
      <protection hidden="1"/>
    </xf>
    <xf numFmtId="0" fontId="2" fillId="12" borderId="0" xfId="0" applyFont="1" applyFill="1" applyAlignment="1" applyProtection="1">
      <alignment horizontal="center"/>
      <protection hidden="1"/>
    </xf>
    <xf numFmtId="0" fontId="2" fillId="14" borderId="0" xfId="0" applyFont="1" applyFill="1" applyAlignment="1" applyProtection="1">
      <alignment horizontal="center"/>
      <protection locked="0"/>
    </xf>
    <xf numFmtId="0" fontId="2" fillId="18" borderId="0" xfId="0" applyFont="1" applyFill="1" applyAlignment="1" applyProtection="1">
      <alignment horizontal="center"/>
      <protection locked="0"/>
    </xf>
    <xf numFmtId="0" fontId="2" fillId="16" borderId="0" xfId="0" applyFont="1" applyFill="1" applyAlignment="1" applyProtection="1">
      <alignment horizontal="center"/>
      <protection locked="0"/>
    </xf>
    <xf numFmtId="0" fontId="2" fillId="12" borderId="0" xfId="0" applyFont="1" applyFill="1" applyAlignment="1" applyProtection="1">
      <alignment horizontal="center"/>
      <protection locked="0"/>
    </xf>
    <xf numFmtId="0" fontId="3" fillId="17" borderId="0" xfId="3" applyFont="1" applyAlignment="1" applyProtection="1">
      <alignment horizontal="center"/>
      <protection hidden="1"/>
    </xf>
    <xf numFmtId="0" fontId="2" fillId="5" borderId="2" xfId="0" applyFont="1" applyFill="1" applyBorder="1" applyAlignment="1">
      <alignment horizontal="center"/>
    </xf>
    <xf numFmtId="0" fontId="0" fillId="0" borderId="0" xfId="0"/>
    <xf numFmtId="0" fontId="7" fillId="5" borderId="0" xfId="0" applyFont="1" applyFill="1" applyAlignment="1">
      <alignment horizontal="center"/>
    </xf>
    <xf numFmtId="0" fontId="2" fillId="0" borderId="0" xfId="0" applyFont="1" applyBorder="1" applyAlignment="1">
      <alignment horizontal="center"/>
    </xf>
    <xf numFmtId="0" fontId="7" fillId="0" borderId="0" xfId="0" applyFont="1" applyBorder="1" applyAlignment="1">
      <alignment horizontal="center"/>
    </xf>
    <xf numFmtId="0" fontId="2" fillId="0" borderId="2" xfId="0" applyFont="1" applyBorder="1" applyAlignment="1">
      <alignment horizontal="center"/>
    </xf>
    <xf numFmtId="0" fontId="9" fillId="5" borderId="0" xfId="0" applyFont="1" applyFill="1" applyBorder="1" applyAlignment="1">
      <alignment horizontal="center" wrapText="1"/>
    </xf>
    <xf numFmtId="0" fontId="9" fillId="5" borderId="0" xfId="0" applyFont="1" applyFill="1" applyBorder="1" applyAlignment="1">
      <alignment horizontal="center"/>
    </xf>
    <xf numFmtId="0" fontId="9" fillId="5" borderId="0" xfId="0" applyFont="1" applyFill="1" applyAlignment="1">
      <alignment horizontal="center"/>
    </xf>
    <xf numFmtId="0" fontId="4" fillId="2" borderId="0" xfId="0" applyFont="1" applyFill="1" applyAlignment="1">
      <alignment horizontal="left" vertical="top" wrapText="1"/>
    </xf>
  </cellXfs>
  <cellStyles count="6">
    <cellStyle name="20% - Accent6" xfId="3" builtinId="50"/>
    <cellStyle name="60% - Accent3" xfId="5" builtinId="40"/>
    <cellStyle name="Accent1" xfId="4" builtinId="29"/>
    <cellStyle name="Comma" xfId="1" builtinId="3"/>
    <cellStyle name="Hyperlink" xfId="2" builtinId="8"/>
    <cellStyle name="Normal" xfId="0" builtinId="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1" defaultTableStyle="TableStyleMedium2" defaultPivotStyle="PivotStyleMedium9">
    <tableStyle name="IRENA report 2016" pivot="0" count="0" xr9:uid="{00000000-0011-0000-FFFF-FFFF00000000}"/>
  </tableStyles>
  <colors>
    <mruColors>
      <color rgb="FFDCE6F1"/>
      <color rgb="FF66FF33"/>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de-DE" sz="1600"/>
              <a:t>Composition of the annuities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manualLayout>
          <c:layoutTarget val="inner"/>
          <c:xMode val="edge"/>
          <c:yMode val="edge"/>
          <c:x val="0.33866365049728447"/>
          <c:y val="0.24515646368743835"/>
          <c:w val="0.3278608167341574"/>
          <c:h val="0.63661351021976864"/>
        </c:manualLayout>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A3F9-4795-9356-20AF273FDE04}"/>
              </c:ext>
            </c:extLst>
          </c:dPt>
          <c:dPt>
            <c:idx val="1"/>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3-A3F9-4795-9356-20AF273FDE04}"/>
              </c:ext>
            </c:extLst>
          </c:dPt>
          <c:dPt>
            <c:idx val="2"/>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5-A3F9-4795-9356-20AF273FDE04}"/>
              </c:ext>
            </c:extLst>
          </c:dPt>
          <c:dPt>
            <c:idx val="3"/>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7-A3F9-4795-9356-20AF273FDE04}"/>
              </c:ext>
            </c:extLst>
          </c:dPt>
          <c:dPt>
            <c:idx val="4"/>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09-A3F9-4795-9356-20AF273FDE04}"/>
              </c:ext>
            </c:extLst>
          </c:dPt>
          <c:dLbls>
            <c:dLbl>
              <c:idx val="0"/>
              <c:layout>
                <c:manualLayout>
                  <c:x val="8.2359130923668505E-2"/>
                  <c:y val="0.1070576047234408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3F9-4795-9356-20AF273FDE04}"/>
                </c:ext>
              </c:extLst>
            </c:dLbl>
            <c:dLbl>
              <c:idx val="1"/>
              <c:layout>
                <c:manualLayout>
                  <c:x val="-0.10563453748905312"/>
                  <c:y val="7.3832830843752291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3F9-4795-9356-20AF273FDE04}"/>
                </c:ext>
              </c:extLst>
            </c:dLbl>
            <c:dLbl>
              <c:idx val="2"/>
              <c:layout>
                <c:manualLayout>
                  <c:x val="-0.13428119172337261"/>
                  <c:y val="-2.214984925312575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3F9-4795-9356-20AF273FDE04}"/>
                </c:ext>
              </c:extLst>
            </c:dLbl>
            <c:dLbl>
              <c:idx val="3"/>
              <c:layout>
                <c:manualLayout>
                  <c:x val="-0.16292784595769205"/>
                  <c:y val="-8.859939701250278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3F9-4795-9356-20AF273FDE04}"/>
                </c:ext>
              </c:extLst>
            </c:dLbl>
            <c:dLbl>
              <c:idx val="4"/>
              <c:layout>
                <c:manualLayout>
                  <c:x val="0.16471826184733696"/>
                  <c:y val="-0.11619614597510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3F9-4795-9356-20AF273FDE04}"/>
                </c:ext>
              </c:extLst>
            </c:dLbl>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'Cost-of-Service'!$B$85:$B$89</c:f>
              <c:strCache>
                <c:ptCount val="5"/>
                <c:pt idx="0">
                  <c:v>Capital</c:v>
                </c:pt>
                <c:pt idx="1">
                  <c:v>Financing</c:v>
                </c:pt>
                <c:pt idx="2">
                  <c:v>Maintenance</c:v>
                </c:pt>
                <c:pt idx="3">
                  <c:v>Efficiency losses</c:v>
                </c:pt>
                <c:pt idx="4">
                  <c:v>Self-discharge</c:v>
                </c:pt>
              </c:strCache>
            </c:strRef>
          </c:cat>
          <c:val>
            <c:numRef>
              <c:f>'Cost-of-Service'!$E$85:$E$89</c:f>
              <c:numCache>
                <c:formatCode>0.0</c:formatCode>
                <c:ptCount val="5"/>
                <c:pt idx="0">
                  <c:v>2697.0588235294117</c:v>
                </c:pt>
                <c:pt idx="1">
                  <c:v>636.77754777950372</c:v>
                </c:pt>
                <c:pt idx="2">
                  <c:v>645.75</c:v>
                </c:pt>
                <c:pt idx="3">
                  <c:v>59.510204081632629</c:v>
                </c:pt>
                <c:pt idx="4">
                  <c:v>1.9709999999999999</c:v>
                </c:pt>
              </c:numCache>
            </c:numRef>
          </c:val>
          <c:extLst>
            <c:ext xmlns:c16="http://schemas.microsoft.com/office/drawing/2014/chart" uri="{C3380CC4-5D6E-409C-BE32-E72D297353CC}">
              <c16:uniqueId val="{00000000-7051-43D0-ADCC-1F1EE9056E90}"/>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r"/>
      <c:layout>
        <c:manualLayout>
          <c:xMode val="edge"/>
          <c:yMode val="edge"/>
          <c:x val="0.71052203452147411"/>
          <c:y val="0.27288101445450957"/>
          <c:w val="0.26262172713385151"/>
          <c:h val="0.40320920551113076"/>
        </c:manualLayout>
      </c:layout>
      <c:overlay val="0"/>
      <c:spPr>
        <a:solidFill>
          <a:schemeClr val="lt1">
            <a:alpha val="50000"/>
          </a:schemeClr>
        </a:solidFill>
        <a:ln>
          <a:noFill/>
        </a:ln>
        <a:effectLst/>
      </c:spPr>
      <c:txPr>
        <a:bodyPr rot="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600"/>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1" i="0" u="none" strike="noStrike" kern="1200" baseline="0">
                <a:solidFill>
                  <a:schemeClr val="tx1"/>
                </a:solidFill>
                <a:latin typeface="+mn-lt"/>
                <a:ea typeface="+mn-ea"/>
                <a:cs typeface="+mn-cs"/>
              </a:defRPr>
            </a:pPr>
            <a:r>
              <a:rPr lang="de-DE"/>
              <a:t>Cost-of-service </a:t>
            </a:r>
            <a:r>
              <a:rPr lang="en-US"/>
              <a:t>— C</a:t>
            </a:r>
            <a:r>
              <a:rPr lang="de-DE"/>
              <a:t>omparison</a:t>
            </a:r>
          </a:p>
        </c:rich>
      </c:tx>
      <c:overlay val="0"/>
      <c:spPr>
        <a:noFill/>
        <a:ln>
          <a:noFill/>
        </a:ln>
        <a:effectLst/>
      </c:spPr>
      <c:txPr>
        <a:bodyPr rot="0" spcFirstLastPara="1" vertOverflow="ellipsis" vert="horz" wrap="square" anchor="ctr" anchorCtr="1"/>
        <a:lstStyle/>
        <a:p>
          <a:pPr>
            <a:defRPr sz="126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0.11364739111895478"/>
          <c:y val="0.11851566555760445"/>
          <c:w val="0.69565047905597732"/>
          <c:h val="0.77947889164825201"/>
        </c:manualLayout>
      </c:layout>
      <c:barChart>
        <c:barDir val="col"/>
        <c:grouping val="clustered"/>
        <c:varyColors val="0"/>
        <c:ser>
          <c:idx val="1"/>
          <c:order val="0"/>
          <c:tx>
            <c:strRef>
              <c:f>'Cost-of-Service'!$B$142</c:f>
              <c:strCache>
                <c:ptCount val="1"/>
                <c:pt idx="0">
                  <c:v>Flywheel</c:v>
                </c:pt>
              </c:strCache>
            </c:strRef>
          </c:tx>
          <c:spPr>
            <a:solidFill>
              <a:schemeClr val="accent5"/>
            </a:solidFill>
            <a:ln>
              <a:noFill/>
            </a:ln>
            <a:effectLst/>
          </c:spPr>
          <c:invertIfNegative val="0"/>
          <c:cat>
            <c:numRef>
              <c:f>'Cost-of-Service'!$C$141:$F$141</c:f>
              <c:numCache>
                <c:formatCode>General</c:formatCode>
                <c:ptCount val="4"/>
                <c:pt idx="0">
                  <c:v>2016</c:v>
                </c:pt>
                <c:pt idx="1">
                  <c:v>2020</c:v>
                </c:pt>
                <c:pt idx="2">
                  <c:v>2025</c:v>
                </c:pt>
                <c:pt idx="3">
                  <c:v>2030</c:v>
                </c:pt>
              </c:numCache>
            </c:numRef>
          </c:cat>
          <c:val>
            <c:numRef>
              <c:f>'Cost-of-Service'!$C$142:$F$142</c:f>
              <c:numCache>
                <c:formatCode>0.00</c:formatCode>
                <c:ptCount val="4"/>
                <c:pt idx="0">
                  <c:v>123.17507153799561</c:v>
                </c:pt>
                <c:pt idx="1">
                  <c:v>96.759887423145699</c:v>
                </c:pt>
                <c:pt idx="2">
                  <c:v>78.463840230361626</c:v>
                </c:pt>
                <c:pt idx="3">
                  <c:v>64.00305632297237</c:v>
                </c:pt>
              </c:numCache>
            </c:numRef>
          </c:val>
          <c:extLst>
            <c:ext xmlns:c16="http://schemas.microsoft.com/office/drawing/2014/chart" uri="{C3380CC4-5D6E-409C-BE32-E72D297353CC}">
              <c16:uniqueId val="{00000001-087D-4CC2-AC11-F4E1F25F744E}"/>
            </c:ext>
          </c:extLst>
        </c:ser>
        <c:ser>
          <c:idx val="2"/>
          <c:order val="1"/>
          <c:tx>
            <c:strRef>
              <c:f>'Cost-of-Service'!$B$143</c:f>
              <c:strCache>
                <c:ptCount val="1"/>
                <c:pt idx="0">
                  <c:v>Li-Ion (LFP)</c:v>
                </c:pt>
              </c:strCache>
            </c:strRef>
          </c:tx>
          <c:spPr>
            <a:solidFill>
              <a:schemeClr val="accent4"/>
            </a:solidFill>
            <a:ln>
              <a:noFill/>
            </a:ln>
            <a:effectLst/>
          </c:spPr>
          <c:invertIfNegative val="0"/>
          <c:cat>
            <c:numRef>
              <c:f>'Cost-of-Service'!$C$141:$F$141</c:f>
              <c:numCache>
                <c:formatCode>General</c:formatCode>
                <c:ptCount val="4"/>
                <c:pt idx="0">
                  <c:v>2016</c:v>
                </c:pt>
                <c:pt idx="1">
                  <c:v>2020</c:v>
                </c:pt>
                <c:pt idx="2">
                  <c:v>2025</c:v>
                </c:pt>
                <c:pt idx="3">
                  <c:v>2030</c:v>
                </c:pt>
              </c:numCache>
            </c:numRef>
          </c:cat>
          <c:val>
            <c:numRef>
              <c:f>'Cost-of-Service'!$C$143:$F$143</c:f>
              <c:numCache>
                <c:formatCode>0.00</c:formatCode>
                <c:ptCount val="4"/>
                <c:pt idx="0">
                  <c:v>31.917263075912935</c:v>
                </c:pt>
                <c:pt idx="1">
                  <c:v>22.916465124909976</c:v>
                </c:pt>
                <c:pt idx="2">
                  <c:v>15.253689140983665</c:v>
                </c:pt>
                <c:pt idx="3">
                  <c:v>10.239382436733996</c:v>
                </c:pt>
              </c:numCache>
            </c:numRef>
          </c:val>
          <c:extLst>
            <c:ext xmlns:c16="http://schemas.microsoft.com/office/drawing/2014/chart" uri="{C3380CC4-5D6E-409C-BE32-E72D297353CC}">
              <c16:uniqueId val="{00000002-087D-4CC2-AC11-F4E1F25F744E}"/>
            </c:ext>
          </c:extLst>
        </c:ser>
        <c:ser>
          <c:idx val="3"/>
          <c:order val="2"/>
          <c:tx>
            <c:strRef>
              <c:f>'Cost-of-Service'!$B$144</c:f>
              <c:strCache>
                <c:ptCount val="1"/>
                <c:pt idx="0">
                  <c:v>NaS</c:v>
                </c:pt>
              </c:strCache>
            </c:strRef>
          </c:tx>
          <c:spPr>
            <a:solidFill>
              <a:schemeClr val="accent6">
                <a:lumMod val="60000"/>
              </a:schemeClr>
            </a:solidFill>
            <a:ln>
              <a:noFill/>
            </a:ln>
            <a:effectLst/>
          </c:spPr>
          <c:invertIfNegative val="0"/>
          <c:cat>
            <c:numRef>
              <c:f>'Cost-of-Service'!$C$141:$F$141</c:f>
              <c:numCache>
                <c:formatCode>General</c:formatCode>
                <c:ptCount val="4"/>
                <c:pt idx="0">
                  <c:v>2016</c:v>
                </c:pt>
                <c:pt idx="1">
                  <c:v>2020</c:v>
                </c:pt>
                <c:pt idx="2">
                  <c:v>2025</c:v>
                </c:pt>
                <c:pt idx="3">
                  <c:v>2030</c:v>
                </c:pt>
              </c:numCache>
            </c:numRef>
          </c:cat>
          <c:val>
            <c:numRef>
              <c:f>'Cost-of-Service'!$C$144:$F$144</c:f>
              <c:numCache>
                <c:formatCode>0.00</c:formatCode>
                <c:ptCount val="4"/>
                <c:pt idx="0">
                  <c:v>20.205337876952743</c:v>
                </c:pt>
                <c:pt idx="1">
                  <c:v>15.16736646198134</c:v>
                </c:pt>
                <c:pt idx="2">
                  <c:v>10.653497604526031</c:v>
                </c:pt>
                <c:pt idx="3">
                  <c:v>7.5289133425064536</c:v>
                </c:pt>
              </c:numCache>
            </c:numRef>
          </c:val>
          <c:extLst>
            <c:ext xmlns:c16="http://schemas.microsoft.com/office/drawing/2014/chart" uri="{C3380CC4-5D6E-409C-BE32-E72D297353CC}">
              <c16:uniqueId val="{00000004-087D-4CC2-AC11-F4E1F25F744E}"/>
            </c:ext>
          </c:extLst>
        </c:ser>
        <c:ser>
          <c:idx val="4"/>
          <c:order val="3"/>
          <c:tx>
            <c:strRef>
              <c:f>'Cost-of-Service'!$B$145</c:f>
              <c:strCache>
                <c:ptCount val="1"/>
              </c:strCache>
            </c:strRef>
          </c:tx>
          <c:spPr>
            <a:solidFill>
              <a:schemeClr val="accent5">
                <a:lumMod val="60000"/>
              </a:schemeClr>
            </a:solidFill>
            <a:ln>
              <a:noFill/>
            </a:ln>
            <a:effectLst/>
          </c:spPr>
          <c:invertIfNegative val="0"/>
          <c:cat>
            <c:numRef>
              <c:f>'Cost-of-Service'!$C$141:$F$141</c:f>
              <c:numCache>
                <c:formatCode>General</c:formatCode>
                <c:ptCount val="4"/>
                <c:pt idx="0">
                  <c:v>2016</c:v>
                </c:pt>
                <c:pt idx="1">
                  <c:v>2020</c:v>
                </c:pt>
                <c:pt idx="2">
                  <c:v>2025</c:v>
                </c:pt>
                <c:pt idx="3">
                  <c:v>2030</c:v>
                </c:pt>
              </c:numCache>
            </c:numRef>
          </c:cat>
          <c:val>
            <c:numRef>
              <c:f>'Cost-of-Service'!$C$145:$F$145</c:f>
              <c:numCache>
                <c:formatCode>0.00</c:formatCode>
                <c:ptCount val="4"/>
              </c:numCache>
            </c:numRef>
          </c:val>
          <c:extLst>
            <c:ext xmlns:c16="http://schemas.microsoft.com/office/drawing/2014/chart" uri="{C3380CC4-5D6E-409C-BE32-E72D297353CC}">
              <c16:uniqueId val="{00000005-087D-4CC2-AC11-F4E1F25F744E}"/>
            </c:ext>
          </c:extLst>
        </c:ser>
        <c:ser>
          <c:idx val="5"/>
          <c:order val="4"/>
          <c:tx>
            <c:strRef>
              <c:f>'Cost-of-Service'!$B$146</c:f>
              <c:strCache>
                <c:ptCount val="1"/>
              </c:strCache>
            </c:strRef>
          </c:tx>
          <c:spPr>
            <a:solidFill>
              <a:schemeClr val="accent4">
                <a:lumMod val="60000"/>
              </a:schemeClr>
            </a:solidFill>
            <a:ln>
              <a:noFill/>
            </a:ln>
            <a:effectLst/>
          </c:spPr>
          <c:invertIfNegative val="0"/>
          <c:cat>
            <c:numRef>
              <c:f>'Cost-of-Service'!$C$141:$F$141</c:f>
              <c:numCache>
                <c:formatCode>General</c:formatCode>
                <c:ptCount val="4"/>
                <c:pt idx="0">
                  <c:v>2016</c:v>
                </c:pt>
                <c:pt idx="1">
                  <c:v>2020</c:v>
                </c:pt>
                <c:pt idx="2">
                  <c:v>2025</c:v>
                </c:pt>
                <c:pt idx="3">
                  <c:v>2030</c:v>
                </c:pt>
              </c:numCache>
            </c:numRef>
          </c:cat>
          <c:val>
            <c:numRef>
              <c:f>'Cost-of-Service'!$C$146:$F$146</c:f>
              <c:numCache>
                <c:formatCode>0.00</c:formatCode>
                <c:ptCount val="4"/>
              </c:numCache>
            </c:numRef>
          </c:val>
          <c:extLst>
            <c:ext xmlns:c16="http://schemas.microsoft.com/office/drawing/2014/chart" uri="{C3380CC4-5D6E-409C-BE32-E72D297353CC}">
              <c16:uniqueId val="{00000006-087D-4CC2-AC11-F4E1F25F744E}"/>
            </c:ext>
          </c:extLst>
        </c:ser>
        <c:ser>
          <c:idx val="6"/>
          <c:order val="5"/>
          <c:tx>
            <c:strRef>
              <c:f>'Cost-of-Service'!$B$147</c:f>
              <c:strCache>
                <c:ptCount val="1"/>
              </c:strCache>
            </c:strRef>
          </c:tx>
          <c:spPr>
            <a:solidFill>
              <a:schemeClr val="accent6">
                <a:lumMod val="80000"/>
                <a:lumOff val="20000"/>
              </a:schemeClr>
            </a:solidFill>
            <a:ln>
              <a:noFill/>
            </a:ln>
            <a:effectLst/>
          </c:spPr>
          <c:invertIfNegative val="0"/>
          <c:cat>
            <c:numRef>
              <c:f>'Cost-of-Service'!$C$141:$F$141</c:f>
              <c:numCache>
                <c:formatCode>General</c:formatCode>
                <c:ptCount val="4"/>
                <c:pt idx="0">
                  <c:v>2016</c:v>
                </c:pt>
                <c:pt idx="1">
                  <c:v>2020</c:v>
                </c:pt>
                <c:pt idx="2">
                  <c:v>2025</c:v>
                </c:pt>
                <c:pt idx="3">
                  <c:v>2030</c:v>
                </c:pt>
              </c:numCache>
            </c:numRef>
          </c:cat>
          <c:val>
            <c:numRef>
              <c:f>'Cost-of-Service'!$C$147:$F$147</c:f>
              <c:numCache>
                <c:formatCode>0.00</c:formatCode>
                <c:ptCount val="4"/>
              </c:numCache>
            </c:numRef>
          </c:val>
          <c:extLst>
            <c:ext xmlns:c16="http://schemas.microsoft.com/office/drawing/2014/chart" uri="{C3380CC4-5D6E-409C-BE32-E72D297353CC}">
              <c16:uniqueId val="{00000007-087D-4CC2-AC11-F4E1F25F744E}"/>
            </c:ext>
          </c:extLst>
        </c:ser>
        <c:ser>
          <c:idx val="7"/>
          <c:order val="6"/>
          <c:tx>
            <c:strRef>
              <c:f>'Cost-of-Service'!$B$148</c:f>
              <c:strCache>
                <c:ptCount val="1"/>
              </c:strCache>
            </c:strRef>
          </c:tx>
          <c:spPr>
            <a:solidFill>
              <a:schemeClr val="accent5">
                <a:lumMod val="80000"/>
                <a:lumOff val="20000"/>
              </a:schemeClr>
            </a:solidFill>
            <a:ln>
              <a:noFill/>
            </a:ln>
            <a:effectLst/>
          </c:spPr>
          <c:invertIfNegative val="0"/>
          <c:cat>
            <c:numRef>
              <c:f>'Cost-of-Service'!$C$141:$F$141</c:f>
              <c:numCache>
                <c:formatCode>General</c:formatCode>
                <c:ptCount val="4"/>
                <c:pt idx="0">
                  <c:v>2016</c:v>
                </c:pt>
                <c:pt idx="1">
                  <c:v>2020</c:v>
                </c:pt>
                <c:pt idx="2">
                  <c:v>2025</c:v>
                </c:pt>
                <c:pt idx="3">
                  <c:v>2030</c:v>
                </c:pt>
              </c:numCache>
            </c:numRef>
          </c:cat>
          <c:val>
            <c:numRef>
              <c:f>'Cost-of-Service'!$C$148:$F$148</c:f>
              <c:numCache>
                <c:formatCode>0.00</c:formatCode>
                <c:ptCount val="4"/>
              </c:numCache>
            </c:numRef>
          </c:val>
          <c:extLst>
            <c:ext xmlns:c16="http://schemas.microsoft.com/office/drawing/2014/chart" uri="{C3380CC4-5D6E-409C-BE32-E72D297353CC}">
              <c16:uniqueId val="{00000008-087D-4CC2-AC11-F4E1F25F744E}"/>
            </c:ext>
          </c:extLst>
        </c:ser>
        <c:ser>
          <c:idx val="8"/>
          <c:order val="7"/>
          <c:tx>
            <c:strRef>
              <c:f>'Cost-of-Service'!$B$149</c:f>
              <c:strCache>
                <c:ptCount val="1"/>
              </c:strCache>
            </c:strRef>
          </c:tx>
          <c:spPr>
            <a:solidFill>
              <a:schemeClr val="accent4">
                <a:lumMod val="80000"/>
                <a:lumOff val="20000"/>
              </a:schemeClr>
            </a:solidFill>
            <a:ln>
              <a:noFill/>
            </a:ln>
            <a:effectLst/>
          </c:spPr>
          <c:invertIfNegative val="0"/>
          <c:cat>
            <c:numRef>
              <c:f>'Cost-of-Service'!$C$141:$F$141</c:f>
              <c:numCache>
                <c:formatCode>General</c:formatCode>
                <c:ptCount val="4"/>
                <c:pt idx="0">
                  <c:v>2016</c:v>
                </c:pt>
                <c:pt idx="1">
                  <c:v>2020</c:v>
                </c:pt>
                <c:pt idx="2">
                  <c:v>2025</c:v>
                </c:pt>
                <c:pt idx="3">
                  <c:v>2030</c:v>
                </c:pt>
              </c:numCache>
            </c:numRef>
          </c:cat>
          <c:val>
            <c:numRef>
              <c:f>'Cost-of-Service'!$C$149:$F$149</c:f>
              <c:numCache>
                <c:formatCode>0.00</c:formatCode>
                <c:ptCount val="4"/>
              </c:numCache>
            </c:numRef>
          </c:val>
          <c:extLst>
            <c:ext xmlns:c16="http://schemas.microsoft.com/office/drawing/2014/chart" uri="{C3380CC4-5D6E-409C-BE32-E72D297353CC}">
              <c16:uniqueId val="{00000009-087D-4CC2-AC11-F4E1F25F744E}"/>
            </c:ext>
          </c:extLst>
        </c:ser>
        <c:ser>
          <c:idx val="9"/>
          <c:order val="8"/>
          <c:tx>
            <c:strRef>
              <c:f>'Cost-of-Service'!$B$150</c:f>
              <c:strCache>
                <c:ptCount val="1"/>
              </c:strCache>
            </c:strRef>
          </c:tx>
          <c:spPr>
            <a:solidFill>
              <a:schemeClr val="accent6">
                <a:lumMod val="80000"/>
              </a:schemeClr>
            </a:solidFill>
            <a:ln>
              <a:noFill/>
            </a:ln>
            <a:effectLst/>
          </c:spPr>
          <c:invertIfNegative val="0"/>
          <c:cat>
            <c:numRef>
              <c:f>'Cost-of-Service'!$C$141:$F$141</c:f>
              <c:numCache>
                <c:formatCode>General</c:formatCode>
                <c:ptCount val="4"/>
                <c:pt idx="0">
                  <c:v>2016</c:v>
                </c:pt>
                <c:pt idx="1">
                  <c:v>2020</c:v>
                </c:pt>
                <c:pt idx="2">
                  <c:v>2025</c:v>
                </c:pt>
                <c:pt idx="3">
                  <c:v>2030</c:v>
                </c:pt>
              </c:numCache>
            </c:numRef>
          </c:cat>
          <c:val>
            <c:numRef>
              <c:f>'Cost-of-Service'!$C$150:$F$150</c:f>
              <c:numCache>
                <c:formatCode>0.00</c:formatCode>
                <c:ptCount val="4"/>
              </c:numCache>
            </c:numRef>
          </c:val>
          <c:extLst>
            <c:ext xmlns:c16="http://schemas.microsoft.com/office/drawing/2014/chart" uri="{C3380CC4-5D6E-409C-BE32-E72D297353CC}">
              <c16:uniqueId val="{0000000A-087D-4CC2-AC11-F4E1F25F744E}"/>
            </c:ext>
          </c:extLst>
        </c:ser>
        <c:ser>
          <c:idx val="10"/>
          <c:order val="9"/>
          <c:tx>
            <c:strRef>
              <c:f>'Cost-of-Service'!$B$151</c:f>
              <c:strCache>
                <c:ptCount val="1"/>
              </c:strCache>
            </c:strRef>
          </c:tx>
          <c:spPr>
            <a:solidFill>
              <a:schemeClr val="accent5">
                <a:lumMod val="80000"/>
              </a:schemeClr>
            </a:solidFill>
            <a:ln>
              <a:noFill/>
            </a:ln>
            <a:effectLst/>
          </c:spPr>
          <c:invertIfNegative val="0"/>
          <c:cat>
            <c:numRef>
              <c:f>'Cost-of-Service'!$C$141:$F$141</c:f>
              <c:numCache>
                <c:formatCode>General</c:formatCode>
                <c:ptCount val="4"/>
                <c:pt idx="0">
                  <c:v>2016</c:v>
                </c:pt>
                <c:pt idx="1">
                  <c:v>2020</c:v>
                </c:pt>
                <c:pt idx="2">
                  <c:v>2025</c:v>
                </c:pt>
                <c:pt idx="3">
                  <c:v>2030</c:v>
                </c:pt>
              </c:numCache>
            </c:numRef>
          </c:cat>
          <c:val>
            <c:numRef>
              <c:f>'Cost-of-Service'!$C$151:$F$151</c:f>
              <c:numCache>
                <c:formatCode>0.00</c:formatCode>
                <c:ptCount val="4"/>
              </c:numCache>
            </c:numRef>
          </c:val>
          <c:extLst>
            <c:ext xmlns:c16="http://schemas.microsoft.com/office/drawing/2014/chart" uri="{C3380CC4-5D6E-409C-BE32-E72D297353CC}">
              <c16:uniqueId val="{00000019-087D-4CC2-AC11-F4E1F25F744E}"/>
            </c:ext>
          </c:extLst>
        </c:ser>
        <c:ser>
          <c:idx val="11"/>
          <c:order val="10"/>
          <c:tx>
            <c:strRef>
              <c:f>'Cost-of-Service'!$B$152</c:f>
              <c:strCache>
                <c:ptCount val="1"/>
              </c:strCache>
            </c:strRef>
          </c:tx>
          <c:spPr>
            <a:solidFill>
              <a:schemeClr val="accent4">
                <a:lumMod val="80000"/>
              </a:schemeClr>
            </a:solidFill>
            <a:ln>
              <a:noFill/>
            </a:ln>
            <a:effectLst/>
          </c:spPr>
          <c:invertIfNegative val="0"/>
          <c:cat>
            <c:numRef>
              <c:f>'Cost-of-Service'!$C$141:$F$141</c:f>
              <c:numCache>
                <c:formatCode>General</c:formatCode>
                <c:ptCount val="4"/>
                <c:pt idx="0">
                  <c:v>2016</c:v>
                </c:pt>
                <c:pt idx="1">
                  <c:v>2020</c:v>
                </c:pt>
                <c:pt idx="2">
                  <c:v>2025</c:v>
                </c:pt>
                <c:pt idx="3">
                  <c:v>2030</c:v>
                </c:pt>
              </c:numCache>
            </c:numRef>
          </c:cat>
          <c:val>
            <c:numRef>
              <c:f>'Cost-of-Service'!$C$152:$F$152</c:f>
              <c:numCache>
                <c:formatCode>0.00</c:formatCode>
                <c:ptCount val="4"/>
              </c:numCache>
            </c:numRef>
          </c:val>
          <c:extLst>
            <c:ext xmlns:c16="http://schemas.microsoft.com/office/drawing/2014/chart" uri="{C3380CC4-5D6E-409C-BE32-E72D297353CC}">
              <c16:uniqueId val="{0000001A-087D-4CC2-AC11-F4E1F25F744E}"/>
            </c:ext>
          </c:extLst>
        </c:ser>
        <c:ser>
          <c:idx val="12"/>
          <c:order val="11"/>
          <c:tx>
            <c:strRef>
              <c:f>'Cost-of-Service'!$B$153</c:f>
              <c:strCache>
                <c:ptCount val="1"/>
              </c:strCache>
            </c:strRef>
          </c:tx>
          <c:spPr>
            <a:solidFill>
              <a:schemeClr val="accent6">
                <a:lumMod val="60000"/>
                <a:lumOff val="40000"/>
              </a:schemeClr>
            </a:solidFill>
            <a:ln>
              <a:noFill/>
            </a:ln>
            <a:effectLst/>
          </c:spPr>
          <c:invertIfNegative val="0"/>
          <c:cat>
            <c:numRef>
              <c:f>'Cost-of-Service'!$C$141:$F$141</c:f>
              <c:numCache>
                <c:formatCode>General</c:formatCode>
                <c:ptCount val="4"/>
                <c:pt idx="0">
                  <c:v>2016</c:v>
                </c:pt>
                <c:pt idx="1">
                  <c:v>2020</c:v>
                </c:pt>
                <c:pt idx="2">
                  <c:v>2025</c:v>
                </c:pt>
                <c:pt idx="3">
                  <c:v>2030</c:v>
                </c:pt>
              </c:numCache>
            </c:numRef>
          </c:cat>
          <c:val>
            <c:numRef>
              <c:f>'Cost-of-Service'!$C$153:$F$153</c:f>
              <c:numCache>
                <c:formatCode>0.00</c:formatCode>
                <c:ptCount val="4"/>
              </c:numCache>
            </c:numRef>
          </c:val>
          <c:extLst>
            <c:ext xmlns:c16="http://schemas.microsoft.com/office/drawing/2014/chart" uri="{C3380CC4-5D6E-409C-BE32-E72D297353CC}">
              <c16:uniqueId val="{0000001B-087D-4CC2-AC11-F4E1F25F744E}"/>
            </c:ext>
          </c:extLst>
        </c:ser>
        <c:ser>
          <c:idx val="13"/>
          <c:order val="12"/>
          <c:tx>
            <c:strRef>
              <c:f>'Cost-of-Service'!$B$154</c:f>
              <c:strCache>
                <c:ptCount val="1"/>
              </c:strCache>
            </c:strRef>
          </c:tx>
          <c:spPr>
            <a:solidFill>
              <a:schemeClr val="accent5">
                <a:lumMod val="60000"/>
                <a:lumOff val="40000"/>
              </a:schemeClr>
            </a:solidFill>
            <a:ln>
              <a:noFill/>
            </a:ln>
            <a:effectLst/>
          </c:spPr>
          <c:invertIfNegative val="0"/>
          <c:cat>
            <c:numRef>
              <c:f>'Cost-of-Service'!$C$141:$F$141</c:f>
              <c:numCache>
                <c:formatCode>General</c:formatCode>
                <c:ptCount val="4"/>
                <c:pt idx="0">
                  <c:v>2016</c:v>
                </c:pt>
                <c:pt idx="1">
                  <c:v>2020</c:v>
                </c:pt>
                <c:pt idx="2">
                  <c:v>2025</c:v>
                </c:pt>
                <c:pt idx="3">
                  <c:v>2030</c:v>
                </c:pt>
              </c:numCache>
            </c:numRef>
          </c:cat>
          <c:val>
            <c:numRef>
              <c:f>'Cost-of-Service'!$C$154:$F$154</c:f>
              <c:numCache>
                <c:formatCode>0.00</c:formatCode>
                <c:ptCount val="4"/>
              </c:numCache>
            </c:numRef>
          </c:val>
          <c:extLst>
            <c:ext xmlns:c16="http://schemas.microsoft.com/office/drawing/2014/chart" uri="{C3380CC4-5D6E-409C-BE32-E72D297353CC}">
              <c16:uniqueId val="{0000001C-087D-4CC2-AC11-F4E1F25F744E}"/>
            </c:ext>
          </c:extLst>
        </c:ser>
        <c:dLbls>
          <c:showLegendKey val="0"/>
          <c:showVal val="0"/>
          <c:showCatName val="0"/>
          <c:showSerName val="0"/>
          <c:showPercent val="0"/>
          <c:showBubbleSize val="0"/>
        </c:dLbls>
        <c:gapWidth val="150"/>
        <c:axId val="127277312"/>
        <c:axId val="127279104"/>
      </c:barChart>
      <c:catAx>
        <c:axId val="12727731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27279104"/>
        <c:crosses val="autoZero"/>
        <c:auto val="1"/>
        <c:lblAlgn val="ctr"/>
        <c:lblOffset val="100"/>
        <c:noMultiLvlLbl val="0"/>
      </c:catAx>
      <c:valAx>
        <c:axId val="127279104"/>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strRef>
              <c:f>'Cost-of-Service'!$G$142</c:f>
              <c:strCache>
                <c:ptCount val="1"/>
                <c:pt idx="0">
                  <c:v>USD per kW</c:v>
                </c:pt>
              </c:strCache>
            </c:strRef>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127277312"/>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050"/>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'Cost-of-Service'!$I$105</c:f>
          <c:strCache>
            <c:ptCount val="1"/>
            <c:pt idx="0">
              <c:v>Cost-of-service, NaS  — Peak shaving</c:v>
            </c:pt>
          </c:strCache>
        </c:strRef>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'Cost-of-Service'!$B$106</c:f>
              <c:strCache>
                <c:ptCount val="1"/>
                <c:pt idx="0">
                  <c:v>Best</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numRef>
              <c:f>'Cost-of-Service'!$C$105:$F$105</c:f>
              <c:numCache>
                <c:formatCode>General</c:formatCode>
                <c:ptCount val="4"/>
                <c:pt idx="0">
                  <c:v>2016</c:v>
                </c:pt>
                <c:pt idx="1">
                  <c:v>2020</c:v>
                </c:pt>
                <c:pt idx="2">
                  <c:v>2025</c:v>
                </c:pt>
                <c:pt idx="3">
                  <c:v>2030</c:v>
                </c:pt>
              </c:numCache>
            </c:numRef>
          </c:cat>
          <c:val>
            <c:numRef>
              <c:f>'Cost-of-Service'!$C$106:$F$106</c:f>
              <c:numCache>
                <c:formatCode>0.000</c:formatCode>
                <c:ptCount val="4"/>
                <c:pt idx="0">
                  <c:v>10.926826218935071</c:v>
                </c:pt>
                <c:pt idx="1">
                  <c:v>8.5365449472902597</c:v>
                </c:pt>
                <c:pt idx="2">
                  <c:v>6.2941969415772148</c:v>
                </c:pt>
                <c:pt idx="3">
                  <c:v>4.6574290329714465</c:v>
                </c:pt>
              </c:numCache>
            </c:numRef>
          </c:val>
          <c:smooth val="0"/>
          <c:extLst>
            <c:ext xmlns:c16="http://schemas.microsoft.com/office/drawing/2014/chart" uri="{C3380CC4-5D6E-409C-BE32-E72D297353CC}">
              <c16:uniqueId val="{00000000-465B-43E6-8D57-78B29C9CA65F}"/>
            </c:ext>
          </c:extLst>
        </c:ser>
        <c:ser>
          <c:idx val="1"/>
          <c:order val="1"/>
          <c:tx>
            <c:strRef>
              <c:f>'Cost-of-Service'!$B$107</c:f>
              <c:strCache>
                <c:ptCount val="1"/>
                <c:pt idx="0">
                  <c:v>Worst</c:v>
                </c:pt>
              </c:strCache>
            </c:strRef>
          </c:tx>
          <c:spPr>
            <a:ln w="34925" cap="rnd">
              <a:solidFill>
                <a:schemeClr val="accent4"/>
              </a:solidFill>
              <a:round/>
            </a:ln>
            <a:effectLst>
              <a:outerShdw blurRad="40000" dist="23000" dir="5400000" rotWithShape="0">
                <a:srgbClr val="000000">
                  <a:alpha val="35000"/>
                </a:srgbClr>
              </a:outerShdw>
            </a:effectLst>
          </c:spPr>
          <c:marker>
            <c:symbol val="none"/>
          </c:marker>
          <c:cat>
            <c:numRef>
              <c:f>'Cost-of-Service'!$C$105:$F$105</c:f>
              <c:numCache>
                <c:formatCode>General</c:formatCode>
                <c:ptCount val="4"/>
                <c:pt idx="0">
                  <c:v>2016</c:v>
                </c:pt>
                <c:pt idx="1">
                  <c:v>2020</c:v>
                </c:pt>
                <c:pt idx="2">
                  <c:v>2025</c:v>
                </c:pt>
                <c:pt idx="3">
                  <c:v>2030</c:v>
                </c:pt>
              </c:numCache>
            </c:numRef>
          </c:cat>
          <c:val>
            <c:numRef>
              <c:f>'Cost-of-Service'!$C$107:$F$107</c:f>
              <c:numCache>
                <c:formatCode>0.000</c:formatCode>
                <c:ptCount val="4"/>
                <c:pt idx="0">
                  <c:v>50.364682723156328</c:v>
                </c:pt>
                <c:pt idx="1">
                  <c:v>37.417997009117968</c:v>
                </c:pt>
                <c:pt idx="2">
                  <c:v>25.945688885150879</c:v>
                </c:pt>
                <c:pt idx="3">
                  <c:v>18.110938015922894</c:v>
                </c:pt>
              </c:numCache>
            </c:numRef>
          </c:val>
          <c:smooth val="0"/>
          <c:extLst>
            <c:ext xmlns:c16="http://schemas.microsoft.com/office/drawing/2014/chart" uri="{C3380CC4-5D6E-409C-BE32-E72D297353CC}">
              <c16:uniqueId val="{00000001-465B-43E6-8D57-78B29C9CA65F}"/>
            </c:ext>
          </c:extLst>
        </c:ser>
        <c:ser>
          <c:idx val="2"/>
          <c:order val="2"/>
          <c:tx>
            <c:strRef>
              <c:f>'Cost-of-Service'!$B$108</c:f>
              <c:strCache>
                <c:ptCount val="1"/>
                <c:pt idx="0">
                  <c:v>Reference</c:v>
                </c:pt>
              </c:strCache>
            </c:strRef>
          </c:tx>
          <c:spPr>
            <a:ln w="34925" cap="rnd">
              <a:solidFill>
                <a:schemeClr val="accent6"/>
              </a:solidFill>
              <a:round/>
            </a:ln>
            <a:effectLst>
              <a:outerShdw blurRad="40000" dist="23000" dir="5400000" rotWithShape="0">
                <a:srgbClr val="000000">
                  <a:alpha val="35000"/>
                </a:srgbClr>
              </a:outerShdw>
            </a:effectLst>
          </c:spPr>
          <c:marker>
            <c:symbol val="none"/>
          </c:marker>
          <c:cat>
            <c:numRef>
              <c:f>'Cost-of-Service'!$C$105:$F$105</c:f>
              <c:numCache>
                <c:formatCode>General</c:formatCode>
                <c:ptCount val="4"/>
                <c:pt idx="0">
                  <c:v>2016</c:v>
                </c:pt>
                <c:pt idx="1">
                  <c:v>2020</c:v>
                </c:pt>
                <c:pt idx="2">
                  <c:v>2025</c:v>
                </c:pt>
                <c:pt idx="3">
                  <c:v>2030</c:v>
                </c:pt>
              </c:numCache>
            </c:numRef>
          </c:cat>
          <c:val>
            <c:numRef>
              <c:f>'Cost-of-Service'!$C$108:$F$108</c:f>
              <c:numCache>
                <c:formatCode>0.000</c:formatCode>
                <c:ptCount val="4"/>
                <c:pt idx="0">
                  <c:v>20.205337876952743</c:v>
                </c:pt>
                <c:pt idx="1">
                  <c:v>15.16736646198134</c:v>
                </c:pt>
                <c:pt idx="2">
                  <c:v>10.653497604526031</c:v>
                </c:pt>
                <c:pt idx="3">
                  <c:v>7.5289133425064536</c:v>
                </c:pt>
              </c:numCache>
            </c:numRef>
          </c:val>
          <c:smooth val="0"/>
          <c:extLst>
            <c:ext xmlns:c16="http://schemas.microsoft.com/office/drawing/2014/chart" uri="{C3380CC4-5D6E-409C-BE32-E72D297353CC}">
              <c16:uniqueId val="{00000002-465B-43E6-8D57-78B29C9CA65F}"/>
            </c:ext>
          </c:extLst>
        </c:ser>
        <c:dLbls>
          <c:showLegendKey val="0"/>
          <c:showVal val="0"/>
          <c:showCatName val="0"/>
          <c:showSerName val="0"/>
          <c:showPercent val="0"/>
          <c:showBubbleSize val="0"/>
        </c:dLbls>
        <c:smooth val="0"/>
        <c:axId val="127314176"/>
        <c:axId val="127315968"/>
      </c:lineChart>
      <c:catAx>
        <c:axId val="1273141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27315968"/>
        <c:crosses val="autoZero"/>
        <c:auto val="1"/>
        <c:lblAlgn val="ctr"/>
        <c:lblOffset val="100"/>
        <c:noMultiLvlLbl val="0"/>
      </c:catAx>
      <c:valAx>
        <c:axId val="127315968"/>
        <c:scaling>
          <c:orientation val="minMax"/>
        </c:scaling>
        <c:delete val="0"/>
        <c:axPos val="l"/>
        <c:majorGridlines>
          <c:spPr>
            <a:ln w="9525" cap="flat" cmpd="sng" algn="ctr">
              <a:solidFill>
                <a:schemeClr val="tx1">
                  <a:lumMod val="15000"/>
                  <a:lumOff val="85000"/>
                </a:schemeClr>
              </a:solidFill>
              <a:round/>
            </a:ln>
            <a:effectLst/>
          </c:spPr>
        </c:majorGridlines>
        <c:title>
          <c:tx>
            <c:strRef>
              <c:f>'Cost-of-Service'!$G$106</c:f>
              <c:strCache>
                <c:ptCount val="1"/>
                <c:pt idx="0">
                  <c:v>USD per kW</c:v>
                </c:pt>
              </c:strCache>
            </c:strRef>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273141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600"/>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hyperlink" Target="http://www.irena.org/DocumentDownloads/Publications/IRENA_Electricity_Storage_Costs_2017.pdf" TargetMode="External"/><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2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s>
</file>

<file path=xl/drawings/_rels/drawing13.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sv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5" Type="http://schemas.openxmlformats.org/officeDocument/2006/relationships/image" Target="../media/image18.png"/><Relationship Id="rId4" Type="http://schemas.openxmlformats.org/officeDocument/2006/relationships/image" Target="../media/image17.png"/></Relationships>
</file>

<file path=xl/drawings/_rels/drawing7.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5" Type="http://schemas.openxmlformats.org/officeDocument/2006/relationships/image" Target="../media/image18.png"/><Relationship Id="rId4" Type="http://schemas.openxmlformats.org/officeDocument/2006/relationships/image" Target="../media/image17.png"/></Relationships>
</file>

<file path=xl/drawings/_rels/drawing8.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5" Type="http://schemas.openxmlformats.org/officeDocument/2006/relationships/image" Target="../media/image18.png"/><Relationship Id="rId4" Type="http://schemas.openxmlformats.org/officeDocument/2006/relationships/image" Target="../media/image17.png"/></Relationships>
</file>

<file path=xl/drawings/_rels/drawing9.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5" Type="http://schemas.openxmlformats.org/officeDocument/2006/relationships/image" Target="../media/image18.png"/><Relationship Id="rId4"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0</xdr:col>
      <xdr:colOff>581025</xdr:colOff>
      <xdr:row>2</xdr:row>
      <xdr:rowOff>104775</xdr:rowOff>
    </xdr:from>
    <xdr:to>
      <xdr:col>4</xdr:col>
      <xdr:colOff>321609</xdr:colOff>
      <xdr:row>5</xdr:row>
      <xdr:rowOff>85725</xdr:rowOff>
    </xdr:to>
    <xdr:pic>
      <xdr:nvPicPr>
        <xdr:cNvPr id="2" name="Picture 1" descr="http://www.irena.org/images/logo.gif">
          <a:extLst>
            <a:ext uri="{FF2B5EF4-FFF2-40B4-BE49-F238E27FC236}">
              <a16:creationId xmlns:a16="http://schemas.microsoft.com/office/drawing/2014/main" id="{8ED5563C-276A-4F13-AB0A-FCE42BA131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1025" y="485775"/>
          <a:ext cx="2178984"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104775</xdr:colOff>
      <xdr:row>9</xdr:row>
      <xdr:rowOff>104775</xdr:rowOff>
    </xdr:from>
    <xdr:to>
      <xdr:col>5</xdr:col>
      <xdr:colOff>390525</xdr:colOff>
      <xdr:row>26</xdr:row>
      <xdr:rowOff>133350</xdr:rowOff>
    </xdr:to>
    <xdr:pic>
      <xdr:nvPicPr>
        <xdr:cNvPr id="3" name="Picture 2" descr="Img">
          <a:hlinkClick xmlns:r="http://schemas.openxmlformats.org/officeDocument/2006/relationships" r:id="rId2"/>
          <a:extLst>
            <a:ext uri="{FF2B5EF4-FFF2-40B4-BE49-F238E27FC236}">
              <a16:creationId xmlns:a16="http://schemas.microsoft.com/office/drawing/2014/main" id="{67920872-EEF2-479D-8B9C-4B0FAE4B3D6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23975" y="2428875"/>
          <a:ext cx="2114550"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13</xdr:col>
      <xdr:colOff>268942</xdr:colOff>
      <xdr:row>15</xdr:row>
      <xdr:rowOff>146932</xdr:rowOff>
    </xdr:from>
    <xdr:to>
      <xdr:col>21</xdr:col>
      <xdr:colOff>140366</xdr:colOff>
      <xdr:row>27</xdr:row>
      <xdr:rowOff>18667</xdr:rowOff>
    </xdr:to>
    <xdr:pic>
      <xdr:nvPicPr>
        <xdr:cNvPr id="2" name="Grafik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a:stretch>
          <a:fillRect/>
        </a:stretch>
      </xdr:blipFill>
      <xdr:spPr>
        <a:xfrm>
          <a:off x="11441767" y="3137782"/>
          <a:ext cx="4748224" cy="2176785"/>
        </a:xfrm>
        <a:prstGeom prst="rect">
          <a:avLst/>
        </a:prstGeom>
      </xdr:spPr>
    </xdr:pic>
    <xdr:clientData/>
  </xdr:twoCellAnchor>
  <xdr:twoCellAnchor editAs="oneCell">
    <xdr:from>
      <xdr:col>14</xdr:col>
      <xdr:colOff>156883</xdr:colOff>
      <xdr:row>29</xdr:row>
      <xdr:rowOff>0</xdr:rowOff>
    </xdr:from>
    <xdr:to>
      <xdr:col>24</xdr:col>
      <xdr:colOff>258087</xdr:colOff>
      <xdr:row>46</xdr:row>
      <xdr:rowOff>7437</xdr:rowOff>
    </xdr:to>
    <xdr:pic>
      <xdr:nvPicPr>
        <xdr:cNvPr id="3" name="Grafik 2">
          <a:extLst>
            <a:ext uri="{FF2B5EF4-FFF2-40B4-BE49-F238E27FC236}">
              <a16:creationId xmlns:a16="http://schemas.microsoft.com/office/drawing/2014/main" id="{00000000-0008-0000-1700-000003000000}"/>
            </a:ext>
          </a:extLst>
        </xdr:cNvPr>
        <xdr:cNvPicPr>
          <a:picLocks noChangeAspect="1"/>
        </xdr:cNvPicPr>
      </xdr:nvPicPr>
      <xdr:blipFill>
        <a:blip xmlns:r="http://schemas.openxmlformats.org/officeDocument/2006/relationships" r:embed="rId2"/>
        <a:stretch>
          <a:fillRect/>
        </a:stretch>
      </xdr:blipFill>
      <xdr:spPr>
        <a:xfrm>
          <a:off x="11329708" y="5686425"/>
          <a:ext cx="6197204" cy="325546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14</xdr:col>
      <xdr:colOff>44823</xdr:colOff>
      <xdr:row>21</xdr:row>
      <xdr:rowOff>56030</xdr:rowOff>
    </xdr:from>
    <xdr:to>
      <xdr:col>14</xdr:col>
      <xdr:colOff>818029</xdr:colOff>
      <xdr:row>24</xdr:row>
      <xdr:rowOff>127420</xdr:rowOff>
    </xdr:to>
    <xdr:pic>
      <xdr:nvPicPr>
        <xdr:cNvPr id="2" name="Grafik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a:stretch>
          <a:fillRect/>
        </a:stretch>
      </xdr:blipFill>
      <xdr:spPr>
        <a:xfrm>
          <a:off x="12608298" y="4189880"/>
          <a:ext cx="773206" cy="642890"/>
        </a:xfrm>
        <a:prstGeom prst="rect">
          <a:avLst/>
        </a:prstGeom>
      </xdr:spPr>
    </xdr:pic>
    <xdr:clientData/>
  </xdr:twoCellAnchor>
  <xdr:twoCellAnchor editAs="oneCell">
    <xdr:from>
      <xdr:col>14</xdr:col>
      <xdr:colOff>112059</xdr:colOff>
      <xdr:row>27</xdr:row>
      <xdr:rowOff>112059</xdr:rowOff>
    </xdr:from>
    <xdr:to>
      <xdr:col>17</xdr:col>
      <xdr:colOff>128903</xdr:colOff>
      <xdr:row>33</xdr:row>
      <xdr:rowOff>33618</xdr:rowOff>
    </xdr:to>
    <xdr:pic>
      <xdr:nvPicPr>
        <xdr:cNvPr id="3" name="Grafik 2">
          <a:extLst>
            <a:ext uri="{FF2B5EF4-FFF2-40B4-BE49-F238E27FC236}">
              <a16:creationId xmlns:a16="http://schemas.microsoft.com/office/drawing/2014/main" id="{00000000-0008-0000-1900-000003000000}"/>
            </a:ext>
          </a:extLst>
        </xdr:cNvPr>
        <xdr:cNvPicPr>
          <a:picLocks noChangeAspect="1"/>
        </xdr:cNvPicPr>
      </xdr:nvPicPr>
      <xdr:blipFill>
        <a:blip xmlns:r="http://schemas.openxmlformats.org/officeDocument/2006/relationships" r:embed="rId2"/>
        <a:stretch>
          <a:fillRect/>
        </a:stretch>
      </xdr:blipFill>
      <xdr:spPr>
        <a:xfrm>
          <a:off x="12675534" y="5407959"/>
          <a:ext cx="2321894" cy="1074084"/>
        </a:xfrm>
        <a:prstGeom prst="rect">
          <a:avLst/>
        </a:prstGeom>
      </xdr:spPr>
    </xdr:pic>
    <xdr:clientData/>
  </xdr:twoCellAnchor>
  <xdr:twoCellAnchor editAs="oneCell">
    <xdr:from>
      <xdr:col>13</xdr:col>
      <xdr:colOff>114551</xdr:colOff>
      <xdr:row>35</xdr:row>
      <xdr:rowOff>44823</xdr:rowOff>
    </xdr:from>
    <xdr:to>
      <xdr:col>20</xdr:col>
      <xdr:colOff>494306</xdr:colOff>
      <xdr:row>49</xdr:row>
      <xdr:rowOff>179294</xdr:rowOff>
    </xdr:to>
    <xdr:pic>
      <xdr:nvPicPr>
        <xdr:cNvPr id="4" name="Grafik 3">
          <a:extLst>
            <a:ext uri="{FF2B5EF4-FFF2-40B4-BE49-F238E27FC236}">
              <a16:creationId xmlns:a16="http://schemas.microsoft.com/office/drawing/2014/main" id="{00000000-0008-0000-1900-000004000000}"/>
            </a:ext>
          </a:extLst>
        </xdr:cNvPr>
        <xdr:cNvPicPr>
          <a:picLocks noChangeAspect="1"/>
        </xdr:cNvPicPr>
      </xdr:nvPicPr>
      <xdr:blipFill>
        <a:blip xmlns:r="http://schemas.openxmlformats.org/officeDocument/2006/relationships" r:embed="rId3"/>
        <a:stretch>
          <a:fillRect/>
        </a:stretch>
      </xdr:blipFill>
      <xdr:spPr>
        <a:xfrm>
          <a:off x="11847110" y="6891617"/>
          <a:ext cx="5355167" cy="283508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21</xdr:col>
      <xdr:colOff>553088</xdr:colOff>
      <xdr:row>21</xdr:row>
      <xdr:rowOff>76040</xdr:rowOff>
    </xdr:from>
    <xdr:to>
      <xdr:col>27</xdr:col>
      <xdr:colOff>578703</xdr:colOff>
      <xdr:row>36</xdr:row>
      <xdr:rowOff>124868</xdr:rowOff>
    </xdr:to>
    <xdr:pic>
      <xdr:nvPicPr>
        <xdr:cNvPr id="2" name="Grafik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a:stretch>
          <a:fillRect/>
        </a:stretch>
      </xdr:blipFill>
      <xdr:spPr>
        <a:xfrm>
          <a:off x="17657267" y="4212611"/>
          <a:ext cx="3699543" cy="2960757"/>
        </a:xfrm>
        <a:prstGeom prst="rect">
          <a:avLst/>
        </a:prstGeom>
      </xdr:spPr>
    </xdr:pic>
    <xdr:clientData/>
  </xdr:twoCellAnchor>
  <xdr:twoCellAnchor editAs="oneCell">
    <xdr:from>
      <xdr:col>13</xdr:col>
      <xdr:colOff>347381</xdr:colOff>
      <xdr:row>22</xdr:row>
      <xdr:rowOff>78441</xdr:rowOff>
    </xdr:from>
    <xdr:to>
      <xdr:col>18</xdr:col>
      <xdr:colOff>537881</xdr:colOff>
      <xdr:row>32</xdr:row>
      <xdr:rowOff>196874</xdr:rowOff>
    </xdr:to>
    <xdr:pic>
      <xdr:nvPicPr>
        <xdr:cNvPr id="3" name="Grafik 2">
          <a:extLst>
            <a:ext uri="{FF2B5EF4-FFF2-40B4-BE49-F238E27FC236}">
              <a16:creationId xmlns:a16="http://schemas.microsoft.com/office/drawing/2014/main" id="{00000000-0008-0000-1B00-000003000000}"/>
            </a:ext>
          </a:extLst>
        </xdr:cNvPr>
        <xdr:cNvPicPr>
          <a:picLocks noChangeAspect="1"/>
        </xdr:cNvPicPr>
      </xdr:nvPicPr>
      <xdr:blipFill>
        <a:blip xmlns:r="http://schemas.openxmlformats.org/officeDocument/2006/relationships" r:embed="rId2"/>
        <a:stretch>
          <a:fillRect/>
        </a:stretch>
      </xdr:blipFill>
      <xdr:spPr>
        <a:xfrm>
          <a:off x="11855822" y="4403912"/>
          <a:ext cx="3955677" cy="2045844"/>
        </a:xfrm>
        <a:prstGeom prst="rect">
          <a:avLst/>
        </a:prstGeom>
      </xdr:spPr>
    </xdr:pic>
    <xdr:clientData/>
  </xdr:twoCellAnchor>
  <xdr:twoCellAnchor editAs="oneCell">
    <xdr:from>
      <xdr:col>13</xdr:col>
      <xdr:colOff>291353</xdr:colOff>
      <xdr:row>33</xdr:row>
      <xdr:rowOff>134472</xdr:rowOff>
    </xdr:from>
    <xdr:to>
      <xdr:col>21</xdr:col>
      <xdr:colOff>2487</xdr:colOff>
      <xdr:row>48</xdr:row>
      <xdr:rowOff>33618</xdr:rowOff>
    </xdr:to>
    <xdr:pic>
      <xdr:nvPicPr>
        <xdr:cNvPr id="4" name="Grafik 3">
          <a:extLst>
            <a:ext uri="{FF2B5EF4-FFF2-40B4-BE49-F238E27FC236}">
              <a16:creationId xmlns:a16="http://schemas.microsoft.com/office/drawing/2014/main" id="{00000000-0008-0000-1B00-000004000000}"/>
            </a:ext>
          </a:extLst>
        </xdr:cNvPr>
        <xdr:cNvPicPr>
          <a:picLocks noChangeAspect="1"/>
        </xdr:cNvPicPr>
      </xdr:nvPicPr>
      <xdr:blipFill>
        <a:blip xmlns:r="http://schemas.openxmlformats.org/officeDocument/2006/relationships" r:embed="rId3"/>
        <a:stretch>
          <a:fillRect/>
        </a:stretch>
      </xdr:blipFill>
      <xdr:spPr>
        <a:xfrm>
          <a:off x="11799794" y="6589060"/>
          <a:ext cx="5291664" cy="280147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21</xdr:col>
      <xdr:colOff>553088</xdr:colOff>
      <xdr:row>21</xdr:row>
      <xdr:rowOff>76040</xdr:rowOff>
    </xdr:from>
    <xdr:to>
      <xdr:col>27</xdr:col>
      <xdr:colOff>578703</xdr:colOff>
      <xdr:row>36</xdr:row>
      <xdr:rowOff>124868</xdr:rowOff>
    </xdr:to>
    <xdr:pic>
      <xdr:nvPicPr>
        <xdr:cNvPr id="2" name="Grafik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a:stretch>
          <a:fillRect/>
        </a:stretch>
      </xdr:blipFill>
      <xdr:spPr>
        <a:xfrm>
          <a:off x="17631413" y="4209890"/>
          <a:ext cx="3683215" cy="2944428"/>
        </a:xfrm>
        <a:prstGeom prst="rect">
          <a:avLst/>
        </a:prstGeom>
      </xdr:spPr>
    </xdr:pic>
    <xdr:clientData/>
  </xdr:twoCellAnchor>
  <xdr:twoCellAnchor editAs="oneCell">
    <xdr:from>
      <xdr:col>13</xdr:col>
      <xdr:colOff>347381</xdr:colOff>
      <xdr:row>22</xdr:row>
      <xdr:rowOff>78441</xdr:rowOff>
    </xdr:from>
    <xdr:to>
      <xdr:col>18</xdr:col>
      <xdr:colOff>537881</xdr:colOff>
      <xdr:row>32</xdr:row>
      <xdr:rowOff>196874</xdr:rowOff>
    </xdr:to>
    <xdr:pic>
      <xdr:nvPicPr>
        <xdr:cNvPr id="3" name="Grafik 2">
          <a:extLst>
            <a:ext uri="{FF2B5EF4-FFF2-40B4-BE49-F238E27FC236}">
              <a16:creationId xmlns:a16="http://schemas.microsoft.com/office/drawing/2014/main" id="{00000000-0008-0000-1D00-000003000000}"/>
            </a:ext>
          </a:extLst>
        </xdr:cNvPr>
        <xdr:cNvPicPr>
          <a:picLocks noChangeAspect="1"/>
        </xdr:cNvPicPr>
      </xdr:nvPicPr>
      <xdr:blipFill>
        <a:blip xmlns:r="http://schemas.openxmlformats.org/officeDocument/2006/relationships" r:embed="rId2"/>
        <a:stretch>
          <a:fillRect/>
        </a:stretch>
      </xdr:blipFill>
      <xdr:spPr>
        <a:xfrm>
          <a:off x="11834531" y="4402791"/>
          <a:ext cx="3952875" cy="2042483"/>
        </a:xfrm>
        <a:prstGeom prst="rect">
          <a:avLst/>
        </a:prstGeom>
      </xdr:spPr>
    </xdr:pic>
    <xdr:clientData/>
  </xdr:twoCellAnchor>
  <xdr:twoCellAnchor editAs="oneCell">
    <xdr:from>
      <xdr:col>13</xdr:col>
      <xdr:colOff>291353</xdr:colOff>
      <xdr:row>33</xdr:row>
      <xdr:rowOff>134472</xdr:rowOff>
    </xdr:from>
    <xdr:to>
      <xdr:col>21</xdr:col>
      <xdr:colOff>2487</xdr:colOff>
      <xdr:row>48</xdr:row>
      <xdr:rowOff>33618</xdr:rowOff>
    </xdr:to>
    <xdr:pic>
      <xdr:nvPicPr>
        <xdr:cNvPr id="4" name="Grafik 3">
          <a:extLst>
            <a:ext uri="{FF2B5EF4-FFF2-40B4-BE49-F238E27FC236}">
              <a16:creationId xmlns:a16="http://schemas.microsoft.com/office/drawing/2014/main" id="{00000000-0008-0000-1D00-000004000000}"/>
            </a:ext>
          </a:extLst>
        </xdr:cNvPr>
        <xdr:cNvPicPr>
          <a:picLocks noChangeAspect="1"/>
        </xdr:cNvPicPr>
      </xdr:nvPicPr>
      <xdr:blipFill>
        <a:blip xmlns:r="http://schemas.openxmlformats.org/officeDocument/2006/relationships" r:embed="rId3"/>
        <a:stretch>
          <a:fillRect/>
        </a:stretch>
      </xdr:blipFill>
      <xdr:spPr>
        <a:xfrm>
          <a:off x="11778503" y="6582897"/>
          <a:ext cx="5302309" cy="279474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12</xdr:col>
      <xdr:colOff>560294</xdr:colOff>
      <xdr:row>35</xdr:row>
      <xdr:rowOff>11205</xdr:rowOff>
    </xdr:from>
    <xdr:to>
      <xdr:col>19</xdr:col>
      <xdr:colOff>543519</xdr:colOff>
      <xdr:row>39</xdr:row>
      <xdr:rowOff>153967</xdr:rowOff>
    </xdr:to>
    <xdr:pic>
      <xdr:nvPicPr>
        <xdr:cNvPr id="2" name="Grafik 1">
          <a:extLst>
            <a:ext uri="{FF2B5EF4-FFF2-40B4-BE49-F238E27FC236}">
              <a16:creationId xmlns:a16="http://schemas.microsoft.com/office/drawing/2014/main" id="{00000000-0008-0000-1F00-000002000000}"/>
            </a:ext>
          </a:extLst>
        </xdr:cNvPr>
        <xdr:cNvPicPr>
          <a:picLocks noChangeAspect="1"/>
        </xdr:cNvPicPr>
      </xdr:nvPicPr>
      <xdr:blipFill>
        <a:blip xmlns:r="http://schemas.openxmlformats.org/officeDocument/2006/relationships" r:embed="rId1"/>
        <a:stretch>
          <a:fillRect/>
        </a:stretch>
      </xdr:blipFill>
      <xdr:spPr>
        <a:xfrm>
          <a:off x="11333069" y="6859680"/>
          <a:ext cx="4250425" cy="904762"/>
        </a:xfrm>
        <a:prstGeom prst="rect">
          <a:avLst/>
        </a:prstGeom>
      </xdr:spPr>
    </xdr:pic>
    <xdr:clientData/>
  </xdr:twoCellAnchor>
  <xdr:twoCellAnchor editAs="oneCell">
    <xdr:from>
      <xdr:col>12</xdr:col>
      <xdr:colOff>526676</xdr:colOff>
      <xdr:row>28</xdr:row>
      <xdr:rowOff>33618</xdr:rowOff>
    </xdr:from>
    <xdr:to>
      <xdr:col>19</xdr:col>
      <xdr:colOff>268942</xdr:colOff>
      <xdr:row>32</xdr:row>
      <xdr:rowOff>198192</xdr:rowOff>
    </xdr:to>
    <xdr:pic>
      <xdr:nvPicPr>
        <xdr:cNvPr id="3" name="Grafik 2">
          <a:extLst>
            <a:ext uri="{FF2B5EF4-FFF2-40B4-BE49-F238E27FC236}">
              <a16:creationId xmlns:a16="http://schemas.microsoft.com/office/drawing/2014/main" id="{00000000-0008-0000-1F00-000003000000}"/>
            </a:ext>
          </a:extLst>
        </xdr:cNvPr>
        <xdr:cNvPicPr>
          <a:picLocks noChangeAspect="1"/>
        </xdr:cNvPicPr>
      </xdr:nvPicPr>
      <xdr:blipFill>
        <a:blip xmlns:r="http://schemas.openxmlformats.org/officeDocument/2006/relationships" r:embed="rId2"/>
        <a:stretch>
          <a:fillRect/>
        </a:stretch>
      </xdr:blipFill>
      <xdr:spPr>
        <a:xfrm>
          <a:off x="11299451" y="5529543"/>
          <a:ext cx="4009466" cy="92657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12</xdr:col>
      <xdr:colOff>560294</xdr:colOff>
      <xdr:row>35</xdr:row>
      <xdr:rowOff>11205</xdr:rowOff>
    </xdr:from>
    <xdr:to>
      <xdr:col>19</xdr:col>
      <xdr:colOff>543519</xdr:colOff>
      <xdr:row>39</xdr:row>
      <xdr:rowOff>153967</xdr:rowOff>
    </xdr:to>
    <xdr:pic>
      <xdr:nvPicPr>
        <xdr:cNvPr id="2" name="Grafik 1">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1"/>
        <a:stretch>
          <a:fillRect/>
        </a:stretch>
      </xdr:blipFill>
      <xdr:spPr>
        <a:xfrm>
          <a:off x="11333069" y="6859680"/>
          <a:ext cx="4250425" cy="904762"/>
        </a:xfrm>
        <a:prstGeom prst="rect">
          <a:avLst/>
        </a:prstGeom>
      </xdr:spPr>
    </xdr:pic>
    <xdr:clientData/>
  </xdr:twoCellAnchor>
  <xdr:twoCellAnchor editAs="oneCell">
    <xdr:from>
      <xdr:col>12</xdr:col>
      <xdr:colOff>526676</xdr:colOff>
      <xdr:row>28</xdr:row>
      <xdr:rowOff>33618</xdr:rowOff>
    </xdr:from>
    <xdr:to>
      <xdr:col>19</xdr:col>
      <xdr:colOff>268942</xdr:colOff>
      <xdr:row>32</xdr:row>
      <xdr:rowOff>198192</xdr:rowOff>
    </xdr:to>
    <xdr:pic>
      <xdr:nvPicPr>
        <xdr:cNvPr id="3" name="Grafik 2">
          <a:extLst>
            <a:ext uri="{FF2B5EF4-FFF2-40B4-BE49-F238E27FC236}">
              <a16:creationId xmlns:a16="http://schemas.microsoft.com/office/drawing/2014/main" id="{00000000-0008-0000-2100-000003000000}"/>
            </a:ext>
          </a:extLst>
        </xdr:cNvPr>
        <xdr:cNvPicPr>
          <a:picLocks noChangeAspect="1"/>
        </xdr:cNvPicPr>
      </xdr:nvPicPr>
      <xdr:blipFill>
        <a:blip xmlns:r="http://schemas.openxmlformats.org/officeDocument/2006/relationships" r:embed="rId2"/>
        <a:stretch>
          <a:fillRect/>
        </a:stretch>
      </xdr:blipFill>
      <xdr:spPr>
        <a:xfrm>
          <a:off x="11299451" y="5529543"/>
          <a:ext cx="4009466" cy="9265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323850</xdr:colOff>
      <xdr:row>24</xdr:row>
      <xdr:rowOff>19050</xdr:rowOff>
    </xdr:from>
    <xdr:to>
      <xdr:col>8</xdr:col>
      <xdr:colOff>371088</xdr:colOff>
      <xdr:row>26</xdr:row>
      <xdr:rowOff>171383</xdr:rowOff>
    </xdr:to>
    <xdr:pic>
      <xdr:nvPicPr>
        <xdr:cNvPr id="3" name="Picture 2">
          <a:extLst>
            <a:ext uri="{FF2B5EF4-FFF2-40B4-BE49-F238E27FC236}">
              <a16:creationId xmlns:a16="http://schemas.microsoft.com/office/drawing/2014/main" id="{F1797B7A-8B3B-4CC6-8EB3-6CFB6656D71B}"/>
            </a:ext>
          </a:extLst>
        </xdr:cNvPr>
        <xdr:cNvPicPr>
          <a:picLocks noChangeAspect="1"/>
        </xdr:cNvPicPr>
      </xdr:nvPicPr>
      <xdr:blipFill>
        <a:blip xmlns:r="http://schemas.openxmlformats.org/officeDocument/2006/relationships" r:embed="rId1"/>
        <a:stretch>
          <a:fillRect/>
        </a:stretch>
      </xdr:blipFill>
      <xdr:spPr>
        <a:xfrm>
          <a:off x="2152650" y="4591050"/>
          <a:ext cx="3095238" cy="533333"/>
        </a:xfrm>
        <a:prstGeom prst="rect">
          <a:avLst/>
        </a:prstGeom>
      </xdr:spPr>
    </xdr:pic>
    <xdr:clientData/>
  </xdr:twoCellAnchor>
  <xdr:twoCellAnchor editAs="oneCell">
    <xdr:from>
      <xdr:col>3</xdr:col>
      <xdr:colOff>323850</xdr:colOff>
      <xdr:row>18</xdr:row>
      <xdr:rowOff>76200</xdr:rowOff>
    </xdr:from>
    <xdr:to>
      <xdr:col>8</xdr:col>
      <xdr:colOff>371088</xdr:colOff>
      <xdr:row>21</xdr:row>
      <xdr:rowOff>28510</xdr:rowOff>
    </xdr:to>
    <xdr:pic>
      <xdr:nvPicPr>
        <xdr:cNvPr id="5" name="Picture 4">
          <a:extLst>
            <a:ext uri="{FF2B5EF4-FFF2-40B4-BE49-F238E27FC236}">
              <a16:creationId xmlns:a16="http://schemas.microsoft.com/office/drawing/2014/main" id="{22BC5374-ABFE-48F0-8661-1526D73A97D8}"/>
            </a:ext>
          </a:extLst>
        </xdr:cNvPr>
        <xdr:cNvPicPr>
          <a:picLocks noChangeAspect="1"/>
        </xdr:cNvPicPr>
      </xdr:nvPicPr>
      <xdr:blipFill>
        <a:blip xmlns:r="http://schemas.openxmlformats.org/officeDocument/2006/relationships" r:embed="rId2"/>
        <a:stretch>
          <a:fillRect/>
        </a:stretch>
      </xdr:blipFill>
      <xdr:spPr>
        <a:xfrm>
          <a:off x="2152650" y="3505200"/>
          <a:ext cx="3095238" cy="523810"/>
        </a:xfrm>
        <a:prstGeom prst="rect">
          <a:avLst/>
        </a:prstGeom>
      </xdr:spPr>
    </xdr:pic>
    <xdr:clientData/>
  </xdr:twoCellAnchor>
  <xdr:twoCellAnchor editAs="oneCell">
    <xdr:from>
      <xdr:col>3</xdr:col>
      <xdr:colOff>323850</xdr:colOff>
      <xdr:row>32</xdr:row>
      <xdr:rowOff>38100</xdr:rowOff>
    </xdr:from>
    <xdr:to>
      <xdr:col>8</xdr:col>
      <xdr:colOff>352040</xdr:colOff>
      <xdr:row>34</xdr:row>
      <xdr:rowOff>180910</xdr:rowOff>
    </xdr:to>
    <xdr:pic>
      <xdr:nvPicPr>
        <xdr:cNvPr id="6" name="Picture 5">
          <a:extLst>
            <a:ext uri="{FF2B5EF4-FFF2-40B4-BE49-F238E27FC236}">
              <a16:creationId xmlns:a16="http://schemas.microsoft.com/office/drawing/2014/main" id="{4BFE7AE6-71EC-4EF2-B6C8-5E4D64742E0B}"/>
            </a:ext>
          </a:extLst>
        </xdr:cNvPr>
        <xdr:cNvPicPr>
          <a:picLocks noChangeAspect="1"/>
        </xdr:cNvPicPr>
      </xdr:nvPicPr>
      <xdr:blipFill>
        <a:blip xmlns:r="http://schemas.openxmlformats.org/officeDocument/2006/relationships" r:embed="rId3"/>
        <a:stretch>
          <a:fillRect/>
        </a:stretch>
      </xdr:blipFill>
      <xdr:spPr>
        <a:xfrm>
          <a:off x="2152650" y="5753100"/>
          <a:ext cx="3076190" cy="523810"/>
        </a:xfrm>
        <a:prstGeom prst="rect">
          <a:avLst/>
        </a:prstGeom>
      </xdr:spPr>
    </xdr:pic>
    <xdr:clientData/>
  </xdr:twoCellAnchor>
  <xdr:twoCellAnchor editAs="oneCell">
    <xdr:from>
      <xdr:col>3</xdr:col>
      <xdr:colOff>323850</xdr:colOff>
      <xdr:row>40</xdr:row>
      <xdr:rowOff>85725</xdr:rowOff>
    </xdr:from>
    <xdr:to>
      <xdr:col>11</xdr:col>
      <xdr:colOff>237526</xdr:colOff>
      <xdr:row>47</xdr:row>
      <xdr:rowOff>76035</xdr:rowOff>
    </xdr:to>
    <xdr:pic>
      <xdr:nvPicPr>
        <xdr:cNvPr id="8" name="Picture 7">
          <a:extLst>
            <a:ext uri="{FF2B5EF4-FFF2-40B4-BE49-F238E27FC236}">
              <a16:creationId xmlns:a16="http://schemas.microsoft.com/office/drawing/2014/main" id="{064EE393-5442-42AA-846D-9D315E6C34C9}"/>
            </a:ext>
          </a:extLst>
        </xdr:cNvPr>
        <xdr:cNvPicPr>
          <a:picLocks noChangeAspect="1"/>
        </xdr:cNvPicPr>
      </xdr:nvPicPr>
      <xdr:blipFill>
        <a:blip xmlns:r="http://schemas.openxmlformats.org/officeDocument/2006/relationships" r:embed="rId4"/>
        <a:stretch>
          <a:fillRect/>
        </a:stretch>
      </xdr:blipFill>
      <xdr:spPr>
        <a:xfrm>
          <a:off x="2139203" y="6943725"/>
          <a:ext cx="4754617" cy="1323810"/>
        </a:xfrm>
        <a:prstGeom prst="rect">
          <a:avLst/>
        </a:prstGeom>
      </xdr:spPr>
    </xdr:pic>
    <xdr:clientData/>
  </xdr:twoCellAnchor>
  <xdr:twoCellAnchor editAs="oneCell">
    <xdr:from>
      <xdr:col>1</xdr:col>
      <xdr:colOff>304801</xdr:colOff>
      <xdr:row>2</xdr:row>
      <xdr:rowOff>142876</xdr:rowOff>
    </xdr:from>
    <xdr:to>
      <xdr:col>2</xdr:col>
      <xdr:colOff>533401</xdr:colOff>
      <xdr:row>7</xdr:row>
      <xdr:rowOff>28576</xdr:rowOff>
    </xdr:to>
    <xdr:pic>
      <xdr:nvPicPr>
        <xdr:cNvPr id="10" name="Graphic 9" descr="Open Book">
          <a:extLst>
            <a:ext uri="{FF2B5EF4-FFF2-40B4-BE49-F238E27FC236}">
              <a16:creationId xmlns:a16="http://schemas.microsoft.com/office/drawing/2014/main" id="{21E1C85E-FD0D-47AA-9C67-18B8817EC8D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14401" y="523876"/>
          <a:ext cx="838200" cy="838200"/>
        </a:xfrm>
        <a:prstGeom prst="rect">
          <a:avLst/>
        </a:prstGeom>
      </xdr:spPr>
    </xdr:pic>
    <xdr:clientData/>
  </xdr:twoCellAnchor>
  <xdr:twoCellAnchor editAs="oneCell">
    <xdr:from>
      <xdr:col>3</xdr:col>
      <xdr:colOff>323850</xdr:colOff>
      <xdr:row>52</xdr:row>
      <xdr:rowOff>134470</xdr:rowOff>
    </xdr:from>
    <xdr:to>
      <xdr:col>12</xdr:col>
      <xdr:colOff>115886</xdr:colOff>
      <xdr:row>57</xdr:row>
      <xdr:rowOff>1018</xdr:rowOff>
    </xdr:to>
    <xdr:pic>
      <xdr:nvPicPr>
        <xdr:cNvPr id="13" name="Picture 12">
          <a:extLst>
            <a:ext uri="{FF2B5EF4-FFF2-40B4-BE49-F238E27FC236}">
              <a16:creationId xmlns:a16="http://schemas.microsoft.com/office/drawing/2014/main" id="{CF185341-0072-4CB2-94F5-455AC45454D5}"/>
            </a:ext>
          </a:extLst>
        </xdr:cNvPr>
        <xdr:cNvPicPr>
          <a:picLocks noChangeAspect="1"/>
        </xdr:cNvPicPr>
      </xdr:nvPicPr>
      <xdr:blipFill>
        <a:blip xmlns:r="http://schemas.openxmlformats.org/officeDocument/2006/relationships" r:embed="rId7"/>
        <a:stretch>
          <a:fillRect/>
        </a:stretch>
      </xdr:blipFill>
      <xdr:spPr>
        <a:xfrm>
          <a:off x="2139203" y="9278470"/>
          <a:ext cx="5238095" cy="819048"/>
        </a:xfrm>
        <a:prstGeom prst="rect">
          <a:avLst/>
        </a:prstGeom>
      </xdr:spPr>
    </xdr:pic>
    <xdr:clientData/>
  </xdr:twoCellAnchor>
  <xdr:twoCellAnchor editAs="oneCell">
    <xdr:from>
      <xdr:col>2</xdr:col>
      <xdr:colOff>44824</xdr:colOff>
      <xdr:row>63</xdr:row>
      <xdr:rowOff>112059</xdr:rowOff>
    </xdr:from>
    <xdr:to>
      <xdr:col>23</xdr:col>
      <xdr:colOff>175448</xdr:colOff>
      <xdr:row>88</xdr:row>
      <xdr:rowOff>101940</xdr:rowOff>
    </xdr:to>
    <xdr:pic>
      <xdr:nvPicPr>
        <xdr:cNvPr id="21" name="Picture 20">
          <a:extLst>
            <a:ext uri="{FF2B5EF4-FFF2-40B4-BE49-F238E27FC236}">
              <a16:creationId xmlns:a16="http://schemas.microsoft.com/office/drawing/2014/main" id="{33341912-2D43-4693-AEE2-957998A92266}"/>
            </a:ext>
          </a:extLst>
        </xdr:cNvPr>
        <xdr:cNvPicPr>
          <a:picLocks noChangeAspect="1"/>
        </xdr:cNvPicPr>
      </xdr:nvPicPr>
      <xdr:blipFill>
        <a:blip xmlns:r="http://schemas.openxmlformats.org/officeDocument/2006/relationships" r:embed="rId8"/>
        <a:stretch>
          <a:fillRect/>
        </a:stretch>
      </xdr:blipFill>
      <xdr:spPr>
        <a:xfrm>
          <a:off x="1255059" y="12113559"/>
          <a:ext cx="12838095" cy="4752381"/>
        </a:xfrm>
        <a:prstGeom prst="rect">
          <a:avLst/>
        </a:prstGeom>
      </xdr:spPr>
    </xdr:pic>
    <xdr:clientData/>
  </xdr:twoCellAnchor>
  <xdr:twoCellAnchor>
    <xdr:from>
      <xdr:col>4</xdr:col>
      <xdr:colOff>215152</xdr:colOff>
      <xdr:row>66</xdr:row>
      <xdr:rowOff>126627</xdr:rowOff>
    </xdr:from>
    <xdr:to>
      <xdr:col>7</xdr:col>
      <xdr:colOff>215152</xdr:colOff>
      <xdr:row>68</xdr:row>
      <xdr:rowOff>79002</xdr:rowOff>
    </xdr:to>
    <xdr:sp macro="" textlink="">
      <xdr:nvSpPr>
        <xdr:cNvPr id="17" name="Circle: Hollow 16">
          <a:extLst>
            <a:ext uri="{FF2B5EF4-FFF2-40B4-BE49-F238E27FC236}">
              <a16:creationId xmlns:a16="http://schemas.microsoft.com/office/drawing/2014/main" id="{CA4D8DC8-7A82-45A5-BA90-4FCD26AF1E7F}"/>
            </a:ext>
          </a:extLst>
        </xdr:cNvPr>
        <xdr:cNvSpPr/>
      </xdr:nvSpPr>
      <xdr:spPr>
        <a:xfrm>
          <a:off x="2635623" y="12318627"/>
          <a:ext cx="1815353" cy="333375"/>
        </a:xfrm>
        <a:prstGeom prst="donut">
          <a:avLst>
            <a:gd name="adj" fmla="val 1923"/>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2</xdr:col>
      <xdr:colOff>44824</xdr:colOff>
      <xdr:row>94</xdr:row>
      <xdr:rowOff>1</xdr:rowOff>
    </xdr:from>
    <xdr:to>
      <xdr:col>24</xdr:col>
      <xdr:colOff>46521</xdr:colOff>
      <xdr:row>115</xdr:row>
      <xdr:rowOff>104263</xdr:rowOff>
    </xdr:to>
    <xdr:pic>
      <xdr:nvPicPr>
        <xdr:cNvPr id="2" name="Picture 1">
          <a:extLst>
            <a:ext uri="{FF2B5EF4-FFF2-40B4-BE49-F238E27FC236}">
              <a16:creationId xmlns:a16="http://schemas.microsoft.com/office/drawing/2014/main" id="{A8220F35-DA15-4D72-AFF1-8747FDC416D6}"/>
            </a:ext>
          </a:extLst>
        </xdr:cNvPr>
        <xdr:cNvPicPr>
          <a:picLocks noChangeAspect="1"/>
        </xdr:cNvPicPr>
      </xdr:nvPicPr>
      <xdr:blipFill>
        <a:blip xmlns:r="http://schemas.openxmlformats.org/officeDocument/2006/relationships" r:embed="rId9"/>
        <a:stretch>
          <a:fillRect/>
        </a:stretch>
      </xdr:blipFill>
      <xdr:spPr>
        <a:xfrm>
          <a:off x="1255059" y="17907001"/>
          <a:ext cx="13314286" cy="4104762"/>
        </a:xfrm>
        <a:prstGeom prst="rect">
          <a:avLst/>
        </a:prstGeom>
      </xdr:spPr>
    </xdr:pic>
    <xdr:clientData/>
  </xdr:twoCellAnchor>
  <xdr:twoCellAnchor editAs="oneCell">
    <xdr:from>
      <xdr:col>2</xdr:col>
      <xdr:colOff>44824</xdr:colOff>
      <xdr:row>121</xdr:row>
      <xdr:rowOff>123263</xdr:rowOff>
    </xdr:from>
    <xdr:to>
      <xdr:col>17</xdr:col>
      <xdr:colOff>168059</xdr:colOff>
      <xdr:row>143</xdr:row>
      <xdr:rowOff>37025</xdr:rowOff>
    </xdr:to>
    <xdr:pic>
      <xdr:nvPicPr>
        <xdr:cNvPr id="4" name="Picture 3">
          <a:extLst>
            <a:ext uri="{FF2B5EF4-FFF2-40B4-BE49-F238E27FC236}">
              <a16:creationId xmlns:a16="http://schemas.microsoft.com/office/drawing/2014/main" id="{10257AE9-113B-44BA-AF04-6B612178967F}"/>
            </a:ext>
          </a:extLst>
        </xdr:cNvPr>
        <xdr:cNvPicPr>
          <a:picLocks noChangeAspect="1"/>
        </xdr:cNvPicPr>
      </xdr:nvPicPr>
      <xdr:blipFill>
        <a:blip xmlns:r="http://schemas.openxmlformats.org/officeDocument/2006/relationships" r:embed="rId10"/>
        <a:stretch>
          <a:fillRect/>
        </a:stretch>
      </xdr:blipFill>
      <xdr:spPr>
        <a:xfrm>
          <a:off x="1255059" y="23173763"/>
          <a:ext cx="9200000" cy="41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56028</xdr:colOff>
      <xdr:row>108</xdr:row>
      <xdr:rowOff>145678</xdr:rowOff>
    </xdr:from>
    <xdr:to>
      <xdr:col>7</xdr:col>
      <xdr:colOff>0</xdr:colOff>
      <xdr:row>127</xdr:row>
      <xdr:rowOff>179294</xdr:rowOff>
    </xdr:to>
    <xdr:graphicFrame macro="">
      <xdr:nvGraphicFramePr>
        <xdr:cNvPr id="3" name="Diagramm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215713</xdr:colOff>
      <xdr:row>133</xdr:row>
      <xdr:rowOff>190498</xdr:rowOff>
    </xdr:from>
    <xdr:to>
      <xdr:col>14</xdr:col>
      <xdr:colOff>1299881</xdr:colOff>
      <xdr:row>154</xdr:row>
      <xdr:rowOff>33615</xdr:rowOff>
    </xdr:to>
    <xdr:graphicFrame macro="">
      <xdr:nvGraphicFramePr>
        <xdr:cNvPr id="6" name="Diagramm 2">
          <a:extLst>
            <a:ext uri="{FF2B5EF4-FFF2-40B4-BE49-F238E27FC236}">
              <a16:creationId xmlns:a16="http://schemas.microsoft.com/office/drawing/2014/main" id="{86A834C5-F07D-4BDB-AE14-FF0D2A3B9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201705</xdr:colOff>
      <xdr:row>101</xdr:row>
      <xdr:rowOff>168087</xdr:rowOff>
    </xdr:from>
    <xdr:to>
      <xdr:col>14</xdr:col>
      <xdr:colOff>1255058</xdr:colOff>
      <xdr:row>126</xdr:row>
      <xdr:rowOff>112059</xdr:rowOff>
    </xdr:to>
    <xdr:graphicFrame macro="">
      <xdr:nvGraphicFramePr>
        <xdr:cNvPr id="7" name="Diagramm 5">
          <a:extLst>
            <a:ext uri="{FF2B5EF4-FFF2-40B4-BE49-F238E27FC236}">
              <a16:creationId xmlns:a16="http://schemas.microsoft.com/office/drawing/2014/main" id="{0D5822CF-36DF-49A4-BE9F-6B1C4FF5F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2487706</xdr:colOff>
      <xdr:row>44</xdr:row>
      <xdr:rowOff>123264</xdr:rowOff>
    </xdr:from>
    <xdr:to>
      <xdr:col>2</xdr:col>
      <xdr:colOff>201706</xdr:colOff>
      <xdr:row>46</xdr:row>
      <xdr:rowOff>123264</xdr:rowOff>
    </xdr:to>
    <xdr:cxnSp macro="">
      <xdr:nvCxnSpPr>
        <xdr:cNvPr id="4" name="Straight Arrow Connector 3">
          <a:extLst>
            <a:ext uri="{FF2B5EF4-FFF2-40B4-BE49-F238E27FC236}">
              <a16:creationId xmlns:a16="http://schemas.microsoft.com/office/drawing/2014/main" id="{6F03FF72-0AA8-47D6-9403-6624853E9310}"/>
            </a:ext>
          </a:extLst>
        </xdr:cNvPr>
        <xdr:cNvCxnSpPr/>
      </xdr:nvCxnSpPr>
      <xdr:spPr>
        <a:xfrm>
          <a:off x="3104030" y="5109882"/>
          <a:ext cx="268941" cy="3922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268941</xdr:colOff>
      <xdr:row>15</xdr:row>
      <xdr:rowOff>123265</xdr:rowOff>
    </xdr:from>
    <xdr:to>
      <xdr:col>1</xdr:col>
      <xdr:colOff>2140324</xdr:colOff>
      <xdr:row>20</xdr:row>
      <xdr:rowOff>179294</xdr:rowOff>
    </xdr:to>
    <xdr:sp macro="" textlink="">
      <xdr:nvSpPr>
        <xdr:cNvPr id="2" name="TextBox 1">
          <a:extLst>
            <a:ext uri="{FF2B5EF4-FFF2-40B4-BE49-F238E27FC236}">
              <a16:creationId xmlns:a16="http://schemas.microsoft.com/office/drawing/2014/main" id="{59C29B50-8F19-43B1-8E41-2F095707A028}"/>
            </a:ext>
          </a:extLst>
        </xdr:cNvPr>
        <xdr:cNvSpPr txBox="1"/>
      </xdr:nvSpPr>
      <xdr:spPr>
        <a:xfrm>
          <a:off x="1030941" y="2980765"/>
          <a:ext cx="1871383" cy="1008529"/>
        </a:xfrm>
        <a:prstGeom prst="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r>
            <a:rPr lang="en-US" sz="1100"/>
            <a:t>Insert</a:t>
          </a:r>
          <a:r>
            <a:rPr lang="en-US" sz="1100" baseline="0"/>
            <a:t> more applications as needed here in the blank rows of the table. You can also modify parameters of predefined ones.</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49</xdr:row>
      <xdr:rowOff>0</xdr:rowOff>
    </xdr:from>
    <xdr:to>
      <xdr:col>8</xdr:col>
      <xdr:colOff>621651</xdr:colOff>
      <xdr:row>64</xdr:row>
      <xdr:rowOff>180595</xdr:rowOff>
    </xdr:to>
    <xdr:pic>
      <xdr:nvPicPr>
        <xdr:cNvPr id="2" name="Grafik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784412" y="9525000"/>
          <a:ext cx="6695239" cy="303809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14</xdr:col>
      <xdr:colOff>67236</xdr:colOff>
      <xdr:row>35</xdr:row>
      <xdr:rowOff>117636</xdr:rowOff>
    </xdr:from>
    <xdr:to>
      <xdr:col>18</xdr:col>
      <xdr:colOff>507107</xdr:colOff>
      <xdr:row>40</xdr:row>
      <xdr:rowOff>97346</xdr:rowOff>
    </xdr:to>
    <xdr:pic>
      <xdr:nvPicPr>
        <xdr:cNvPr id="2" name="Grafik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12402111" y="6956586"/>
          <a:ext cx="3383096" cy="941735"/>
        </a:xfrm>
        <a:prstGeom prst="rect">
          <a:avLst/>
        </a:prstGeom>
      </xdr:spPr>
    </xdr:pic>
    <xdr:clientData/>
  </xdr:twoCellAnchor>
  <xdr:twoCellAnchor editAs="oneCell">
    <xdr:from>
      <xdr:col>13</xdr:col>
      <xdr:colOff>729951</xdr:colOff>
      <xdr:row>40</xdr:row>
      <xdr:rowOff>190499</xdr:rowOff>
    </xdr:from>
    <xdr:to>
      <xdr:col>20</xdr:col>
      <xdr:colOff>488933</xdr:colOff>
      <xdr:row>47</xdr:row>
      <xdr:rowOff>104572</xdr:rowOff>
    </xdr:to>
    <xdr:pic>
      <xdr:nvPicPr>
        <xdr:cNvPr id="3" name="Grafik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2"/>
        <a:stretch>
          <a:fillRect/>
        </a:stretch>
      </xdr:blipFill>
      <xdr:spPr>
        <a:xfrm>
          <a:off x="12217101" y="7991474"/>
          <a:ext cx="4769132" cy="1266623"/>
        </a:xfrm>
        <a:prstGeom prst="rect">
          <a:avLst/>
        </a:prstGeom>
      </xdr:spPr>
    </xdr:pic>
    <xdr:clientData/>
  </xdr:twoCellAnchor>
  <xdr:twoCellAnchor editAs="oneCell">
    <xdr:from>
      <xdr:col>13</xdr:col>
      <xdr:colOff>381000</xdr:colOff>
      <xdr:row>27</xdr:row>
      <xdr:rowOff>67236</xdr:rowOff>
    </xdr:from>
    <xdr:to>
      <xdr:col>22</xdr:col>
      <xdr:colOff>580783</xdr:colOff>
      <xdr:row>32</xdr:row>
      <xdr:rowOff>143307</xdr:rowOff>
    </xdr:to>
    <xdr:pic>
      <xdr:nvPicPr>
        <xdr:cNvPr id="4" name="Grafik 3">
          <a:extLst>
            <a:ext uri="{FF2B5EF4-FFF2-40B4-BE49-F238E27FC236}">
              <a16:creationId xmlns:a16="http://schemas.microsoft.com/office/drawing/2014/main" id="{00000000-0008-0000-0F00-000004000000}"/>
            </a:ext>
          </a:extLst>
        </xdr:cNvPr>
        <xdr:cNvPicPr>
          <a:picLocks noChangeAspect="1"/>
        </xdr:cNvPicPr>
      </xdr:nvPicPr>
      <xdr:blipFill>
        <a:blip xmlns:r="http://schemas.openxmlformats.org/officeDocument/2006/relationships" r:embed="rId3"/>
        <a:stretch>
          <a:fillRect/>
        </a:stretch>
      </xdr:blipFill>
      <xdr:spPr>
        <a:xfrm>
          <a:off x="11868150" y="5363136"/>
          <a:ext cx="6429133" cy="1028571"/>
        </a:xfrm>
        <a:prstGeom prst="rect">
          <a:avLst/>
        </a:prstGeom>
      </xdr:spPr>
    </xdr:pic>
    <xdr:clientData/>
  </xdr:twoCellAnchor>
  <xdr:twoCellAnchor editAs="oneCell">
    <xdr:from>
      <xdr:col>12</xdr:col>
      <xdr:colOff>493059</xdr:colOff>
      <xdr:row>52</xdr:row>
      <xdr:rowOff>84866</xdr:rowOff>
    </xdr:from>
    <xdr:to>
      <xdr:col>19</xdr:col>
      <xdr:colOff>133140</xdr:colOff>
      <xdr:row>66</xdr:row>
      <xdr:rowOff>160931</xdr:rowOff>
    </xdr:to>
    <xdr:pic>
      <xdr:nvPicPr>
        <xdr:cNvPr id="5" name="Grafik 4">
          <a:extLst>
            <a:ext uri="{FF2B5EF4-FFF2-40B4-BE49-F238E27FC236}">
              <a16:creationId xmlns:a16="http://schemas.microsoft.com/office/drawing/2014/main" id="{00000000-0008-0000-0F00-000005000000}"/>
            </a:ext>
          </a:extLst>
        </xdr:cNvPr>
        <xdr:cNvPicPr>
          <a:picLocks noChangeAspect="1"/>
        </xdr:cNvPicPr>
      </xdr:nvPicPr>
      <xdr:blipFill>
        <a:blip xmlns:r="http://schemas.openxmlformats.org/officeDocument/2006/relationships" r:embed="rId4"/>
        <a:stretch>
          <a:fillRect/>
        </a:stretch>
      </xdr:blipFill>
      <xdr:spPr>
        <a:xfrm>
          <a:off x="11149853" y="10214984"/>
          <a:ext cx="4895640" cy="2754271"/>
        </a:xfrm>
        <a:prstGeom prst="rect">
          <a:avLst/>
        </a:prstGeom>
      </xdr:spPr>
    </xdr:pic>
    <xdr:clientData/>
  </xdr:twoCellAnchor>
  <xdr:twoCellAnchor editAs="oneCell">
    <xdr:from>
      <xdr:col>5</xdr:col>
      <xdr:colOff>67236</xdr:colOff>
      <xdr:row>65</xdr:row>
      <xdr:rowOff>11205</xdr:rowOff>
    </xdr:from>
    <xdr:to>
      <xdr:col>12</xdr:col>
      <xdr:colOff>80476</xdr:colOff>
      <xdr:row>83</xdr:row>
      <xdr:rowOff>96491</xdr:rowOff>
    </xdr:to>
    <xdr:pic>
      <xdr:nvPicPr>
        <xdr:cNvPr id="6" name="Grafik 5">
          <a:extLst>
            <a:ext uri="{FF2B5EF4-FFF2-40B4-BE49-F238E27FC236}">
              <a16:creationId xmlns:a16="http://schemas.microsoft.com/office/drawing/2014/main" id="{00000000-0008-0000-0F00-000006000000}"/>
            </a:ext>
          </a:extLst>
        </xdr:cNvPr>
        <xdr:cNvPicPr>
          <a:picLocks noChangeAspect="1"/>
        </xdr:cNvPicPr>
      </xdr:nvPicPr>
      <xdr:blipFill>
        <a:blip xmlns:r="http://schemas.openxmlformats.org/officeDocument/2006/relationships" r:embed="rId5"/>
        <a:stretch>
          <a:fillRect/>
        </a:stretch>
      </xdr:blipFill>
      <xdr:spPr>
        <a:xfrm>
          <a:off x="4594412" y="12629029"/>
          <a:ext cx="6142858" cy="351428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14</xdr:col>
      <xdr:colOff>67236</xdr:colOff>
      <xdr:row>35</xdr:row>
      <xdr:rowOff>117636</xdr:rowOff>
    </xdr:from>
    <xdr:to>
      <xdr:col>18</xdr:col>
      <xdr:colOff>507107</xdr:colOff>
      <xdr:row>40</xdr:row>
      <xdr:rowOff>97346</xdr:rowOff>
    </xdr:to>
    <xdr:pic>
      <xdr:nvPicPr>
        <xdr:cNvPr id="2" name="Grafik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12402111" y="6956586"/>
          <a:ext cx="3383096" cy="941735"/>
        </a:xfrm>
        <a:prstGeom prst="rect">
          <a:avLst/>
        </a:prstGeom>
      </xdr:spPr>
    </xdr:pic>
    <xdr:clientData/>
  </xdr:twoCellAnchor>
  <xdr:twoCellAnchor editAs="oneCell">
    <xdr:from>
      <xdr:col>13</xdr:col>
      <xdr:colOff>729951</xdr:colOff>
      <xdr:row>40</xdr:row>
      <xdr:rowOff>190499</xdr:rowOff>
    </xdr:from>
    <xdr:to>
      <xdr:col>20</xdr:col>
      <xdr:colOff>488933</xdr:colOff>
      <xdr:row>47</xdr:row>
      <xdr:rowOff>104572</xdr:rowOff>
    </xdr:to>
    <xdr:pic>
      <xdr:nvPicPr>
        <xdr:cNvPr id="3" name="Grafik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2"/>
        <a:stretch>
          <a:fillRect/>
        </a:stretch>
      </xdr:blipFill>
      <xdr:spPr>
        <a:xfrm>
          <a:off x="12217101" y="7991474"/>
          <a:ext cx="4769132" cy="1266623"/>
        </a:xfrm>
        <a:prstGeom prst="rect">
          <a:avLst/>
        </a:prstGeom>
      </xdr:spPr>
    </xdr:pic>
    <xdr:clientData/>
  </xdr:twoCellAnchor>
  <xdr:twoCellAnchor editAs="oneCell">
    <xdr:from>
      <xdr:col>13</xdr:col>
      <xdr:colOff>381000</xdr:colOff>
      <xdr:row>27</xdr:row>
      <xdr:rowOff>67236</xdr:rowOff>
    </xdr:from>
    <xdr:to>
      <xdr:col>22</xdr:col>
      <xdr:colOff>580783</xdr:colOff>
      <xdr:row>32</xdr:row>
      <xdr:rowOff>143307</xdr:rowOff>
    </xdr:to>
    <xdr:pic>
      <xdr:nvPicPr>
        <xdr:cNvPr id="4" name="Grafik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3"/>
        <a:stretch>
          <a:fillRect/>
        </a:stretch>
      </xdr:blipFill>
      <xdr:spPr>
        <a:xfrm>
          <a:off x="11868150" y="5363136"/>
          <a:ext cx="6429133" cy="1028571"/>
        </a:xfrm>
        <a:prstGeom prst="rect">
          <a:avLst/>
        </a:prstGeom>
      </xdr:spPr>
    </xdr:pic>
    <xdr:clientData/>
  </xdr:twoCellAnchor>
  <xdr:twoCellAnchor editAs="oneCell">
    <xdr:from>
      <xdr:col>12</xdr:col>
      <xdr:colOff>493059</xdr:colOff>
      <xdr:row>52</xdr:row>
      <xdr:rowOff>84866</xdr:rowOff>
    </xdr:from>
    <xdr:to>
      <xdr:col>19</xdr:col>
      <xdr:colOff>133140</xdr:colOff>
      <xdr:row>66</xdr:row>
      <xdr:rowOff>160931</xdr:rowOff>
    </xdr:to>
    <xdr:pic>
      <xdr:nvPicPr>
        <xdr:cNvPr id="5" name="Grafik 4">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4"/>
        <a:stretch>
          <a:fillRect/>
        </a:stretch>
      </xdr:blipFill>
      <xdr:spPr>
        <a:xfrm>
          <a:off x="11132484" y="10200416"/>
          <a:ext cx="4888356" cy="2752590"/>
        </a:xfrm>
        <a:prstGeom prst="rect">
          <a:avLst/>
        </a:prstGeom>
      </xdr:spPr>
    </xdr:pic>
    <xdr:clientData/>
  </xdr:twoCellAnchor>
  <xdr:twoCellAnchor editAs="oneCell">
    <xdr:from>
      <xdr:col>5</xdr:col>
      <xdr:colOff>560294</xdr:colOff>
      <xdr:row>64</xdr:row>
      <xdr:rowOff>0</xdr:rowOff>
    </xdr:from>
    <xdr:to>
      <xdr:col>12</xdr:col>
      <xdr:colOff>573534</xdr:colOff>
      <xdr:row>82</xdr:row>
      <xdr:rowOff>85286</xdr:rowOff>
    </xdr:to>
    <xdr:pic>
      <xdr:nvPicPr>
        <xdr:cNvPr id="6" name="Grafik 5">
          <a:extLst>
            <a:ext uri="{FF2B5EF4-FFF2-40B4-BE49-F238E27FC236}">
              <a16:creationId xmlns:a16="http://schemas.microsoft.com/office/drawing/2014/main" id="{00000000-0008-0000-1100-000006000000}"/>
            </a:ext>
          </a:extLst>
        </xdr:cNvPr>
        <xdr:cNvPicPr>
          <a:picLocks noChangeAspect="1"/>
        </xdr:cNvPicPr>
      </xdr:nvPicPr>
      <xdr:blipFill>
        <a:blip xmlns:r="http://schemas.openxmlformats.org/officeDocument/2006/relationships" r:embed="rId5"/>
        <a:stretch>
          <a:fillRect/>
        </a:stretch>
      </xdr:blipFill>
      <xdr:spPr>
        <a:xfrm>
          <a:off x="5087470" y="12427324"/>
          <a:ext cx="6142858" cy="351428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14</xdr:col>
      <xdr:colOff>67236</xdr:colOff>
      <xdr:row>35</xdr:row>
      <xdr:rowOff>117636</xdr:rowOff>
    </xdr:from>
    <xdr:to>
      <xdr:col>18</xdr:col>
      <xdr:colOff>507107</xdr:colOff>
      <xdr:row>40</xdr:row>
      <xdr:rowOff>97346</xdr:rowOff>
    </xdr:to>
    <xdr:pic>
      <xdr:nvPicPr>
        <xdr:cNvPr id="2" name="Grafik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a:stretch>
          <a:fillRect/>
        </a:stretch>
      </xdr:blipFill>
      <xdr:spPr>
        <a:xfrm>
          <a:off x="12402111" y="6956586"/>
          <a:ext cx="3383096" cy="941735"/>
        </a:xfrm>
        <a:prstGeom prst="rect">
          <a:avLst/>
        </a:prstGeom>
      </xdr:spPr>
    </xdr:pic>
    <xdr:clientData/>
  </xdr:twoCellAnchor>
  <xdr:twoCellAnchor editAs="oneCell">
    <xdr:from>
      <xdr:col>13</xdr:col>
      <xdr:colOff>729951</xdr:colOff>
      <xdr:row>40</xdr:row>
      <xdr:rowOff>190499</xdr:rowOff>
    </xdr:from>
    <xdr:to>
      <xdr:col>20</xdr:col>
      <xdr:colOff>488933</xdr:colOff>
      <xdr:row>47</xdr:row>
      <xdr:rowOff>104572</xdr:rowOff>
    </xdr:to>
    <xdr:pic>
      <xdr:nvPicPr>
        <xdr:cNvPr id="3" name="Grafik 2">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2"/>
        <a:stretch>
          <a:fillRect/>
        </a:stretch>
      </xdr:blipFill>
      <xdr:spPr>
        <a:xfrm>
          <a:off x="12217101" y="7991474"/>
          <a:ext cx="4769132" cy="1266623"/>
        </a:xfrm>
        <a:prstGeom prst="rect">
          <a:avLst/>
        </a:prstGeom>
      </xdr:spPr>
    </xdr:pic>
    <xdr:clientData/>
  </xdr:twoCellAnchor>
  <xdr:twoCellAnchor editAs="oneCell">
    <xdr:from>
      <xdr:col>13</xdr:col>
      <xdr:colOff>381000</xdr:colOff>
      <xdr:row>27</xdr:row>
      <xdr:rowOff>67236</xdr:rowOff>
    </xdr:from>
    <xdr:to>
      <xdr:col>22</xdr:col>
      <xdr:colOff>580783</xdr:colOff>
      <xdr:row>32</xdr:row>
      <xdr:rowOff>143307</xdr:rowOff>
    </xdr:to>
    <xdr:pic>
      <xdr:nvPicPr>
        <xdr:cNvPr id="4" name="Grafik 3">
          <a:extLst>
            <a:ext uri="{FF2B5EF4-FFF2-40B4-BE49-F238E27FC236}">
              <a16:creationId xmlns:a16="http://schemas.microsoft.com/office/drawing/2014/main" id="{00000000-0008-0000-1300-000004000000}"/>
            </a:ext>
          </a:extLst>
        </xdr:cNvPr>
        <xdr:cNvPicPr>
          <a:picLocks noChangeAspect="1"/>
        </xdr:cNvPicPr>
      </xdr:nvPicPr>
      <xdr:blipFill>
        <a:blip xmlns:r="http://schemas.openxmlformats.org/officeDocument/2006/relationships" r:embed="rId3"/>
        <a:stretch>
          <a:fillRect/>
        </a:stretch>
      </xdr:blipFill>
      <xdr:spPr>
        <a:xfrm>
          <a:off x="11868150" y="5363136"/>
          <a:ext cx="6429133" cy="1028571"/>
        </a:xfrm>
        <a:prstGeom prst="rect">
          <a:avLst/>
        </a:prstGeom>
      </xdr:spPr>
    </xdr:pic>
    <xdr:clientData/>
  </xdr:twoCellAnchor>
  <xdr:twoCellAnchor editAs="oneCell">
    <xdr:from>
      <xdr:col>12</xdr:col>
      <xdr:colOff>493059</xdr:colOff>
      <xdr:row>52</xdr:row>
      <xdr:rowOff>84866</xdr:rowOff>
    </xdr:from>
    <xdr:to>
      <xdr:col>19</xdr:col>
      <xdr:colOff>133140</xdr:colOff>
      <xdr:row>66</xdr:row>
      <xdr:rowOff>160931</xdr:rowOff>
    </xdr:to>
    <xdr:pic>
      <xdr:nvPicPr>
        <xdr:cNvPr id="5" name="Grafik 4">
          <a:extLst>
            <a:ext uri="{FF2B5EF4-FFF2-40B4-BE49-F238E27FC236}">
              <a16:creationId xmlns:a16="http://schemas.microsoft.com/office/drawing/2014/main" id="{00000000-0008-0000-1300-000005000000}"/>
            </a:ext>
          </a:extLst>
        </xdr:cNvPr>
        <xdr:cNvPicPr>
          <a:picLocks noChangeAspect="1"/>
        </xdr:cNvPicPr>
      </xdr:nvPicPr>
      <xdr:blipFill>
        <a:blip xmlns:r="http://schemas.openxmlformats.org/officeDocument/2006/relationships" r:embed="rId4"/>
        <a:stretch>
          <a:fillRect/>
        </a:stretch>
      </xdr:blipFill>
      <xdr:spPr>
        <a:xfrm>
          <a:off x="11132484" y="10200416"/>
          <a:ext cx="4888356" cy="2752590"/>
        </a:xfrm>
        <a:prstGeom prst="rect">
          <a:avLst/>
        </a:prstGeom>
      </xdr:spPr>
    </xdr:pic>
    <xdr:clientData/>
  </xdr:twoCellAnchor>
  <xdr:twoCellAnchor editAs="oneCell">
    <xdr:from>
      <xdr:col>5</xdr:col>
      <xdr:colOff>0</xdr:colOff>
      <xdr:row>65</xdr:row>
      <xdr:rowOff>0</xdr:rowOff>
    </xdr:from>
    <xdr:to>
      <xdr:col>12</xdr:col>
      <xdr:colOff>13240</xdr:colOff>
      <xdr:row>83</xdr:row>
      <xdr:rowOff>85286</xdr:rowOff>
    </xdr:to>
    <xdr:pic>
      <xdr:nvPicPr>
        <xdr:cNvPr id="6" name="Grafik 5">
          <a:extLst>
            <a:ext uri="{FF2B5EF4-FFF2-40B4-BE49-F238E27FC236}">
              <a16:creationId xmlns:a16="http://schemas.microsoft.com/office/drawing/2014/main" id="{00000000-0008-0000-1300-000006000000}"/>
            </a:ext>
          </a:extLst>
        </xdr:cNvPr>
        <xdr:cNvPicPr>
          <a:picLocks noChangeAspect="1"/>
        </xdr:cNvPicPr>
      </xdr:nvPicPr>
      <xdr:blipFill>
        <a:blip xmlns:r="http://schemas.openxmlformats.org/officeDocument/2006/relationships" r:embed="rId5"/>
        <a:stretch>
          <a:fillRect/>
        </a:stretch>
      </xdr:blipFill>
      <xdr:spPr>
        <a:xfrm>
          <a:off x="4527176" y="12617824"/>
          <a:ext cx="6142858" cy="351428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14</xdr:col>
      <xdr:colOff>67236</xdr:colOff>
      <xdr:row>35</xdr:row>
      <xdr:rowOff>117636</xdr:rowOff>
    </xdr:from>
    <xdr:to>
      <xdr:col>18</xdr:col>
      <xdr:colOff>507107</xdr:colOff>
      <xdr:row>40</xdr:row>
      <xdr:rowOff>97346</xdr:rowOff>
    </xdr:to>
    <xdr:pic>
      <xdr:nvPicPr>
        <xdr:cNvPr id="2" name="Grafik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a:stretch>
          <a:fillRect/>
        </a:stretch>
      </xdr:blipFill>
      <xdr:spPr>
        <a:xfrm>
          <a:off x="12402111" y="6956586"/>
          <a:ext cx="3383096" cy="941735"/>
        </a:xfrm>
        <a:prstGeom prst="rect">
          <a:avLst/>
        </a:prstGeom>
      </xdr:spPr>
    </xdr:pic>
    <xdr:clientData/>
  </xdr:twoCellAnchor>
  <xdr:twoCellAnchor editAs="oneCell">
    <xdr:from>
      <xdr:col>13</xdr:col>
      <xdr:colOff>729951</xdr:colOff>
      <xdr:row>40</xdr:row>
      <xdr:rowOff>190499</xdr:rowOff>
    </xdr:from>
    <xdr:to>
      <xdr:col>20</xdr:col>
      <xdr:colOff>488933</xdr:colOff>
      <xdr:row>47</xdr:row>
      <xdr:rowOff>104572</xdr:rowOff>
    </xdr:to>
    <xdr:pic>
      <xdr:nvPicPr>
        <xdr:cNvPr id="3" name="Grafik 2">
          <a:extLst>
            <a:ext uri="{FF2B5EF4-FFF2-40B4-BE49-F238E27FC236}">
              <a16:creationId xmlns:a16="http://schemas.microsoft.com/office/drawing/2014/main" id="{00000000-0008-0000-1500-000003000000}"/>
            </a:ext>
          </a:extLst>
        </xdr:cNvPr>
        <xdr:cNvPicPr>
          <a:picLocks noChangeAspect="1"/>
        </xdr:cNvPicPr>
      </xdr:nvPicPr>
      <xdr:blipFill>
        <a:blip xmlns:r="http://schemas.openxmlformats.org/officeDocument/2006/relationships" r:embed="rId2"/>
        <a:stretch>
          <a:fillRect/>
        </a:stretch>
      </xdr:blipFill>
      <xdr:spPr>
        <a:xfrm>
          <a:off x="12217101" y="7991474"/>
          <a:ext cx="4769132" cy="1266623"/>
        </a:xfrm>
        <a:prstGeom prst="rect">
          <a:avLst/>
        </a:prstGeom>
      </xdr:spPr>
    </xdr:pic>
    <xdr:clientData/>
  </xdr:twoCellAnchor>
  <xdr:twoCellAnchor editAs="oneCell">
    <xdr:from>
      <xdr:col>13</xdr:col>
      <xdr:colOff>381000</xdr:colOff>
      <xdr:row>27</xdr:row>
      <xdr:rowOff>67236</xdr:rowOff>
    </xdr:from>
    <xdr:to>
      <xdr:col>22</xdr:col>
      <xdr:colOff>580783</xdr:colOff>
      <xdr:row>32</xdr:row>
      <xdr:rowOff>143307</xdr:rowOff>
    </xdr:to>
    <xdr:pic>
      <xdr:nvPicPr>
        <xdr:cNvPr id="4" name="Grafik 3">
          <a:extLst>
            <a:ext uri="{FF2B5EF4-FFF2-40B4-BE49-F238E27FC236}">
              <a16:creationId xmlns:a16="http://schemas.microsoft.com/office/drawing/2014/main" id="{00000000-0008-0000-1500-000004000000}"/>
            </a:ext>
          </a:extLst>
        </xdr:cNvPr>
        <xdr:cNvPicPr>
          <a:picLocks noChangeAspect="1"/>
        </xdr:cNvPicPr>
      </xdr:nvPicPr>
      <xdr:blipFill>
        <a:blip xmlns:r="http://schemas.openxmlformats.org/officeDocument/2006/relationships" r:embed="rId3"/>
        <a:stretch>
          <a:fillRect/>
        </a:stretch>
      </xdr:blipFill>
      <xdr:spPr>
        <a:xfrm>
          <a:off x="11868150" y="5363136"/>
          <a:ext cx="6429133" cy="1028571"/>
        </a:xfrm>
        <a:prstGeom prst="rect">
          <a:avLst/>
        </a:prstGeom>
      </xdr:spPr>
    </xdr:pic>
    <xdr:clientData/>
  </xdr:twoCellAnchor>
  <xdr:twoCellAnchor editAs="oneCell">
    <xdr:from>
      <xdr:col>12</xdr:col>
      <xdr:colOff>493059</xdr:colOff>
      <xdr:row>52</xdr:row>
      <xdr:rowOff>84866</xdr:rowOff>
    </xdr:from>
    <xdr:to>
      <xdr:col>19</xdr:col>
      <xdr:colOff>133140</xdr:colOff>
      <xdr:row>66</xdr:row>
      <xdr:rowOff>160931</xdr:rowOff>
    </xdr:to>
    <xdr:pic>
      <xdr:nvPicPr>
        <xdr:cNvPr id="5" name="Grafik 4">
          <a:extLst>
            <a:ext uri="{FF2B5EF4-FFF2-40B4-BE49-F238E27FC236}">
              <a16:creationId xmlns:a16="http://schemas.microsoft.com/office/drawing/2014/main" id="{00000000-0008-0000-1500-000005000000}"/>
            </a:ext>
          </a:extLst>
        </xdr:cNvPr>
        <xdr:cNvPicPr>
          <a:picLocks noChangeAspect="1"/>
        </xdr:cNvPicPr>
      </xdr:nvPicPr>
      <xdr:blipFill>
        <a:blip xmlns:r="http://schemas.openxmlformats.org/officeDocument/2006/relationships" r:embed="rId4"/>
        <a:stretch>
          <a:fillRect/>
        </a:stretch>
      </xdr:blipFill>
      <xdr:spPr>
        <a:xfrm>
          <a:off x="11132484" y="10200416"/>
          <a:ext cx="4888356" cy="2752590"/>
        </a:xfrm>
        <a:prstGeom prst="rect">
          <a:avLst/>
        </a:prstGeom>
      </xdr:spPr>
    </xdr:pic>
    <xdr:clientData/>
  </xdr:twoCellAnchor>
  <xdr:twoCellAnchor editAs="oneCell">
    <xdr:from>
      <xdr:col>5</xdr:col>
      <xdr:colOff>0</xdr:colOff>
      <xdr:row>65</xdr:row>
      <xdr:rowOff>0</xdr:rowOff>
    </xdr:from>
    <xdr:to>
      <xdr:col>12</xdr:col>
      <xdr:colOff>13240</xdr:colOff>
      <xdr:row>83</xdr:row>
      <xdr:rowOff>85286</xdr:rowOff>
    </xdr:to>
    <xdr:pic>
      <xdr:nvPicPr>
        <xdr:cNvPr id="6" name="Grafik 5">
          <a:extLst>
            <a:ext uri="{FF2B5EF4-FFF2-40B4-BE49-F238E27FC236}">
              <a16:creationId xmlns:a16="http://schemas.microsoft.com/office/drawing/2014/main" id="{00000000-0008-0000-1500-000006000000}"/>
            </a:ext>
          </a:extLst>
        </xdr:cNvPr>
        <xdr:cNvPicPr>
          <a:picLocks noChangeAspect="1"/>
        </xdr:cNvPicPr>
      </xdr:nvPicPr>
      <xdr:blipFill>
        <a:blip xmlns:r="http://schemas.openxmlformats.org/officeDocument/2006/relationships" r:embed="rId5"/>
        <a:stretch>
          <a:fillRect/>
        </a:stretch>
      </xdr:blipFill>
      <xdr:spPr>
        <a:xfrm>
          <a:off x="4527176" y="12617824"/>
          <a:ext cx="6142858" cy="351428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echCPU_tbl" displayName="techCPU_tbl" ref="A1:M14" totalsRowShown="0">
  <autoFilter ref="A1:M14" xr:uid="{00000000-0009-0000-0100-000001000000}"/>
  <tableColumns count="13">
    <tableColumn id="15" xr3:uid="{00000000-0010-0000-0000-00000F000000}" name="Pumped Hydro"/>
    <tableColumn id="3" xr3:uid="{00000000-0010-0000-0000-000003000000}" name="CAES"/>
    <tableColumn id="4" xr3:uid="{00000000-0010-0000-0000-000004000000}" name="Flywheel"/>
    <tableColumn id="5" xr3:uid="{00000000-0010-0000-0000-000005000000}" name="Flooded LA"/>
    <tableColumn id="6" xr3:uid="{00000000-0010-0000-0000-000006000000}" name="VRLA"/>
    <tableColumn id="7" xr3:uid="{00000000-0010-0000-0000-000007000000}" name="Li-Ion (LFP)"/>
    <tableColumn id="8" xr3:uid="{00000000-0010-0000-0000-000008000000}" name="Li-Ion (NCA)"/>
    <tableColumn id="9" xr3:uid="{00000000-0010-0000-0000-000009000000}" name="Li-Ion (NMC)"/>
    <tableColumn id="10" xr3:uid="{00000000-0010-0000-0000-00000A000000}" name="Li-Ion (Titanate)"/>
    <tableColumn id="11" xr3:uid="{00000000-0010-0000-0000-00000B000000}" name="NaNiCl"/>
    <tableColumn id="12" xr3:uid="{00000000-0010-0000-0000-00000C000000}" name="NaS"/>
    <tableColumn id="13" xr3:uid="{00000000-0010-0000-0000-00000D000000}" name="Vanadium Flow"/>
    <tableColumn id="14" xr3:uid="{00000000-0010-0000-0000-00000E000000}" name="ZnBr Flow"/>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acatech.de/fileadmin/user_upload/Baumstruktur_nach_Website/Acatech/root/de/Publikationen/Materialien/ESYS_Technologiesteckbrief_Energiespeicher.pdf" TargetMode="External"/><Relationship Id="rId1" Type="http://schemas.openxmlformats.org/officeDocument/2006/relationships/hyperlink" Target="http://www.sefep.eu/activities/projects-studies/120628_Technology_Overview_Electricity_Storage_SEFEP_ISEA.pdf"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hyperlink" Target="http://www.speicherinitiative.at/assets/Uploads/03-Batterienspeicher.pdf" TargetMode="External"/><Relationship Id="rId2" Type="http://schemas.openxmlformats.org/officeDocument/2006/relationships/hyperlink" Target="http://www.speicherinitiative.at/assets/Uploads/19-AgoraEnergiewende-Speicherstudie-Langfassung.pdf" TargetMode="External"/><Relationship Id="rId1" Type="http://schemas.openxmlformats.org/officeDocument/2006/relationships/hyperlink" Target="http://www.sefep.eu/activities/projects-studies/120628_Technology_Overview_Electricity_Storage_SEFEP_ISEA.pdf" TargetMode="External"/><Relationship Id="rId6" Type="http://schemas.openxmlformats.org/officeDocument/2006/relationships/printerSettings" Target="../printerSettings/printerSettings12.bin"/><Relationship Id="rId5" Type="http://schemas.openxmlformats.org/officeDocument/2006/relationships/hyperlink" Target="http://www.irena.org/documentdownloads/publications/irena_battery_storage_report_2015.pdf" TargetMode="External"/><Relationship Id="rId4" Type="http://schemas.openxmlformats.org/officeDocument/2006/relationships/hyperlink" Target="http://www.acatech.de/fileadmin/user_upload/Baumstruktur_nach_Website/Acatech/root/de/Publikationen/Materialien/ESYS_Technologiesteckbrief_Energiespeicher.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hyperlink" Target="http://www.speicherinitiative.at/assets/Uploads/03-Batterienspeicher.pdf" TargetMode="External"/><Relationship Id="rId2" Type="http://schemas.openxmlformats.org/officeDocument/2006/relationships/hyperlink" Target="http://www.speicherinitiative.at/assets/Uploads/19-AgoraEnergiewende-Speicherstudie-Langfassung.pdf" TargetMode="External"/><Relationship Id="rId1" Type="http://schemas.openxmlformats.org/officeDocument/2006/relationships/hyperlink" Target="http://www.sefep.eu/activities/projects-studies/120628_Technology_Overview_Electricity_Storage_SEFEP_ISEA.pdf" TargetMode="External"/><Relationship Id="rId6" Type="http://schemas.openxmlformats.org/officeDocument/2006/relationships/printerSettings" Target="../printerSettings/printerSettings14.bin"/><Relationship Id="rId5" Type="http://schemas.openxmlformats.org/officeDocument/2006/relationships/hyperlink" Target="http://www.irena.org/documentdownloads/publications/irena_battery_storage_report_2015.pdf" TargetMode="External"/><Relationship Id="rId4" Type="http://schemas.openxmlformats.org/officeDocument/2006/relationships/hyperlink" Target="http://www.acatech.de/fileadmin/user_upload/Baumstruktur_nach_Website/Acatech/root/de/Publikationen/Materialien/ESYS_Technologiesteckbrief_Energiespeicher.pdf"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www.speicherinitiative.at/assets/Uploads/03-Batterienspeicher.pdf" TargetMode="External"/><Relationship Id="rId7" Type="http://schemas.openxmlformats.org/officeDocument/2006/relationships/drawing" Target="../drawings/drawing6.xml"/><Relationship Id="rId2" Type="http://schemas.openxmlformats.org/officeDocument/2006/relationships/hyperlink" Target="http://www.speicherinitiative.at/assets/Uploads/19-AgoraEnergiewende-Speicherstudie-Langfassung.pdf" TargetMode="External"/><Relationship Id="rId1" Type="http://schemas.openxmlformats.org/officeDocument/2006/relationships/hyperlink" Target="http://www.sefep.eu/activities/projects-studies/120628_Technology_Overview_Electricity_Storage_SEFEP_ISEA.pdf" TargetMode="External"/><Relationship Id="rId6" Type="http://schemas.openxmlformats.org/officeDocument/2006/relationships/printerSettings" Target="../printerSettings/printerSettings15.bin"/><Relationship Id="rId5" Type="http://schemas.openxmlformats.org/officeDocument/2006/relationships/hyperlink" Target="http://www.irena.org/documentdownloads/publications/irena_battery_storage_report_2015.pdf" TargetMode="External"/><Relationship Id="rId4" Type="http://schemas.openxmlformats.org/officeDocument/2006/relationships/hyperlink" Target="http://www.acatech.de/fileadmin/user_upload/Baumstruktur_nach_Website/Acatech/root/de/Publikationen/Materialien/ESYS_Technologiesteckbrief_Energiespeicher.pdf"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irena.org/DocumentDownloads/Publications/IRENA_Electricity_Storage_Costs_2017.pdf" TargetMode="External"/><Relationship Id="rId1" Type="http://schemas.openxmlformats.org/officeDocument/2006/relationships/hyperlink" Target="mailto:costs@irena.org"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3" Type="http://schemas.openxmlformats.org/officeDocument/2006/relationships/hyperlink" Target="http://www.speicherinitiative.at/assets/Uploads/03-Batterienspeicher.pdf" TargetMode="External"/><Relationship Id="rId7" Type="http://schemas.openxmlformats.org/officeDocument/2006/relationships/drawing" Target="../drawings/drawing7.xml"/><Relationship Id="rId2" Type="http://schemas.openxmlformats.org/officeDocument/2006/relationships/hyperlink" Target="http://www.speicherinitiative.at/assets/Uploads/19-AgoraEnergiewende-Speicherstudie-Langfassung.pdf" TargetMode="External"/><Relationship Id="rId1" Type="http://schemas.openxmlformats.org/officeDocument/2006/relationships/hyperlink" Target="http://www.sefep.eu/activities/projects-studies/120628_Technology_Overview_Electricity_Storage_SEFEP_ISEA.pdf" TargetMode="External"/><Relationship Id="rId6" Type="http://schemas.openxmlformats.org/officeDocument/2006/relationships/printerSettings" Target="../printerSettings/printerSettings17.bin"/><Relationship Id="rId5" Type="http://schemas.openxmlformats.org/officeDocument/2006/relationships/hyperlink" Target="http://www.irena.org/documentdownloads/publications/irena_battery_storage_report_2015.pdf" TargetMode="External"/><Relationship Id="rId4" Type="http://schemas.openxmlformats.org/officeDocument/2006/relationships/hyperlink" Target="http://www.acatech.de/fileadmin/user_upload/Baumstruktur_nach_Website/Acatech/root/de/Publikationen/Materialien/ESYS_Technologiesteckbrief_Energiespeicher.pdf"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www.speicherinitiative.at/assets/Uploads/03-Batterienspeicher.pdf" TargetMode="External"/><Relationship Id="rId7" Type="http://schemas.openxmlformats.org/officeDocument/2006/relationships/drawing" Target="../drawings/drawing8.xml"/><Relationship Id="rId2" Type="http://schemas.openxmlformats.org/officeDocument/2006/relationships/hyperlink" Target="http://www.speicherinitiative.at/assets/Uploads/19-AgoraEnergiewende-Speicherstudie-Langfassung.pdf" TargetMode="External"/><Relationship Id="rId1" Type="http://schemas.openxmlformats.org/officeDocument/2006/relationships/hyperlink" Target="http://www.sefep.eu/activities/projects-studies/120628_Technology_Overview_Electricity_Storage_SEFEP_ISEA.pdf" TargetMode="External"/><Relationship Id="rId6" Type="http://schemas.openxmlformats.org/officeDocument/2006/relationships/printerSettings" Target="../printerSettings/printerSettings18.bin"/><Relationship Id="rId5" Type="http://schemas.openxmlformats.org/officeDocument/2006/relationships/hyperlink" Target="http://www.irena.org/documentdownloads/publications/irena_battery_storage_report_2015.pdf" TargetMode="External"/><Relationship Id="rId4" Type="http://schemas.openxmlformats.org/officeDocument/2006/relationships/hyperlink" Target="http://www.acatech.de/fileadmin/user_upload/Baumstruktur_nach_Website/Acatech/root/de/Publikationen/Materialien/ESYS_Technologiesteckbrief_Energiespeicher.pdf"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www.speicherinitiative.at/assets/Uploads/03-Batterienspeicher.pdf" TargetMode="External"/><Relationship Id="rId7" Type="http://schemas.openxmlformats.org/officeDocument/2006/relationships/drawing" Target="../drawings/drawing9.xml"/><Relationship Id="rId2" Type="http://schemas.openxmlformats.org/officeDocument/2006/relationships/hyperlink" Target="http://www.speicherinitiative.at/assets/Uploads/19-AgoraEnergiewende-Speicherstudie-Langfassung.pdf" TargetMode="External"/><Relationship Id="rId1" Type="http://schemas.openxmlformats.org/officeDocument/2006/relationships/hyperlink" Target="http://www.sefep.eu/activities/projects-studies/120628_Technology_Overview_Electricity_Storage_SEFEP_ISEA.pdf" TargetMode="External"/><Relationship Id="rId6" Type="http://schemas.openxmlformats.org/officeDocument/2006/relationships/printerSettings" Target="../printerSettings/printerSettings19.bin"/><Relationship Id="rId5" Type="http://schemas.openxmlformats.org/officeDocument/2006/relationships/hyperlink" Target="http://www.irena.org/documentdownloads/publications/irena_battery_storage_report_2015.pdf" TargetMode="External"/><Relationship Id="rId4" Type="http://schemas.openxmlformats.org/officeDocument/2006/relationships/hyperlink" Target="http://www.acatech.de/fileadmin/user_upload/Baumstruktur_nach_Website/Acatech/root/de/Publikationen/Materialien/ESYS_Technologiesteckbrief_Energiespeicher.pdf"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www.irena.org/documentdownloads/publications/irena_battery_storage_report_2015.pdf" TargetMode="External"/><Relationship Id="rId1" Type="http://schemas.openxmlformats.org/officeDocument/2006/relationships/hyperlink" Target="http://www.speicherinitiative.at/assets/Uploads/19-AgoraEnergiewende-Speicherstudie-Langfassung.pdf" TargetMode="External"/><Relationship Id="rId4" Type="http://schemas.openxmlformats.org/officeDocument/2006/relationships/drawing" Target="../drawings/drawing10.xml"/></Relationships>
</file>

<file path=xl/worksheets/_rels/sheet29.xml.rels><?xml version="1.0" encoding="UTF-8" standalone="yes"?>
<Relationships xmlns="http://schemas.openxmlformats.org/package/2006/relationships"><Relationship Id="rId3" Type="http://schemas.openxmlformats.org/officeDocument/2006/relationships/hyperlink" Target="http://www.speicherinitiative.at/assets/Uploads/03-Batterienspeicher.pdf" TargetMode="External"/><Relationship Id="rId2" Type="http://schemas.openxmlformats.org/officeDocument/2006/relationships/hyperlink" Target="http://www.speicherinitiative.at/assets/Uploads/19-AgoraEnergiewende-Speicherstudie-Langfassung.pdf" TargetMode="External"/><Relationship Id="rId1" Type="http://schemas.openxmlformats.org/officeDocument/2006/relationships/hyperlink" Target="http://www.sefep.eu/activities/projects-studies/120628_Technology_Overview_Electricity_Storage_SEFEP_ISEA.pdf" TargetMode="External"/><Relationship Id="rId6" Type="http://schemas.openxmlformats.org/officeDocument/2006/relationships/drawing" Target="../drawings/drawing11.xml"/><Relationship Id="rId5" Type="http://schemas.openxmlformats.org/officeDocument/2006/relationships/printerSettings" Target="../printerSettings/printerSettings21.bin"/><Relationship Id="rId4" Type="http://schemas.openxmlformats.org/officeDocument/2006/relationships/hyperlink" Target="http://www.irena.org/documentdownloads/publications/irena_battery_storage_report_2015.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3" Type="http://schemas.openxmlformats.org/officeDocument/2006/relationships/hyperlink" Target="http://www.speicherinitiative.at/assets/Uploads/03-Batterienspeicher.pdf" TargetMode="External"/><Relationship Id="rId2" Type="http://schemas.openxmlformats.org/officeDocument/2006/relationships/hyperlink" Target="http://www.speicherinitiative.at/assets/Uploads/19-AgoraEnergiewende-Speicherstudie-Langfassung.pdf" TargetMode="External"/><Relationship Id="rId1" Type="http://schemas.openxmlformats.org/officeDocument/2006/relationships/hyperlink" Target="http://www.sefep.eu/activities/projects-studies/120628_Technology_Overview_Electricity_Storage_SEFEP_ISEA.pdf" TargetMode="External"/><Relationship Id="rId6" Type="http://schemas.openxmlformats.org/officeDocument/2006/relationships/drawing" Target="../drawings/drawing12.xml"/><Relationship Id="rId5" Type="http://schemas.openxmlformats.org/officeDocument/2006/relationships/printerSettings" Target="../printerSettings/printerSettings22.bin"/><Relationship Id="rId4" Type="http://schemas.openxmlformats.org/officeDocument/2006/relationships/hyperlink" Target="http://www.irena.org/documentdownloads/publications/irena_battery_storage_report_2015.pdf"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www.speicherinitiative.at/assets/Uploads/03-Batterienspeicher.pdf" TargetMode="External"/><Relationship Id="rId2" Type="http://schemas.openxmlformats.org/officeDocument/2006/relationships/hyperlink" Target="http://www.speicherinitiative.at/assets/Uploads/19-AgoraEnergiewende-Speicherstudie-Langfassung.pdf" TargetMode="External"/><Relationship Id="rId1" Type="http://schemas.openxmlformats.org/officeDocument/2006/relationships/hyperlink" Target="http://www.sefep.eu/activities/projects-studies/120628_Technology_Overview_Electricity_Storage_SEFEP_ISEA.pdf" TargetMode="External"/><Relationship Id="rId6" Type="http://schemas.openxmlformats.org/officeDocument/2006/relationships/drawing" Target="../drawings/drawing13.xml"/><Relationship Id="rId5" Type="http://schemas.openxmlformats.org/officeDocument/2006/relationships/printerSettings" Target="../printerSettings/printerSettings23.bin"/><Relationship Id="rId4" Type="http://schemas.openxmlformats.org/officeDocument/2006/relationships/hyperlink" Target="http://www.irena.org/documentdownloads/publications/irena_battery_storage_report_2015.pdf" TargetMode="External"/></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http://www.speicherinitiative.at/assets/Uploads/03-Batterienspeicher.pdf" TargetMode="External"/><Relationship Id="rId1" Type="http://schemas.openxmlformats.org/officeDocument/2006/relationships/hyperlink" Target="http://www.acatech.de/fileadmin/user_upload/Baumstruktur_nach_Website/Acatech/root/de/Publikationen/Materialien/ESYS_Technologiesteckbrief_Energiespeicher.pdf" TargetMode="External"/><Relationship Id="rId4" Type="http://schemas.openxmlformats.org/officeDocument/2006/relationships/drawing" Target="../drawings/drawing14.xml"/></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www.speicherinitiative.at/assets/Uploads/03-Batterienspeicher.pdf" TargetMode="External"/><Relationship Id="rId1" Type="http://schemas.openxmlformats.org/officeDocument/2006/relationships/hyperlink" Target="http://www.acatech.de/fileadmin/user_upload/Baumstruktur_nach_Website/Acatech/root/de/Publikationen/Materialien/ESYS_Technologiesteckbrief_Energiespeicher.pdf" TargetMode="External"/><Relationship Id="rId4" Type="http://schemas.openxmlformats.org/officeDocument/2006/relationships/drawing" Target="../drawings/drawing1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www.acatech.de/fileadmin/user_upload/Baumstruktur_nach_Website/Acatech/root/de/Publikationen/Materialien/ESYS_Technologiesteckbrief_Energiespeicher.pdf" TargetMode="External"/><Relationship Id="rId2" Type="http://schemas.openxmlformats.org/officeDocument/2006/relationships/hyperlink" Target="http://www.speicherinitiative.at/assets/Uploads/19-AgoraEnergiewende-Speicherstudie-Langfassung.pdf" TargetMode="External"/><Relationship Id="rId1" Type="http://schemas.openxmlformats.org/officeDocument/2006/relationships/hyperlink" Target="http://www.sefep.eu/activities/projects-studies/120628_Technology_Overview_Electricity_Storage_SEFEP_ISEA.pdf" TargetMode="External"/><Relationship Id="rId5" Type="http://schemas.openxmlformats.org/officeDocument/2006/relationships/drawing" Target="../drawings/drawing5.xm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24"/>
  <sheetViews>
    <sheetView showGridLines="0" workbookViewId="0"/>
  </sheetViews>
  <sheetFormatPr baseColWidth="10" defaultColWidth="9.1640625" defaultRowHeight="15" x14ac:dyDescent="0.2"/>
  <cols>
    <col min="1" max="16384" width="9.1640625" style="443"/>
  </cols>
  <sheetData>
    <row r="2" spans="2:3" x14ac:dyDescent="0.2">
      <c r="B2" s="44"/>
    </row>
    <row r="3" spans="2:3" x14ac:dyDescent="0.2">
      <c r="B3" s="37"/>
    </row>
    <row r="7" spans="2:3" ht="39" x14ac:dyDescent="0.45">
      <c r="C7" s="507" t="s">
        <v>280</v>
      </c>
    </row>
    <row r="8" spans="2:3" ht="39" x14ac:dyDescent="0.45">
      <c r="C8" s="508" t="s">
        <v>281</v>
      </c>
    </row>
    <row r="9" spans="2:3" x14ac:dyDescent="0.2">
      <c r="B9" s="37"/>
    </row>
    <row r="24" spans="2:2" x14ac:dyDescent="0.2">
      <c r="B24" s="44"/>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O22"/>
  <sheetViews>
    <sheetView zoomScale="85" zoomScaleNormal="85" workbookViewId="0"/>
  </sheetViews>
  <sheetFormatPr baseColWidth="10" defaultColWidth="11.5" defaultRowHeight="15" x14ac:dyDescent="0.2"/>
  <cols>
    <col min="2" max="2" width="27.6640625" bestFit="1" customWidth="1"/>
    <col min="6" max="6" width="11.5" customWidth="1"/>
    <col min="15" max="15" width="20.1640625" bestFit="1" customWidth="1"/>
  </cols>
  <sheetData>
    <row r="1" spans="2:15" s="192" customFormat="1" x14ac:dyDescent="0.2"/>
    <row r="2" spans="2:15" x14ac:dyDescent="0.2">
      <c r="C2" s="39"/>
      <c r="D2" s="39"/>
      <c r="E2" s="39"/>
      <c r="F2" s="39"/>
      <c r="G2" s="39"/>
      <c r="H2" s="39"/>
      <c r="I2" s="39"/>
      <c r="J2" s="39"/>
      <c r="K2" s="39"/>
      <c r="L2" s="39"/>
    </row>
    <row r="3" spans="2:15" s="192" customFormat="1" x14ac:dyDescent="0.2">
      <c r="C3" s="588">
        <v>2016</v>
      </c>
      <c r="D3" s="588"/>
      <c r="E3" s="588"/>
      <c r="F3" s="589">
        <v>2020</v>
      </c>
      <c r="G3" s="589"/>
      <c r="H3" s="589"/>
      <c r="I3" s="589">
        <v>2025</v>
      </c>
      <c r="J3" s="589"/>
      <c r="K3" s="589"/>
      <c r="L3" s="590">
        <v>2030</v>
      </c>
      <c r="M3" s="590"/>
      <c r="N3" s="590"/>
      <c r="O3" s="195"/>
    </row>
    <row r="4" spans="2:15" ht="20" thickBot="1" x14ac:dyDescent="0.3">
      <c r="B4" s="194" t="s">
        <v>196</v>
      </c>
      <c r="C4" s="196" t="s">
        <v>72</v>
      </c>
      <c r="D4" s="196" t="s">
        <v>73</v>
      </c>
      <c r="E4" s="196" t="s">
        <v>178</v>
      </c>
      <c r="F4" s="196" t="s">
        <v>72</v>
      </c>
      <c r="G4" s="196" t="s">
        <v>73</v>
      </c>
      <c r="H4" s="196" t="s">
        <v>178</v>
      </c>
      <c r="I4" s="196" t="s">
        <v>72</v>
      </c>
      <c r="J4" s="196" t="s">
        <v>73</v>
      </c>
      <c r="K4" s="196" t="s">
        <v>178</v>
      </c>
      <c r="L4" s="196" t="s">
        <v>72</v>
      </c>
      <c r="M4" s="196" t="s">
        <v>73</v>
      </c>
      <c r="N4" s="196" t="s">
        <v>178</v>
      </c>
      <c r="O4" s="196" t="s">
        <v>1</v>
      </c>
    </row>
    <row r="5" spans="2:15" x14ac:dyDescent="0.2">
      <c r="B5" s="51" t="s">
        <v>74</v>
      </c>
      <c r="C5" s="270">
        <f>'Overview 2016 (in)'!D6</f>
        <v>2</v>
      </c>
      <c r="D5" s="271">
        <f>'Overview 2016 (in)'!E6</f>
        <v>0.2</v>
      </c>
      <c r="E5" s="272">
        <f>'Overview 2016 (in)'!F6</f>
        <v>1</v>
      </c>
      <c r="F5" s="270">
        <f>IFERROR(C5*H5/E5,0)</f>
        <v>2</v>
      </c>
      <c r="G5" s="271">
        <f>IFERROR(D5*H5/E5, 0)</f>
        <v>0.2</v>
      </c>
      <c r="H5" s="272">
        <f>E5</f>
        <v>1</v>
      </c>
      <c r="I5" s="270">
        <f>IFERROR(F5*K5/H5,0)</f>
        <v>2</v>
      </c>
      <c r="J5" s="271">
        <f>IFERROR(G5*K5/H5, 0)</f>
        <v>0.2</v>
      </c>
      <c r="K5" s="272">
        <f>H5</f>
        <v>1</v>
      </c>
      <c r="L5" s="270">
        <f>IFERROR(I5*N5/K5,0)</f>
        <v>2</v>
      </c>
      <c r="M5" s="271">
        <f>IFERROR(J5*N5/K5, 0)</f>
        <v>0.2</v>
      </c>
      <c r="N5" s="272">
        <f>K5</f>
        <v>1</v>
      </c>
      <c r="O5" s="54" t="s">
        <v>75</v>
      </c>
    </row>
    <row r="6" spans="2:15" x14ac:dyDescent="0.2">
      <c r="B6" s="37" t="s">
        <v>76</v>
      </c>
      <c r="C6" s="273">
        <f>'Overview 2016 (in)'!D7</f>
        <v>0.2</v>
      </c>
      <c r="D6" s="274">
        <f>'Overview 2016 (in)'!E7</f>
        <v>0.1</v>
      </c>
      <c r="E6" s="275">
        <f>'Overview 2016 (in)'!F7</f>
        <v>0.15</v>
      </c>
      <c r="F6" s="273">
        <f t="shared" ref="F6:F15" si="0">IFERROR(C6*H6/E6,0)</f>
        <v>0.2</v>
      </c>
      <c r="G6" s="274">
        <f t="shared" ref="G6:G13" si="1">IFERROR(D6*H6/E6, 0)</f>
        <v>0.1</v>
      </c>
      <c r="H6" s="275">
        <f>E6</f>
        <v>0.15</v>
      </c>
      <c r="I6" s="273">
        <f t="shared" ref="I6:I15" si="2">IFERROR(F6*K6/H6,0)</f>
        <v>0.2</v>
      </c>
      <c r="J6" s="274">
        <f t="shared" ref="J6:J13" si="3">IFERROR(G6*K6/H6, 0)</f>
        <v>0.1</v>
      </c>
      <c r="K6" s="275">
        <f>H6</f>
        <v>0.15</v>
      </c>
      <c r="L6" s="273">
        <f t="shared" ref="L6:L15" si="4">IFERROR(I6*N6/K6,0)</f>
        <v>0.2</v>
      </c>
      <c r="M6" s="274">
        <f t="shared" ref="M6:M13" si="5">IFERROR(J6*N6/K6, 0)</f>
        <v>0.1</v>
      </c>
      <c r="N6" s="275">
        <f>K6</f>
        <v>0.15</v>
      </c>
      <c r="O6" s="55" t="s">
        <v>77</v>
      </c>
    </row>
    <row r="7" spans="2:15" x14ac:dyDescent="0.2">
      <c r="B7" s="51" t="s">
        <v>4</v>
      </c>
      <c r="C7" s="270">
        <f>'Overview 2016 (in)'!D8</f>
        <v>100000</v>
      </c>
      <c r="D7" s="271">
        <f>'Overview 2016 (in)'!E8</f>
        <v>12000</v>
      </c>
      <c r="E7" s="263">
        <f>'Overview 2016 (in)'!F8</f>
        <v>50000</v>
      </c>
      <c r="F7" s="270">
        <f ca="1">IFERROR(C7*H7/E7,0)</f>
        <v>100000</v>
      </c>
      <c r="G7" s="271">
        <f ca="1">IFERROR(D7*H7/E7, 0)</f>
        <v>12000</v>
      </c>
      <c r="H7" s="263">
        <f ca="1">INDIRECT(ADDRESS(ROW($B6),COLUMN(D$4),1,,$B$4))</f>
        <v>50000</v>
      </c>
      <c r="I7" s="270">
        <f ca="1">IFERROR(F7*K7/H7,0)</f>
        <v>100000</v>
      </c>
      <c r="J7" s="271">
        <f ca="1">IFERROR(G7*K7/H7, 0)</f>
        <v>12000</v>
      </c>
      <c r="K7" s="263">
        <f ca="1">INDIRECT(ADDRESS(ROW($B6),COLUMN(E$4),1,,$B$4))</f>
        <v>50000</v>
      </c>
      <c r="L7" s="270">
        <f ca="1">IFERROR(I7*N7/K7,0)</f>
        <v>100000</v>
      </c>
      <c r="M7" s="271">
        <f ca="1">IFERROR(J7*N7/K7, 0)</f>
        <v>12000</v>
      </c>
      <c r="N7" s="263">
        <f ca="1">INDIRECT(ADDRESS(ROW($B6),COLUMN(F$4),1,,$B$4))</f>
        <v>50000</v>
      </c>
      <c r="O7" s="54" t="s">
        <v>5</v>
      </c>
    </row>
    <row r="8" spans="2:15" x14ac:dyDescent="0.2">
      <c r="B8" s="37" t="s">
        <v>6</v>
      </c>
      <c r="C8" s="273">
        <f>'Overview 2016 (in)'!D9</f>
        <v>100</v>
      </c>
      <c r="D8" s="274">
        <f>'Overview 2016 (in)'!E9</f>
        <v>30</v>
      </c>
      <c r="E8" s="264">
        <f>'Overview 2016 (in)'!F9</f>
        <v>60</v>
      </c>
      <c r="F8" s="273">
        <f ca="1">IFERROR(C8*H8/E8,0)</f>
        <v>100</v>
      </c>
      <c r="G8" s="274">
        <f ca="1">IFERROR(D8*H8/E8, 0)</f>
        <v>30</v>
      </c>
      <c r="H8" s="264">
        <f ca="1">INDIRECT(ADDRESS(ROW($B7),COLUMN(D$4),1,,$B$4))</f>
        <v>60</v>
      </c>
      <c r="I8" s="273">
        <f ca="1">IFERROR(F8*K8/H8,0)</f>
        <v>100</v>
      </c>
      <c r="J8" s="274">
        <f ca="1">IFERROR(G8*K8/H8, 0)</f>
        <v>30</v>
      </c>
      <c r="K8" s="264">
        <f ca="1">INDIRECT(ADDRESS(ROW($B7),COLUMN(E$4),1,,$B$4))</f>
        <v>60</v>
      </c>
      <c r="L8" s="273">
        <f ca="1">IFERROR(I8*N8/K8,0)</f>
        <v>100</v>
      </c>
      <c r="M8" s="274">
        <f ca="1">IFERROR(J8*N8/K8, 0)</f>
        <v>30</v>
      </c>
      <c r="N8" s="264">
        <f ca="1">INDIRECT(ADDRESS(ROW($B7),COLUMN(F$4),1,,$B$4))</f>
        <v>60</v>
      </c>
      <c r="O8" s="55" t="s">
        <v>7</v>
      </c>
    </row>
    <row r="9" spans="2:15" x14ac:dyDescent="0.2">
      <c r="B9" s="51" t="s">
        <v>78</v>
      </c>
      <c r="C9" s="270">
        <f>'Overview 2016 (in)'!D10</f>
        <v>100</v>
      </c>
      <c r="D9" s="271">
        <f>'Overview 2016 (in)'!E10</f>
        <v>80</v>
      </c>
      <c r="E9" s="272">
        <f>'Overview 2016 (in)'!F10</f>
        <v>90</v>
      </c>
      <c r="F9" s="270">
        <f t="shared" si="0"/>
        <v>100</v>
      </c>
      <c r="G9" s="271">
        <f t="shared" si="1"/>
        <v>80</v>
      </c>
      <c r="H9" s="272">
        <f>E9</f>
        <v>90</v>
      </c>
      <c r="I9" s="270">
        <f t="shared" si="2"/>
        <v>100</v>
      </c>
      <c r="J9" s="271">
        <f t="shared" si="3"/>
        <v>80</v>
      </c>
      <c r="K9" s="272">
        <f>H9</f>
        <v>90</v>
      </c>
      <c r="L9" s="270">
        <f t="shared" si="4"/>
        <v>100</v>
      </c>
      <c r="M9" s="271">
        <f t="shared" si="5"/>
        <v>80</v>
      </c>
      <c r="N9" s="272">
        <f>K9</f>
        <v>90</v>
      </c>
      <c r="O9" s="54" t="s">
        <v>9</v>
      </c>
    </row>
    <row r="10" spans="2:15" x14ac:dyDescent="0.2">
      <c r="B10" s="37" t="s">
        <v>8</v>
      </c>
      <c r="C10" s="273">
        <f>'Overview 2016 (in)'!D11</f>
        <v>84</v>
      </c>
      <c r="D10" s="274">
        <f>'Overview 2016 (in)'!E11</f>
        <v>70</v>
      </c>
      <c r="E10" s="264">
        <f>'Overview 2016 (in)'!F11</f>
        <v>80</v>
      </c>
      <c r="F10" s="273">
        <f ca="1">IFERROR(C10*H10/E10,0)</f>
        <v>84</v>
      </c>
      <c r="G10" s="274">
        <f ca="1">IFERROR(D10*H10/E10, 0)</f>
        <v>70</v>
      </c>
      <c r="H10" s="264">
        <f ca="1">INDIRECT(ADDRESS(ROW($B8),COLUMN(D$4),1,,$B$4))</f>
        <v>80</v>
      </c>
      <c r="I10" s="273">
        <f ca="1">IFERROR(F10*K10/H10,0)</f>
        <v>84</v>
      </c>
      <c r="J10" s="274">
        <f ca="1">IFERROR(G10*K10/H10, 0)</f>
        <v>70</v>
      </c>
      <c r="K10" s="264">
        <f ca="1">INDIRECT(ADDRESS(ROW($B8),COLUMN(E$4),1,,$B$4))</f>
        <v>80</v>
      </c>
      <c r="L10" s="273">
        <f ca="1">IFERROR(I10*N10/K10,0)</f>
        <v>84</v>
      </c>
      <c r="M10" s="274">
        <f ca="1">IFERROR(J10*N10/K10, 0)</f>
        <v>70</v>
      </c>
      <c r="N10" s="264">
        <f ca="1">INDIRECT(ADDRESS(ROW($B8),COLUMN(F$4),1,,$B$4))</f>
        <v>80</v>
      </c>
      <c r="O10" s="55" t="s">
        <v>9</v>
      </c>
    </row>
    <row r="11" spans="2:15" x14ac:dyDescent="0.2">
      <c r="B11" s="51" t="s">
        <v>79</v>
      </c>
      <c r="C11" s="270">
        <f>'Overview 2016 (in)'!D12</f>
        <v>0</v>
      </c>
      <c r="D11" s="271">
        <f>'Overview 2016 (in)'!E12</f>
        <v>0.02</v>
      </c>
      <c r="E11" s="272">
        <f>'Overview 2016 (in)'!F12</f>
        <v>0.01</v>
      </c>
      <c r="F11" s="270">
        <f t="shared" si="0"/>
        <v>0</v>
      </c>
      <c r="G11" s="271">
        <f t="shared" si="1"/>
        <v>0.02</v>
      </c>
      <c r="H11" s="272">
        <f>E11</f>
        <v>0.01</v>
      </c>
      <c r="I11" s="270">
        <f t="shared" si="2"/>
        <v>0</v>
      </c>
      <c r="J11" s="271">
        <f t="shared" si="3"/>
        <v>0.02</v>
      </c>
      <c r="K11" s="272">
        <f>H11</f>
        <v>0.01</v>
      </c>
      <c r="L11" s="270">
        <f t="shared" si="4"/>
        <v>0</v>
      </c>
      <c r="M11" s="271">
        <f t="shared" si="5"/>
        <v>0.02</v>
      </c>
      <c r="N11" s="272">
        <f>K11</f>
        <v>0.01</v>
      </c>
      <c r="O11" s="54" t="s">
        <v>80</v>
      </c>
    </row>
    <row r="12" spans="2:15" x14ac:dyDescent="0.2">
      <c r="B12" s="154" t="s">
        <v>81</v>
      </c>
      <c r="C12" s="273">
        <f>'Overview 2016 (in)'!D13</f>
        <v>15</v>
      </c>
      <c r="D12" s="274">
        <f>'Overview 2016 (in)'!E13</f>
        <v>500</v>
      </c>
      <c r="E12" s="275">
        <f>'Overview 2016 (in)'!F13</f>
        <v>30</v>
      </c>
      <c r="F12" s="273">
        <f t="shared" si="0"/>
        <v>15</v>
      </c>
      <c r="G12" s="274">
        <f t="shared" si="1"/>
        <v>500</v>
      </c>
      <c r="H12" s="275">
        <f>E12</f>
        <v>30</v>
      </c>
      <c r="I12" s="273">
        <f t="shared" si="2"/>
        <v>15</v>
      </c>
      <c r="J12" s="274">
        <f t="shared" si="3"/>
        <v>500</v>
      </c>
      <c r="K12" s="275">
        <f>H12</f>
        <v>30</v>
      </c>
      <c r="L12" s="273">
        <f t="shared" si="4"/>
        <v>15</v>
      </c>
      <c r="M12" s="274">
        <f t="shared" si="5"/>
        <v>500</v>
      </c>
      <c r="N12" s="275">
        <f>K12</f>
        <v>30</v>
      </c>
      <c r="O12" s="155" t="s">
        <v>82</v>
      </c>
    </row>
    <row r="13" spans="2:15" x14ac:dyDescent="0.2">
      <c r="B13" s="156" t="s">
        <v>83</v>
      </c>
      <c r="C13" s="276">
        <f>'Overview 2016 (in)'!D14</f>
        <v>5</v>
      </c>
      <c r="D13" s="271">
        <f>'Overview 2016 (in)'!E14</f>
        <v>25</v>
      </c>
      <c r="E13" s="272">
        <f>'Overview 2016 (in)'!F14</f>
        <v>15</v>
      </c>
      <c r="F13" s="276">
        <f t="shared" si="0"/>
        <v>5</v>
      </c>
      <c r="G13" s="271">
        <f t="shared" si="1"/>
        <v>25</v>
      </c>
      <c r="H13" s="272">
        <f>E13</f>
        <v>15</v>
      </c>
      <c r="I13" s="276">
        <f t="shared" si="2"/>
        <v>5</v>
      </c>
      <c r="J13" s="271">
        <f t="shared" si="3"/>
        <v>25</v>
      </c>
      <c r="K13" s="272">
        <f>H13</f>
        <v>15</v>
      </c>
      <c r="L13" s="276">
        <f t="shared" si="4"/>
        <v>5</v>
      </c>
      <c r="M13" s="271">
        <f t="shared" si="5"/>
        <v>25</v>
      </c>
      <c r="N13" s="272">
        <f>K13</f>
        <v>15</v>
      </c>
      <c r="O13" s="54" t="s">
        <v>7</v>
      </c>
    </row>
    <row r="14" spans="2:15" x14ac:dyDescent="0.2">
      <c r="B14" s="154" t="s">
        <v>2</v>
      </c>
      <c r="C14" s="273">
        <f>'Overview 2016 (in)'!D15</f>
        <v>5.25</v>
      </c>
      <c r="D14" s="274">
        <f>'Overview 2016 (in)'!E15</f>
        <v>100</v>
      </c>
      <c r="E14" s="265">
        <f>'Overview 2016 (in)'!F15</f>
        <v>21</v>
      </c>
      <c r="F14" s="273">
        <f t="shared" ca="1" si="0"/>
        <v>5.25</v>
      </c>
      <c r="G14" s="274">
        <f t="shared" ref="G14:G15" ca="1" si="6">IFERROR(D14*H14/E14,0)</f>
        <v>100</v>
      </c>
      <c r="H14" s="265">
        <f ca="1">IF(CELL("format",INDIRECT(ADDRESS(ROW($B4),COLUMN(D$4),1,,$B$4)))="W0-",INDIRECT(ADDRESS(ROW($B4),COLUMN(D$4),1,,$B$4))*'Overview 2016 (in)'!$O$7,INDIRECT(ADDRESS(ROW($B4),COLUMN(D$4),1,,$B$4)))</f>
        <v>21</v>
      </c>
      <c r="I14" s="273">
        <f t="shared" ca="1" si="2"/>
        <v>5.25</v>
      </c>
      <c r="J14" s="274">
        <f t="shared" ref="J14:J15" ca="1" si="7">IFERROR(G14*K14/H14,0)</f>
        <v>100</v>
      </c>
      <c r="K14" s="265">
        <f ca="1">IF(CELL("format",INDIRECT(ADDRESS(ROW($B4),COLUMN(E$4),1,,$B$4)))="W0-",INDIRECT(ADDRESS(ROW($B4),COLUMN(E$4),1,,$B$4))*'Overview 2016 (in)'!$O$7,INDIRECT(ADDRESS(ROW($B4),COLUMN(E$4),1,,$B$4)))</f>
        <v>21</v>
      </c>
      <c r="L14" s="273">
        <f t="shared" ca="1" si="4"/>
        <v>5.25</v>
      </c>
      <c r="M14" s="274">
        <f t="shared" ref="M14:M15" ca="1" si="8">IFERROR(J14*N14/K14,0)</f>
        <v>100</v>
      </c>
      <c r="N14" s="265">
        <f ca="1">IF(CELL("format",INDIRECT(ADDRESS(ROW($B4),COLUMN(F$4),1,,$B$4)))="W0-",INDIRECT(ADDRESS(ROW($B4),COLUMN(F$4),1,,$B$4))*'Overview 2016 (in)'!$O$7,INDIRECT(ADDRESS(ROW($B4),COLUMN(F$4),1,,$B$4)))</f>
        <v>21</v>
      </c>
      <c r="O14" s="155" t="s">
        <v>22</v>
      </c>
    </row>
    <row r="15" spans="2:15" ht="16" thickBot="1" x14ac:dyDescent="0.25">
      <c r="B15" s="158" t="s">
        <v>3</v>
      </c>
      <c r="C15" s="277">
        <f>'Overview 2016 (in)'!D16</f>
        <v>525</v>
      </c>
      <c r="D15" s="277">
        <f>'Overview 2016 (in)'!E16</f>
        <v>2000</v>
      </c>
      <c r="E15" s="278">
        <f>'Overview 2016 (in)'!F16</f>
        <v>840</v>
      </c>
      <c r="F15" s="277">
        <f t="shared" ca="1" si="0"/>
        <v>525</v>
      </c>
      <c r="G15" s="277">
        <f t="shared" ca="1" si="6"/>
        <v>2000</v>
      </c>
      <c r="H15" s="278">
        <f ca="1">IF(CELL("format",INDIRECT(ADDRESS(ROW($B5),COLUMN(D$4),1,,$B$4)))="W0-",INDIRECT(ADDRESS(ROW($B5),COLUMN(D$4),1,,$B$4))*'Overview 2016 (in)'!$O$7,INDIRECT(ADDRESS(ROW($B5),COLUMN(D$4),1,,$B$4)))</f>
        <v>840</v>
      </c>
      <c r="I15" s="277">
        <f t="shared" ca="1" si="2"/>
        <v>525</v>
      </c>
      <c r="J15" s="277">
        <f t="shared" ca="1" si="7"/>
        <v>2000</v>
      </c>
      <c r="K15" s="278">
        <f ca="1">IF(CELL("format",INDIRECT(ADDRESS(ROW($B5),COLUMN(E$4),1,,$B$4)))="W0-",INDIRECT(ADDRESS(ROW($B5),COLUMN(E$4),1,,$B$4))*'Overview 2016 (in)'!$O$7,INDIRECT(ADDRESS(ROW($B5),COLUMN(E$4),1,,$B$4)))</f>
        <v>840</v>
      </c>
      <c r="L15" s="277">
        <f t="shared" ca="1" si="4"/>
        <v>525</v>
      </c>
      <c r="M15" s="277">
        <f t="shared" ca="1" si="8"/>
        <v>2000</v>
      </c>
      <c r="N15" s="278">
        <f ca="1">IF(CELL("format",INDIRECT(ADDRESS(ROW($B5),COLUMN(F$4),1,,$B$4)))="W0-",INDIRECT(ADDRESS(ROW($B5),COLUMN(F$4),1,,$B$4))*'Overview 2016 (in)'!$O$7,INDIRECT(ADDRESS(ROW($B5),COLUMN(F$4),1,,$B$4)))</f>
        <v>840</v>
      </c>
      <c r="O15" s="60" t="s">
        <v>23</v>
      </c>
    </row>
    <row r="17" spans="2:6" x14ac:dyDescent="0.2">
      <c r="C17" s="202"/>
    </row>
    <row r="18" spans="2:6" ht="19" x14ac:dyDescent="0.25">
      <c r="B18" s="201"/>
    </row>
    <row r="19" spans="2:6" x14ac:dyDescent="0.2">
      <c r="B19" s="39"/>
    </row>
    <row r="22" spans="2:6" x14ac:dyDescent="0.2">
      <c r="F22" s="192"/>
    </row>
  </sheetData>
  <mergeCells count="4">
    <mergeCell ref="C3:E3"/>
    <mergeCell ref="F3:H3"/>
    <mergeCell ref="I3:K3"/>
    <mergeCell ref="L3:N3"/>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N40"/>
  <sheetViews>
    <sheetView zoomScale="85" zoomScaleNormal="85" workbookViewId="0"/>
  </sheetViews>
  <sheetFormatPr baseColWidth="10" defaultColWidth="9.1640625" defaultRowHeight="15" x14ac:dyDescent="0.2"/>
  <cols>
    <col min="1" max="1" width="9.1640625" style="3"/>
    <col min="2" max="2" width="26.5" style="3" customWidth="1"/>
    <col min="3" max="7" width="10.6640625" style="3" customWidth="1"/>
    <col min="8" max="8" width="13.83203125" style="3" customWidth="1"/>
    <col min="9" max="12" width="12.6640625" style="3" customWidth="1"/>
    <col min="13" max="16384" width="9.1640625" style="3"/>
  </cols>
  <sheetData>
    <row r="2" spans="2:14" ht="20" thickBot="1" x14ac:dyDescent="0.3">
      <c r="B2" s="1" t="s">
        <v>32</v>
      </c>
      <c r="C2" s="13"/>
      <c r="I2" s="1" t="s">
        <v>0</v>
      </c>
    </row>
    <row r="3" spans="2:14" x14ac:dyDescent="0.2">
      <c r="B3" s="5"/>
      <c r="C3" s="5">
        <v>2016</v>
      </c>
      <c r="D3" s="5">
        <v>2020</v>
      </c>
      <c r="E3" s="5">
        <v>2025</v>
      </c>
      <c r="F3" s="5">
        <v>2030</v>
      </c>
      <c r="G3" s="5" t="s">
        <v>1</v>
      </c>
      <c r="H3" s="11"/>
      <c r="I3" s="5" t="s">
        <v>17</v>
      </c>
      <c r="J3" s="5" t="s">
        <v>18</v>
      </c>
      <c r="K3" s="5" t="s">
        <v>19</v>
      </c>
      <c r="L3" s="5" t="s">
        <v>20</v>
      </c>
    </row>
    <row r="4" spans="2:14" x14ac:dyDescent="0.2">
      <c r="B4" s="4" t="s">
        <v>2</v>
      </c>
      <c r="C4" s="165">
        <f>'Overview 2016 (in)'!I15</f>
        <v>52.5</v>
      </c>
      <c r="D4" s="164">
        <f>C4*E29/D29</f>
        <v>48.095997881814199</v>
      </c>
      <c r="E4" s="164">
        <f>C4*G29/D29</f>
        <v>45.702121819830978</v>
      </c>
      <c r="F4" s="164">
        <f>C4*H29/D29</f>
        <v>44.184828116805249</v>
      </c>
      <c r="G4" s="3" t="s">
        <v>22</v>
      </c>
      <c r="I4" s="97">
        <v>2016</v>
      </c>
    </row>
    <row r="5" spans="2:14" x14ac:dyDescent="0.2">
      <c r="B5" s="11" t="s">
        <v>3</v>
      </c>
      <c r="C5" s="165">
        <f>'Overview 2016 (in)'!I16</f>
        <v>945</v>
      </c>
      <c r="D5" s="164">
        <f>C5*E30/D30</f>
        <v>781.6272684790456</v>
      </c>
      <c r="E5" s="164">
        <f>C5*G30/D30</f>
        <v>712.69781539954352</v>
      </c>
      <c r="F5" s="164">
        <f>C5*H30/D30</f>
        <v>693.40960828008872</v>
      </c>
      <c r="G5" s="3" t="s">
        <v>23</v>
      </c>
      <c r="I5" s="97">
        <v>2016</v>
      </c>
      <c r="J5" s="3">
        <v>1</v>
      </c>
      <c r="K5" s="3">
        <v>1</v>
      </c>
      <c r="L5" s="3">
        <v>1</v>
      </c>
    </row>
    <row r="6" spans="2:14" x14ac:dyDescent="0.2">
      <c r="B6" s="4" t="s">
        <v>4</v>
      </c>
      <c r="C6" s="99">
        <f>'Overview 2016 (in)'!I8</f>
        <v>50000</v>
      </c>
      <c r="D6" s="12">
        <f>C6</f>
        <v>50000</v>
      </c>
      <c r="E6" s="12">
        <f>D6</f>
        <v>50000</v>
      </c>
      <c r="F6" s="99">
        <f>E6</f>
        <v>50000</v>
      </c>
      <c r="G6" s="3" t="s">
        <v>5</v>
      </c>
      <c r="I6" s="3">
        <v>2016</v>
      </c>
      <c r="J6" s="3">
        <v>2</v>
      </c>
      <c r="K6" s="3">
        <v>2</v>
      </c>
      <c r="L6" s="3">
        <v>2</v>
      </c>
    </row>
    <row r="7" spans="2:14" x14ac:dyDescent="0.2">
      <c r="B7" s="4" t="s">
        <v>6</v>
      </c>
      <c r="C7" s="99">
        <f>'Overview 2016 (in)'!I9</f>
        <v>50</v>
      </c>
      <c r="D7" s="12">
        <v>50</v>
      </c>
      <c r="E7" s="12">
        <v>50</v>
      </c>
      <c r="F7" s="99">
        <v>50</v>
      </c>
      <c r="G7" s="3" t="s">
        <v>7</v>
      </c>
      <c r="I7" s="36">
        <v>2016</v>
      </c>
    </row>
    <row r="8" spans="2:14" ht="16" thickBot="1" x14ac:dyDescent="0.25">
      <c r="B8" s="6" t="s">
        <v>8</v>
      </c>
      <c r="C8" s="19">
        <f>'Overview 2016 (in)'!I11</f>
        <v>60</v>
      </c>
      <c r="D8" s="19">
        <v>64</v>
      </c>
      <c r="E8" s="19">
        <v>67</v>
      </c>
      <c r="F8" s="19">
        <v>68</v>
      </c>
      <c r="G8" s="7" t="s">
        <v>9</v>
      </c>
      <c r="H8" s="10"/>
      <c r="I8" s="7">
        <v>2016</v>
      </c>
      <c r="J8" s="7">
        <v>2</v>
      </c>
      <c r="K8" s="7">
        <v>2</v>
      </c>
      <c r="L8" s="7">
        <v>2</v>
      </c>
    </row>
    <row r="9" spans="2:14" x14ac:dyDescent="0.2">
      <c r="B9" s="4"/>
      <c r="C9" s="14"/>
      <c r="H9" s="10"/>
      <c r="I9" s="10"/>
      <c r="J9" s="10"/>
    </row>
    <row r="10" spans="2:14" x14ac:dyDescent="0.2">
      <c r="B10" s="11"/>
      <c r="C10" s="15"/>
      <c r="D10" s="10"/>
      <c r="E10" s="10"/>
      <c r="F10" s="10"/>
      <c r="G10" s="10"/>
      <c r="H10" s="10"/>
      <c r="I10" s="10"/>
      <c r="J10" s="10"/>
      <c r="K10" s="10"/>
      <c r="L10" s="10"/>
      <c r="M10" s="10"/>
      <c r="N10" s="10"/>
    </row>
    <row r="11" spans="2:14" x14ac:dyDescent="0.2">
      <c r="B11" s="10"/>
      <c r="C11" s="10"/>
      <c r="D11" s="10"/>
      <c r="E11" s="10"/>
      <c r="F11" s="10"/>
      <c r="G11" s="10"/>
      <c r="H11" s="10"/>
      <c r="I11" s="43"/>
      <c r="J11" s="43"/>
      <c r="K11" s="2" t="s">
        <v>68</v>
      </c>
      <c r="L11" s="17"/>
      <c r="M11" s="17"/>
      <c r="N11" s="17"/>
    </row>
    <row r="12" spans="2:14" ht="20" thickBot="1" x14ac:dyDescent="0.3">
      <c r="B12" s="1" t="s">
        <v>10</v>
      </c>
      <c r="I12" s="42"/>
      <c r="J12" s="42"/>
      <c r="K12" s="18" t="s">
        <v>69</v>
      </c>
      <c r="L12" s="16"/>
      <c r="M12" s="16"/>
      <c r="N12" s="16"/>
    </row>
    <row r="13" spans="2:14" x14ac:dyDescent="0.2">
      <c r="B13" s="8" t="s">
        <v>11</v>
      </c>
      <c r="C13" s="8" t="s">
        <v>12</v>
      </c>
      <c r="D13" s="8" t="s">
        <v>13</v>
      </c>
      <c r="E13" s="8" t="s">
        <v>225</v>
      </c>
      <c r="F13" s="100" t="s">
        <v>60</v>
      </c>
      <c r="G13" s="9"/>
      <c r="I13" s="42"/>
      <c r="J13" s="42"/>
      <c r="K13" s="93" t="s">
        <v>71</v>
      </c>
      <c r="L13" s="93"/>
      <c r="M13" s="16"/>
      <c r="N13" s="16"/>
    </row>
    <row r="14" spans="2:14" x14ac:dyDescent="0.2">
      <c r="B14" s="3">
        <v>1</v>
      </c>
      <c r="C14" s="3" t="s">
        <v>15</v>
      </c>
      <c r="D14" s="3" t="s">
        <v>16</v>
      </c>
      <c r="E14" s="303" t="s">
        <v>226</v>
      </c>
      <c r="F14" s="145" t="s">
        <v>61</v>
      </c>
      <c r="I14" s="42"/>
      <c r="J14" s="42"/>
      <c r="K14" s="16"/>
      <c r="L14" s="16"/>
      <c r="M14" s="16"/>
      <c r="N14" s="16"/>
    </row>
    <row r="15" spans="2:14" x14ac:dyDescent="0.2">
      <c r="B15" s="3">
        <v>2</v>
      </c>
      <c r="C15" s="97" t="s">
        <v>58</v>
      </c>
      <c r="D15" s="97" t="s">
        <v>59</v>
      </c>
      <c r="E15" s="303" t="s">
        <v>228</v>
      </c>
      <c r="F15" s="145" t="s">
        <v>63</v>
      </c>
      <c r="G15" s="97"/>
      <c r="J15" s="16"/>
      <c r="K15" s="16"/>
      <c r="L15" s="16"/>
      <c r="M15" s="16"/>
      <c r="N15" s="16"/>
    </row>
    <row r="16" spans="2:14" x14ac:dyDescent="0.2">
      <c r="H16" s="168"/>
      <c r="J16" s="16"/>
      <c r="K16" s="16"/>
      <c r="L16" s="16"/>
      <c r="M16" s="16"/>
      <c r="N16" s="16"/>
    </row>
    <row r="17" spans="1:14" x14ac:dyDescent="0.2">
      <c r="H17" s="168"/>
      <c r="J17" s="16"/>
      <c r="K17" s="16"/>
      <c r="L17" s="16"/>
      <c r="M17" s="16"/>
      <c r="N17" s="16"/>
    </row>
    <row r="18" spans="1:14" x14ac:dyDescent="0.2">
      <c r="H18" s="10"/>
      <c r="J18" s="16"/>
      <c r="K18" s="16"/>
      <c r="L18" s="16"/>
      <c r="M18" s="16"/>
      <c r="N18" s="16"/>
    </row>
    <row r="19" spans="1:14" x14ac:dyDescent="0.2">
      <c r="A19" s="304" t="s">
        <v>232</v>
      </c>
      <c r="B19" s="97"/>
      <c r="C19" s="97"/>
      <c r="D19" s="97"/>
      <c r="E19" s="97"/>
      <c r="F19" s="97"/>
      <c r="G19" s="97"/>
      <c r="H19" s="97"/>
      <c r="I19" s="97"/>
      <c r="J19" s="97"/>
      <c r="K19" s="97"/>
      <c r="L19" s="16"/>
      <c r="M19" s="16"/>
      <c r="N19" s="16"/>
    </row>
    <row r="20" spans="1:14" ht="16" thickBot="1" x14ac:dyDescent="0.25">
      <c r="A20" s="304" t="s">
        <v>47</v>
      </c>
      <c r="B20" s="42"/>
      <c r="C20" s="332" t="s">
        <v>183</v>
      </c>
      <c r="D20" s="333" t="s">
        <v>234</v>
      </c>
      <c r="E20" s="97"/>
      <c r="F20" s="97"/>
      <c r="G20" s="97"/>
      <c r="H20" s="97"/>
      <c r="I20" s="97"/>
      <c r="J20" s="97"/>
      <c r="K20" s="97"/>
      <c r="L20" s="16"/>
      <c r="M20" s="16"/>
      <c r="N20" s="16"/>
    </row>
    <row r="21" spans="1:14" x14ac:dyDescent="0.2">
      <c r="A21" s="65" t="s">
        <v>49</v>
      </c>
      <c r="B21" s="62"/>
      <c r="C21" s="49">
        <v>2016</v>
      </c>
      <c r="D21" s="38">
        <v>2012</v>
      </c>
      <c r="E21" s="38">
        <v>2020</v>
      </c>
      <c r="F21" s="38">
        <v>2023</v>
      </c>
      <c r="G21" s="38">
        <v>2025</v>
      </c>
      <c r="H21" s="38">
        <v>2030</v>
      </c>
      <c r="I21" s="38"/>
      <c r="J21" s="38" t="s">
        <v>1</v>
      </c>
      <c r="K21" s="48" t="s">
        <v>54</v>
      </c>
      <c r="L21" s="38" t="s">
        <v>55</v>
      </c>
      <c r="M21" s="16"/>
      <c r="N21" s="16"/>
    </row>
    <row r="22" spans="1:14" x14ac:dyDescent="0.2">
      <c r="A22" s="97"/>
      <c r="B22" s="37" t="s">
        <v>2</v>
      </c>
      <c r="C22" s="323">
        <f>C4/'Overview 2016 (in)'!$O$7</f>
        <v>50</v>
      </c>
      <c r="D22" s="113">
        <v>60</v>
      </c>
      <c r="E22" s="347">
        <f>$D22*(1-$K22)^(E$21-$D$21)</f>
        <v>60</v>
      </c>
      <c r="F22" s="87"/>
      <c r="G22" s="358">
        <f>$D22*(1-$K22)^(G$21-$D$21)</f>
        <v>60</v>
      </c>
      <c r="H22" s="113">
        <v>60</v>
      </c>
      <c r="I22" s="87"/>
      <c r="J22" s="97" t="s">
        <v>22</v>
      </c>
      <c r="K22" s="312">
        <f>1-(H22/D22)^(1/(H$21-D$21))</f>
        <v>0</v>
      </c>
      <c r="L22" s="95"/>
    </row>
    <row r="23" spans="1:14" x14ac:dyDescent="0.2">
      <c r="A23" s="97"/>
      <c r="B23" s="40" t="s">
        <v>3</v>
      </c>
      <c r="C23" s="323">
        <f>C5/'Overview 2016 (in)'!$O$7</f>
        <v>900</v>
      </c>
      <c r="D23" s="113">
        <v>1000</v>
      </c>
      <c r="E23" s="347">
        <f>$D23*(1-$K23)^(E$21-$D$21)</f>
        <v>853.40402031041879</v>
      </c>
      <c r="F23" s="88"/>
      <c r="G23" s="358">
        <f>$D23*(1-$K23)^(G$21-$D$21)</f>
        <v>772.9054367885459</v>
      </c>
      <c r="H23" s="113">
        <v>700</v>
      </c>
      <c r="I23" s="87"/>
      <c r="J23" s="97" t="s">
        <v>23</v>
      </c>
      <c r="K23" s="312">
        <f>1-(H23/D23)^(1/(H$21-D$21))</f>
        <v>1.962024243833882E-2</v>
      </c>
      <c r="L23" s="95"/>
    </row>
    <row r="24" spans="1:14" x14ac:dyDescent="0.2">
      <c r="A24" s="97"/>
      <c r="B24" s="37" t="s">
        <v>4</v>
      </c>
      <c r="C24" s="324">
        <f t="shared" ref="C24:C26" si="0">C6</f>
        <v>50000</v>
      </c>
      <c r="D24" s="351">
        <v>9999999</v>
      </c>
      <c r="E24" s="358">
        <f t="shared" ref="E24:E26" si="1">$D24*(1-$K24)^(E$21-$D$21)</f>
        <v>9999999</v>
      </c>
      <c r="F24" s="88"/>
      <c r="G24" s="358">
        <f t="shared" ref="G24:G26" si="2">$D24*(1-$K24)^(G$21-$D$21)</f>
        <v>9999999</v>
      </c>
      <c r="H24" s="351">
        <v>9999999</v>
      </c>
      <c r="I24" s="91"/>
      <c r="J24" s="97" t="s">
        <v>5</v>
      </c>
      <c r="K24" s="312">
        <f>1-(H24/D24)^(1/(H$21-D$21))</f>
        <v>0</v>
      </c>
      <c r="L24" s="95"/>
    </row>
    <row r="25" spans="1:14" x14ac:dyDescent="0.2">
      <c r="A25" s="97"/>
      <c r="B25" s="37" t="s">
        <v>6</v>
      </c>
      <c r="C25" s="324">
        <f t="shared" si="0"/>
        <v>50</v>
      </c>
      <c r="D25" s="351">
        <v>25</v>
      </c>
      <c r="E25" s="358">
        <f t="shared" si="1"/>
        <v>25</v>
      </c>
      <c r="F25" s="88"/>
      <c r="G25" s="358">
        <f t="shared" si="2"/>
        <v>25</v>
      </c>
      <c r="H25" s="351">
        <v>25</v>
      </c>
      <c r="I25" s="91"/>
      <c r="J25" s="97" t="s">
        <v>7</v>
      </c>
      <c r="K25" s="312">
        <f>1-(H25/D25)^(1/(H$21-D$21))</f>
        <v>0</v>
      </c>
      <c r="L25" s="95"/>
    </row>
    <row r="26" spans="1:14" ht="16" thickBot="1" x14ac:dyDescent="0.25">
      <c r="A26" s="97"/>
      <c r="B26" s="6" t="s">
        <v>8</v>
      </c>
      <c r="C26" s="325">
        <f t="shared" si="0"/>
        <v>60</v>
      </c>
      <c r="D26" s="352">
        <v>65</v>
      </c>
      <c r="E26" s="359">
        <f t="shared" si="1"/>
        <v>65</v>
      </c>
      <c r="F26" s="90"/>
      <c r="G26" s="359">
        <f t="shared" si="2"/>
        <v>65</v>
      </c>
      <c r="H26" s="115">
        <v>65</v>
      </c>
      <c r="I26" s="92"/>
      <c r="J26" s="7" t="s">
        <v>9</v>
      </c>
      <c r="K26" s="313">
        <f>1-(H26/D26)^(1/(H$21-D$21))</f>
        <v>0</v>
      </c>
      <c r="L26" s="309"/>
    </row>
    <row r="27" spans="1:14" ht="16" thickBot="1" x14ac:dyDescent="0.25">
      <c r="A27" s="97"/>
      <c r="B27" s="97"/>
      <c r="C27" s="213"/>
      <c r="D27" s="320"/>
      <c r="E27" s="97"/>
      <c r="F27" s="97"/>
      <c r="G27" s="97"/>
      <c r="H27" s="97"/>
      <c r="I27" s="97"/>
      <c r="J27" s="97"/>
      <c r="K27" s="312"/>
      <c r="L27" s="95"/>
    </row>
    <row r="28" spans="1:14" x14ac:dyDescent="0.2">
      <c r="A28" s="65" t="s">
        <v>56</v>
      </c>
      <c r="B28" s="62"/>
      <c r="C28" s="49">
        <v>2016</v>
      </c>
      <c r="D28" s="38">
        <v>2013</v>
      </c>
      <c r="E28" s="38">
        <v>2020</v>
      </c>
      <c r="F28" s="38">
        <v>2023</v>
      </c>
      <c r="G28" s="38">
        <v>2025</v>
      </c>
      <c r="H28" s="38">
        <v>2030</v>
      </c>
      <c r="I28" s="38">
        <v>2050</v>
      </c>
      <c r="J28" s="38" t="s">
        <v>1</v>
      </c>
      <c r="K28" s="314"/>
      <c r="L28" s="310"/>
    </row>
    <row r="29" spans="1:14" x14ac:dyDescent="0.2">
      <c r="A29" s="97"/>
      <c r="B29" s="37" t="s">
        <v>2</v>
      </c>
      <c r="C29" s="323">
        <f>C4/'Overview 2016 (in)'!$O$7</f>
        <v>50</v>
      </c>
      <c r="D29" s="113">
        <v>34</v>
      </c>
      <c r="E29" s="347">
        <f>$D29*(1-$K29)^(E$28-$D$28)</f>
        <v>31.147884342508245</v>
      </c>
      <c r="F29" s="173">
        <v>30</v>
      </c>
      <c r="G29" s="347">
        <f t="shared" ref="G29:H31" si="3">$F29*(1-$L29)^(G$28-$F$28)</f>
        <v>29.597564607128632</v>
      </c>
      <c r="H29" s="347">
        <f t="shared" si="3"/>
        <v>28.61493630421673</v>
      </c>
      <c r="I29" s="173">
        <v>25</v>
      </c>
      <c r="J29" s="97" t="s">
        <v>22</v>
      </c>
      <c r="K29" s="312">
        <f t="shared" ref="K29:K31" si="4">1-(F29/D29)^(1/(F$21-D$28))</f>
        <v>1.2438311010662617E-2</v>
      </c>
      <c r="L29" s="95">
        <f t="shared" ref="L29:L31" si="5">1-(I29/F29)^(1/(I$28-F$28))</f>
        <v>6.7299023406132141E-3</v>
      </c>
    </row>
    <row r="30" spans="1:14" x14ac:dyDescent="0.2">
      <c r="A30" s="97"/>
      <c r="B30" s="40" t="s">
        <v>3</v>
      </c>
      <c r="C30" s="323">
        <f>C5/'Overview 2016 (in)'!$O$7</f>
        <v>900</v>
      </c>
      <c r="D30" s="348">
        <v>1000</v>
      </c>
      <c r="E30" s="347">
        <f>$D30*(1-$K30)^(E$28-$D$28)</f>
        <v>827.11880262332863</v>
      </c>
      <c r="F30" s="173">
        <v>762.5</v>
      </c>
      <c r="G30" s="347">
        <f t="shared" si="3"/>
        <v>754.17758243337937</v>
      </c>
      <c r="H30" s="347">
        <f t="shared" si="3"/>
        <v>733.76678124877117</v>
      </c>
      <c r="I30" s="173">
        <v>657.5</v>
      </c>
      <c r="J30" s="97" t="s">
        <v>23</v>
      </c>
      <c r="K30" s="312">
        <f t="shared" si="4"/>
        <v>2.6750958221073873E-2</v>
      </c>
      <c r="L30" s="95">
        <f t="shared" si="5"/>
        <v>5.4722960062956183E-3</v>
      </c>
    </row>
    <row r="31" spans="1:14" x14ac:dyDescent="0.2">
      <c r="A31" s="97"/>
      <c r="B31" s="37" t="s">
        <v>4</v>
      </c>
      <c r="C31" s="326">
        <f t="shared" ref="C31:C33" si="6">C6</f>
        <v>50000</v>
      </c>
      <c r="D31" s="349">
        <v>100000</v>
      </c>
      <c r="E31" s="63">
        <f>$D31*(1-$K31)^(E$28-$D$28)</f>
        <v>100000</v>
      </c>
      <c r="F31" s="118">
        <v>100000</v>
      </c>
      <c r="G31" s="63">
        <f t="shared" si="3"/>
        <v>100000</v>
      </c>
      <c r="H31" s="63">
        <f t="shared" si="3"/>
        <v>100000</v>
      </c>
      <c r="I31" s="114">
        <v>100000</v>
      </c>
      <c r="J31" s="97" t="s">
        <v>5</v>
      </c>
      <c r="K31" s="312">
        <f t="shared" si="4"/>
        <v>0</v>
      </c>
      <c r="L31" s="95">
        <f t="shared" si="5"/>
        <v>0</v>
      </c>
    </row>
    <row r="32" spans="1:14" x14ac:dyDescent="0.2">
      <c r="A32" s="97"/>
      <c r="B32" s="37" t="s">
        <v>6</v>
      </c>
      <c r="C32" s="326">
        <f t="shared" si="6"/>
        <v>50</v>
      </c>
      <c r="D32" s="349">
        <v>25</v>
      </c>
      <c r="E32" s="63">
        <f>$D32*(1-$K32)^(E$28-$D$28)</f>
        <v>28.403174429972228</v>
      </c>
      <c r="F32" s="350">
        <v>30</v>
      </c>
      <c r="G32" s="63">
        <f>$F32*(1-$L32)^(G$28-$F$28)</f>
        <v>30.646153740664428</v>
      </c>
      <c r="H32" s="63">
        <f>$F32*(1-$L32)^(H$21-$F$21)</f>
        <v>32.323083120019334</v>
      </c>
      <c r="I32" s="114">
        <v>40</v>
      </c>
      <c r="J32" s="97" t="s">
        <v>7</v>
      </c>
      <c r="K32" s="312">
        <f>1-(F32/D32)^(1/(F$21-D$28))</f>
        <v>-1.8399376147024249E-2</v>
      </c>
      <c r="L32" s="95">
        <f>1-(I32/F32)^(1/(I$28-F$28))</f>
        <v>-1.0711857070128339E-2</v>
      </c>
    </row>
    <row r="33" spans="1:12" ht="16" thickBot="1" x14ac:dyDescent="0.25">
      <c r="A33" s="97"/>
      <c r="B33" s="6" t="s">
        <v>8</v>
      </c>
      <c r="C33" s="327">
        <f t="shared" si="6"/>
        <v>60</v>
      </c>
      <c r="D33" s="119">
        <v>65</v>
      </c>
      <c r="E33" s="64">
        <f>$D33*(1-$K33)^(E$28-$D$28)</f>
        <v>67.085744818669966</v>
      </c>
      <c r="F33" s="119">
        <v>68</v>
      </c>
      <c r="G33" s="64">
        <f>$F33*(1-$L33)^(G$28-$F$28)</f>
        <v>68.288519405799434</v>
      </c>
      <c r="H33" s="64">
        <f>$F33*(1-$L33)^(H$28-$F$28)</f>
        <v>69.015185024848989</v>
      </c>
      <c r="I33" s="115">
        <v>72</v>
      </c>
      <c r="J33" s="7" t="s">
        <v>9</v>
      </c>
      <c r="K33" s="313">
        <f>1-(F33/D33)^(1/(F$21-D$28))</f>
        <v>-4.5222381234990561E-3</v>
      </c>
      <c r="L33" s="309">
        <f>1-(I33/F33)^(1/(I$28-F$28))</f>
        <v>-2.119220670987243E-3</v>
      </c>
    </row>
    <row r="34" spans="1:12" x14ac:dyDescent="0.2">
      <c r="A34" s="97"/>
      <c r="B34" s="97"/>
      <c r="C34" s="97"/>
      <c r="D34" s="97"/>
      <c r="E34" s="97"/>
      <c r="F34" s="97"/>
      <c r="G34" s="97"/>
      <c r="H34" s="97"/>
      <c r="I34" s="97"/>
      <c r="J34" s="95"/>
      <c r="K34" s="95"/>
    </row>
    <row r="35" spans="1:12" x14ac:dyDescent="0.2">
      <c r="A35" s="50"/>
      <c r="B35" s="50"/>
      <c r="C35" s="50"/>
      <c r="D35" s="50"/>
      <c r="E35" s="50"/>
      <c r="F35" s="50"/>
      <c r="G35" s="50"/>
      <c r="H35" s="50"/>
      <c r="I35" s="50"/>
      <c r="J35" s="189"/>
      <c r="K35" s="95"/>
    </row>
    <row r="36" spans="1:12" x14ac:dyDescent="0.2">
      <c r="A36" s="43"/>
      <c r="B36" s="50"/>
      <c r="C36" s="72"/>
      <c r="D36" s="72"/>
      <c r="E36" s="72"/>
      <c r="F36" s="72"/>
      <c r="G36" s="190"/>
      <c r="H36" s="72"/>
      <c r="I36" s="43"/>
      <c r="J36" s="189"/>
      <c r="K36" s="95"/>
    </row>
    <row r="37" spans="1:12" x14ac:dyDescent="0.2">
      <c r="A37" s="43"/>
      <c r="B37" s="50"/>
      <c r="C37" s="72"/>
      <c r="D37" s="72"/>
      <c r="E37" s="72"/>
      <c r="F37" s="85"/>
      <c r="G37" s="72"/>
      <c r="H37" s="72"/>
      <c r="I37" s="43"/>
      <c r="J37" s="189"/>
      <c r="K37" s="95"/>
    </row>
    <row r="38" spans="1:12" x14ac:dyDescent="0.2">
      <c r="A38" s="43"/>
      <c r="B38" s="50"/>
      <c r="C38" s="72"/>
      <c r="D38" s="73"/>
      <c r="E38" s="73"/>
      <c r="F38" s="73"/>
      <c r="G38" s="73"/>
      <c r="H38" s="191"/>
      <c r="I38" s="43"/>
      <c r="J38" s="189"/>
      <c r="K38" s="95"/>
    </row>
    <row r="39" spans="1:12" x14ac:dyDescent="0.2">
      <c r="A39" s="43"/>
      <c r="B39" s="50"/>
      <c r="C39" s="72"/>
      <c r="D39" s="73"/>
      <c r="E39" s="73"/>
      <c r="F39" s="73"/>
      <c r="G39" s="73"/>
      <c r="H39" s="191"/>
      <c r="I39" s="43"/>
      <c r="J39" s="189"/>
      <c r="K39" s="95"/>
    </row>
    <row r="40" spans="1:12" x14ac:dyDescent="0.2">
      <c r="A40" s="43"/>
      <c r="B40" s="50"/>
      <c r="C40" s="73"/>
      <c r="D40" s="73"/>
      <c r="E40" s="73"/>
      <c r="F40" s="73"/>
      <c r="G40" s="73"/>
      <c r="H40" s="73"/>
      <c r="I40" s="43"/>
      <c r="J40" s="189"/>
      <c r="K40" s="95"/>
    </row>
  </sheetData>
  <hyperlinks>
    <hyperlink ref="E14" r:id="rId1" xr:uid="{00000000-0004-0000-0A00-000000000000}"/>
    <hyperlink ref="E15" r:id="rId2" xr:uid="{00000000-0004-0000-0A00-000001000000}"/>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O19"/>
  <sheetViews>
    <sheetView zoomScale="85" zoomScaleNormal="85" workbookViewId="0"/>
  </sheetViews>
  <sheetFormatPr baseColWidth="10" defaultColWidth="11.5" defaultRowHeight="15" x14ac:dyDescent="0.2"/>
  <cols>
    <col min="1" max="1" width="11.5" style="192"/>
    <col min="2" max="2" width="27.6640625" style="192" bestFit="1" customWidth="1"/>
    <col min="3" max="5" width="11.5" style="192"/>
    <col min="6" max="6" width="11.5" style="192" customWidth="1"/>
    <col min="7" max="14" width="11.5" style="192"/>
    <col min="15" max="15" width="20.1640625" style="192" bestFit="1" customWidth="1"/>
    <col min="16" max="16384" width="11.5" style="192"/>
  </cols>
  <sheetData>
    <row r="2" spans="2:15" x14ac:dyDescent="0.2">
      <c r="C2" s="39"/>
      <c r="D2" s="39"/>
      <c r="E2" s="39"/>
      <c r="F2" s="39"/>
      <c r="G2" s="39"/>
      <c r="H2" s="39"/>
      <c r="I2" s="39"/>
      <c r="J2" s="39"/>
      <c r="K2" s="39"/>
      <c r="L2" s="39"/>
    </row>
    <row r="3" spans="2:15" x14ac:dyDescent="0.2">
      <c r="C3" s="588">
        <v>2016</v>
      </c>
      <c r="D3" s="588"/>
      <c r="E3" s="588"/>
      <c r="F3" s="589">
        <v>2020</v>
      </c>
      <c r="G3" s="589"/>
      <c r="H3" s="589"/>
      <c r="I3" s="589">
        <v>2025</v>
      </c>
      <c r="J3" s="589"/>
      <c r="K3" s="589"/>
      <c r="L3" s="590">
        <v>2030</v>
      </c>
      <c r="M3" s="590"/>
      <c r="N3" s="590"/>
      <c r="O3" s="195"/>
    </row>
    <row r="4" spans="2:15" ht="20" thickBot="1" x14ac:dyDescent="0.3">
      <c r="B4" s="194" t="s">
        <v>197</v>
      </c>
      <c r="C4" s="196" t="s">
        <v>72</v>
      </c>
      <c r="D4" s="196" t="s">
        <v>73</v>
      </c>
      <c r="E4" s="196" t="s">
        <v>178</v>
      </c>
      <c r="F4" s="196" t="s">
        <v>72</v>
      </c>
      <c r="G4" s="196" t="s">
        <v>73</v>
      </c>
      <c r="H4" s="196" t="s">
        <v>178</v>
      </c>
      <c r="I4" s="196" t="s">
        <v>72</v>
      </c>
      <c r="J4" s="196" t="s">
        <v>73</v>
      </c>
      <c r="K4" s="196" t="s">
        <v>178</v>
      </c>
      <c r="L4" s="196" t="s">
        <v>72</v>
      </c>
      <c r="M4" s="196" t="s">
        <v>73</v>
      </c>
      <c r="N4" s="196" t="s">
        <v>178</v>
      </c>
      <c r="O4" s="196" t="s">
        <v>1</v>
      </c>
    </row>
    <row r="5" spans="2:15" x14ac:dyDescent="0.2">
      <c r="B5" s="51" t="s">
        <v>74</v>
      </c>
      <c r="C5" s="270">
        <f>'Overview 2016 (in)'!G6</f>
        <v>6</v>
      </c>
      <c r="D5" s="271">
        <f>'Overview 2016 (in)'!H6</f>
        <v>2</v>
      </c>
      <c r="E5" s="272">
        <f>'Overview 2016 (in)'!I6</f>
        <v>3</v>
      </c>
      <c r="F5" s="270">
        <f>IFERROR(C5*H5/E5,0)</f>
        <v>6</v>
      </c>
      <c r="G5" s="271">
        <f>IFERROR(D5*H5/E5, 0)</f>
        <v>2</v>
      </c>
      <c r="H5" s="272">
        <f>E5</f>
        <v>3</v>
      </c>
      <c r="I5" s="270">
        <f>IFERROR(F5*K5/H5,0)</f>
        <v>6</v>
      </c>
      <c r="J5" s="271">
        <f>IFERROR(G5*K5/H5, 0)</f>
        <v>2</v>
      </c>
      <c r="K5" s="272">
        <f>H5</f>
        <v>3</v>
      </c>
      <c r="L5" s="270">
        <f>IFERROR(I5*N5/K5,0)</f>
        <v>6</v>
      </c>
      <c r="M5" s="271">
        <f>IFERROR(J5*N5/K5, 0)</f>
        <v>2</v>
      </c>
      <c r="N5" s="272">
        <f>K5</f>
        <v>3</v>
      </c>
      <c r="O5" s="54" t="s">
        <v>75</v>
      </c>
    </row>
    <row r="6" spans="2:15" x14ac:dyDescent="0.2">
      <c r="B6" s="37" t="s">
        <v>76</v>
      </c>
      <c r="C6" s="273">
        <f>'Overview 2016 (in)'!G7</f>
        <v>0.6</v>
      </c>
      <c r="D6" s="274">
        <f>'Overview 2016 (in)'!H7</f>
        <v>0.2</v>
      </c>
      <c r="E6" s="275">
        <f>'Overview 2016 (in)'!I7</f>
        <v>0.4</v>
      </c>
      <c r="F6" s="273">
        <f t="shared" ref="F6:F15" si="0">IFERROR(C6*H6/E6,0)</f>
        <v>0.6</v>
      </c>
      <c r="G6" s="274">
        <f t="shared" ref="G6:G13" si="1">IFERROR(D6*H6/E6, 0)</f>
        <v>0.20000000000000004</v>
      </c>
      <c r="H6" s="275">
        <f>E6</f>
        <v>0.4</v>
      </c>
      <c r="I6" s="273">
        <f t="shared" ref="I6:I15" si="2">IFERROR(F6*K6/H6,0)</f>
        <v>0.6</v>
      </c>
      <c r="J6" s="274">
        <f t="shared" ref="J6:J13" si="3">IFERROR(G6*K6/H6, 0)</f>
        <v>0.20000000000000004</v>
      </c>
      <c r="K6" s="275">
        <f>H6</f>
        <v>0.4</v>
      </c>
      <c r="L6" s="273">
        <f t="shared" ref="L6:L15" si="4">IFERROR(I6*N6/K6,0)</f>
        <v>0.6</v>
      </c>
      <c r="M6" s="274">
        <f t="shared" ref="M6:M13" si="5">IFERROR(J6*N6/K6, 0)</f>
        <v>0.20000000000000004</v>
      </c>
      <c r="N6" s="275">
        <f>K6</f>
        <v>0.4</v>
      </c>
      <c r="O6" s="55" t="s">
        <v>77</v>
      </c>
    </row>
    <row r="7" spans="2:15" x14ac:dyDescent="0.2">
      <c r="B7" s="51" t="s">
        <v>4</v>
      </c>
      <c r="C7" s="270">
        <f>'Overview 2016 (in)'!G8</f>
        <v>100000</v>
      </c>
      <c r="D7" s="271">
        <f>'Overview 2016 (in)'!H8</f>
        <v>10000</v>
      </c>
      <c r="E7" s="263">
        <f>'Overview 2016 (in)'!I8</f>
        <v>50000</v>
      </c>
      <c r="F7" s="270">
        <f ca="1">IFERROR(C7*H7/E7,0)</f>
        <v>100000</v>
      </c>
      <c r="G7" s="271">
        <f ca="1">IFERROR(D7*H7/E7, 0)</f>
        <v>10000</v>
      </c>
      <c r="H7" s="263">
        <f ca="1">INDIRECT(ADDRESS(ROW($B6),COLUMN(D$4),1,,$B$4))</f>
        <v>50000</v>
      </c>
      <c r="I7" s="270">
        <f ca="1">IFERROR(F7*K7/H7,0)</f>
        <v>100000</v>
      </c>
      <c r="J7" s="271">
        <f ca="1">IFERROR(G7*K7/H7, 0)</f>
        <v>10000</v>
      </c>
      <c r="K7" s="263">
        <f ca="1">INDIRECT(ADDRESS(ROW($B6),COLUMN(E$4),1,,$B$4))</f>
        <v>50000</v>
      </c>
      <c r="L7" s="270">
        <f ca="1">IFERROR(I7*N7/K7,0)</f>
        <v>100000</v>
      </c>
      <c r="M7" s="271">
        <f ca="1">IFERROR(J7*N7/K7, 0)</f>
        <v>10000</v>
      </c>
      <c r="N7" s="263">
        <f ca="1">INDIRECT(ADDRESS(ROW($B6),COLUMN(F$4),1,,$B$4))</f>
        <v>50000</v>
      </c>
      <c r="O7" s="54" t="s">
        <v>5</v>
      </c>
    </row>
    <row r="8" spans="2:15" x14ac:dyDescent="0.2">
      <c r="B8" s="37" t="s">
        <v>6</v>
      </c>
      <c r="C8" s="273">
        <f>'Overview 2016 (in)'!G9</f>
        <v>100</v>
      </c>
      <c r="D8" s="274">
        <f>'Overview 2016 (in)'!H9</f>
        <v>20</v>
      </c>
      <c r="E8" s="264">
        <f>'Overview 2016 (in)'!I9</f>
        <v>50</v>
      </c>
      <c r="F8" s="273">
        <f ca="1">IFERROR(C8*H8/E8,0)</f>
        <v>100</v>
      </c>
      <c r="G8" s="274">
        <f ca="1">IFERROR(D8*H8/E8, 0)</f>
        <v>20</v>
      </c>
      <c r="H8" s="264">
        <f ca="1">INDIRECT(ADDRESS(ROW($B7),COLUMN(D$4),1,,$B$4))</f>
        <v>50</v>
      </c>
      <c r="I8" s="273">
        <f ca="1">IFERROR(F8*K8/H8,0)</f>
        <v>100</v>
      </c>
      <c r="J8" s="274">
        <f ca="1">IFERROR(G8*K8/H8, 0)</f>
        <v>20</v>
      </c>
      <c r="K8" s="264">
        <f ca="1">INDIRECT(ADDRESS(ROW($B7),COLUMN(E$4),1,,$B$4))</f>
        <v>50</v>
      </c>
      <c r="L8" s="273">
        <f ca="1">IFERROR(I8*N8/K8,0)</f>
        <v>100</v>
      </c>
      <c r="M8" s="274">
        <f ca="1">IFERROR(J8*N8/K8, 0)</f>
        <v>20</v>
      </c>
      <c r="N8" s="264">
        <f ca="1">INDIRECT(ADDRESS(ROW($B7),COLUMN(F$4),1,,$B$4))</f>
        <v>50</v>
      </c>
      <c r="O8" s="55" t="s">
        <v>7</v>
      </c>
    </row>
    <row r="9" spans="2:15" x14ac:dyDescent="0.2">
      <c r="B9" s="51" t="s">
        <v>78</v>
      </c>
      <c r="C9" s="270">
        <f>'Overview 2016 (in)'!G10</f>
        <v>50</v>
      </c>
      <c r="D9" s="271">
        <f>'Overview 2016 (in)'!H10</f>
        <v>35</v>
      </c>
      <c r="E9" s="272">
        <f>'Overview 2016 (in)'!I10</f>
        <v>40</v>
      </c>
      <c r="F9" s="270">
        <f t="shared" si="0"/>
        <v>50</v>
      </c>
      <c r="G9" s="271">
        <f t="shared" si="1"/>
        <v>35</v>
      </c>
      <c r="H9" s="272">
        <f>E9</f>
        <v>40</v>
      </c>
      <c r="I9" s="270">
        <f t="shared" si="2"/>
        <v>50</v>
      </c>
      <c r="J9" s="271">
        <f t="shared" si="3"/>
        <v>35</v>
      </c>
      <c r="K9" s="272">
        <f>H9</f>
        <v>40</v>
      </c>
      <c r="L9" s="270">
        <f t="shared" si="4"/>
        <v>50</v>
      </c>
      <c r="M9" s="271">
        <f t="shared" si="5"/>
        <v>35</v>
      </c>
      <c r="N9" s="272">
        <f>K9</f>
        <v>40</v>
      </c>
      <c r="O9" s="54" t="s">
        <v>9</v>
      </c>
    </row>
    <row r="10" spans="2:15" x14ac:dyDescent="0.2">
      <c r="B10" s="37" t="s">
        <v>8</v>
      </c>
      <c r="C10" s="273">
        <f>'Overview 2016 (in)'!G11</f>
        <v>75</v>
      </c>
      <c r="D10" s="274">
        <f>'Overview 2016 (in)'!H11</f>
        <v>40</v>
      </c>
      <c r="E10" s="264">
        <f>'Overview 2016 (in)'!I11</f>
        <v>60</v>
      </c>
      <c r="F10" s="273">
        <f ca="1">IFERROR(C10*H10/E10,0)</f>
        <v>80</v>
      </c>
      <c r="G10" s="274">
        <f ca="1">IFERROR(D10*H10/E10, 0)</f>
        <v>42.666666666666664</v>
      </c>
      <c r="H10" s="264">
        <f ca="1">INDIRECT(ADDRESS(ROW($B8),COLUMN(D$4),1,,$B$4))</f>
        <v>64</v>
      </c>
      <c r="I10" s="273">
        <f ca="1">IFERROR(F10*K10/H10,0)</f>
        <v>83.75</v>
      </c>
      <c r="J10" s="274">
        <f ca="1">IFERROR(G10*K10/H10, 0)</f>
        <v>44.666666666666664</v>
      </c>
      <c r="K10" s="264">
        <f ca="1">INDIRECT(ADDRESS(ROW($B8),COLUMN(E$4),1,,$B$4))</f>
        <v>67</v>
      </c>
      <c r="L10" s="273">
        <f ca="1">IFERROR(I10*N10/K10,0)</f>
        <v>85</v>
      </c>
      <c r="M10" s="274">
        <f ca="1">IFERROR(J10*N10/K10, 0)</f>
        <v>45.333333333333329</v>
      </c>
      <c r="N10" s="264">
        <f ca="1">INDIRECT(ADDRESS(ROW($B8),COLUMN(F$4),1,,$B$4))</f>
        <v>68</v>
      </c>
      <c r="O10" s="55" t="s">
        <v>9</v>
      </c>
    </row>
    <row r="11" spans="2:15" x14ac:dyDescent="0.2">
      <c r="B11" s="51" t="s">
        <v>79</v>
      </c>
      <c r="C11" s="270">
        <f>'Overview 2016 (in)'!G12</f>
        <v>0</v>
      </c>
      <c r="D11" s="271">
        <f>'Overview 2016 (in)'!H12</f>
        <v>1</v>
      </c>
      <c r="E11" s="272">
        <f>'Overview 2016 (in)'!I12</f>
        <v>0.5</v>
      </c>
      <c r="F11" s="270">
        <f t="shared" si="0"/>
        <v>0</v>
      </c>
      <c r="G11" s="271">
        <f t="shared" si="1"/>
        <v>1</v>
      </c>
      <c r="H11" s="272">
        <f>E11</f>
        <v>0.5</v>
      </c>
      <c r="I11" s="270">
        <f t="shared" si="2"/>
        <v>0</v>
      </c>
      <c r="J11" s="271">
        <f t="shared" si="3"/>
        <v>1</v>
      </c>
      <c r="K11" s="272">
        <f>H11</f>
        <v>0.5</v>
      </c>
      <c r="L11" s="270">
        <f t="shared" si="4"/>
        <v>0</v>
      </c>
      <c r="M11" s="271">
        <f t="shared" si="5"/>
        <v>1</v>
      </c>
      <c r="N11" s="272">
        <f>K11</f>
        <v>0.5</v>
      </c>
      <c r="O11" s="54" t="s">
        <v>80</v>
      </c>
    </row>
    <row r="12" spans="2:15" x14ac:dyDescent="0.2">
      <c r="B12" s="154" t="s">
        <v>81</v>
      </c>
      <c r="C12" s="273" t="str">
        <f>'Overview 2016 (in)'!G13</f>
        <v>sec</v>
      </c>
      <c r="D12" s="274">
        <f>'Overview 2016 (in)'!H13</f>
        <v>900</v>
      </c>
      <c r="E12" s="275">
        <f>'Overview 2016 (in)'!I13</f>
        <v>480</v>
      </c>
      <c r="F12" s="273">
        <f t="shared" si="0"/>
        <v>0</v>
      </c>
      <c r="G12" s="274">
        <f t="shared" si="1"/>
        <v>900</v>
      </c>
      <c r="H12" s="275">
        <f>E12</f>
        <v>480</v>
      </c>
      <c r="I12" s="273">
        <f t="shared" si="2"/>
        <v>0</v>
      </c>
      <c r="J12" s="274">
        <f t="shared" si="3"/>
        <v>900</v>
      </c>
      <c r="K12" s="275">
        <f>H12</f>
        <v>480</v>
      </c>
      <c r="L12" s="273">
        <f t="shared" si="4"/>
        <v>0</v>
      </c>
      <c r="M12" s="274">
        <f t="shared" si="5"/>
        <v>900</v>
      </c>
      <c r="N12" s="275">
        <f>K12</f>
        <v>480</v>
      </c>
      <c r="O12" s="155" t="s">
        <v>82</v>
      </c>
    </row>
    <row r="13" spans="2:15" x14ac:dyDescent="0.2">
      <c r="B13" s="156" t="s">
        <v>83</v>
      </c>
      <c r="C13" s="276">
        <f>'Overview 2016 (in)'!G14</f>
        <v>0</v>
      </c>
      <c r="D13" s="271">
        <f>'Overview 2016 (in)'!H14</f>
        <v>0</v>
      </c>
      <c r="E13" s="272">
        <f>'Overview 2016 (in)'!I14</f>
        <v>0</v>
      </c>
      <c r="F13" s="276">
        <f t="shared" si="0"/>
        <v>0</v>
      </c>
      <c r="G13" s="271">
        <f t="shared" si="1"/>
        <v>0</v>
      </c>
      <c r="H13" s="272">
        <f>E13</f>
        <v>0</v>
      </c>
      <c r="I13" s="276">
        <f t="shared" si="2"/>
        <v>0</v>
      </c>
      <c r="J13" s="271">
        <f t="shared" si="3"/>
        <v>0</v>
      </c>
      <c r="K13" s="272">
        <f>H13</f>
        <v>0</v>
      </c>
      <c r="L13" s="276">
        <f t="shared" si="4"/>
        <v>0</v>
      </c>
      <c r="M13" s="271">
        <f t="shared" si="5"/>
        <v>0</v>
      </c>
      <c r="N13" s="272">
        <f>K13</f>
        <v>0</v>
      </c>
      <c r="O13" s="54" t="s">
        <v>7</v>
      </c>
    </row>
    <row r="14" spans="2:15" x14ac:dyDescent="0.2">
      <c r="B14" s="154" t="s">
        <v>2</v>
      </c>
      <c r="C14" s="273">
        <f>'Overview 2016 (in)'!G15</f>
        <v>2</v>
      </c>
      <c r="D14" s="274">
        <f>'Overview 2016 (in)'!H15</f>
        <v>84</v>
      </c>
      <c r="E14" s="265">
        <f>'Overview 2016 (in)'!I15</f>
        <v>52.5</v>
      </c>
      <c r="F14" s="273">
        <f t="shared" ca="1" si="0"/>
        <v>1.8322284907357791</v>
      </c>
      <c r="G14" s="274">
        <f t="shared" ref="G14:G15" ca="1" si="6">IFERROR(D14*H14/E14,0)</f>
        <v>76.953596610902721</v>
      </c>
      <c r="H14" s="265">
        <f ca="1">IF(CELL("format",INDIRECT(ADDRESS(ROW($B4),COLUMN(D$4),1,,$B$4)))="W0-",INDIRECT(ADDRESS(ROW($B4),COLUMN(D$4),1,,$B$4))*'Overview 2016 (in)'!$O$7,INDIRECT(ADDRESS(ROW($B4),COLUMN(D$4),1,,$B$4)))</f>
        <v>48.095997881814199</v>
      </c>
      <c r="I14" s="273">
        <f t="shared" ca="1" si="2"/>
        <v>1.7410332121840373</v>
      </c>
      <c r="J14" s="274">
        <f t="shared" ref="J14:J15" ca="1" si="7">IFERROR(G14*K14/H14,0)</f>
        <v>73.123394911729562</v>
      </c>
      <c r="K14" s="265">
        <f ca="1">IF(CELL("format",INDIRECT(ADDRESS(ROW($B4),COLUMN(E$4),1,,$B$4)))="W0-",INDIRECT(ADDRESS(ROW($B4),COLUMN(E$4),1,,$B$4))*'Overview 2016 (in)'!$O$7,INDIRECT(ADDRESS(ROW($B4),COLUMN(E$4),1,,$B$4)))</f>
        <v>45.702121819830978</v>
      </c>
      <c r="L14" s="273">
        <f t="shared" ca="1" si="4"/>
        <v>1.6832315473068666</v>
      </c>
      <c r="M14" s="274">
        <f t="shared" ref="M14:M15" ca="1" si="8">IFERROR(J14*N14/K14,0)</f>
        <v>70.695724986888393</v>
      </c>
      <c r="N14" s="265">
        <f ca="1">IF(CELL("format",INDIRECT(ADDRESS(ROW($B4),COLUMN(F$4),1,,$B$4)))="W0-",INDIRECT(ADDRESS(ROW($B4),COLUMN(F$4),1,,$B$4))*'Overview 2016 (in)'!$O$7,INDIRECT(ADDRESS(ROW($B4),COLUMN(F$4),1,,$B$4)))</f>
        <v>44.184828116805249</v>
      </c>
      <c r="O14" s="155" t="s">
        <v>22</v>
      </c>
    </row>
    <row r="15" spans="2:15" ht="16" thickBot="1" x14ac:dyDescent="0.25">
      <c r="B15" s="158" t="s">
        <v>3</v>
      </c>
      <c r="C15" s="277">
        <f>'Overview 2016 (in)'!G16</f>
        <v>400</v>
      </c>
      <c r="D15" s="277">
        <f>'Overview 2016 (in)'!H16</f>
        <v>1050</v>
      </c>
      <c r="E15" s="278">
        <f>'Overview 2016 (in)'!I16</f>
        <v>945</v>
      </c>
      <c r="F15" s="277">
        <f t="shared" ca="1" si="0"/>
        <v>330.84752104933148</v>
      </c>
      <c r="G15" s="277">
        <f t="shared" ca="1" si="6"/>
        <v>868.47474275449508</v>
      </c>
      <c r="H15" s="278">
        <f ca="1">IF(CELL("format",INDIRECT(ADDRESS(ROW($B5),COLUMN(D$4),1,,$B$4)))="W0-",INDIRECT(ADDRESS(ROW($B5),COLUMN(D$4),1,,$B$4))*'Overview 2016 (in)'!$O$7,INDIRECT(ADDRESS(ROW($B5),COLUMN(D$4),1,,$B$4)))</f>
        <v>781.6272684790456</v>
      </c>
      <c r="I15" s="277">
        <f t="shared" ca="1" si="2"/>
        <v>301.67103297335177</v>
      </c>
      <c r="J15" s="277">
        <f t="shared" ca="1" si="7"/>
        <v>791.88646155504841</v>
      </c>
      <c r="K15" s="278">
        <f ca="1">IF(CELL("format",INDIRECT(ADDRESS(ROW($B5),COLUMN(E$4),1,,$B$4)))="W0-",INDIRECT(ADDRESS(ROW($B5),COLUMN(E$4),1,,$B$4))*'Overview 2016 (in)'!$O$7,INDIRECT(ADDRESS(ROW($B5),COLUMN(E$4),1,,$B$4)))</f>
        <v>712.69781539954352</v>
      </c>
      <c r="L15" s="277">
        <f t="shared" ca="1" si="4"/>
        <v>293.50671249950847</v>
      </c>
      <c r="M15" s="277">
        <f t="shared" ca="1" si="8"/>
        <v>770.45512031120973</v>
      </c>
      <c r="N15" s="278">
        <f ca="1">IF(CELL("format",INDIRECT(ADDRESS(ROW($B5),COLUMN(F$4),1,,$B$4)))="W0-",INDIRECT(ADDRESS(ROW($B5),COLUMN(F$4),1,,$B$4))*'Overview 2016 (in)'!$O$7,INDIRECT(ADDRESS(ROW($B5),COLUMN(F$4),1,,$B$4)))</f>
        <v>693.40960828008872</v>
      </c>
      <c r="O15" s="60" t="s">
        <v>23</v>
      </c>
    </row>
    <row r="17" spans="2:3" x14ac:dyDescent="0.2">
      <c r="C17" s="202"/>
    </row>
    <row r="18" spans="2:3" ht="19" x14ac:dyDescent="0.25">
      <c r="B18" s="201"/>
    </row>
    <row r="19" spans="2:3" x14ac:dyDescent="0.2">
      <c r="B19" s="39"/>
    </row>
  </sheetData>
  <mergeCells count="4">
    <mergeCell ref="C3:E3"/>
    <mergeCell ref="F3:H3"/>
    <mergeCell ref="I3:K3"/>
    <mergeCell ref="L3:N3"/>
  </mergeCells>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N21"/>
  <sheetViews>
    <sheetView zoomScale="85" zoomScaleNormal="85" workbookViewId="0"/>
  </sheetViews>
  <sheetFormatPr baseColWidth="10" defaultColWidth="9.1640625" defaultRowHeight="15" x14ac:dyDescent="0.2"/>
  <cols>
    <col min="1" max="1" width="9.1640625" style="3"/>
    <col min="2" max="2" width="26.5" style="3" customWidth="1"/>
    <col min="3" max="6" width="10.6640625" style="3" customWidth="1"/>
    <col min="7" max="7" width="20.33203125" style="3" customWidth="1"/>
    <col min="8" max="8" width="13.83203125" style="3" customWidth="1"/>
    <col min="9" max="12" width="12.6640625" style="3" customWidth="1"/>
    <col min="13" max="16384" width="9.1640625" style="3"/>
  </cols>
  <sheetData>
    <row r="2" spans="2:14" ht="20" thickBot="1" x14ac:dyDescent="0.3">
      <c r="B2" s="1" t="s">
        <v>21</v>
      </c>
      <c r="C2" s="13"/>
      <c r="I2" s="1" t="s">
        <v>0</v>
      </c>
    </row>
    <row r="3" spans="2:14" x14ac:dyDescent="0.2">
      <c r="B3" s="5"/>
      <c r="C3" s="5">
        <v>2016</v>
      </c>
      <c r="D3" s="5">
        <v>2020</v>
      </c>
      <c r="E3" s="5">
        <v>2025</v>
      </c>
      <c r="F3" s="5">
        <v>2030</v>
      </c>
      <c r="G3" s="5" t="s">
        <v>1</v>
      </c>
      <c r="H3" s="11"/>
      <c r="I3" s="5" t="s">
        <v>17</v>
      </c>
      <c r="J3" s="5" t="s">
        <v>18</v>
      </c>
      <c r="K3" s="5" t="s">
        <v>19</v>
      </c>
      <c r="L3" s="5" t="s">
        <v>20</v>
      </c>
    </row>
    <row r="4" spans="2:14" x14ac:dyDescent="0.2">
      <c r="B4" s="4" t="s">
        <v>2</v>
      </c>
      <c r="C4" s="165">
        <f>'Overview 2016 (in)'!L15</f>
        <v>3000</v>
      </c>
      <c r="D4" s="12">
        <f>C4*(0.97)^4</f>
        <v>2655.8784299999998</v>
      </c>
      <c r="E4" s="99">
        <f>D4*(0.97)^5</f>
        <v>2280.693175963695</v>
      </c>
      <c r="F4" s="99">
        <f>E4*(0.97)^5</f>
        <v>1958.508832381822</v>
      </c>
      <c r="G4" s="3" t="s">
        <v>22</v>
      </c>
      <c r="I4" s="3">
        <v>1</v>
      </c>
    </row>
    <row r="5" spans="2:14" x14ac:dyDescent="0.2">
      <c r="B5" s="11" t="s">
        <v>3</v>
      </c>
      <c r="C5" s="165">
        <f>'Overview 2016 (in)'!L16</f>
        <v>300</v>
      </c>
      <c r="D5" s="99">
        <f>C5*(0.97)^4</f>
        <v>265.58784299999996</v>
      </c>
      <c r="E5" s="99">
        <f>D5*(0.97)^5</f>
        <v>228.0693175963695</v>
      </c>
      <c r="F5" s="99">
        <f>E5*(0.97)^5</f>
        <v>195.85088323818221</v>
      </c>
      <c r="G5" s="3" t="s">
        <v>23</v>
      </c>
      <c r="I5" s="3">
        <v>1</v>
      </c>
    </row>
    <row r="6" spans="2:14" x14ac:dyDescent="0.2">
      <c r="B6" s="4" t="s">
        <v>4</v>
      </c>
      <c r="C6" s="99">
        <f>'Overview 2016 (in)'!L8</f>
        <v>200000</v>
      </c>
      <c r="D6" s="99">
        <f>C6*(1.03)^4</f>
        <v>225101.76199999999</v>
      </c>
      <c r="E6" s="99">
        <f>D6*(1.03)^5</f>
        <v>260954.63676584887</v>
      </c>
      <c r="F6" s="99">
        <f>E6*(1.03)^5</f>
        <v>302517.94497102214</v>
      </c>
      <c r="G6" s="3" t="s">
        <v>5</v>
      </c>
      <c r="I6" s="3">
        <v>2016</v>
      </c>
    </row>
    <row r="7" spans="2:14" x14ac:dyDescent="0.2">
      <c r="B7" s="4" t="s">
        <v>6</v>
      </c>
      <c r="C7" s="99">
        <f>'Overview 2016 (in)'!L9</f>
        <v>20</v>
      </c>
      <c r="D7" s="99">
        <f>C7*(1.03)^4</f>
        <v>22.510176199999997</v>
      </c>
      <c r="E7" s="99">
        <f>D7*(1.03)^5</f>
        <v>26.095463676584885</v>
      </c>
      <c r="F7" s="99">
        <f>E7*(1.03)^5</f>
        <v>30.251794497102214</v>
      </c>
      <c r="G7" s="3" t="s">
        <v>7</v>
      </c>
      <c r="I7" s="3">
        <v>2016</v>
      </c>
    </row>
    <row r="8" spans="2:14" ht="16" thickBot="1" x14ac:dyDescent="0.25">
      <c r="B8" s="6" t="s">
        <v>8</v>
      </c>
      <c r="C8" s="19">
        <f>'Overview 2016 (in)'!L11</f>
        <v>84</v>
      </c>
      <c r="D8" s="19">
        <v>85</v>
      </c>
      <c r="E8" s="19">
        <v>86</v>
      </c>
      <c r="F8" s="19">
        <v>87</v>
      </c>
      <c r="G8" s="7" t="s">
        <v>9</v>
      </c>
      <c r="H8" s="10"/>
      <c r="I8" s="7">
        <v>2016</v>
      </c>
      <c r="J8" s="7"/>
      <c r="K8" s="7"/>
      <c r="L8" s="7"/>
    </row>
    <row r="9" spans="2:14" x14ac:dyDescent="0.2">
      <c r="B9" s="4"/>
      <c r="C9" s="14"/>
      <c r="H9" s="10"/>
      <c r="I9" s="10"/>
      <c r="J9" s="10"/>
    </row>
    <row r="10" spans="2:14" ht="15.75" customHeight="1" x14ac:dyDescent="0.2">
      <c r="B10" s="591" t="s">
        <v>220</v>
      </c>
      <c r="C10" s="591"/>
      <c r="D10" s="591"/>
      <c r="E10" s="591"/>
      <c r="F10" s="591"/>
      <c r="G10" s="591"/>
      <c r="H10" s="591"/>
      <c r="I10" s="591"/>
      <c r="J10" s="591"/>
      <c r="K10" s="10"/>
      <c r="L10" s="10"/>
      <c r="M10" s="10"/>
      <c r="N10" s="10"/>
    </row>
    <row r="11" spans="2:14" x14ac:dyDescent="0.2">
      <c r="B11" s="591"/>
      <c r="C11" s="591"/>
      <c r="D11" s="591"/>
      <c r="E11" s="591"/>
      <c r="F11" s="591"/>
      <c r="G11" s="591"/>
      <c r="H11" s="591"/>
      <c r="I11" s="591"/>
      <c r="J11" s="591"/>
      <c r="K11" s="262"/>
      <c r="L11" s="17"/>
      <c r="M11" s="17"/>
      <c r="N11" s="17"/>
    </row>
    <row r="12" spans="2:14" ht="20" thickBot="1" x14ac:dyDescent="0.3">
      <c r="B12" s="1" t="s">
        <v>10</v>
      </c>
      <c r="H12" s="42"/>
      <c r="I12" s="42"/>
      <c r="J12" s="16"/>
      <c r="K12" s="262"/>
      <c r="L12" s="16"/>
      <c r="M12" s="16"/>
      <c r="N12" s="16"/>
    </row>
    <row r="13" spans="2:14" x14ac:dyDescent="0.2">
      <c r="B13" s="8" t="s">
        <v>11</v>
      </c>
      <c r="C13" s="8" t="s">
        <v>12</v>
      </c>
      <c r="D13" s="8" t="s">
        <v>13</v>
      </c>
      <c r="E13" s="8" t="s">
        <v>14</v>
      </c>
      <c r="F13" s="8"/>
      <c r="G13" s="9"/>
      <c r="H13" s="42"/>
      <c r="I13" s="42"/>
      <c r="J13" s="16"/>
      <c r="K13" s="262"/>
      <c r="L13" s="262"/>
      <c r="M13" s="262"/>
      <c r="N13" s="16"/>
    </row>
    <row r="14" spans="2:14" x14ac:dyDescent="0.2">
      <c r="J14" s="16"/>
      <c r="K14" s="262"/>
      <c r="L14" s="262"/>
      <c r="M14" s="262"/>
      <c r="N14" s="16"/>
    </row>
    <row r="15" spans="2:14" x14ac:dyDescent="0.2">
      <c r="J15" s="16"/>
      <c r="K15" s="262"/>
      <c r="L15" s="262"/>
      <c r="M15" s="262"/>
      <c r="N15" s="16"/>
    </row>
    <row r="16" spans="2:14" x14ac:dyDescent="0.2">
      <c r="J16" s="16"/>
      <c r="K16" s="16"/>
      <c r="L16" s="262"/>
      <c r="M16" s="262"/>
      <c r="N16" s="16"/>
    </row>
    <row r="17" spans="8:14" x14ac:dyDescent="0.2">
      <c r="J17" s="16"/>
      <c r="K17" s="16"/>
      <c r="L17" s="262"/>
      <c r="M17" s="262"/>
      <c r="N17" s="16"/>
    </row>
    <row r="18" spans="8:14" x14ac:dyDescent="0.2">
      <c r="H18" s="10"/>
      <c r="J18" s="16"/>
      <c r="K18" s="16"/>
      <c r="L18" s="16"/>
      <c r="M18" s="16"/>
      <c r="N18" s="16"/>
    </row>
    <row r="19" spans="8:14" x14ac:dyDescent="0.2">
      <c r="J19" s="16"/>
      <c r="K19" s="16"/>
      <c r="L19" s="16"/>
      <c r="M19" s="16"/>
      <c r="N19" s="16"/>
    </row>
    <row r="20" spans="8:14" x14ac:dyDescent="0.2">
      <c r="J20" s="16"/>
      <c r="K20" s="16"/>
      <c r="L20" s="16"/>
      <c r="M20" s="16"/>
      <c r="N20" s="16"/>
    </row>
    <row r="21" spans="8:14" x14ac:dyDescent="0.2">
      <c r="J21" s="16"/>
      <c r="K21" s="16"/>
      <c r="L21" s="16"/>
      <c r="M21" s="16"/>
      <c r="N21" s="16"/>
    </row>
  </sheetData>
  <mergeCells count="1">
    <mergeCell ref="B10:J1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O19"/>
  <sheetViews>
    <sheetView zoomScale="85" zoomScaleNormal="85" workbookViewId="0"/>
  </sheetViews>
  <sheetFormatPr baseColWidth="10" defaultColWidth="11.5" defaultRowHeight="15" x14ac:dyDescent="0.2"/>
  <cols>
    <col min="1" max="1" width="11.5" style="193"/>
    <col min="2" max="2" width="27.6640625" style="193" bestFit="1" customWidth="1"/>
    <col min="3" max="5" width="11.5" style="193"/>
    <col min="6" max="6" width="11.5" style="193" customWidth="1"/>
    <col min="7" max="14" width="11.5" style="193"/>
    <col min="15" max="15" width="20.1640625" style="193" bestFit="1" customWidth="1"/>
    <col min="16" max="16384" width="11.5" style="193"/>
  </cols>
  <sheetData>
    <row r="2" spans="2:15" x14ac:dyDescent="0.2">
      <c r="C2" s="39"/>
      <c r="D2" s="39"/>
      <c r="E2" s="39"/>
      <c r="F2" s="39"/>
      <c r="G2" s="39"/>
      <c r="H2" s="39"/>
      <c r="I2" s="39"/>
      <c r="J2" s="39"/>
      <c r="K2" s="39"/>
      <c r="L2" s="39"/>
    </row>
    <row r="3" spans="2:15" x14ac:dyDescent="0.2">
      <c r="B3" s="279"/>
      <c r="C3" s="588">
        <v>2016</v>
      </c>
      <c r="D3" s="588"/>
      <c r="E3" s="588"/>
      <c r="F3" s="589">
        <v>2020</v>
      </c>
      <c r="G3" s="589"/>
      <c r="H3" s="589"/>
      <c r="I3" s="589">
        <v>2025</v>
      </c>
      <c r="J3" s="589"/>
      <c r="K3" s="589"/>
      <c r="L3" s="590">
        <v>2030</v>
      </c>
      <c r="M3" s="590"/>
      <c r="N3" s="590"/>
      <c r="O3" s="195"/>
    </row>
    <row r="4" spans="2:15" ht="20" thickBot="1" x14ac:dyDescent="0.3">
      <c r="B4" s="259" t="s">
        <v>198</v>
      </c>
      <c r="C4" s="196" t="s">
        <v>72</v>
      </c>
      <c r="D4" s="196" t="s">
        <v>73</v>
      </c>
      <c r="E4" s="196" t="s">
        <v>178</v>
      </c>
      <c r="F4" s="196" t="s">
        <v>72</v>
      </c>
      <c r="G4" s="196" t="s">
        <v>73</v>
      </c>
      <c r="H4" s="196" t="s">
        <v>178</v>
      </c>
      <c r="I4" s="196" t="s">
        <v>72</v>
      </c>
      <c r="J4" s="196" t="s">
        <v>73</v>
      </c>
      <c r="K4" s="196" t="s">
        <v>178</v>
      </c>
      <c r="L4" s="196" t="s">
        <v>72</v>
      </c>
      <c r="M4" s="196" t="s">
        <v>73</v>
      </c>
      <c r="N4" s="196" t="s">
        <v>178</v>
      </c>
      <c r="O4" s="196" t="s">
        <v>1</v>
      </c>
    </row>
    <row r="5" spans="2:15" x14ac:dyDescent="0.2">
      <c r="B5" s="51" t="s">
        <v>74</v>
      </c>
      <c r="C5" s="270">
        <f>'Overview 2016 (in)'!J6</f>
        <v>200</v>
      </c>
      <c r="D5" s="271">
        <f>'Overview 2016 (in)'!K6</f>
        <v>20</v>
      </c>
      <c r="E5" s="272">
        <f>'Overview 2016 (in)'!L6</f>
        <v>80</v>
      </c>
      <c r="F5" s="270">
        <f>IFERROR(C5*H5/E5,0)</f>
        <v>200</v>
      </c>
      <c r="G5" s="271">
        <f>IFERROR(D5*H5/E5, 0)</f>
        <v>20</v>
      </c>
      <c r="H5" s="272">
        <f>E5</f>
        <v>80</v>
      </c>
      <c r="I5" s="270">
        <f>IFERROR(F5*K5/H5,0)</f>
        <v>200</v>
      </c>
      <c r="J5" s="271">
        <f>IFERROR(G5*K5/H5, 0)</f>
        <v>20</v>
      </c>
      <c r="K5" s="272">
        <f>H5</f>
        <v>80</v>
      </c>
      <c r="L5" s="270">
        <f>IFERROR(I5*N5/K5,0)</f>
        <v>200</v>
      </c>
      <c r="M5" s="271">
        <f>IFERROR(J5*N5/K5, 0)</f>
        <v>20</v>
      </c>
      <c r="N5" s="272">
        <f>K5</f>
        <v>80</v>
      </c>
      <c r="O5" s="54" t="s">
        <v>75</v>
      </c>
    </row>
    <row r="6" spans="2:15" x14ac:dyDescent="0.2">
      <c r="B6" s="37" t="s">
        <v>76</v>
      </c>
      <c r="C6" s="273">
        <f>'Overview 2016 (in)'!J7</f>
        <v>10000</v>
      </c>
      <c r="D6" s="274">
        <f>'Overview 2016 (in)'!K7</f>
        <v>5000</v>
      </c>
      <c r="E6" s="275">
        <f>'Overview 2016 (in)'!L7</f>
        <v>7500</v>
      </c>
      <c r="F6" s="273">
        <f t="shared" ref="F6:F15" si="0">IFERROR(C6*H6/E6,0)</f>
        <v>10000</v>
      </c>
      <c r="G6" s="274">
        <f t="shared" ref="G6:G13" si="1">IFERROR(D6*H6/E6, 0)</f>
        <v>5000</v>
      </c>
      <c r="H6" s="275">
        <f>E6</f>
        <v>7500</v>
      </c>
      <c r="I6" s="273">
        <f t="shared" ref="I6:I15" si="2">IFERROR(F6*K6/H6,0)</f>
        <v>10000</v>
      </c>
      <c r="J6" s="274">
        <f t="shared" ref="J6:J13" si="3">IFERROR(G6*K6/H6, 0)</f>
        <v>5000</v>
      </c>
      <c r="K6" s="275">
        <f>H6</f>
        <v>7500</v>
      </c>
      <c r="L6" s="273">
        <f t="shared" ref="L6:L15" si="4">IFERROR(I6*N6/K6,0)</f>
        <v>10000</v>
      </c>
      <c r="M6" s="274">
        <f t="shared" ref="M6:M13" si="5">IFERROR(J6*N6/K6, 0)</f>
        <v>5000</v>
      </c>
      <c r="N6" s="275">
        <f>K6</f>
        <v>7500</v>
      </c>
      <c r="O6" s="55" t="s">
        <v>77</v>
      </c>
    </row>
    <row r="7" spans="2:15" x14ac:dyDescent="0.2">
      <c r="B7" s="51" t="s">
        <v>4</v>
      </c>
      <c r="C7" s="270">
        <f>'Overview 2016 (in)'!J8</f>
        <v>1000000</v>
      </c>
      <c r="D7" s="271">
        <f>'Overview 2016 (in)'!K8</f>
        <v>100000</v>
      </c>
      <c r="E7" s="263">
        <f>'Overview 2016 (in)'!L8</f>
        <v>200000</v>
      </c>
      <c r="F7" s="270">
        <f ca="1">IFERROR(C7*H7/E7,0)</f>
        <v>1125508.81</v>
      </c>
      <c r="G7" s="271">
        <f ca="1">IFERROR(D7*H7/E7, 0)</f>
        <v>112550.88099999999</v>
      </c>
      <c r="H7" s="263">
        <f ca="1">INDIRECT(ADDRESS(ROW($B6),COLUMN(D$4),1,,$B$4))</f>
        <v>225101.76199999999</v>
      </c>
      <c r="I7" s="270">
        <f ca="1">IFERROR(F7*K7/H7,0)</f>
        <v>1304773.1838292445</v>
      </c>
      <c r="J7" s="271">
        <f ca="1">IFERROR(G7*K7/H7, 0)</f>
        <v>130477.31838292444</v>
      </c>
      <c r="K7" s="263">
        <f ca="1">INDIRECT(ADDRESS(ROW($B6),COLUMN(E$4),1,,$B$4))</f>
        <v>260954.63676584887</v>
      </c>
      <c r="L7" s="270">
        <f ca="1">IFERROR(I7*N7/K7,0)</f>
        <v>1512589.7248551107</v>
      </c>
      <c r="M7" s="271">
        <f ca="1">IFERROR(J7*N7/K7, 0)</f>
        <v>151258.97248551107</v>
      </c>
      <c r="N7" s="263">
        <f ca="1">INDIRECT(ADDRESS(ROW($B6),COLUMN(F$4),1,,$B$4))</f>
        <v>302517.94497102214</v>
      </c>
      <c r="O7" s="54" t="s">
        <v>5</v>
      </c>
    </row>
    <row r="8" spans="2:15" x14ac:dyDescent="0.2">
      <c r="B8" s="37" t="s">
        <v>6</v>
      </c>
      <c r="C8" s="273">
        <f>'Overview 2016 (in)'!J9</f>
        <v>25</v>
      </c>
      <c r="D8" s="274">
        <f>'Overview 2016 (in)'!K9</f>
        <v>15</v>
      </c>
      <c r="E8" s="264">
        <f>'Overview 2016 (in)'!L9</f>
        <v>20</v>
      </c>
      <c r="F8" s="273">
        <f ca="1">IFERROR(C8*H8/E8,0)</f>
        <v>28.137720249999994</v>
      </c>
      <c r="G8" s="274">
        <f ca="1">IFERROR(D8*H8/E8, 0)</f>
        <v>16.882632149999999</v>
      </c>
      <c r="H8" s="264">
        <f ca="1">INDIRECT(ADDRESS(ROW($B7),COLUMN(D$4),1,,$B$4))</f>
        <v>22.510176199999997</v>
      </c>
      <c r="I8" s="273">
        <f ca="1">IFERROR(F8*K8/H8,0)</f>
        <v>32.619329595731109</v>
      </c>
      <c r="J8" s="274">
        <f ca="1">IFERROR(G8*K8/H8, 0)</f>
        <v>19.571597757438667</v>
      </c>
      <c r="K8" s="264">
        <f ca="1">INDIRECT(ADDRESS(ROW($B7),COLUMN(E$4),1,,$B$4))</f>
        <v>26.095463676584885</v>
      </c>
      <c r="L8" s="273">
        <f ca="1">IFERROR(I8*N8/K8,0)</f>
        <v>37.814743121377774</v>
      </c>
      <c r="M8" s="274">
        <f ca="1">IFERROR(J8*N8/K8, 0)</f>
        <v>22.688845872826665</v>
      </c>
      <c r="N8" s="264">
        <f ca="1">INDIRECT(ADDRESS(ROW($B7),COLUMN(F$4),1,,$B$4))</f>
        <v>30.251794497102214</v>
      </c>
      <c r="O8" s="55" t="s">
        <v>7</v>
      </c>
    </row>
    <row r="9" spans="2:15" x14ac:dyDescent="0.2">
      <c r="B9" s="51" t="s">
        <v>78</v>
      </c>
      <c r="C9" s="270">
        <f>'Overview 2016 (in)'!J10</f>
        <v>90</v>
      </c>
      <c r="D9" s="271">
        <f>'Overview 2016 (in)'!K10</f>
        <v>75</v>
      </c>
      <c r="E9" s="272">
        <f>'Overview 2016 (in)'!L10</f>
        <v>85</v>
      </c>
      <c r="F9" s="270">
        <f t="shared" si="0"/>
        <v>90</v>
      </c>
      <c r="G9" s="271">
        <f t="shared" si="1"/>
        <v>75</v>
      </c>
      <c r="H9" s="272">
        <f>E9</f>
        <v>85</v>
      </c>
      <c r="I9" s="270">
        <f t="shared" si="2"/>
        <v>90</v>
      </c>
      <c r="J9" s="271">
        <f t="shared" si="3"/>
        <v>75</v>
      </c>
      <c r="K9" s="272">
        <f>H9</f>
        <v>85</v>
      </c>
      <c r="L9" s="270">
        <f t="shared" si="4"/>
        <v>90</v>
      </c>
      <c r="M9" s="271">
        <f t="shared" si="5"/>
        <v>75</v>
      </c>
      <c r="N9" s="272">
        <f>K9</f>
        <v>85</v>
      </c>
      <c r="O9" s="54" t="s">
        <v>9</v>
      </c>
    </row>
    <row r="10" spans="2:15" x14ac:dyDescent="0.2">
      <c r="B10" s="37" t="s">
        <v>8</v>
      </c>
      <c r="C10" s="273">
        <f>'Overview 2016 (in)'!J11</f>
        <v>99</v>
      </c>
      <c r="D10" s="274">
        <f>'Overview 2016 (in)'!K11</f>
        <v>70</v>
      </c>
      <c r="E10" s="264">
        <f>'Overview 2016 (in)'!L11</f>
        <v>84</v>
      </c>
      <c r="F10" s="273">
        <f>C10</f>
        <v>99</v>
      </c>
      <c r="G10" s="274">
        <f ca="1">IFERROR(D10*H10/E10, 0)</f>
        <v>70.833333333333329</v>
      </c>
      <c r="H10" s="264">
        <f ca="1">INDIRECT(ADDRESS(ROW($B8),COLUMN(D$4),1,,$B$4))</f>
        <v>85</v>
      </c>
      <c r="I10" s="273">
        <f>F10</f>
        <v>99</v>
      </c>
      <c r="J10" s="274">
        <f ca="1">IFERROR(G10*K10/H10, 0)</f>
        <v>71.666666666666657</v>
      </c>
      <c r="K10" s="264">
        <f ca="1">INDIRECT(ADDRESS(ROW($B8),COLUMN(E$4),1,,$B$4))</f>
        <v>86</v>
      </c>
      <c r="L10" s="273">
        <f>I10</f>
        <v>99</v>
      </c>
      <c r="M10" s="274">
        <f ca="1">IFERROR(J10*N10/K10, 0)</f>
        <v>72.499999999999986</v>
      </c>
      <c r="N10" s="264">
        <f ca="1">INDIRECT(ADDRESS(ROW($B8),COLUMN(F$4),1,,$B$4))</f>
        <v>87</v>
      </c>
      <c r="O10" s="55" t="s">
        <v>9</v>
      </c>
    </row>
    <row r="11" spans="2:15" x14ac:dyDescent="0.2">
      <c r="B11" s="51" t="s">
        <v>79</v>
      </c>
      <c r="C11" s="270">
        <f>'Overview 2016 (in)'!J12</f>
        <v>20</v>
      </c>
      <c r="D11" s="271">
        <f>'Overview 2016 (in)'!K12</f>
        <v>100</v>
      </c>
      <c r="E11" s="272">
        <f>'Overview 2016 (in)'!L12</f>
        <v>60</v>
      </c>
      <c r="F11" s="270">
        <f>IFERROR(C11*H11/E11,0)*0.97^4</f>
        <v>15.674867188753923</v>
      </c>
      <c r="G11" s="271">
        <f>IFERROR(D11*H11/E11, 0)*0.97^4</f>
        <v>78.374335943769609</v>
      </c>
      <c r="H11" s="272">
        <f>E11*0.97^4</f>
        <v>53.117568599999998</v>
      </c>
      <c r="I11" s="270">
        <f>IFERROR(F11*K11/H11,0)*0.97^5</f>
        <v>11.559025250860818</v>
      </c>
      <c r="J11" s="271">
        <f>IFERROR(G11*K11/H11, 0)*0.97^5</f>
        <v>57.79512625430408</v>
      </c>
      <c r="K11" s="272">
        <f>H11*0.97^5</f>
        <v>45.613863519273906</v>
      </c>
      <c r="L11" s="270">
        <f>IFERROR(I11*N11/K11,0)*0.97^5</f>
        <v>8.5239041033724661</v>
      </c>
      <c r="M11" s="271">
        <f>IFERROR(J11*N11/K11, 0)*0.97^5</f>
        <v>42.619520516862316</v>
      </c>
      <c r="N11" s="272">
        <f>K11*0.97^5</f>
        <v>39.170176647636445</v>
      </c>
      <c r="O11" s="54" t="s">
        <v>80</v>
      </c>
    </row>
    <row r="12" spans="2:15" x14ac:dyDescent="0.2">
      <c r="B12" s="154" t="s">
        <v>81</v>
      </c>
      <c r="C12" s="273" t="str">
        <f>'Overview 2016 (in)'!J13</f>
        <v>&lt; 0,004</v>
      </c>
      <c r="D12" s="274" t="str">
        <f>'Overview 2016 (in)'!K13</f>
        <v>sec</v>
      </c>
      <c r="E12" s="275">
        <f>'Overview 2016 (in)'!L13</f>
        <v>0.05</v>
      </c>
      <c r="F12" s="273">
        <f t="shared" si="0"/>
        <v>0</v>
      </c>
      <c r="G12" s="274">
        <f t="shared" si="1"/>
        <v>0</v>
      </c>
      <c r="H12" s="275">
        <f>E12</f>
        <v>0.05</v>
      </c>
      <c r="I12" s="273">
        <f t="shared" si="2"/>
        <v>0</v>
      </c>
      <c r="J12" s="274">
        <f t="shared" si="3"/>
        <v>0</v>
      </c>
      <c r="K12" s="275">
        <f>H12</f>
        <v>0.05</v>
      </c>
      <c r="L12" s="273">
        <f t="shared" si="4"/>
        <v>0</v>
      </c>
      <c r="M12" s="274">
        <f t="shared" si="5"/>
        <v>0</v>
      </c>
      <c r="N12" s="275">
        <f>K12</f>
        <v>0.05</v>
      </c>
      <c r="O12" s="155" t="s">
        <v>82</v>
      </c>
    </row>
    <row r="13" spans="2:15" x14ac:dyDescent="0.2">
      <c r="B13" s="156" t="s">
        <v>83</v>
      </c>
      <c r="C13" s="276">
        <f>'Overview 2016 (in)'!J14</f>
        <v>0</v>
      </c>
      <c r="D13" s="271">
        <f>'Overview 2016 (in)'!K14</f>
        <v>0</v>
      </c>
      <c r="E13" s="272">
        <f>'Overview 2016 (in)'!L14</f>
        <v>0</v>
      </c>
      <c r="F13" s="276">
        <f t="shared" si="0"/>
        <v>0</v>
      </c>
      <c r="G13" s="271">
        <f t="shared" si="1"/>
        <v>0</v>
      </c>
      <c r="H13" s="272">
        <f>E13</f>
        <v>0</v>
      </c>
      <c r="I13" s="276">
        <f t="shared" si="2"/>
        <v>0</v>
      </c>
      <c r="J13" s="271">
        <f t="shared" si="3"/>
        <v>0</v>
      </c>
      <c r="K13" s="272">
        <f>H13</f>
        <v>0</v>
      </c>
      <c r="L13" s="276">
        <f t="shared" si="4"/>
        <v>0</v>
      </c>
      <c r="M13" s="271">
        <f t="shared" si="5"/>
        <v>0</v>
      </c>
      <c r="N13" s="272">
        <f>K13</f>
        <v>0</v>
      </c>
      <c r="O13" s="54" t="s">
        <v>7</v>
      </c>
    </row>
    <row r="14" spans="2:15" x14ac:dyDescent="0.2">
      <c r="B14" s="154" t="s">
        <v>2</v>
      </c>
      <c r="C14" s="273">
        <f>'Overview 2016 (in)'!J15</f>
        <v>1500</v>
      </c>
      <c r="D14" s="274">
        <f>'Overview 2016 (in)'!K15</f>
        <v>6000</v>
      </c>
      <c r="E14" s="265">
        <f>'Overview 2016 (in)'!L15</f>
        <v>3000</v>
      </c>
      <c r="F14" s="273">
        <f t="shared" ca="1" si="0"/>
        <v>1327.9392149999999</v>
      </c>
      <c r="G14" s="274">
        <f t="shared" ref="G14:G15" ca="1" si="6">IFERROR(D14*H14/E14,0)</f>
        <v>5311.7568599999995</v>
      </c>
      <c r="H14" s="265">
        <f ca="1">IF(CELL("format",INDIRECT(ADDRESS(ROW($B4),COLUMN(D$4),1,,$B$4)))="W0-",INDIRECT(ADDRESS(ROW($B4),COLUMN(D$4),1,,$B$4))*'Overview 2016 (in)'!$O$7,INDIRECT(ADDRESS(ROW($B4),COLUMN(D$4),1,,$B$4)))</f>
        <v>2655.8784299999998</v>
      </c>
      <c r="I14" s="273">
        <f t="shared" ca="1" si="2"/>
        <v>1140.3465879818475</v>
      </c>
      <c r="J14" s="274">
        <f t="shared" ref="J14:J15" ca="1" si="7">IFERROR(G14*K14/H14,0)</f>
        <v>4561.38635192739</v>
      </c>
      <c r="K14" s="265">
        <f ca="1">IF(CELL("format",INDIRECT(ADDRESS(ROW($B4),COLUMN(E$4),1,,$B$4)))="W0-",INDIRECT(ADDRESS(ROW($B4),COLUMN(E$4),1,,$B$4))*'Overview 2016 (in)'!$O$7,INDIRECT(ADDRESS(ROW($B4),COLUMN(E$4),1,,$B$4)))</f>
        <v>2280.693175963695</v>
      </c>
      <c r="L14" s="273">
        <f t="shared" ca="1" si="4"/>
        <v>979.254416190911</v>
      </c>
      <c r="M14" s="274">
        <f t="shared" ref="M14:M15" ca="1" si="8">IFERROR(J14*N14/K14,0)</f>
        <v>3917.017664763644</v>
      </c>
      <c r="N14" s="265">
        <f ca="1">IF(CELL("format",INDIRECT(ADDRESS(ROW($B4),COLUMN(F$4),1,,$B$4)))="W0-",INDIRECT(ADDRESS(ROW($B4),COLUMN(F$4),1,,$B$4))*'Overview 2016 (in)'!$O$7,INDIRECT(ADDRESS(ROW($B4),COLUMN(F$4),1,,$B$4)))</f>
        <v>1958.508832381822</v>
      </c>
      <c r="O14" s="155" t="s">
        <v>22</v>
      </c>
    </row>
    <row r="15" spans="2:15" ht="16" thickBot="1" x14ac:dyDescent="0.25">
      <c r="B15" s="158" t="s">
        <v>3</v>
      </c>
      <c r="C15" s="277">
        <f>'Overview 2016 (in)'!J16</f>
        <v>315</v>
      </c>
      <c r="D15" s="277">
        <f>'Overview 2016 (in)'!K16</f>
        <v>1050</v>
      </c>
      <c r="E15" s="278">
        <f>'Overview 2016 (in)'!L16</f>
        <v>300</v>
      </c>
      <c r="F15" s="277">
        <f t="shared" ca="1" si="0"/>
        <v>278.86723514999994</v>
      </c>
      <c r="G15" s="277">
        <f t="shared" ca="1" si="6"/>
        <v>929.55745049999985</v>
      </c>
      <c r="H15" s="278">
        <f ca="1">IF(CELL("format",INDIRECT(ADDRESS(ROW($B5),COLUMN(D$4),1,,$B$4)))="W0-",INDIRECT(ADDRESS(ROW($B5),COLUMN(D$4),1,,$B$4))*'Overview 2016 (in)'!$O$7,INDIRECT(ADDRESS(ROW($B5),COLUMN(D$4),1,,$B$4)))</f>
        <v>265.58784299999996</v>
      </c>
      <c r="I15" s="277">
        <f t="shared" ca="1" si="2"/>
        <v>239.47278347618797</v>
      </c>
      <c r="J15" s="277">
        <f t="shared" ca="1" si="7"/>
        <v>798.24261158729325</v>
      </c>
      <c r="K15" s="278">
        <f ca="1">IF(CELL("format",INDIRECT(ADDRESS(ROW($B5),COLUMN(E$4),1,,$B$4)))="W0-",INDIRECT(ADDRESS(ROW($B5),COLUMN(E$4),1,,$B$4))*'Overview 2016 (in)'!$O$7,INDIRECT(ADDRESS(ROW($B5),COLUMN(E$4),1,,$B$4)))</f>
        <v>228.0693175963695</v>
      </c>
      <c r="L15" s="277">
        <f t="shared" ca="1" si="4"/>
        <v>205.6434274000913</v>
      </c>
      <c r="M15" s="277">
        <f t="shared" ca="1" si="8"/>
        <v>685.47809133363774</v>
      </c>
      <c r="N15" s="278">
        <f ca="1">IF(CELL("format",INDIRECT(ADDRESS(ROW($B5),COLUMN(F$4),1,,$B$4)))="W0-",INDIRECT(ADDRESS(ROW($B5),COLUMN(F$4),1,,$B$4))*'Overview 2016 (in)'!$O$7,INDIRECT(ADDRESS(ROW($B5),COLUMN(F$4),1,,$B$4)))</f>
        <v>195.85088323818221</v>
      </c>
      <c r="O15" s="60" t="s">
        <v>23</v>
      </c>
    </row>
    <row r="17" spans="2:3" x14ac:dyDescent="0.2">
      <c r="C17" s="202"/>
    </row>
    <row r="18" spans="2:3" ht="19" x14ac:dyDescent="0.25">
      <c r="B18" s="201"/>
    </row>
    <row r="19" spans="2:3" x14ac:dyDescent="0.2">
      <c r="B19" s="39"/>
    </row>
  </sheetData>
  <mergeCells count="4">
    <mergeCell ref="C3:E3"/>
    <mergeCell ref="F3:H3"/>
    <mergeCell ref="I3:K3"/>
    <mergeCell ref="L3:N3"/>
  </mergeCells>
  <pageMargins left="0.7" right="0.7" top="0.78740157499999996" bottom="0.78740157499999996"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39997558519241921"/>
  </sheetPr>
  <dimension ref="A2:R63"/>
  <sheetViews>
    <sheetView topLeftCell="A16" zoomScale="85" zoomScaleNormal="85" workbookViewId="0"/>
  </sheetViews>
  <sheetFormatPr baseColWidth="10" defaultColWidth="9.1640625" defaultRowHeight="15" x14ac:dyDescent="0.2"/>
  <cols>
    <col min="1" max="1" width="9.1640625" style="3"/>
    <col min="2" max="2" width="26.5" style="3" customWidth="1"/>
    <col min="3" max="4" width="10.6640625" style="3" customWidth="1"/>
    <col min="5" max="5" width="10.6640625" style="31" customWidth="1"/>
    <col min="6" max="7" width="10.6640625" style="3" customWidth="1"/>
    <col min="8" max="8" width="10.6640625" style="31" customWidth="1"/>
    <col min="9" max="9" width="20.33203125" style="3" customWidth="1"/>
    <col min="10" max="10" width="13.83203125" style="3" customWidth="1"/>
    <col min="11" max="12" width="12.6640625" style="3" customWidth="1"/>
    <col min="13" max="13" width="12.6640625" style="31" customWidth="1"/>
    <col min="14" max="14" width="12.6640625" style="3" customWidth="1"/>
    <col min="15" max="15" width="12.6640625" style="31" customWidth="1"/>
    <col min="16" max="16" width="12.6640625" style="3" customWidth="1"/>
    <col min="17" max="16384" width="9.1640625" style="3"/>
  </cols>
  <sheetData>
    <row r="2" spans="2:18" ht="20" thickBot="1" x14ac:dyDescent="0.3">
      <c r="B2" s="1" t="s">
        <v>35</v>
      </c>
      <c r="C2" s="13"/>
      <c r="K2" s="1" t="s">
        <v>0</v>
      </c>
    </row>
    <row r="3" spans="2:18" x14ac:dyDescent="0.2">
      <c r="B3" s="5"/>
      <c r="C3" s="5">
        <v>2016</v>
      </c>
      <c r="D3" s="5">
        <v>2020</v>
      </c>
      <c r="E3" s="5">
        <v>2025</v>
      </c>
      <c r="F3" s="5">
        <v>2030</v>
      </c>
      <c r="G3" s="5" t="s">
        <v>1</v>
      </c>
      <c r="H3" s="11"/>
      <c r="I3" s="5" t="s">
        <v>17</v>
      </c>
      <c r="J3" s="5" t="s">
        <v>18</v>
      </c>
      <c r="K3" s="5" t="s">
        <v>19</v>
      </c>
      <c r="L3" s="32" t="s">
        <v>20</v>
      </c>
      <c r="M3" s="3"/>
      <c r="N3" s="407">
        <f>1-(F4/C4)^(1/(F$3-C$3))</f>
        <v>4.8030919417362594E-2</v>
      </c>
      <c r="O3" s="3"/>
    </row>
    <row r="4" spans="2:18" x14ac:dyDescent="0.2">
      <c r="B4" s="4" t="s">
        <v>2</v>
      </c>
      <c r="C4" s="164">
        <f>'Overview 2016 (in)'!F31</f>
        <v>147</v>
      </c>
      <c r="D4" s="68">
        <f>$C4*(1-$N3)^(D$3-$C$3)</f>
        <v>120.72819474303307</v>
      </c>
      <c r="E4" s="68">
        <f>$C4*(1-$N3)^(E$3-$C$3)</f>
        <v>94.389333945147243</v>
      </c>
      <c r="F4" s="68">
        <f>C4*D63</f>
        <v>73.79673307939251</v>
      </c>
      <c r="G4" s="3" t="s">
        <v>22</v>
      </c>
      <c r="H4" s="3"/>
      <c r="I4" s="79" t="s">
        <v>52</v>
      </c>
      <c r="J4" s="42" t="s">
        <v>66</v>
      </c>
      <c r="K4" s="42" t="s">
        <v>66</v>
      </c>
      <c r="L4" s="42" t="s">
        <v>66</v>
      </c>
      <c r="M4" s="3"/>
      <c r="N4" s="407"/>
      <c r="O4" s="3"/>
    </row>
    <row r="5" spans="2:18" x14ac:dyDescent="0.2">
      <c r="B5" s="11" t="s">
        <v>3</v>
      </c>
      <c r="C5" s="164">
        <f>'Overview 2016 (in)'!F32</f>
        <v>0</v>
      </c>
      <c r="D5" s="68">
        <v>0</v>
      </c>
      <c r="E5" s="68">
        <v>0</v>
      </c>
      <c r="F5" s="68">
        <v>0</v>
      </c>
      <c r="G5" s="3" t="s">
        <v>23</v>
      </c>
      <c r="H5" s="3"/>
      <c r="I5" s="79" t="s">
        <v>52</v>
      </c>
      <c r="J5" s="42">
        <v>1</v>
      </c>
      <c r="K5" s="42">
        <v>1</v>
      </c>
      <c r="L5" s="42">
        <v>1</v>
      </c>
      <c r="M5" s="3"/>
      <c r="N5" s="407">
        <f t="shared" ref="N5:N7" si="0">1-(F6/C6)^(1/(F$3-C$3))</f>
        <v>-5.6198640827628488E-2</v>
      </c>
      <c r="O5" s="3"/>
    </row>
    <row r="6" spans="2:18" x14ac:dyDescent="0.2">
      <c r="B6" s="4" t="s">
        <v>4</v>
      </c>
      <c r="C6" s="81">
        <f>'Overview 2016 (in)'!F24</f>
        <v>1500</v>
      </c>
      <c r="D6" s="73">
        <f t="shared" ref="D6:E8" si="1">$C6*(1-$N5)^(D$3-$C$3)</f>
        <v>1866.6963409092853</v>
      </c>
      <c r="E6" s="73">
        <f t="shared" si="1"/>
        <v>2453.5883312879619</v>
      </c>
      <c r="F6" s="69">
        <f>C6*E63</f>
        <v>3225</v>
      </c>
      <c r="G6" s="3" t="s">
        <v>5</v>
      </c>
      <c r="H6" s="3"/>
      <c r="I6" s="79" t="s">
        <v>52</v>
      </c>
      <c r="J6" s="42" t="s">
        <v>66</v>
      </c>
      <c r="K6" s="42" t="s">
        <v>66</v>
      </c>
      <c r="L6" s="42" t="s">
        <v>66</v>
      </c>
      <c r="M6" s="3"/>
      <c r="N6" s="407">
        <f t="shared" si="0"/>
        <v>-2.519111574018984E-2</v>
      </c>
      <c r="O6" s="3"/>
    </row>
    <row r="7" spans="2:18" x14ac:dyDescent="0.2">
      <c r="B7" s="4" t="s">
        <v>6</v>
      </c>
      <c r="C7" s="81">
        <f>'Overview 2016 (in)'!F25</f>
        <v>9</v>
      </c>
      <c r="D7" s="85">
        <f t="shared" si="1"/>
        <v>9.9417272750560581</v>
      </c>
      <c r="E7" s="85">
        <f t="shared" si="1"/>
        <v>11.258642136464097</v>
      </c>
      <c r="F7" s="127">
        <f>C7*F63</f>
        <v>12.75</v>
      </c>
      <c r="G7" s="3" t="s">
        <v>7</v>
      </c>
      <c r="H7" s="3"/>
      <c r="I7" s="79" t="s">
        <v>52</v>
      </c>
      <c r="J7" s="42" t="s">
        <v>66</v>
      </c>
      <c r="K7" s="42" t="s">
        <v>66</v>
      </c>
      <c r="L7" s="42" t="s">
        <v>66</v>
      </c>
      <c r="M7" s="3"/>
      <c r="N7" s="407">
        <f t="shared" si="0"/>
        <v>-2.97671739297245E-3</v>
      </c>
      <c r="O7" s="3"/>
    </row>
    <row r="8" spans="2:18" ht="16" thickBot="1" x14ac:dyDescent="0.25">
      <c r="B8" s="6" t="s">
        <v>8</v>
      </c>
      <c r="C8" s="82">
        <f>'Overview 2016 (in)'!F27</f>
        <v>82</v>
      </c>
      <c r="D8" s="78">
        <f t="shared" si="1"/>
        <v>82.980731499185794</v>
      </c>
      <c r="E8" s="78">
        <f t="shared" si="1"/>
        <v>84.223157147841491</v>
      </c>
      <c r="F8" s="78">
        <f>C8*G63</f>
        <v>85.484184964308298</v>
      </c>
      <c r="G8" s="7" t="s">
        <v>9</v>
      </c>
      <c r="H8" s="10"/>
      <c r="I8" s="80" t="s">
        <v>52</v>
      </c>
      <c r="J8" s="83" t="s">
        <v>66</v>
      </c>
      <c r="K8" s="83" t="s">
        <v>66</v>
      </c>
      <c r="L8" s="83" t="s">
        <v>66</v>
      </c>
      <c r="M8" s="3"/>
      <c r="N8" s="320"/>
      <c r="O8" s="3"/>
    </row>
    <row r="9" spans="2:18" x14ac:dyDescent="0.2">
      <c r="B9" s="4"/>
      <c r="C9" s="14"/>
      <c r="J9" s="10"/>
      <c r="K9" s="10"/>
      <c r="L9" s="10"/>
      <c r="M9" s="33"/>
    </row>
    <row r="10" spans="2:18" x14ac:dyDescent="0.2">
      <c r="B10" s="315"/>
      <c r="C10" s="315"/>
      <c r="D10" s="10"/>
      <c r="E10" s="33"/>
      <c r="F10" s="10"/>
      <c r="G10" s="10"/>
      <c r="H10" s="33"/>
      <c r="I10" s="10"/>
      <c r="J10" s="10"/>
      <c r="K10" s="10"/>
      <c r="L10" s="10"/>
      <c r="M10" s="33"/>
      <c r="N10" s="10"/>
      <c r="O10" s="33"/>
      <c r="P10" s="10"/>
      <c r="Q10" s="10"/>
      <c r="R10" s="10"/>
    </row>
    <row r="11" spans="2:18" x14ac:dyDescent="0.2">
      <c r="B11" s="10"/>
      <c r="C11" s="10"/>
      <c r="D11" s="10"/>
      <c r="E11" s="33"/>
      <c r="F11" s="10"/>
      <c r="G11" s="10"/>
      <c r="H11" s="33"/>
      <c r="I11" s="10"/>
      <c r="J11" s="10"/>
      <c r="K11" s="2" t="s">
        <v>68</v>
      </c>
      <c r="L11" s="17"/>
      <c r="M11" s="35"/>
      <c r="N11" s="17"/>
      <c r="O11" s="35"/>
      <c r="P11" s="17"/>
      <c r="Q11" s="17"/>
      <c r="R11" s="17"/>
    </row>
    <row r="12" spans="2:18" ht="20" thickBot="1" x14ac:dyDescent="0.3">
      <c r="B12" s="1" t="s">
        <v>10</v>
      </c>
      <c r="F12" s="31"/>
      <c r="H12" s="3"/>
      <c r="K12" s="18" t="s">
        <v>69</v>
      </c>
      <c r="L12" s="16"/>
      <c r="M12" s="34"/>
      <c r="N12" s="16"/>
      <c r="O12" s="34"/>
      <c r="P12" s="16"/>
      <c r="Q12" s="16"/>
      <c r="R12" s="16"/>
    </row>
    <row r="13" spans="2:18" x14ac:dyDescent="0.2">
      <c r="B13" s="8" t="s">
        <v>11</v>
      </c>
      <c r="C13" s="8" t="s">
        <v>12</v>
      </c>
      <c r="D13" s="8" t="s">
        <v>13</v>
      </c>
      <c r="E13" s="8" t="s">
        <v>225</v>
      </c>
      <c r="F13" s="100" t="s">
        <v>60</v>
      </c>
      <c r="G13" s="8"/>
      <c r="H13" s="100" t="s">
        <v>105</v>
      </c>
      <c r="K13" s="93" t="s">
        <v>71</v>
      </c>
      <c r="L13" s="93"/>
      <c r="M13" s="34"/>
      <c r="N13" s="16"/>
      <c r="O13" s="34"/>
      <c r="P13" s="16"/>
      <c r="Q13" s="16"/>
      <c r="R13" s="16"/>
    </row>
    <row r="14" spans="2:18" x14ac:dyDescent="0.2">
      <c r="B14" s="3">
        <v>1</v>
      </c>
      <c r="C14" s="3" t="s">
        <v>15</v>
      </c>
      <c r="D14" s="3" t="s">
        <v>16</v>
      </c>
      <c r="E14" s="303" t="s">
        <v>226</v>
      </c>
      <c r="F14" s="145" t="s">
        <v>61</v>
      </c>
      <c r="H14" s="55" t="s">
        <v>106</v>
      </c>
      <c r="K14" s="109"/>
      <c r="L14" s="16"/>
      <c r="M14" s="34"/>
      <c r="N14" s="16"/>
      <c r="O14" s="34"/>
      <c r="P14" s="16"/>
      <c r="Q14" s="16"/>
      <c r="R14" s="16"/>
    </row>
    <row r="15" spans="2:18" x14ac:dyDescent="0.2">
      <c r="B15" s="3">
        <v>2</v>
      </c>
      <c r="C15" s="31" t="s">
        <v>24</v>
      </c>
      <c r="D15" s="31" t="s">
        <v>25</v>
      </c>
      <c r="E15" s="303" t="s">
        <v>227</v>
      </c>
      <c r="F15" s="145" t="s">
        <v>62</v>
      </c>
      <c r="G15" s="31"/>
      <c r="H15" s="55" t="s">
        <v>106</v>
      </c>
      <c r="L15" s="16"/>
      <c r="M15" s="34"/>
      <c r="N15" s="16"/>
      <c r="O15" s="34"/>
      <c r="P15" s="16"/>
      <c r="Q15" s="16"/>
      <c r="R15" s="16"/>
    </row>
    <row r="16" spans="2:18" x14ac:dyDescent="0.2">
      <c r="B16" s="3">
        <v>3</v>
      </c>
      <c r="C16" s="97" t="s">
        <v>29</v>
      </c>
      <c r="D16" s="97" t="s">
        <v>30</v>
      </c>
      <c r="E16" s="303" t="s">
        <v>230</v>
      </c>
      <c r="F16" s="145" t="s">
        <v>65</v>
      </c>
      <c r="G16" s="97"/>
      <c r="H16" s="55" t="s">
        <v>106</v>
      </c>
      <c r="L16" s="16"/>
      <c r="M16" s="34"/>
      <c r="N16" s="16"/>
      <c r="O16" s="34"/>
      <c r="P16" s="16"/>
      <c r="Q16" s="16"/>
      <c r="R16" s="16"/>
    </row>
    <row r="17" spans="1:18" x14ac:dyDescent="0.2">
      <c r="B17" s="3">
        <v>4</v>
      </c>
      <c r="C17" s="97" t="s">
        <v>58</v>
      </c>
      <c r="D17" s="97" t="s">
        <v>59</v>
      </c>
      <c r="E17" s="303" t="s">
        <v>228</v>
      </c>
      <c r="F17" s="145" t="s">
        <v>63</v>
      </c>
      <c r="G17" s="97"/>
      <c r="H17" s="55" t="s">
        <v>106</v>
      </c>
      <c r="L17" s="16"/>
      <c r="M17" s="34"/>
      <c r="N17" s="16"/>
      <c r="O17" s="34"/>
      <c r="P17" s="16"/>
      <c r="Q17" s="16"/>
      <c r="R17" s="16"/>
    </row>
    <row r="18" spans="1:18" x14ac:dyDescent="0.2">
      <c r="B18" s="182">
        <v>5</v>
      </c>
      <c r="C18" s="182" t="s">
        <v>100</v>
      </c>
      <c r="D18" s="182" t="s">
        <v>101</v>
      </c>
      <c r="E18" s="303" t="s">
        <v>231</v>
      </c>
      <c r="F18" s="145" t="s">
        <v>102</v>
      </c>
      <c r="G18" s="182"/>
      <c r="H18" s="185" t="s">
        <v>104</v>
      </c>
      <c r="J18" s="10"/>
      <c r="L18" s="16"/>
      <c r="M18" s="34"/>
      <c r="N18" s="16"/>
      <c r="O18" s="34"/>
      <c r="P18" s="16"/>
      <c r="Q18" s="16"/>
      <c r="R18" s="16"/>
    </row>
    <row r="19" spans="1:18" x14ac:dyDescent="0.2">
      <c r="A19" s="304" t="s">
        <v>232</v>
      </c>
      <c r="B19" s="97"/>
      <c r="C19" s="97"/>
      <c r="D19" s="97"/>
      <c r="E19" s="97"/>
      <c r="F19" s="97"/>
      <c r="G19" s="97"/>
      <c r="H19" s="97"/>
      <c r="I19" s="97"/>
      <c r="J19" s="97"/>
      <c r="K19" s="97"/>
      <c r="L19" s="16"/>
      <c r="M19" s="34"/>
      <c r="N19" s="16"/>
      <c r="O19" s="34"/>
      <c r="P19" s="16"/>
      <c r="Q19" s="16"/>
      <c r="R19" s="16"/>
    </row>
    <row r="20" spans="1:18" ht="16" thickBot="1" x14ac:dyDescent="0.25">
      <c r="A20" s="304" t="s">
        <v>47</v>
      </c>
      <c r="B20" s="42"/>
      <c r="C20" s="332" t="s">
        <v>183</v>
      </c>
      <c r="D20" s="333" t="s">
        <v>234</v>
      </c>
      <c r="E20" s="97"/>
      <c r="F20" s="97"/>
      <c r="G20" s="97"/>
      <c r="H20" s="97"/>
      <c r="I20" s="97"/>
      <c r="J20" s="97"/>
      <c r="K20" s="97"/>
      <c r="L20" s="16"/>
      <c r="M20" s="34"/>
      <c r="N20" s="16"/>
      <c r="O20" s="34"/>
      <c r="P20" s="16"/>
      <c r="Q20" s="16"/>
      <c r="R20" s="16"/>
    </row>
    <row r="21" spans="1:18" x14ac:dyDescent="0.2">
      <c r="A21" s="65" t="s">
        <v>49</v>
      </c>
      <c r="B21" s="62"/>
      <c r="C21" s="49">
        <v>2016</v>
      </c>
      <c r="D21" s="360">
        <v>2012</v>
      </c>
      <c r="E21" s="367">
        <v>2020</v>
      </c>
      <c r="F21" s="38">
        <v>2023</v>
      </c>
      <c r="G21" s="367">
        <v>2025</v>
      </c>
      <c r="H21" s="367">
        <v>2030</v>
      </c>
      <c r="I21" s="38">
        <v>2033</v>
      </c>
      <c r="J21" s="38" t="s">
        <v>1</v>
      </c>
      <c r="K21" s="48" t="s">
        <v>54</v>
      </c>
      <c r="L21" s="38" t="s">
        <v>55</v>
      </c>
      <c r="M21" s="378" t="s">
        <v>236</v>
      </c>
      <c r="N21" s="354"/>
      <c r="O21" s="355"/>
      <c r="P21" s="16"/>
      <c r="Q21" s="16"/>
      <c r="R21" s="16"/>
    </row>
    <row r="22" spans="1:18" x14ac:dyDescent="0.2">
      <c r="A22" s="97"/>
      <c r="B22" s="37" t="s">
        <v>2</v>
      </c>
      <c r="C22" s="328">
        <f>C4/'Overview 2016 (in)'!$O$7</f>
        <v>140</v>
      </c>
      <c r="D22" s="368">
        <v>175</v>
      </c>
      <c r="E22" s="110">
        <f>$D22*(1-$K22)^(E$21-$D$21)</f>
        <v>112.68640368778088</v>
      </c>
      <c r="F22" s="103"/>
      <c r="G22" s="110">
        <f>$D22*(1-$K22)^(G$21-$D$21)</f>
        <v>85.583971862176085</v>
      </c>
      <c r="H22" s="364">
        <v>65</v>
      </c>
      <c r="I22" s="103"/>
      <c r="J22" s="97" t="s">
        <v>247</v>
      </c>
      <c r="K22" s="312">
        <f>1-(H22/D22)^(1/(H$21-D$21))</f>
        <v>5.3535816672152792E-2</v>
      </c>
      <c r="L22" s="95"/>
      <c r="M22" s="379"/>
      <c r="N22" s="354"/>
      <c r="O22" s="354"/>
    </row>
    <row r="23" spans="1:18" x14ac:dyDescent="0.2">
      <c r="A23" s="97"/>
      <c r="B23" s="40" t="s">
        <v>3</v>
      </c>
      <c r="C23" s="328">
        <f>C5/'Overview 2016 (in)'!$O$7</f>
        <v>0</v>
      </c>
      <c r="D23" s="368">
        <v>175</v>
      </c>
      <c r="E23" s="110">
        <f t="shared" ref="E23:E26" si="2">$D23*(1-$K23)^(E$21-$D$21)</f>
        <v>100.28362609809263</v>
      </c>
      <c r="F23" s="103"/>
      <c r="G23" s="110">
        <f t="shared" ref="G23:G26" si="3">$D23*(1-$K23)^(G$21-$D$21)</f>
        <v>70.8108840850376</v>
      </c>
      <c r="H23" s="364">
        <v>50</v>
      </c>
      <c r="I23" s="103"/>
      <c r="J23" s="97" t="s">
        <v>248</v>
      </c>
      <c r="K23" s="312">
        <f t="shared" ref="K23:K26" si="4">1-(H23/D23)^(1/(H$21-D$21))</f>
        <v>6.7231228975996538E-2</v>
      </c>
      <c r="L23" s="95"/>
      <c r="M23" s="379"/>
      <c r="N23" s="354"/>
      <c r="O23" s="354"/>
    </row>
    <row r="24" spans="1:18" x14ac:dyDescent="0.2">
      <c r="A24" s="97"/>
      <c r="B24" s="37" t="s">
        <v>4</v>
      </c>
      <c r="C24" s="329">
        <f>C6</f>
        <v>1500</v>
      </c>
      <c r="D24" s="369">
        <v>1250</v>
      </c>
      <c r="E24" s="111">
        <f t="shared" si="2"/>
        <v>1911.360523899896</v>
      </c>
      <c r="F24" s="104"/>
      <c r="G24" s="111">
        <f t="shared" si="3"/>
        <v>2492.3727054103797</v>
      </c>
      <c r="H24" s="365">
        <v>3250</v>
      </c>
      <c r="I24" s="106"/>
      <c r="J24" s="97" t="s">
        <v>5</v>
      </c>
      <c r="K24" s="312">
        <f t="shared" si="4"/>
        <v>-5.4518188416973867E-2</v>
      </c>
      <c r="L24" s="95"/>
      <c r="M24" s="379"/>
      <c r="N24" s="354"/>
      <c r="O24" s="354"/>
    </row>
    <row r="25" spans="1:18" x14ac:dyDescent="0.2">
      <c r="A25" s="97"/>
      <c r="B25" s="37" t="s">
        <v>6</v>
      </c>
      <c r="C25" s="329">
        <f>C7</f>
        <v>9</v>
      </c>
      <c r="D25" s="369">
        <v>10</v>
      </c>
      <c r="E25" s="111">
        <f t="shared" si="2"/>
        <v>11.97464871148404</v>
      </c>
      <c r="F25" s="104"/>
      <c r="G25" s="111">
        <f t="shared" si="3"/>
        <v>13.402228571109386</v>
      </c>
      <c r="H25" s="365">
        <v>15</v>
      </c>
      <c r="I25" s="106"/>
      <c r="J25" s="97" t="s">
        <v>7</v>
      </c>
      <c r="K25" s="312">
        <f t="shared" si="4"/>
        <v>-2.2781461820273075E-2</v>
      </c>
      <c r="L25" s="95"/>
      <c r="M25" s="379"/>
      <c r="N25" s="354"/>
      <c r="O25" s="354"/>
    </row>
    <row r="26" spans="1:18" ht="16" thickBot="1" x14ac:dyDescent="0.25">
      <c r="A26" s="97"/>
      <c r="B26" s="6" t="s">
        <v>8</v>
      </c>
      <c r="C26" s="330">
        <f>C8</f>
        <v>82</v>
      </c>
      <c r="D26" s="370">
        <v>77.5</v>
      </c>
      <c r="E26" s="112">
        <f t="shared" si="2"/>
        <v>79.252950338406038</v>
      </c>
      <c r="F26" s="105"/>
      <c r="G26" s="112">
        <f t="shared" si="3"/>
        <v>80.368622313562625</v>
      </c>
      <c r="H26" s="366">
        <v>81.5</v>
      </c>
      <c r="I26" s="107"/>
      <c r="J26" s="7" t="s">
        <v>9</v>
      </c>
      <c r="K26" s="313">
        <f t="shared" si="4"/>
        <v>-2.7997499937175707E-3</v>
      </c>
      <c r="L26" s="309"/>
      <c r="M26" s="379"/>
      <c r="N26" s="354"/>
      <c r="O26" s="354"/>
    </row>
    <row r="27" spans="1:18" ht="16" thickBot="1" x14ac:dyDescent="0.25">
      <c r="A27" s="97"/>
      <c r="B27" s="97"/>
      <c r="C27" s="213"/>
      <c r="D27" s="320"/>
      <c r="E27" s="97"/>
      <c r="F27" s="97"/>
      <c r="G27" s="97"/>
      <c r="H27" s="97"/>
      <c r="I27" s="97"/>
      <c r="J27" s="97"/>
      <c r="K27" s="312"/>
      <c r="L27" s="95"/>
      <c r="M27" s="379"/>
      <c r="N27" s="354"/>
      <c r="O27" s="354"/>
    </row>
    <row r="28" spans="1:18" x14ac:dyDescent="0.2">
      <c r="A28" s="65" t="s">
        <v>56</v>
      </c>
      <c r="B28" s="62"/>
      <c r="C28" s="49">
        <v>2016</v>
      </c>
      <c r="D28" s="374">
        <v>2014</v>
      </c>
      <c r="E28" s="367">
        <v>2020</v>
      </c>
      <c r="F28" s="374">
        <v>2023</v>
      </c>
      <c r="G28" s="367">
        <v>2025</v>
      </c>
      <c r="H28" s="367">
        <v>2030</v>
      </c>
      <c r="I28" s="38">
        <v>2033</v>
      </c>
      <c r="J28" s="38" t="s">
        <v>1</v>
      </c>
      <c r="K28" s="314"/>
      <c r="L28" s="310"/>
      <c r="M28" s="379" t="s">
        <v>238</v>
      </c>
      <c r="N28" s="354"/>
      <c r="O28" s="354"/>
    </row>
    <row r="29" spans="1:18" x14ac:dyDescent="0.2">
      <c r="A29" s="97"/>
      <c r="B29" s="37" t="s">
        <v>2</v>
      </c>
      <c r="C29" s="328">
        <f>C4/'Overview 2016 (in)'!$O$7</f>
        <v>140</v>
      </c>
      <c r="D29" s="361">
        <v>200</v>
      </c>
      <c r="E29" s="110">
        <f>$D29*(1-$K29)^(E$28-$D$28)</f>
        <v>142.27573217960256</v>
      </c>
      <c r="F29" s="372">
        <v>120</v>
      </c>
      <c r="G29" s="110">
        <f>$F29*(1-$L29)^(G$28-$F$28)</f>
        <v>115.70310048031526</v>
      </c>
      <c r="H29" s="110">
        <f>$F29*(1-$L29)^(H$28-$F$28)</f>
        <v>105.6219968439258</v>
      </c>
      <c r="I29" s="68">
        <v>100</v>
      </c>
      <c r="J29" s="320" t="s">
        <v>247</v>
      </c>
      <c r="K29" s="312">
        <f>1-(F29/D29)^(1/(F$28-D$28))</f>
        <v>5.5177691630814762E-2</v>
      </c>
      <c r="L29" s="95">
        <f>1-(I29/F29)^(1/(I$28-F$28))</f>
        <v>1.806695543808734E-2</v>
      </c>
      <c r="M29" s="379" t="s">
        <v>238</v>
      </c>
      <c r="N29" s="354"/>
      <c r="O29" s="354"/>
    </row>
    <row r="30" spans="1:18" x14ac:dyDescent="0.2">
      <c r="A30" s="97"/>
      <c r="B30" s="40" t="s">
        <v>3</v>
      </c>
      <c r="C30" s="328">
        <f>C5/'Overview 2016 (in)'!$O$7</f>
        <v>0</v>
      </c>
      <c r="D30" s="375">
        <v>160</v>
      </c>
      <c r="E30" s="116">
        <f>$D30*(1-$K30)^(E$28-$D$28)</f>
        <v>109.02723556992838</v>
      </c>
      <c r="F30" s="376">
        <v>90</v>
      </c>
      <c r="G30" s="116">
        <f>$F30*(1-$L30)^(G$28-$F$28)</f>
        <v>76.52547003754745</v>
      </c>
      <c r="H30" s="116">
        <f>$F30*(1-$L30)^(H$28-$F$28)</f>
        <v>51.016980025031621</v>
      </c>
      <c r="I30" s="103">
        <v>40</v>
      </c>
      <c r="J30" s="320" t="s">
        <v>248</v>
      </c>
      <c r="K30" s="312">
        <f>1-(F30/D30)^(1/(F$28-D$28))</f>
        <v>6.1928727543806406E-2</v>
      </c>
      <c r="L30" s="95">
        <f>1-(I30/F30)^(1/(I$28-F$28))</f>
        <v>7.7892088518272229E-2</v>
      </c>
      <c r="M30" s="379" t="s">
        <v>238</v>
      </c>
      <c r="N30" s="354"/>
      <c r="O30" s="354"/>
    </row>
    <row r="31" spans="1:18" x14ac:dyDescent="0.2">
      <c r="A31" s="97"/>
      <c r="B31" s="37" t="s">
        <v>4</v>
      </c>
      <c r="C31" s="329">
        <f t="shared" ref="C31:C33" si="5">C6</f>
        <v>1500</v>
      </c>
      <c r="D31" s="371"/>
      <c r="E31" s="108"/>
      <c r="F31" s="371"/>
      <c r="G31" s="108"/>
      <c r="H31" s="108"/>
      <c r="I31" s="108"/>
      <c r="J31" s="97" t="s">
        <v>5</v>
      </c>
      <c r="K31" s="312"/>
      <c r="L31" s="95"/>
      <c r="M31" s="379"/>
      <c r="N31" s="354"/>
      <c r="O31" s="354"/>
    </row>
    <row r="32" spans="1:18" x14ac:dyDescent="0.2">
      <c r="A32" s="97"/>
      <c r="B32" s="37" t="s">
        <v>6</v>
      </c>
      <c r="C32" s="329">
        <f t="shared" si="5"/>
        <v>9</v>
      </c>
      <c r="D32" s="362">
        <v>8</v>
      </c>
      <c r="E32" s="111">
        <f t="shared" ref="E32:E33" si="6">$D32*(1-$K32)^(E$28-$D$28)</f>
        <v>9.2831776672255586</v>
      </c>
      <c r="F32" s="372">
        <v>10</v>
      </c>
      <c r="G32" s="111">
        <f t="shared" ref="G32:H33" si="7">$F32*(1-$L32)^(G$28-$F$28)</f>
        <v>10</v>
      </c>
      <c r="H32" s="111">
        <f t="shared" si="7"/>
        <v>10</v>
      </c>
      <c r="I32" s="75">
        <v>10</v>
      </c>
      <c r="J32" s="97" t="s">
        <v>7</v>
      </c>
      <c r="K32" s="312">
        <f>1-(F32/D32)^(1/(F$28-D$28))</f>
        <v>-2.5103648456901162E-2</v>
      </c>
      <c r="L32" s="95">
        <f>1-(I32/F32)^(1/(I$28-F$28))</f>
        <v>0</v>
      </c>
      <c r="M32" s="379" t="s">
        <v>238</v>
      </c>
      <c r="N32" s="354"/>
      <c r="O32" s="354"/>
    </row>
    <row r="33" spans="1:16" ht="16" thickBot="1" x14ac:dyDescent="0.25">
      <c r="A33" s="97"/>
      <c r="B33" s="6" t="s">
        <v>8</v>
      </c>
      <c r="C33" s="330">
        <f t="shared" si="5"/>
        <v>82</v>
      </c>
      <c r="D33" s="363">
        <v>80</v>
      </c>
      <c r="E33" s="112">
        <f t="shared" si="6"/>
        <v>80</v>
      </c>
      <c r="F33" s="373">
        <v>80</v>
      </c>
      <c r="G33" s="112">
        <f t="shared" si="7"/>
        <v>80</v>
      </c>
      <c r="H33" s="112">
        <f t="shared" si="7"/>
        <v>80</v>
      </c>
      <c r="I33" s="102">
        <v>80</v>
      </c>
      <c r="J33" s="7" t="s">
        <v>9</v>
      </c>
      <c r="K33" s="313">
        <f>1-(F33/D33)^(1/(F$28-D$28))</f>
        <v>0</v>
      </c>
      <c r="L33" s="309">
        <f>1-(I33/F33)^(1/(I$28-F$28))</f>
        <v>0</v>
      </c>
      <c r="M33" s="379" t="s">
        <v>238</v>
      </c>
      <c r="N33" s="354"/>
      <c r="O33" s="354"/>
    </row>
    <row r="34" spans="1:16" ht="16" thickBot="1" x14ac:dyDescent="0.25">
      <c r="A34" s="97"/>
      <c r="B34" s="97"/>
      <c r="C34" s="213"/>
      <c r="D34" s="320"/>
      <c r="E34" s="97"/>
      <c r="F34" s="97"/>
      <c r="G34" s="97"/>
      <c r="H34" s="97"/>
      <c r="I34" s="97"/>
      <c r="J34" s="97"/>
      <c r="K34" s="312"/>
      <c r="L34" s="95"/>
      <c r="M34" s="379"/>
      <c r="O34" s="3"/>
    </row>
    <row r="35" spans="1:16" x14ac:dyDescent="0.2">
      <c r="A35" s="65" t="s">
        <v>48</v>
      </c>
      <c r="B35" s="62"/>
      <c r="C35" s="49">
        <v>2016</v>
      </c>
      <c r="D35" s="360">
        <v>2015</v>
      </c>
      <c r="E35" s="367">
        <v>2020</v>
      </c>
      <c r="F35" s="367">
        <v>2023</v>
      </c>
      <c r="G35" s="367">
        <v>2025</v>
      </c>
      <c r="H35" s="367">
        <v>2030</v>
      </c>
      <c r="I35" s="38">
        <v>2033</v>
      </c>
      <c r="J35" s="38" t="s">
        <v>1</v>
      </c>
      <c r="K35" s="314"/>
      <c r="L35" s="310"/>
      <c r="M35" s="379"/>
      <c r="O35" s="3"/>
    </row>
    <row r="36" spans="1:16" x14ac:dyDescent="0.2">
      <c r="A36" s="97"/>
      <c r="B36" s="37" t="s">
        <v>2</v>
      </c>
      <c r="C36" s="328">
        <f>C4/'Overview 2016 (in)'!$O$7</f>
        <v>140</v>
      </c>
      <c r="D36" s="361">
        <v>175</v>
      </c>
      <c r="E36" s="364">
        <v>117.5</v>
      </c>
      <c r="F36" s="356"/>
      <c r="G36" s="364">
        <v>90</v>
      </c>
      <c r="H36" s="117"/>
      <c r="I36" s="103"/>
      <c r="J36" s="320" t="s">
        <v>247</v>
      </c>
      <c r="K36" s="312"/>
      <c r="L36" s="95"/>
      <c r="M36" s="379" t="s">
        <v>240</v>
      </c>
      <c r="N36" s="379" t="s">
        <v>242</v>
      </c>
      <c r="O36" s="354"/>
      <c r="P36" s="354"/>
    </row>
    <row r="37" spans="1:16" x14ac:dyDescent="0.2">
      <c r="A37" s="97"/>
      <c r="B37" s="40" t="s">
        <v>3</v>
      </c>
      <c r="C37" s="328">
        <f>C5/'Overview 2016 (in)'!$O$7</f>
        <v>0</v>
      </c>
      <c r="D37" s="361">
        <v>125</v>
      </c>
      <c r="E37" s="364">
        <v>92.5</v>
      </c>
      <c r="F37" s="356"/>
      <c r="G37" s="131">
        <v>75</v>
      </c>
      <c r="H37" s="116"/>
      <c r="I37" s="103"/>
      <c r="J37" s="320" t="s">
        <v>248</v>
      </c>
      <c r="K37" s="312"/>
      <c r="L37" s="95"/>
      <c r="M37" s="379" t="s">
        <v>243</v>
      </c>
      <c r="N37" s="377"/>
      <c r="O37" s="354"/>
      <c r="P37" s="354"/>
    </row>
    <row r="38" spans="1:16" x14ac:dyDescent="0.2">
      <c r="A38" s="97"/>
      <c r="B38" s="37" t="s">
        <v>4</v>
      </c>
      <c r="C38" s="329">
        <f t="shared" ref="C38:C39" si="8">C6</f>
        <v>1500</v>
      </c>
      <c r="D38" s="362">
        <v>1250</v>
      </c>
      <c r="E38" s="380">
        <v>2500</v>
      </c>
      <c r="F38" s="104"/>
      <c r="G38" s="383">
        <f>$E38*(1-$L38)^(G$21-$E$21)</f>
        <v>2850.438562747845</v>
      </c>
      <c r="H38" s="380">
        <v>3250</v>
      </c>
      <c r="I38" s="108"/>
      <c r="J38" s="97" t="s">
        <v>5</v>
      </c>
      <c r="K38" s="312"/>
      <c r="L38" s="95">
        <f>1-(H38/E38)^(1/(H$35-E$35))</f>
        <v>-2.6583631304232025E-2</v>
      </c>
      <c r="M38" s="379" t="s">
        <v>239</v>
      </c>
      <c r="N38" s="377"/>
      <c r="O38" s="354"/>
      <c r="P38" s="354"/>
    </row>
    <row r="39" spans="1:16" x14ac:dyDescent="0.2">
      <c r="A39" s="97"/>
      <c r="B39" s="37" t="s">
        <v>6</v>
      </c>
      <c r="C39" s="329">
        <f t="shared" si="8"/>
        <v>9</v>
      </c>
      <c r="D39" s="362">
        <v>10</v>
      </c>
      <c r="E39" s="380">
        <v>12</v>
      </c>
      <c r="F39" s="104"/>
      <c r="G39" s="383">
        <f>$E39*(1-$L39)^(G$21-$E$21)</f>
        <v>13.416407864998735</v>
      </c>
      <c r="H39" s="380">
        <v>15</v>
      </c>
      <c r="I39" s="108"/>
      <c r="J39" s="97" t="s">
        <v>7</v>
      </c>
      <c r="K39" s="312"/>
      <c r="L39" s="95">
        <f>1-(H39/E39)^(1/(H$21-E$21))</f>
        <v>-2.2565182563572872E-2</v>
      </c>
      <c r="M39" s="379" t="s">
        <v>239</v>
      </c>
      <c r="N39" s="377"/>
      <c r="O39" s="354"/>
      <c r="P39" s="354"/>
    </row>
    <row r="40" spans="1:16" ht="16" thickBot="1" x14ac:dyDescent="0.25">
      <c r="A40" s="97"/>
      <c r="B40" s="6" t="s">
        <v>8</v>
      </c>
      <c r="C40" s="331">
        <v>80</v>
      </c>
      <c r="D40" s="381">
        <v>85</v>
      </c>
      <c r="E40" s="382">
        <v>90</v>
      </c>
      <c r="F40" s="105"/>
      <c r="G40" s="384">
        <f>$E40*(1-$L40)^(G$21-$E$21)</f>
        <v>90</v>
      </c>
      <c r="H40" s="382">
        <v>90</v>
      </c>
      <c r="I40" s="105"/>
      <c r="J40" s="7" t="s">
        <v>9</v>
      </c>
      <c r="K40" s="313"/>
      <c r="L40" s="309">
        <f>1-(H40/E40)^(1/(H$21-E$21))</f>
        <v>0</v>
      </c>
      <c r="M40" s="379" t="s">
        <v>239</v>
      </c>
      <c r="N40" s="379" t="s">
        <v>241</v>
      </c>
      <c r="O40" s="354"/>
      <c r="P40" s="354"/>
    </row>
    <row r="41" spans="1:16" ht="16" thickBot="1" x14ac:dyDescent="0.25">
      <c r="C41" s="213"/>
      <c r="D41" s="320"/>
      <c r="E41" s="3"/>
      <c r="F41" s="31"/>
      <c r="H41" s="3"/>
      <c r="I41" s="31"/>
      <c r="K41" s="305"/>
      <c r="L41" s="305"/>
      <c r="M41" s="379"/>
      <c r="N41" s="44"/>
      <c r="O41" s="3"/>
    </row>
    <row r="42" spans="1:16" x14ac:dyDescent="0.2">
      <c r="A42" s="65" t="s">
        <v>51</v>
      </c>
      <c r="B42" s="62"/>
      <c r="C42" s="49">
        <v>2016</v>
      </c>
      <c r="D42" s="360">
        <v>2013</v>
      </c>
      <c r="E42" s="367">
        <v>2020</v>
      </c>
      <c r="F42" s="367">
        <v>2023</v>
      </c>
      <c r="G42" s="367">
        <v>2025</v>
      </c>
      <c r="H42" s="367">
        <v>2030</v>
      </c>
      <c r="I42" s="38">
        <v>2033</v>
      </c>
      <c r="J42" s="38" t="s">
        <v>1</v>
      </c>
      <c r="K42" s="314"/>
      <c r="L42" s="310"/>
      <c r="M42" s="379" t="s">
        <v>245</v>
      </c>
      <c r="N42" s="372">
        <v>2050</v>
      </c>
      <c r="O42" s="3"/>
    </row>
    <row r="43" spans="1:16" x14ac:dyDescent="0.2">
      <c r="A43" s="97"/>
      <c r="B43" s="37" t="s">
        <v>2</v>
      </c>
      <c r="C43" s="328">
        <f>C4/'Overview 2016 (in)'!$O$7</f>
        <v>140</v>
      </c>
      <c r="D43" s="116"/>
      <c r="E43" s="116"/>
      <c r="F43" s="364">
        <v>136.5</v>
      </c>
      <c r="G43" s="116"/>
      <c r="H43" s="117"/>
      <c r="I43" s="103"/>
      <c r="J43" s="320" t="s">
        <v>247</v>
      </c>
      <c r="K43" s="312">
        <f>1-(F43/C43)^(1/(F$42-C$42))</f>
        <v>3.6102968619006193E-3</v>
      </c>
      <c r="L43" s="95"/>
      <c r="M43" s="379" t="s">
        <v>244</v>
      </c>
      <c r="N43" s="372">
        <v>120</v>
      </c>
      <c r="O43" s="3"/>
    </row>
    <row r="44" spans="1:16" x14ac:dyDescent="0.2">
      <c r="A44" s="97"/>
      <c r="B44" s="40" t="s">
        <v>3</v>
      </c>
      <c r="C44" s="328">
        <f>C5/'Overview 2016 (in)'!$O$7</f>
        <v>0</v>
      </c>
      <c r="D44" s="116"/>
      <c r="E44" s="116"/>
      <c r="F44" s="364">
        <v>72.5</v>
      </c>
      <c r="G44" s="120"/>
      <c r="H44" s="116"/>
      <c r="I44" s="103"/>
      <c r="J44" s="320" t="s">
        <v>248</v>
      </c>
      <c r="K44" s="312"/>
      <c r="L44" s="95"/>
      <c r="M44" s="379" t="s">
        <v>244</v>
      </c>
      <c r="N44" s="372">
        <v>45</v>
      </c>
      <c r="O44" s="3"/>
    </row>
    <row r="45" spans="1:16" x14ac:dyDescent="0.2">
      <c r="A45" s="97"/>
      <c r="B45" s="37" t="s">
        <v>4</v>
      </c>
      <c r="C45" s="329">
        <f t="shared" ref="C45:C47" si="9">C6</f>
        <v>1500</v>
      </c>
      <c r="D45" s="362">
        <v>2500</v>
      </c>
      <c r="E45" s="111">
        <f>$D45*(1-$K45)^(E$21-$C$21)</f>
        <v>2500</v>
      </c>
      <c r="F45" s="380">
        <v>2500</v>
      </c>
      <c r="G45" s="111">
        <f>$F45*(1-$L45)^(G$21-$F$42)</f>
        <v>2500</v>
      </c>
      <c r="H45" s="3"/>
      <c r="I45" s="108"/>
      <c r="J45" s="97" t="s">
        <v>5</v>
      </c>
      <c r="K45" s="312">
        <f>1-(F45/D45)^(1/(F$42-D$42))</f>
        <v>0</v>
      </c>
      <c r="L45" s="95">
        <f>1-(N45/F45)^(1/(H$42-F$42))</f>
        <v>0</v>
      </c>
      <c r="M45" s="379" t="s">
        <v>244</v>
      </c>
      <c r="N45" s="380">
        <v>2500</v>
      </c>
      <c r="O45" s="3"/>
    </row>
    <row r="46" spans="1:16" x14ac:dyDescent="0.2">
      <c r="A46" s="97"/>
      <c r="B46" s="37" t="s">
        <v>6</v>
      </c>
      <c r="C46" s="329">
        <f t="shared" si="9"/>
        <v>9</v>
      </c>
      <c r="D46" s="362">
        <v>10.5</v>
      </c>
      <c r="E46" s="111">
        <f>$C46*(1-$K46)^(E$21-$C$21)</f>
        <v>9.8026643135395268</v>
      </c>
      <c r="F46" s="380">
        <v>13</v>
      </c>
      <c r="G46" s="111">
        <f>$F46*(1-$L46)^(G$21-$F$42)</f>
        <v>13.5425328302765</v>
      </c>
      <c r="H46" s="3"/>
      <c r="I46" s="108"/>
      <c r="J46" s="97" t="s">
        <v>7</v>
      </c>
      <c r="K46" s="312">
        <f>1-(F46/D46)^(1/(F$42-D$42))</f>
        <v>-2.1587111875652099E-2</v>
      </c>
      <c r="L46" s="95">
        <f>1-(N46/F46)^(1/(H$42-F$42))</f>
        <v>-2.0653366543536E-2</v>
      </c>
      <c r="M46" s="379" t="s">
        <v>244</v>
      </c>
      <c r="N46" s="380">
        <v>15</v>
      </c>
      <c r="O46" s="3"/>
    </row>
    <row r="47" spans="1:16" ht="16" thickBot="1" x14ac:dyDescent="0.25">
      <c r="A47" s="97"/>
      <c r="B47" s="6" t="s">
        <v>8</v>
      </c>
      <c r="C47" s="331">
        <f t="shared" si="9"/>
        <v>82</v>
      </c>
      <c r="D47" s="381">
        <v>84</v>
      </c>
      <c r="E47" s="112">
        <f>$C47*(1-$K47)^(E$21-$C$21)</f>
        <v>83.159111207214195</v>
      </c>
      <c r="F47" s="382">
        <v>87</v>
      </c>
      <c r="G47" s="112">
        <f>$F47*(1-$L47)^(G$21-$F$42)</f>
        <v>87.566797723710451</v>
      </c>
      <c r="H47" s="119">
        <v>89</v>
      </c>
      <c r="I47" s="105"/>
      <c r="J47" s="7" t="s">
        <v>9</v>
      </c>
      <c r="K47" s="313">
        <f>1-(F47/D47)^(1/(F$42-D$42))</f>
        <v>-3.515296192992734E-3</v>
      </c>
      <c r="L47" s="309">
        <f>1-(H47/F47)^(1/(H$42-F$42))</f>
        <v>-3.2521698777869812E-3</v>
      </c>
      <c r="M47" s="379" t="s">
        <v>244</v>
      </c>
      <c r="N47" s="372">
        <v>89</v>
      </c>
      <c r="O47" s="3"/>
    </row>
    <row r="48" spans="1:16" ht="16" thickBot="1" x14ac:dyDescent="0.25">
      <c r="C48" s="213"/>
      <c r="D48" s="320"/>
      <c r="E48" s="3"/>
      <c r="F48" s="31"/>
      <c r="H48" s="3"/>
      <c r="I48" s="31"/>
      <c r="K48" s="312"/>
      <c r="L48" s="95"/>
      <c r="M48" s="379"/>
    </row>
    <row r="49" spans="1:14" x14ac:dyDescent="0.2">
      <c r="A49" s="65" t="s">
        <v>103</v>
      </c>
      <c r="B49" s="62"/>
      <c r="C49" s="49">
        <v>2016</v>
      </c>
      <c r="D49" s="360">
        <v>2014</v>
      </c>
      <c r="E49" s="38">
        <v>2017</v>
      </c>
      <c r="F49" s="62">
        <v>2020</v>
      </c>
      <c r="G49" s="62">
        <v>2025</v>
      </c>
      <c r="H49" s="62">
        <v>2030</v>
      </c>
      <c r="I49" s="38">
        <v>2050</v>
      </c>
      <c r="J49" s="38" t="s">
        <v>1</v>
      </c>
      <c r="K49" s="314"/>
      <c r="L49" s="310"/>
      <c r="M49" s="379" t="s">
        <v>246</v>
      </c>
      <c r="N49" s="31">
        <v>2013</v>
      </c>
    </row>
    <row r="50" spans="1:14" x14ac:dyDescent="0.2">
      <c r="A50" s="182"/>
      <c r="B50" s="37" t="s">
        <v>2</v>
      </c>
      <c r="C50" s="334">
        <f>C4</f>
        <v>147</v>
      </c>
      <c r="D50" s="388">
        <v>600</v>
      </c>
      <c r="E50" s="388">
        <v>550</v>
      </c>
      <c r="F50" s="389">
        <v>500</v>
      </c>
      <c r="G50" s="111">
        <f>$F50*(1-$L50)^(G$49-$F$49)</f>
        <v>426.56203118031692</v>
      </c>
      <c r="H50" s="111">
        <f>$F50*(1-$L50)^(H$49-$F$49)</f>
        <v>363.9103328893554</v>
      </c>
      <c r="I50" s="103"/>
      <c r="J50" s="182" t="s">
        <v>22</v>
      </c>
      <c r="K50" s="312">
        <f>1-(E50/D50)^(1/(E$49-D$49))</f>
        <v>2.8587219458090618E-2</v>
      </c>
      <c r="L50" s="95">
        <f>1-(F50/E50)^(1/(F$42-E$42))</f>
        <v>3.1270693848535758E-2</v>
      </c>
      <c r="M50" s="379" t="s">
        <v>249</v>
      </c>
    </row>
    <row r="51" spans="1:14" x14ac:dyDescent="0.2">
      <c r="A51" s="182"/>
      <c r="B51" s="40" t="s">
        <v>3</v>
      </c>
      <c r="C51" s="334">
        <f t="shared" ref="C51:C54" si="10">C5</f>
        <v>0</v>
      </c>
      <c r="D51" s="103"/>
      <c r="E51" s="103"/>
      <c r="F51" s="103"/>
      <c r="G51" s="103"/>
      <c r="H51" s="103"/>
      <c r="I51" s="103"/>
      <c r="J51" s="182" t="s">
        <v>23</v>
      </c>
      <c r="K51" s="312"/>
      <c r="L51" s="95"/>
      <c r="M51" s="379"/>
    </row>
    <row r="52" spans="1:14" x14ac:dyDescent="0.2">
      <c r="A52" s="182"/>
      <c r="B52" s="37" t="s">
        <v>4</v>
      </c>
      <c r="C52" s="334">
        <f t="shared" si="10"/>
        <v>1500</v>
      </c>
      <c r="D52" s="103"/>
      <c r="E52" s="103"/>
      <c r="F52" s="103"/>
      <c r="G52" s="103"/>
      <c r="H52" s="103"/>
      <c r="I52" s="103"/>
      <c r="J52" s="182" t="s">
        <v>5</v>
      </c>
      <c r="K52" s="312"/>
      <c r="L52" s="95"/>
      <c r="M52" s="379" t="s">
        <v>250</v>
      </c>
      <c r="N52" s="3">
        <v>2800</v>
      </c>
    </row>
    <row r="53" spans="1:14" x14ac:dyDescent="0.2">
      <c r="A53" s="182"/>
      <c r="B53" s="37" t="s">
        <v>6</v>
      </c>
      <c r="C53" s="334">
        <f t="shared" si="10"/>
        <v>9</v>
      </c>
      <c r="D53" s="103"/>
      <c r="E53" s="103"/>
      <c r="F53" s="103"/>
      <c r="G53" s="103"/>
      <c r="H53" s="103"/>
      <c r="I53" s="103"/>
      <c r="J53" s="182" t="s">
        <v>7</v>
      </c>
      <c r="K53" s="312"/>
      <c r="L53" s="95"/>
      <c r="M53" s="379" t="s">
        <v>250</v>
      </c>
      <c r="N53" s="3" t="s">
        <v>251</v>
      </c>
    </row>
    <row r="54" spans="1:14" ht="16" thickBot="1" x14ac:dyDescent="0.25">
      <c r="A54" s="182"/>
      <c r="B54" s="6" t="s">
        <v>8</v>
      </c>
      <c r="C54" s="335">
        <f t="shared" si="10"/>
        <v>82</v>
      </c>
      <c r="D54" s="316"/>
      <c r="E54" s="316"/>
      <c r="F54" s="316"/>
      <c r="G54" s="316"/>
      <c r="H54" s="316"/>
      <c r="I54" s="316"/>
      <c r="J54" s="7" t="s">
        <v>9</v>
      </c>
      <c r="K54" s="313"/>
      <c r="L54" s="309"/>
      <c r="M54" s="379"/>
    </row>
    <row r="56" spans="1:14" x14ac:dyDescent="0.2">
      <c r="D56" s="408" t="s">
        <v>262</v>
      </c>
      <c r="E56" s="408" t="s">
        <v>263</v>
      </c>
      <c r="F56" s="408" t="s">
        <v>264</v>
      </c>
      <c r="G56" s="408" t="s">
        <v>265</v>
      </c>
    </row>
    <row r="57" spans="1:14" x14ac:dyDescent="0.2">
      <c r="D57" s="406">
        <f>H22/D22</f>
        <v>0.37142857142857144</v>
      </c>
      <c r="E57" s="406">
        <f>H24/D24</f>
        <v>2.6</v>
      </c>
      <c r="F57" s="406">
        <f>H25/D25</f>
        <v>1.5</v>
      </c>
      <c r="G57" s="406">
        <f>H26/D26</f>
        <v>1.0516129032258064</v>
      </c>
    </row>
    <row r="58" spans="1:14" x14ac:dyDescent="0.2">
      <c r="D58" s="406">
        <f>H29/D29</f>
        <v>0.52810998421962896</v>
      </c>
      <c r="E58" s="406">
        <f>H32/D32</f>
        <v>1.25</v>
      </c>
      <c r="F58" s="406">
        <f>H32/D32</f>
        <v>1.25</v>
      </c>
      <c r="G58" s="406">
        <f>H33/D33</f>
        <v>1</v>
      </c>
    </row>
    <row r="59" spans="1:14" x14ac:dyDescent="0.2">
      <c r="D59" s="406">
        <f>H50/D50</f>
        <v>0.60651722148225895</v>
      </c>
      <c r="E59" s="406">
        <f>H38/D38</f>
        <v>2.6</v>
      </c>
      <c r="F59" s="406">
        <f>H39/D39</f>
        <v>1.5</v>
      </c>
      <c r="G59" s="406">
        <f>H40/D40</f>
        <v>1.0588235294117647</v>
      </c>
    </row>
    <row r="60" spans="1:14" x14ac:dyDescent="0.2">
      <c r="D60" s="406"/>
      <c r="E60" s="406"/>
      <c r="F60" s="406"/>
      <c r="G60" s="406">
        <f>H47/D47</f>
        <v>1.0595238095238095</v>
      </c>
    </row>
    <row r="61" spans="1:14" x14ac:dyDescent="0.2">
      <c r="D61" s="406"/>
      <c r="E61" s="406"/>
      <c r="F61" s="406"/>
      <c r="G61" s="406"/>
    </row>
    <row r="62" spans="1:14" x14ac:dyDescent="0.2">
      <c r="D62" s="408" t="s">
        <v>261</v>
      </c>
      <c r="E62" s="408" t="s">
        <v>261</v>
      </c>
      <c r="F62" s="408" t="s">
        <v>261</v>
      </c>
      <c r="G62" s="408" t="s">
        <v>261</v>
      </c>
    </row>
    <row r="63" spans="1:14" x14ac:dyDescent="0.2">
      <c r="D63" s="406">
        <f>AVERAGE(D57:D59)</f>
        <v>0.50201859237681978</v>
      </c>
      <c r="E63" s="406">
        <f>AVERAGE(E57:E59)</f>
        <v>2.15</v>
      </c>
      <c r="F63" s="406">
        <f>AVERAGE(F57:F59)</f>
        <v>1.4166666666666667</v>
      </c>
      <c r="G63" s="406">
        <f t="shared" ref="G63" si="11">AVERAGE(G57:G60)</f>
        <v>1.0424900605403451</v>
      </c>
    </row>
  </sheetData>
  <hyperlinks>
    <hyperlink ref="E14" r:id="rId1" xr:uid="{00000000-0004-0000-0E00-000000000000}"/>
    <hyperlink ref="E15" r:id="rId2" xr:uid="{00000000-0004-0000-0E00-000001000000}"/>
    <hyperlink ref="E16" r:id="rId3" xr:uid="{00000000-0004-0000-0E00-000002000000}"/>
    <hyperlink ref="E17" r:id="rId4" xr:uid="{00000000-0004-0000-0E00-000003000000}"/>
    <hyperlink ref="E18" r:id="rId5" xr:uid="{00000000-0004-0000-0E00-000004000000}"/>
  </hyperlinks>
  <pageMargins left="0.7" right="0.7" top="0.75" bottom="0.75" header="0.3" footer="0.3"/>
  <pageSetup paperSize="9" orientation="portrait"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O19"/>
  <sheetViews>
    <sheetView zoomScale="85" zoomScaleNormal="85" workbookViewId="0"/>
  </sheetViews>
  <sheetFormatPr baseColWidth="10" defaultColWidth="11.5" defaultRowHeight="15" x14ac:dyDescent="0.2"/>
  <cols>
    <col min="1" max="1" width="11.5" style="192"/>
    <col min="2" max="2" width="27.6640625" style="192" bestFit="1" customWidth="1"/>
    <col min="3" max="5" width="11.5" style="192"/>
    <col min="6" max="6" width="11.5" style="192" customWidth="1"/>
    <col min="7" max="14" width="11.5" style="192"/>
    <col min="15" max="15" width="20.1640625" style="192" bestFit="1" customWidth="1"/>
    <col min="16" max="16384" width="11.5" style="192"/>
  </cols>
  <sheetData>
    <row r="2" spans="2:15" x14ac:dyDescent="0.2">
      <c r="C2" s="39"/>
      <c r="D2" s="39"/>
      <c r="E2" s="39"/>
      <c r="F2" s="39"/>
      <c r="G2" s="39"/>
      <c r="H2" s="39"/>
      <c r="I2" s="39"/>
      <c r="J2" s="39"/>
      <c r="K2" s="39"/>
      <c r="L2" s="39"/>
    </row>
    <row r="3" spans="2:15" x14ac:dyDescent="0.2">
      <c r="C3" s="588">
        <v>2016</v>
      </c>
      <c r="D3" s="588"/>
      <c r="E3" s="588"/>
      <c r="F3" s="589">
        <v>2020</v>
      </c>
      <c r="G3" s="589"/>
      <c r="H3" s="589"/>
      <c r="I3" s="589">
        <v>2025</v>
      </c>
      <c r="J3" s="589"/>
      <c r="K3" s="589"/>
      <c r="L3" s="590">
        <v>2030</v>
      </c>
      <c r="M3" s="590"/>
      <c r="N3" s="590"/>
      <c r="O3" s="195"/>
    </row>
    <row r="4" spans="2:15" ht="20" thickBot="1" x14ac:dyDescent="0.3">
      <c r="B4" s="194" t="s">
        <v>199</v>
      </c>
      <c r="C4" s="196" t="s">
        <v>72</v>
      </c>
      <c r="D4" s="196" t="s">
        <v>73</v>
      </c>
      <c r="E4" s="196" t="s">
        <v>178</v>
      </c>
      <c r="F4" s="196" t="s">
        <v>72</v>
      </c>
      <c r="G4" s="196" t="s">
        <v>73</v>
      </c>
      <c r="H4" s="196" t="s">
        <v>178</v>
      </c>
      <c r="I4" s="196" t="s">
        <v>72</v>
      </c>
      <c r="J4" s="196" t="s">
        <v>73</v>
      </c>
      <c r="K4" s="196" t="s">
        <v>178</v>
      </c>
      <c r="L4" s="196" t="s">
        <v>72</v>
      </c>
      <c r="M4" s="196" t="s">
        <v>73</v>
      </c>
      <c r="N4" s="196" t="s">
        <v>178</v>
      </c>
      <c r="O4" s="196" t="s">
        <v>1</v>
      </c>
    </row>
    <row r="5" spans="2:15" x14ac:dyDescent="0.2">
      <c r="B5" s="51" t="s">
        <v>74</v>
      </c>
      <c r="C5" s="147">
        <f>'Overview 2016 (in)'!D22</f>
        <v>100</v>
      </c>
      <c r="D5" s="52">
        <f>'Overview 2016 (in)'!E22</f>
        <v>50</v>
      </c>
      <c r="E5" s="53">
        <f>'Overview 2016 (in)'!F22</f>
        <v>80</v>
      </c>
      <c r="F5" s="147">
        <f>IFERROR(C5*H5/E5,0)</f>
        <v>100</v>
      </c>
      <c r="G5" s="52">
        <f>IFERROR(D5*H5/E5, 0)</f>
        <v>50</v>
      </c>
      <c r="H5" s="53">
        <f>E5</f>
        <v>80</v>
      </c>
      <c r="I5" s="147">
        <f>IFERROR(F5*K5/H5,0)</f>
        <v>100</v>
      </c>
      <c r="J5" s="52">
        <f>IFERROR(G5*K5/H5, 0)</f>
        <v>50</v>
      </c>
      <c r="K5" s="53">
        <f>H5</f>
        <v>80</v>
      </c>
      <c r="L5" s="147">
        <f>IFERROR(I5*N5/K5,0)</f>
        <v>100</v>
      </c>
      <c r="M5" s="52">
        <f>IFERROR(J5*N5/K5, 0)</f>
        <v>50</v>
      </c>
      <c r="N5" s="53">
        <f>K5</f>
        <v>80</v>
      </c>
      <c r="O5" s="54" t="s">
        <v>75</v>
      </c>
    </row>
    <row r="6" spans="2:15" x14ac:dyDescent="0.2">
      <c r="B6" s="37" t="s">
        <v>76</v>
      </c>
      <c r="C6" s="148">
        <f>'Overview 2016 (in)'!D23</f>
        <v>700</v>
      </c>
      <c r="D6" s="149">
        <f>'Overview 2016 (in)'!E23</f>
        <v>10</v>
      </c>
      <c r="E6" s="150">
        <f>'Overview 2016 (in)'!F23</f>
        <v>350</v>
      </c>
      <c r="F6" s="148">
        <f t="shared" ref="F6:F15" si="0">IFERROR(C6*H6/E6,0)</f>
        <v>700</v>
      </c>
      <c r="G6" s="149">
        <f t="shared" ref="G6:G13" si="1">IFERROR(D6*H6/E6, 0)</f>
        <v>10</v>
      </c>
      <c r="H6" s="150">
        <f>E6</f>
        <v>350</v>
      </c>
      <c r="I6" s="148">
        <f t="shared" ref="I6:I15" si="2">IFERROR(F6*K6/H6,0)</f>
        <v>700</v>
      </c>
      <c r="J6" s="149">
        <f t="shared" ref="J6:J13" si="3">IFERROR(G6*K6/H6, 0)</f>
        <v>10</v>
      </c>
      <c r="K6" s="150">
        <f>H6</f>
        <v>350</v>
      </c>
      <c r="L6" s="148">
        <f t="shared" ref="L6:L15" si="4">IFERROR(I6*N6/K6,0)</f>
        <v>700</v>
      </c>
      <c r="M6" s="149">
        <f t="shared" ref="M6:M13" si="5">IFERROR(J6*N6/K6, 0)</f>
        <v>10</v>
      </c>
      <c r="N6" s="150">
        <f>K6</f>
        <v>350</v>
      </c>
      <c r="O6" s="55" t="s">
        <v>77</v>
      </c>
    </row>
    <row r="7" spans="2:15" x14ac:dyDescent="0.2">
      <c r="B7" s="51" t="s">
        <v>4</v>
      </c>
      <c r="C7" s="151">
        <f>'Overview 2016 (in)'!D24</f>
        <v>2500</v>
      </c>
      <c r="D7" s="56">
        <f>'Overview 2016 (in)'!E24</f>
        <v>250</v>
      </c>
      <c r="E7" s="197">
        <f>'Overview 2016 (in)'!F24</f>
        <v>1500</v>
      </c>
      <c r="F7" s="151">
        <f ca="1">IFERROR(C7*H7/E7,0)</f>
        <v>3111.160568182142</v>
      </c>
      <c r="G7" s="56">
        <f ca="1">IFERROR(D7*H7/E7, 0)</f>
        <v>311.11605681821419</v>
      </c>
      <c r="H7" s="197">
        <f ca="1">INDIRECT(ADDRESS(ROW($B6),COLUMN(D$4),1,,$B$4))</f>
        <v>1866.6963409092853</v>
      </c>
      <c r="I7" s="151">
        <f ca="1">IFERROR(F7*K7/H7,0)</f>
        <v>4089.3138854799363</v>
      </c>
      <c r="J7" s="56">
        <f ca="1">IFERROR(G7*K7/H7, 0)</f>
        <v>408.93138854799361</v>
      </c>
      <c r="K7" s="197">
        <f ca="1">INDIRECT(ADDRESS(ROW($B6),COLUMN(E$4),1,,$B$4))</f>
        <v>2453.5883312879619</v>
      </c>
      <c r="L7" s="151">
        <f ca="1">IFERROR(I7*N7/K7,0)</f>
        <v>5375</v>
      </c>
      <c r="M7" s="56">
        <f ca="1">IFERROR(J7*N7/K7, 0)</f>
        <v>537.49999999999989</v>
      </c>
      <c r="N7" s="197">
        <f ca="1">INDIRECT(ADDRESS(ROW($B6),COLUMN(F$4),1,,$B$4))</f>
        <v>3225</v>
      </c>
      <c r="O7" s="54" t="s">
        <v>5</v>
      </c>
    </row>
    <row r="8" spans="2:15" x14ac:dyDescent="0.2">
      <c r="B8" s="37" t="s">
        <v>6</v>
      </c>
      <c r="C8" s="152">
        <f>'Overview 2016 (in)'!D25</f>
        <v>15</v>
      </c>
      <c r="D8" s="153">
        <f>'Overview 2016 (in)'!E25</f>
        <v>3</v>
      </c>
      <c r="E8" s="199">
        <f>'Overview 2016 (in)'!F25</f>
        <v>9</v>
      </c>
      <c r="F8" s="152">
        <f ca="1">IFERROR(C8*H8/E8,0)</f>
        <v>16.569545458426763</v>
      </c>
      <c r="G8" s="153">
        <f ca="1">IFERROR(D8*H8/E8, 0)</f>
        <v>3.3139090916853524</v>
      </c>
      <c r="H8" s="199">
        <f ca="1">INDIRECT(ADDRESS(ROW($B7),COLUMN(D$4),1,,$B$4))</f>
        <v>9.9417272750560581</v>
      </c>
      <c r="I8" s="152">
        <f ca="1">IFERROR(F8*K8/H8,0)</f>
        <v>18.764403560773495</v>
      </c>
      <c r="J8" s="153">
        <f ca="1">IFERROR(G8*K8/H8, 0)</f>
        <v>3.7528807121546985</v>
      </c>
      <c r="K8" s="199">
        <f ca="1">INDIRECT(ADDRESS(ROW($B7),COLUMN(E$4),1,,$B$4))</f>
        <v>11.258642136464097</v>
      </c>
      <c r="L8" s="152">
        <f ca="1">IFERROR(I8*N8/K8,0)</f>
        <v>21.25</v>
      </c>
      <c r="M8" s="153">
        <f ca="1">IFERROR(J8*N8/K8, 0)</f>
        <v>4.2499999999999991</v>
      </c>
      <c r="N8" s="199">
        <f ca="1">INDIRECT(ADDRESS(ROW($B7),COLUMN(F$4),1,,$B$4))</f>
        <v>12.75</v>
      </c>
      <c r="O8" s="55" t="s">
        <v>7</v>
      </c>
    </row>
    <row r="9" spans="2:15" x14ac:dyDescent="0.2">
      <c r="B9" s="51" t="s">
        <v>78</v>
      </c>
      <c r="C9" s="151">
        <f>'Overview 2016 (in)'!D26</f>
        <v>50</v>
      </c>
      <c r="D9" s="56">
        <f>'Overview 2016 (in)'!E26</f>
        <v>60</v>
      </c>
      <c r="E9" s="57">
        <f>'Overview 2016 (in)'!F26</f>
        <v>50</v>
      </c>
      <c r="F9" s="151">
        <f t="shared" si="0"/>
        <v>50</v>
      </c>
      <c r="G9" s="56">
        <f t="shared" si="1"/>
        <v>60</v>
      </c>
      <c r="H9" s="57">
        <f>E9</f>
        <v>50</v>
      </c>
      <c r="I9" s="151">
        <f t="shared" si="2"/>
        <v>50</v>
      </c>
      <c r="J9" s="56">
        <f t="shared" si="3"/>
        <v>60</v>
      </c>
      <c r="K9" s="57">
        <f>H9</f>
        <v>50</v>
      </c>
      <c r="L9" s="151">
        <f t="shared" si="4"/>
        <v>50</v>
      </c>
      <c r="M9" s="56">
        <f t="shared" si="5"/>
        <v>60</v>
      </c>
      <c r="N9" s="57">
        <f>K9</f>
        <v>50</v>
      </c>
      <c r="O9" s="54" t="s">
        <v>9</v>
      </c>
    </row>
    <row r="10" spans="2:15" x14ac:dyDescent="0.2">
      <c r="B10" s="37" t="s">
        <v>8</v>
      </c>
      <c r="C10" s="152">
        <f>'Overview 2016 (in)'!D27</f>
        <v>92</v>
      </c>
      <c r="D10" s="153">
        <f>'Overview 2016 (in)'!E27</f>
        <v>75</v>
      </c>
      <c r="E10" s="199">
        <f>'Overview 2016 (in)'!F27</f>
        <v>82</v>
      </c>
      <c r="F10" s="152">
        <f ca="1">IFERROR(C10*H10/E10,0)</f>
        <v>93.100332901525519</v>
      </c>
      <c r="G10" s="153">
        <f ca="1">IFERROR(D10*H10/E10, 0)</f>
        <v>75.897010517547983</v>
      </c>
      <c r="H10" s="199">
        <f ca="1">INDIRECT(ADDRESS(ROW($B8),COLUMN(D$4),1,,$B$4))</f>
        <v>82.980731499185794</v>
      </c>
      <c r="I10" s="152">
        <f ca="1">IFERROR(F10*K10/H10,0)</f>
        <v>94.494273873188007</v>
      </c>
      <c r="J10" s="153">
        <f ca="1">IFERROR(G10*K10/H10, 0)</f>
        <v>77.033375440098936</v>
      </c>
      <c r="K10" s="199">
        <f ca="1">INDIRECT(ADDRESS(ROW($B8),COLUMN(E$4),1,,$B$4))</f>
        <v>84.223157147841491</v>
      </c>
      <c r="L10" s="152">
        <f ca="1">IFERROR(I10*N10/K10,0)</f>
        <v>95.909085569711749</v>
      </c>
      <c r="M10" s="153">
        <f ca="1">IFERROR(J10*N10/K10, 0)</f>
        <v>78.186754540525897</v>
      </c>
      <c r="N10" s="199">
        <f ca="1">INDIRECT(ADDRESS(ROW($B8),COLUMN(F$4),1,,$B$4))</f>
        <v>85.484184964308298</v>
      </c>
      <c r="O10" s="55" t="s">
        <v>9</v>
      </c>
    </row>
    <row r="11" spans="2:15" x14ac:dyDescent="0.2">
      <c r="B11" s="51" t="s">
        <v>79</v>
      </c>
      <c r="C11" s="147">
        <f>'Overview 2016 (in)'!D28</f>
        <v>0.09</v>
      </c>
      <c r="D11" s="52">
        <f>'Overview 2016 (in)'!E28</f>
        <v>0.4</v>
      </c>
      <c r="E11" s="53">
        <f>'Overview 2016 (in)'!F28</f>
        <v>0.25</v>
      </c>
      <c r="F11" s="147">
        <f t="shared" si="0"/>
        <v>0.09</v>
      </c>
      <c r="G11" s="52">
        <f t="shared" si="1"/>
        <v>0.4</v>
      </c>
      <c r="H11" s="53">
        <f>E11</f>
        <v>0.25</v>
      </c>
      <c r="I11" s="147">
        <f t="shared" si="2"/>
        <v>0.09</v>
      </c>
      <c r="J11" s="52">
        <f t="shared" si="3"/>
        <v>0.4</v>
      </c>
      <c r="K11" s="53">
        <f>H11</f>
        <v>0.25</v>
      </c>
      <c r="L11" s="147">
        <f t="shared" si="4"/>
        <v>0.09</v>
      </c>
      <c r="M11" s="52">
        <f t="shared" si="5"/>
        <v>0.4</v>
      </c>
      <c r="N11" s="53">
        <f>K11</f>
        <v>0.25</v>
      </c>
      <c r="O11" s="54" t="s">
        <v>80</v>
      </c>
    </row>
    <row r="12" spans="2:15" x14ac:dyDescent="0.2">
      <c r="B12" s="154" t="s">
        <v>81</v>
      </c>
      <c r="C12" s="148">
        <f>'Overview 2016 (in)'!D29</f>
        <v>3.0000000000000001E-3</v>
      </c>
      <c r="D12" s="149">
        <f>'Overview 2016 (in)'!E29</f>
        <v>0.01</v>
      </c>
      <c r="E12" s="150">
        <f>'Overview 2016 (in)'!F29</f>
        <v>6.0000000000000001E-3</v>
      </c>
      <c r="F12" s="148">
        <f t="shared" si="0"/>
        <v>3.0000000000000001E-3</v>
      </c>
      <c r="G12" s="149">
        <f t="shared" si="1"/>
        <v>0.01</v>
      </c>
      <c r="H12" s="150">
        <f>E12</f>
        <v>6.0000000000000001E-3</v>
      </c>
      <c r="I12" s="148">
        <f t="shared" si="2"/>
        <v>3.0000000000000001E-3</v>
      </c>
      <c r="J12" s="149">
        <f t="shared" si="3"/>
        <v>0.01</v>
      </c>
      <c r="K12" s="150">
        <f>H12</f>
        <v>6.0000000000000001E-3</v>
      </c>
      <c r="L12" s="148">
        <f t="shared" si="4"/>
        <v>3.0000000000000001E-3</v>
      </c>
      <c r="M12" s="149">
        <f t="shared" si="5"/>
        <v>0.01</v>
      </c>
      <c r="N12" s="150">
        <f>K12</f>
        <v>6.0000000000000001E-3</v>
      </c>
      <c r="O12" s="155" t="s">
        <v>82</v>
      </c>
    </row>
    <row r="13" spans="2:15" x14ac:dyDescent="0.2">
      <c r="B13" s="156" t="s">
        <v>83</v>
      </c>
      <c r="C13" s="157">
        <f>'Overview 2016 (in)'!D30</f>
        <v>0</v>
      </c>
      <c r="D13" s="58">
        <f>'Overview 2016 (in)'!E30</f>
        <v>0</v>
      </c>
      <c r="E13" s="59">
        <f>'Overview 2016 (in)'!F30</f>
        <v>0</v>
      </c>
      <c r="F13" s="157">
        <f t="shared" si="0"/>
        <v>0</v>
      </c>
      <c r="G13" s="58">
        <f t="shared" si="1"/>
        <v>0</v>
      </c>
      <c r="H13" s="59">
        <f>E13</f>
        <v>0</v>
      </c>
      <c r="I13" s="157">
        <f t="shared" si="2"/>
        <v>0</v>
      </c>
      <c r="J13" s="58">
        <f t="shared" si="3"/>
        <v>0</v>
      </c>
      <c r="K13" s="59">
        <f>H13</f>
        <v>0</v>
      </c>
      <c r="L13" s="157">
        <f t="shared" si="4"/>
        <v>0</v>
      </c>
      <c r="M13" s="58">
        <f t="shared" si="5"/>
        <v>0</v>
      </c>
      <c r="N13" s="59">
        <f>K13</f>
        <v>0</v>
      </c>
      <c r="O13" s="54" t="s">
        <v>7</v>
      </c>
    </row>
    <row r="14" spans="2:15" x14ac:dyDescent="0.2">
      <c r="B14" s="154" t="s">
        <v>2</v>
      </c>
      <c r="C14" s="152">
        <f>'Overview 2016 (in)'!D31</f>
        <v>105</v>
      </c>
      <c r="D14" s="153">
        <f>'Overview 2016 (in)'!E31</f>
        <v>472.5</v>
      </c>
      <c r="E14" s="198">
        <f>'Overview 2016 (in)'!F31</f>
        <v>147</v>
      </c>
      <c r="F14" s="152">
        <f t="shared" ca="1" si="0"/>
        <v>86.23442481645219</v>
      </c>
      <c r="G14" s="153">
        <f t="shared" ref="G14:G15" ca="1" si="6">IFERROR(D14*H14/E14,0)</f>
        <v>388.05491167403488</v>
      </c>
      <c r="H14" s="198">
        <f ca="1">IF(CELL("format",INDIRECT(ADDRESS(ROW($B4),COLUMN(D$4),1,,$B$4)))="W0-",INDIRECT(ADDRESS(ROW($B4),COLUMN(D$4),1,,$B$4))*'Overview 2016 (in)'!$O$7,INDIRECT(ADDRESS(ROW($B4),COLUMN(D$4),1,,$B$4)))</f>
        <v>120.72819474303307</v>
      </c>
      <c r="I14" s="152">
        <f t="shared" ca="1" si="2"/>
        <v>67.420952817962316</v>
      </c>
      <c r="J14" s="153">
        <f t="shared" ref="J14:J15" ca="1" si="7">IFERROR(G14*K14/H14,0)</f>
        <v>303.39428768083042</v>
      </c>
      <c r="K14" s="198">
        <f ca="1">IF(CELL("format",INDIRECT(ADDRESS(ROW($B4),COLUMN(E$4),1,,$B$4)))="W0-",INDIRECT(ADDRESS(ROW($B4),COLUMN(E$4),1,,$B$4))*'Overview 2016 (in)'!$O$7,INDIRECT(ADDRESS(ROW($B4),COLUMN(E$4),1,,$B$4)))</f>
        <v>94.389333945147243</v>
      </c>
      <c r="L14" s="152">
        <f t="shared" ca="1" si="4"/>
        <v>52.711952199566085</v>
      </c>
      <c r="M14" s="153">
        <f t="shared" ref="M14:M15" ca="1" si="8">IFERROR(J14*N14/K14,0)</f>
        <v>237.20378489804736</v>
      </c>
      <c r="N14" s="198">
        <f ca="1">IF(CELL("format",INDIRECT(ADDRESS(ROW($B4),COLUMN(F$4),1,,$B$4)))="W0-",INDIRECT(ADDRESS(ROW($B4),COLUMN(F$4),1,,$B$4))*'Overview 2016 (in)'!$O$7,INDIRECT(ADDRESS(ROW($B4),COLUMN(F$4),1,,$B$4)))</f>
        <v>73.79673307939251</v>
      </c>
      <c r="O14" s="155" t="s">
        <v>22</v>
      </c>
    </row>
    <row r="15" spans="2:15" ht="16" thickBot="1" x14ac:dyDescent="0.25">
      <c r="B15" s="158" t="s">
        <v>3</v>
      </c>
      <c r="C15" s="180">
        <f>'Overview 2016 (in)'!D32</f>
        <v>0</v>
      </c>
      <c r="D15" s="180">
        <f>'Overview 2016 (in)'!E32</f>
        <v>0</v>
      </c>
      <c r="E15" s="200">
        <f>'Overview 2016 (in)'!F32</f>
        <v>0</v>
      </c>
      <c r="F15" s="180">
        <f t="shared" ca="1" si="0"/>
        <v>0</v>
      </c>
      <c r="G15" s="180">
        <f t="shared" ca="1" si="6"/>
        <v>0</v>
      </c>
      <c r="H15" s="200">
        <f ca="1">IF(CELL("format",INDIRECT(ADDRESS(ROW($B5),COLUMN(D$4),1,,$B$4)))="W0-",INDIRECT(ADDRESS(ROW($B5),COLUMN(D$4),1,,$B$4))*'Overview 2016 (in)'!$O$7,INDIRECT(ADDRESS(ROW($B5),COLUMN(D$4),1,,$B$4)))</f>
        <v>0</v>
      </c>
      <c r="I15" s="180">
        <f t="shared" ca="1" si="2"/>
        <v>0</v>
      </c>
      <c r="J15" s="180">
        <f t="shared" ca="1" si="7"/>
        <v>0</v>
      </c>
      <c r="K15" s="200">
        <f ca="1">IF(CELL("format",INDIRECT(ADDRESS(ROW($B5),COLUMN(E$4),1,,$B$4)))="W0-",INDIRECT(ADDRESS(ROW($B5),COLUMN(E$4),1,,$B$4))*'Overview 2016 (in)'!$O$7,INDIRECT(ADDRESS(ROW($B5),COLUMN(E$4),1,,$B$4)))</f>
        <v>0</v>
      </c>
      <c r="L15" s="180">
        <f t="shared" ca="1" si="4"/>
        <v>0</v>
      </c>
      <c r="M15" s="180">
        <f t="shared" ca="1" si="8"/>
        <v>0</v>
      </c>
      <c r="N15" s="200">
        <f ca="1">IF(CELL("format",INDIRECT(ADDRESS(ROW($B5),COLUMN(F$4),1,,$B$4)))="W0-",INDIRECT(ADDRESS(ROW($B5),COLUMN(F$4),1,,$B$4))*'Overview 2016 (in)'!$O$7,INDIRECT(ADDRESS(ROW($B5),COLUMN(F$4),1,,$B$4)))</f>
        <v>0</v>
      </c>
      <c r="O15" s="60" t="s">
        <v>23</v>
      </c>
    </row>
    <row r="17" spans="2:3" x14ac:dyDescent="0.2">
      <c r="C17" s="202"/>
    </row>
    <row r="18" spans="2:3" ht="19" x14ac:dyDescent="0.25">
      <c r="B18" s="201"/>
    </row>
    <row r="19" spans="2:3" x14ac:dyDescent="0.2">
      <c r="B19" s="39"/>
    </row>
  </sheetData>
  <mergeCells count="4">
    <mergeCell ref="C3:E3"/>
    <mergeCell ref="F3:H3"/>
    <mergeCell ref="I3:K3"/>
    <mergeCell ref="L3:N3"/>
  </mergeCells>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6" tint="0.39997558519241921"/>
  </sheetPr>
  <dimension ref="A2:R63"/>
  <sheetViews>
    <sheetView topLeftCell="A16" zoomScale="85" zoomScaleNormal="85" workbookViewId="0"/>
  </sheetViews>
  <sheetFormatPr baseColWidth="10" defaultColWidth="9.1640625" defaultRowHeight="15" x14ac:dyDescent="0.2"/>
  <cols>
    <col min="1" max="1" width="9.1640625" style="97"/>
    <col min="2" max="2" width="26.5" style="97" customWidth="1"/>
    <col min="3" max="8" width="10.6640625" style="97" customWidth="1"/>
    <col min="9" max="9" width="20.33203125" style="97" customWidth="1"/>
    <col min="10" max="10" width="13.83203125" style="97" customWidth="1"/>
    <col min="11" max="16" width="12.6640625" style="97" customWidth="1"/>
    <col min="17" max="16384" width="9.1640625" style="97"/>
  </cols>
  <sheetData>
    <row r="2" spans="2:18" ht="20" thickBot="1" x14ac:dyDescent="0.3">
      <c r="B2" s="41" t="s">
        <v>28</v>
      </c>
      <c r="C2" s="13"/>
      <c r="K2" s="41" t="s">
        <v>0</v>
      </c>
    </row>
    <row r="3" spans="2:18" x14ac:dyDescent="0.2">
      <c r="B3" s="38"/>
      <c r="C3" s="38">
        <v>2016</v>
      </c>
      <c r="D3" s="38">
        <v>2020</v>
      </c>
      <c r="E3" s="38">
        <v>2025</v>
      </c>
      <c r="F3" s="38">
        <v>2030</v>
      </c>
      <c r="G3" s="38" t="s">
        <v>1</v>
      </c>
      <c r="H3" s="40"/>
      <c r="I3" s="38" t="s">
        <v>17</v>
      </c>
      <c r="J3" s="38" t="s">
        <v>18</v>
      </c>
      <c r="K3" s="38" t="s">
        <v>19</v>
      </c>
      <c r="L3" s="38" t="s">
        <v>20</v>
      </c>
      <c r="N3" s="407">
        <f>1-(F4/C4)^(1/(F$3-C$3))</f>
        <v>4.8030919417362594E-2</v>
      </c>
    </row>
    <row r="4" spans="2:18" x14ac:dyDescent="0.2">
      <c r="B4" s="37" t="s">
        <v>2</v>
      </c>
      <c r="C4" s="165">
        <f>'Overview 2016 (in)'!I31</f>
        <v>262.5</v>
      </c>
      <c r="D4" s="68">
        <f>$C4*(1-$N3)^(D$3-$C$3)</f>
        <v>215.58606204113048</v>
      </c>
      <c r="E4" s="68">
        <f>$C4*(1-$N3)^(E$3-$C$3)</f>
        <v>168.55238204490578</v>
      </c>
      <c r="F4" s="68">
        <f>C4*D63</f>
        <v>131.77988049891519</v>
      </c>
      <c r="G4" s="97" t="s">
        <v>22</v>
      </c>
      <c r="I4" s="79" t="s">
        <v>52</v>
      </c>
      <c r="J4" s="42" t="s">
        <v>66</v>
      </c>
      <c r="K4" s="42" t="s">
        <v>66</v>
      </c>
      <c r="L4" s="42" t="s">
        <v>66</v>
      </c>
      <c r="N4" s="407"/>
    </row>
    <row r="5" spans="2:18" x14ac:dyDescent="0.2">
      <c r="B5" s="40" t="s">
        <v>3</v>
      </c>
      <c r="C5" s="164">
        <f>'Overview 2016 (in)'!F32</f>
        <v>0</v>
      </c>
      <c r="D5" s="68">
        <v>0</v>
      </c>
      <c r="E5" s="68">
        <v>0</v>
      </c>
      <c r="F5" s="68">
        <v>0</v>
      </c>
      <c r="G5" s="97" t="s">
        <v>23</v>
      </c>
      <c r="I5" s="79" t="s">
        <v>52</v>
      </c>
      <c r="J5" s="42">
        <v>1</v>
      </c>
      <c r="K5" s="42">
        <v>1</v>
      </c>
      <c r="L5" s="42">
        <v>1</v>
      </c>
      <c r="N5" s="407">
        <f t="shared" ref="N5:N7" si="0">1-(F6/C6)^(1/(F$3-C$3))</f>
        <v>-5.6198640827628488E-2</v>
      </c>
    </row>
    <row r="6" spans="2:18" x14ac:dyDescent="0.2">
      <c r="B6" s="37" t="s">
        <v>4</v>
      </c>
      <c r="C6" s="81">
        <f>'Overview 2016 (in)'!F24</f>
        <v>1500</v>
      </c>
      <c r="D6" s="73">
        <f t="shared" ref="D6:E8" si="1">$C6*(1-$N5)^(D$3-$C$3)</f>
        <v>1866.6963409092853</v>
      </c>
      <c r="E6" s="73">
        <f t="shared" si="1"/>
        <v>2453.5883312879619</v>
      </c>
      <c r="F6" s="69">
        <f>C6*E63</f>
        <v>3225</v>
      </c>
      <c r="G6" s="97" t="s">
        <v>5</v>
      </c>
      <c r="I6" s="79" t="s">
        <v>52</v>
      </c>
      <c r="J6" s="42" t="s">
        <v>66</v>
      </c>
      <c r="K6" s="42" t="s">
        <v>66</v>
      </c>
      <c r="L6" s="42" t="s">
        <v>66</v>
      </c>
      <c r="N6" s="407">
        <f t="shared" si="0"/>
        <v>-2.519111574018984E-2</v>
      </c>
    </row>
    <row r="7" spans="2:18" x14ac:dyDescent="0.2">
      <c r="B7" s="37" t="s">
        <v>6</v>
      </c>
      <c r="C7" s="81">
        <f>'Overview 2016 (in)'!I25</f>
        <v>9</v>
      </c>
      <c r="D7" s="85">
        <f t="shared" si="1"/>
        <v>9.9417272750560581</v>
      </c>
      <c r="E7" s="85">
        <f t="shared" si="1"/>
        <v>11.258642136464097</v>
      </c>
      <c r="F7" s="127">
        <f>C7*F63</f>
        <v>12.75</v>
      </c>
      <c r="G7" s="97" t="s">
        <v>7</v>
      </c>
      <c r="I7" s="79" t="s">
        <v>52</v>
      </c>
      <c r="J7" s="42" t="s">
        <v>66</v>
      </c>
      <c r="K7" s="42" t="s">
        <v>66</v>
      </c>
      <c r="L7" s="42" t="s">
        <v>66</v>
      </c>
      <c r="N7" s="407">
        <f t="shared" si="0"/>
        <v>-2.97671739297245E-3</v>
      </c>
    </row>
    <row r="8" spans="2:18" ht="16" thickBot="1" x14ac:dyDescent="0.25">
      <c r="B8" s="6" t="s">
        <v>8</v>
      </c>
      <c r="C8" s="82">
        <f>'Overview 2016 (in)'!I27</f>
        <v>80</v>
      </c>
      <c r="D8" s="78">
        <f t="shared" si="1"/>
        <v>80.956811218717846</v>
      </c>
      <c r="E8" s="78">
        <f t="shared" si="1"/>
        <v>82.168933802772187</v>
      </c>
      <c r="F8" s="78">
        <f>C8*G63</f>
        <v>83.399204843227608</v>
      </c>
      <c r="G8" s="7" t="s">
        <v>9</v>
      </c>
      <c r="H8" s="39"/>
      <c r="I8" s="80" t="s">
        <v>52</v>
      </c>
      <c r="J8" s="83" t="s">
        <v>66</v>
      </c>
      <c r="K8" s="83" t="s">
        <v>66</v>
      </c>
      <c r="L8" s="83" t="s">
        <v>66</v>
      </c>
      <c r="N8" s="320"/>
    </row>
    <row r="9" spans="2:18" x14ac:dyDescent="0.2">
      <c r="B9" s="37"/>
      <c r="C9" s="44"/>
      <c r="J9" s="39"/>
      <c r="K9" s="39"/>
      <c r="L9" s="39"/>
      <c r="M9" s="39"/>
    </row>
    <row r="10" spans="2:18" x14ac:dyDescent="0.2">
      <c r="B10" s="315"/>
      <c r="C10" s="315"/>
      <c r="D10" s="39"/>
      <c r="E10" s="39"/>
      <c r="F10" s="39"/>
      <c r="G10" s="39"/>
      <c r="H10" s="39"/>
      <c r="I10" s="39"/>
      <c r="J10" s="39"/>
      <c r="K10" s="39"/>
      <c r="L10" s="39"/>
      <c r="M10" s="39"/>
      <c r="N10" s="39"/>
      <c r="O10" s="39"/>
      <c r="P10" s="39"/>
      <c r="Q10" s="39"/>
      <c r="R10" s="39"/>
    </row>
    <row r="11" spans="2:18" x14ac:dyDescent="0.2">
      <c r="B11" s="39"/>
      <c r="C11" s="39"/>
      <c r="D11" s="39"/>
      <c r="E11" s="39"/>
      <c r="F11" s="39"/>
      <c r="G11" s="39"/>
      <c r="H11" s="39"/>
      <c r="I11" s="39"/>
      <c r="J11" s="39"/>
      <c r="K11" s="2" t="s">
        <v>68</v>
      </c>
      <c r="L11" s="43"/>
      <c r="M11" s="43"/>
      <c r="N11" s="43"/>
      <c r="O11" s="43"/>
      <c r="P11" s="43"/>
      <c r="Q11" s="43"/>
      <c r="R11" s="43"/>
    </row>
    <row r="12" spans="2:18" ht="20" thickBot="1" x14ac:dyDescent="0.3">
      <c r="B12" s="41" t="s">
        <v>10</v>
      </c>
      <c r="K12" s="18" t="s">
        <v>69</v>
      </c>
      <c r="L12" s="42"/>
      <c r="M12" s="42"/>
      <c r="N12" s="42"/>
      <c r="O12" s="42"/>
      <c r="P12" s="42"/>
      <c r="Q12" s="42"/>
      <c r="R12" s="42"/>
    </row>
    <row r="13" spans="2:18" x14ac:dyDescent="0.2">
      <c r="B13" s="98" t="s">
        <v>11</v>
      </c>
      <c r="C13" s="98" t="s">
        <v>12</v>
      </c>
      <c r="D13" s="98" t="s">
        <v>13</v>
      </c>
      <c r="E13" s="98" t="s">
        <v>225</v>
      </c>
      <c r="F13" s="100" t="s">
        <v>60</v>
      </c>
      <c r="G13" s="98"/>
      <c r="H13" s="100" t="s">
        <v>105</v>
      </c>
      <c r="I13" s="302"/>
      <c r="J13" s="302"/>
      <c r="K13" s="93" t="s">
        <v>71</v>
      </c>
      <c r="L13" s="93"/>
      <c r="M13" s="42"/>
      <c r="N13" s="42"/>
      <c r="O13" s="42"/>
      <c r="P13" s="42"/>
      <c r="Q13" s="42"/>
      <c r="R13" s="42"/>
    </row>
    <row r="14" spans="2:18" x14ac:dyDescent="0.2">
      <c r="B14" s="97">
        <v>1</v>
      </c>
      <c r="C14" s="97" t="s">
        <v>15</v>
      </c>
      <c r="D14" s="97" t="s">
        <v>16</v>
      </c>
      <c r="E14" s="303" t="s">
        <v>226</v>
      </c>
      <c r="F14" s="145" t="s">
        <v>61</v>
      </c>
      <c r="G14" s="302"/>
      <c r="H14" s="282" t="s">
        <v>106</v>
      </c>
      <c r="I14" s="302"/>
      <c r="J14" s="302"/>
      <c r="K14" s="109"/>
      <c r="L14" s="42"/>
      <c r="M14" s="42"/>
      <c r="N14" s="42"/>
      <c r="O14" s="42"/>
      <c r="P14" s="42"/>
      <c r="Q14" s="42"/>
      <c r="R14" s="42"/>
    </row>
    <row r="15" spans="2:18" x14ac:dyDescent="0.2">
      <c r="B15" s="97">
        <v>2</v>
      </c>
      <c r="C15" s="97" t="s">
        <v>24</v>
      </c>
      <c r="D15" s="97" t="s">
        <v>25</v>
      </c>
      <c r="E15" s="303" t="s">
        <v>227</v>
      </c>
      <c r="F15" s="145" t="s">
        <v>62</v>
      </c>
      <c r="G15" s="302"/>
      <c r="H15" s="282" t="s">
        <v>106</v>
      </c>
      <c r="I15" s="302"/>
      <c r="J15" s="302"/>
      <c r="L15" s="42"/>
      <c r="M15" s="42"/>
      <c r="N15" s="42"/>
      <c r="O15" s="42"/>
      <c r="P15" s="42"/>
      <c r="Q15" s="42"/>
      <c r="R15" s="42"/>
    </row>
    <row r="16" spans="2:18" x14ac:dyDescent="0.2">
      <c r="B16" s="97">
        <v>3</v>
      </c>
      <c r="C16" s="97" t="s">
        <v>29</v>
      </c>
      <c r="D16" s="97" t="s">
        <v>30</v>
      </c>
      <c r="E16" s="303" t="s">
        <v>230</v>
      </c>
      <c r="F16" s="145" t="s">
        <v>65</v>
      </c>
      <c r="G16" s="302"/>
      <c r="H16" s="282" t="s">
        <v>106</v>
      </c>
      <c r="I16" s="302"/>
      <c r="J16" s="302"/>
      <c r="L16" s="42"/>
      <c r="M16" s="42"/>
      <c r="N16" s="42"/>
      <c r="O16" s="42"/>
      <c r="P16" s="42"/>
      <c r="Q16" s="42"/>
      <c r="R16" s="42"/>
    </row>
    <row r="17" spans="1:18" x14ac:dyDescent="0.2">
      <c r="B17" s="97">
        <v>4</v>
      </c>
      <c r="C17" s="97" t="s">
        <v>58</v>
      </c>
      <c r="D17" s="97" t="s">
        <v>59</v>
      </c>
      <c r="E17" s="303" t="s">
        <v>228</v>
      </c>
      <c r="F17" s="145" t="s">
        <v>63</v>
      </c>
      <c r="G17" s="302"/>
      <c r="H17" s="282" t="s">
        <v>106</v>
      </c>
      <c r="I17" s="302"/>
      <c r="J17" s="302"/>
      <c r="L17" s="42"/>
      <c r="M17" s="42"/>
      <c r="N17" s="42"/>
      <c r="O17" s="42"/>
      <c r="P17" s="42"/>
      <c r="Q17" s="42"/>
      <c r="R17" s="42"/>
    </row>
    <row r="18" spans="1:18" x14ac:dyDescent="0.2">
      <c r="B18" s="182">
        <v>5</v>
      </c>
      <c r="C18" s="182" t="s">
        <v>100</v>
      </c>
      <c r="D18" s="182" t="s">
        <v>101</v>
      </c>
      <c r="E18" s="303" t="s">
        <v>231</v>
      </c>
      <c r="F18" s="145" t="s">
        <v>102</v>
      </c>
      <c r="G18" s="302"/>
      <c r="H18" s="185" t="s">
        <v>104</v>
      </c>
      <c r="I18" s="302"/>
      <c r="J18" s="39"/>
      <c r="L18" s="42"/>
      <c r="M18" s="42"/>
      <c r="N18" s="42"/>
      <c r="O18" s="42"/>
      <c r="P18" s="42"/>
      <c r="Q18" s="42"/>
      <c r="R18" s="42"/>
    </row>
    <row r="19" spans="1:18" x14ac:dyDescent="0.2">
      <c r="A19" s="304" t="s">
        <v>232</v>
      </c>
      <c r="L19" s="42"/>
      <c r="M19" s="42"/>
      <c r="N19" s="42"/>
      <c r="O19" s="42"/>
      <c r="P19" s="42"/>
      <c r="Q19" s="42"/>
      <c r="R19" s="42"/>
    </row>
    <row r="20" spans="1:18" ht="16" thickBot="1" x14ac:dyDescent="0.25">
      <c r="A20" s="304" t="s">
        <v>47</v>
      </c>
      <c r="B20" s="42"/>
      <c r="C20" s="332" t="s">
        <v>183</v>
      </c>
      <c r="D20" s="333" t="s">
        <v>234</v>
      </c>
      <c r="E20" s="320"/>
      <c r="F20" s="320"/>
      <c r="G20" s="320"/>
      <c r="H20" s="320"/>
      <c r="I20" s="320"/>
      <c r="J20" s="320"/>
      <c r="K20" s="320"/>
      <c r="L20" s="42"/>
      <c r="M20" s="42"/>
      <c r="N20" s="42"/>
      <c r="O20" s="42"/>
      <c r="P20" s="42"/>
      <c r="Q20" s="42"/>
      <c r="R20" s="42"/>
    </row>
    <row r="21" spans="1:18" x14ac:dyDescent="0.2">
      <c r="A21" s="65" t="s">
        <v>49</v>
      </c>
      <c r="B21" s="38"/>
      <c r="C21" s="49">
        <v>2016</v>
      </c>
      <c r="D21" s="360">
        <v>2012</v>
      </c>
      <c r="E21" s="367">
        <v>2020</v>
      </c>
      <c r="F21" s="38">
        <v>2023</v>
      </c>
      <c r="G21" s="367">
        <v>2025</v>
      </c>
      <c r="H21" s="367">
        <v>2030</v>
      </c>
      <c r="I21" s="38">
        <v>2033</v>
      </c>
      <c r="J21" s="38" t="s">
        <v>1</v>
      </c>
      <c r="K21" s="48" t="s">
        <v>54</v>
      </c>
      <c r="L21" s="38" t="s">
        <v>55</v>
      </c>
      <c r="M21" s="378" t="s">
        <v>236</v>
      </c>
      <c r="N21" s="354"/>
      <c r="O21" s="355"/>
      <c r="P21" s="42"/>
      <c r="Q21" s="42"/>
      <c r="R21" s="42"/>
    </row>
    <row r="22" spans="1:18" x14ac:dyDescent="0.2">
      <c r="B22" s="37" t="s">
        <v>2</v>
      </c>
      <c r="C22" s="328">
        <f>C4/'Overview 2016 (in)'!$O$7</f>
        <v>250</v>
      </c>
      <c r="D22" s="368">
        <v>175</v>
      </c>
      <c r="E22" s="110">
        <f>$D22*(1-$K22)^(E$21-$D$21)</f>
        <v>112.68640368778088</v>
      </c>
      <c r="F22" s="103"/>
      <c r="G22" s="110">
        <f>$D22*(1-$K22)^(G$21-$D$21)</f>
        <v>85.583971862176085</v>
      </c>
      <c r="H22" s="364">
        <v>65</v>
      </c>
      <c r="I22" s="103"/>
      <c r="J22" s="320" t="s">
        <v>247</v>
      </c>
      <c r="K22" s="312">
        <f>1-(H22/D22)^(1/(H$21-D$21))</f>
        <v>5.3535816672152792E-2</v>
      </c>
      <c r="L22" s="95"/>
      <c r="M22" s="379"/>
      <c r="N22" s="354"/>
      <c r="O22" s="354"/>
      <c r="P22" s="320"/>
    </row>
    <row r="23" spans="1:18" x14ac:dyDescent="0.2">
      <c r="B23" s="40" t="s">
        <v>3</v>
      </c>
      <c r="C23" s="328">
        <f>C5/'Overview 2016 (in)'!$O$7</f>
        <v>0</v>
      </c>
      <c r="D23" s="368">
        <v>175</v>
      </c>
      <c r="E23" s="110">
        <f t="shared" ref="E23:E26" si="2">$D23*(1-$K23)^(E$21-$D$21)</f>
        <v>100.28362609809263</v>
      </c>
      <c r="F23" s="103"/>
      <c r="G23" s="110">
        <f t="shared" ref="G23:G26" si="3">$D23*(1-$K23)^(G$21-$D$21)</f>
        <v>70.8108840850376</v>
      </c>
      <c r="H23" s="364">
        <v>50</v>
      </c>
      <c r="I23" s="103"/>
      <c r="J23" s="320" t="s">
        <v>248</v>
      </c>
      <c r="K23" s="312">
        <f t="shared" ref="K23:K26" si="4">1-(H23/D23)^(1/(H$21-D$21))</f>
        <v>6.7231228975996538E-2</v>
      </c>
      <c r="L23" s="95"/>
      <c r="M23" s="379"/>
      <c r="N23" s="354"/>
      <c r="O23" s="354"/>
      <c r="P23" s="320"/>
    </row>
    <row r="24" spans="1:18" x14ac:dyDescent="0.2">
      <c r="B24" s="37" t="s">
        <v>4</v>
      </c>
      <c r="C24" s="329">
        <f>C6</f>
        <v>1500</v>
      </c>
      <c r="D24" s="369">
        <v>1250</v>
      </c>
      <c r="E24" s="111">
        <f t="shared" si="2"/>
        <v>1911.360523899896</v>
      </c>
      <c r="F24" s="104"/>
      <c r="G24" s="111">
        <f t="shared" si="3"/>
        <v>2492.3727054103797</v>
      </c>
      <c r="H24" s="365">
        <v>3250</v>
      </c>
      <c r="I24" s="106"/>
      <c r="J24" s="320" t="s">
        <v>5</v>
      </c>
      <c r="K24" s="312">
        <f t="shared" si="4"/>
        <v>-5.4518188416973867E-2</v>
      </c>
      <c r="L24" s="95"/>
      <c r="M24" s="379"/>
      <c r="N24" s="354"/>
      <c r="O24" s="354"/>
      <c r="P24" s="320"/>
    </row>
    <row r="25" spans="1:18" x14ac:dyDescent="0.2">
      <c r="B25" s="37" t="s">
        <v>6</v>
      </c>
      <c r="C25" s="329">
        <f>C7</f>
        <v>9</v>
      </c>
      <c r="D25" s="369">
        <v>10</v>
      </c>
      <c r="E25" s="111">
        <f t="shared" si="2"/>
        <v>11.97464871148404</v>
      </c>
      <c r="F25" s="104"/>
      <c r="G25" s="111">
        <f t="shared" si="3"/>
        <v>13.402228571109386</v>
      </c>
      <c r="H25" s="365">
        <v>15</v>
      </c>
      <c r="I25" s="106"/>
      <c r="J25" s="320" t="s">
        <v>7</v>
      </c>
      <c r="K25" s="312">
        <f t="shared" si="4"/>
        <v>-2.2781461820273075E-2</v>
      </c>
      <c r="L25" s="95"/>
      <c r="M25" s="379"/>
      <c r="N25" s="354"/>
      <c r="O25" s="354"/>
      <c r="P25" s="320"/>
    </row>
    <row r="26" spans="1:18" ht="16" thickBot="1" x14ac:dyDescent="0.25">
      <c r="B26" s="6" t="s">
        <v>8</v>
      </c>
      <c r="C26" s="330">
        <f>C8</f>
        <v>80</v>
      </c>
      <c r="D26" s="370">
        <v>77.5</v>
      </c>
      <c r="E26" s="112">
        <f t="shared" si="2"/>
        <v>79.252950338406038</v>
      </c>
      <c r="F26" s="105"/>
      <c r="G26" s="112">
        <f t="shared" si="3"/>
        <v>80.368622313562625</v>
      </c>
      <c r="H26" s="366">
        <v>81.5</v>
      </c>
      <c r="I26" s="107"/>
      <c r="J26" s="7" t="s">
        <v>9</v>
      </c>
      <c r="K26" s="313">
        <f t="shared" si="4"/>
        <v>-2.7997499937175707E-3</v>
      </c>
      <c r="L26" s="309"/>
      <c r="M26" s="379"/>
      <c r="N26" s="354"/>
      <c r="O26" s="354"/>
      <c r="P26" s="320"/>
    </row>
    <row r="27" spans="1:18" ht="16" thickBot="1" x14ac:dyDescent="0.25">
      <c r="C27" s="213"/>
      <c r="D27" s="320"/>
      <c r="E27" s="320"/>
      <c r="F27" s="320"/>
      <c r="G27" s="320"/>
      <c r="H27" s="320"/>
      <c r="I27" s="320"/>
      <c r="J27" s="320"/>
      <c r="K27" s="312"/>
      <c r="L27" s="95"/>
      <c r="M27" s="379"/>
      <c r="N27" s="354"/>
      <c r="O27" s="354"/>
      <c r="P27" s="320"/>
    </row>
    <row r="28" spans="1:18" x14ac:dyDescent="0.2">
      <c r="A28" s="65" t="s">
        <v>56</v>
      </c>
      <c r="B28" s="38"/>
      <c r="C28" s="49">
        <v>2016</v>
      </c>
      <c r="D28" s="374">
        <v>2014</v>
      </c>
      <c r="E28" s="367">
        <v>2020</v>
      </c>
      <c r="F28" s="374">
        <v>2023</v>
      </c>
      <c r="G28" s="367">
        <v>2025</v>
      </c>
      <c r="H28" s="367">
        <v>2030</v>
      </c>
      <c r="I28" s="38">
        <v>2033</v>
      </c>
      <c r="J28" s="38" t="s">
        <v>1</v>
      </c>
      <c r="K28" s="314"/>
      <c r="L28" s="310"/>
      <c r="M28" s="379" t="s">
        <v>238</v>
      </c>
      <c r="N28" s="354"/>
      <c r="O28" s="354"/>
      <c r="P28" s="320"/>
    </row>
    <row r="29" spans="1:18" x14ac:dyDescent="0.2">
      <c r="B29" s="37" t="s">
        <v>2</v>
      </c>
      <c r="C29" s="328">
        <f>C4/'Overview 2016 (in)'!$O$7</f>
        <v>250</v>
      </c>
      <c r="D29" s="361">
        <v>200</v>
      </c>
      <c r="E29" s="110">
        <f>$D29*(1-$K29)^(E$28-$D$28)</f>
        <v>142.27573217960256</v>
      </c>
      <c r="F29" s="372">
        <v>120</v>
      </c>
      <c r="G29" s="110">
        <f>$F29*(1-$L29)^(G$28-$F$28)</f>
        <v>115.70310048031526</v>
      </c>
      <c r="H29" s="110">
        <f>$F29*(1-$L29)^(H$28-$F$28)</f>
        <v>105.6219968439258</v>
      </c>
      <c r="I29" s="68">
        <v>100</v>
      </c>
      <c r="J29" s="320" t="s">
        <v>247</v>
      </c>
      <c r="K29" s="312">
        <f>1-(F29/D29)^(1/(F$28-D$28))</f>
        <v>5.5177691630814762E-2</v>
      </c>
      <c r="L29" s="95">
        <f>1-(I29/F29)^(1/(I$28-F$28))</f>
        <v>1.806695543808734E-2</v>
      </c>
      <c r="M29" s="379" t="s">
        <v>238</v>
      </c>
      <c r="N29" s="354"/>
      <c r="O29" s="354"/>
      <c r="P29" s="320"/>
    </row>
    <row r="30" spans="1:18" x14ac:dyDescent="0.2">
      <c r="B30" s="40" t="s">
        <v>3</v>
      </c>
      <c r="C30" s="328">
        <f>C5/'Overview 2016 (in)'!$O$7</f>
        <v>0</v>
      </c>
      <c r="D30" s="375">
        <v>160</v>
      </c>
      <c r="E30" s="116">
        <f>$D30*(1-$K30)^(E$28-$D$28)</f>
        <v>109.02723556992838</v>
      </c>
      <c r="F30" s="376">
        <v>90</v>
      </c>
      <c r="G30" s="116">
        <f>$F30*(1-$L30)^(G$28-$F$28)</f>
        <v>76.52547003754745</v>
      </c>
      <c r="H30" s="116">
        <f>$F30*(1-$L30)^(H$28-$F$28)</f>
        <v>51.016980025031621</v>
      </c>
      <c r="I30" s="103">
        <v>40</v>
      </c>
      <c r="J30" s="320" t="s">
        <v>248</v>
      </c>
      <c r="K30" s="312">
        <f>1-(F30/D30)^(1/(F$28-D$28))</f>
        <v>6.1928727543806406E-2</v>
      </c>
      <c r="L30" s="95">
        <f>1-(I30/F30)^(1/(I$28-F$28))</f>
        <v>7.7892088518272229E-2</v>
      </c>
      <c r="M30" s="379" t="s">
        <v>238</v>
      </c>
      <c r="N30" s="354"/>
      <c r="O30" s="354"/>
      <c r="P30" s="320"/>
    </row>
    <row r="31" spans="1:18" x14ac:dyDescent="0.2">
      <c r="B31" s="37" t="s">
        <v>4</v>
      </c>
      <c r="C31" s="329">
        <f t="shared" ref="C31:C33" si="5">C6</f>
        <v>1500</v>
      </c>
      <c r="D31" s="371"/>
      <c r="E31" s="108"/>
      <c r="F31" s="371"/>
      <c r="G31" s="108"/>
      <c r="H31" s="108"/>
      <c r="I31" s="108"/>
      <c r="J31" s="320" t="s">
        <v>5</v>
      </c>
      <c r="K31" s="312"/>
      <c r="L31" s="95"/>
      <c r="M31" s="379"/>
      <c r="N31" s="354"/>
      <c r="O31" s="354"/>
      <c r="P31" s="320"/>
    </row>
    <row r="32" spans="1:18" x14ac:dyDescent="0.2">
      <c r="B32" s="37" t="s">
        <v>6</v>
      </c>
      <c r="C32" s="329">
        <f t="shared" si="5"/>
        <v>9</v>
      </c>
      <c r="D32" s="362">
        <v>8</v>
      </c>
      <c r="E32" s="111">
        <f t="shared" ref="E32:E33" si="6">$D32*(1-$K32)^(E$28-$D$28)</f>
        <v>9.2831776672255586</v>
      </c>
      <c r="F32" s="372">
        <v>10</v>
      </c>
      <c r="G32" s="111">
        <f t="shared" ref="G32:H33" si="7">$F32*(1-$L32)^(G$28-$F$28)</f>
        <v>10</v>
      </c>
      <c r="H32" s="111">
        <f t="shared" si="7"/>
        <v>10</v>
      </c>
      <c r="I32" s="75">
        <v>10</v>
      </c>
      <c r="J32" s="320" t="s">
        <v>7</v>
      </c>
      <c r="K32" s="312">
        <f>1-(F32/D32)^(1/(F$28-D$28))</f>
        <v>-2.5103648456901162E-2</v>
      </c>
      <c r="L32" s="95">
        <f>1-(I32/F32)^(1/(I$28-F$28))</f>
        <v>0</v>
      </c>
      <c r="M32" s="379" t="s">
        <v>238</v>
      </c>
      <c r="N32" s="354"/>
      <c r="O32" s="354"/>
      <c r="P32" s="320"/>
    </row>
    <row r="33" spans="1:16" ht="16" thickBot="1" x14ac:dyDescent="0.25">
      <c r="B33" s="6" t="s">
        <v>8</v>
      </c>
      <c r="C33" s="330">
        <f t="shared" si="5"/>
        <v>80</v>
      </c>
      <c r="D33" s="363">
        <v>80</v>
      </c>
      <c r="E33" s="112">
        <f t="shared" si="6"/>
        <v>80</v>
      </c>
      <c r="F33" s="373">
        <v>80</v>
      </c>
      <c r="G33" s="112">
        <f t="shared" si="7"/>
        <v>80</v>
      </c>
      <c r="H33" s="112">
        <f t="shared" si="7"/>
        <v>80</v>
      </c>
      <c r="I33" s="102">
        <v>80</v>
      </c>
      <c r="J33" s="7" t="s">
        <v>9</v>
      </c>
      <c r="K33" s="313">
        <f>1-(F33/D33)^(1/(F$28-D$28))</f>
        <v>0</v>
      </c>
      <c r="L33" s="309">
        <f>1-(I33/F33)^(1/(I$28-F$28))</f>
        <v>0</v>
      </c>
      <c r="M33" s="379" t="s">
        <v>238</v>
      </c>
      <c r="N33" s="354"/>
      <c r="O33" s="354"/>
      <c r="P33" s="320"/>
    </row>
    <row r="34" spans="1:16" ht="16" thickBot="1" x14ac:dyDescent="0.25">
      <c r="C34" s="213"/>
      <c r="D34" s="320"/>
      <c r="E34" s="320"/>
      <c r="F34" s="320"/>
      <c r="G34" s="320"/>
      <c r="H34" s="320"/>
      <c r="I34" s="320"/>
      <c r="J34" s="320"/>
      <c r="K34" s="312"/>
      <c r="L34" s="95"/>
      <c r="M34" s="379"/>
      <c r="N34" s="320"/>
      <c r="O34" s="320"/>
      <c r="P34" s="320"/>
    </row>
    <row r="35" spans="1:16" x14ac:dyDescent="0.2">
      <c r="A35" s="65" t="s">
        <v>48</v>
      </c>
      <c r="B35" s="38"/>
      <c r="C35" s="49">
        <v>2016</v>
      </c>
      <c r="D35" s="360">
        <v>2015</v>
      </c>
      <c r="E35" s="367">
        <v>2020</v>
      </c>
      <c r="F35" s="367">
        <v>2023</v>
      </c>
      <c r="G35" s="367">
        <v>2025</v>
      </c>
      <c r="H35" s="367">
        <v>2030</v>
      </c>
      <c r="I35" s="38">
        <v>2033</v>
      </c>
      <c r="J35" s="38" t="s">
        <v>1</v>
      </c>
      <c r="K35" s="314"/>
      <c r="L35" s="310"/>
      <c r="M35" s="379"/>
      <c r="N35" s="320"/>
      <c r="O35" s="320"/>
      <c r="P35" s="320"/>
    </row>
    <row r="36" spans="1:16" x14ac:dyDescent="0.2">
      <c r="B36" s="37" t="s">
        <v>2</v>
      </c>
      <c r="C36" s="328">
        <f>C4/'Overview 2016 (in)'!$O$7</f>
        <v>250</v>
      </c>
      <c r="D36" s="361">
        <v>175</v>
      </c>
      <c r="E36" s="364">
        <v>117.5</v>
      </c>
      <c r="F36" s="356"/>
      <c r="G36" s="364">
        <v>90</v>
      </c>
      <c r="H36" s="117"/>
      <c r="I36" s="103"/>
      <c r="J36" s="320" t="s">
        <v>247</v>
      </c>
      <c r="K36" s="312"/>
      <c r="L36" s="95"/>
      <c r="M36" s="379" t="s">
        <v>240</v>
      </c>
      <c r="N36" s="379" t="s">
        <v>242</v>
      </c>
      <c r="O36" s="354"/>
      <c r="P36" s="354"/>
    </row>
    <row r="37" spans="1:16" x14ac:dyDescent="0.2">
      <c r="B37" s="40" t="s">
        <v>3</v>
      </c>
      <c r="C37" s="328">
        <f>C5/'Overview 2016 (in)'!$O$7</f>
        <v>0</v>
      </c>
      <c r="D37" s="361">
        <v>125</v>
      </c>
      <c r="E37" s="364">
        <v>92.5</v>
      </c>
      <c r="F37" s="356"/>
      <c r="G37" s="131">
        <v>75</v>
      </c>
      <c r="H37" s="116"/>
      <c r="I37" s="103"/>
      <c r="J37" s="320" t="s">
        <v>248</v>
      </c>
      <c r="K37" s="312"/>
      <c r="L37" s="95"/>
      <c r="M37" s="379" t="s">
        <v>243</v>
      </c>
      <c r="N37" s="377"/>
      <c r="O37" s="354"/>
      <c r="P37" s="354"/>
    </row>
    <row r="38" spans="1:16" x14ac:dyDescent="0.2">
      <c r="B38" s="37" t="s">
        <v>4</v>
      </c>
      <c r="C38" s="329">
        <f t="shared" ref="C38:C39" si="8">C6</f>
        <v>1500</v>
      </c>
      <c r="D38" s="362">
        <v>1250</v>
      </c>
      <c r="E38" s="380">
        <v>2500</v>
      </c>
      <c r="F38" s="104"/>
      <c r="G38" s="383">
        <f>$E38*(1-$L38)^(G$21-$E$21)</f>
        <v>2850.438562747845</v>
      </c>
      <c r="H38" s="380">
        <v>3250</v>
      </c>
      <c r="I38" s="108"/>
      <c r="J38" s="320" t="s">
        <v>5</v>
      </c>
      <c r="K38" s="312"/>
      <c r="L38" s="95">
        <f>1-(H38/E38)^(1/(H$35-E$35))</f>
        <v>-2.6583631304232025E-2</v>
      </c>
      <c r="M38" s="379" t="s">
        <v>239</v>
      </c>
      <c r="N38" s="377"/>
      <c r="O38" s="354"/>
      <c r="P38" s="354"/>
    </row>
    <row r="39" spans="1:16" x14ac:dyDescent="0.2">
      <c r="B39" s="37" t="s">
        <v>6</v>
      </c>
      <c r="C39" s="329">
        <f t="shared" si="8"/>
        <v>9</v>
      </c>
      <c r="D39" s="362">
        <v>10</v>
      </c>
      <c r="E39" s="380">
        <v>12</v>
      </c>
      <c r="F39" s="104"/>
      <c r="G39" s="383">
        <f>$E39*(1-$L39)^(G$21-$E$21)</f>
        <v>13.416407864998735</v>
      </c>
      <c r="H39" s="380">
        <v>15</v>
      </c>
      <c r="I39" s="108"/>
      <c r="J39" s="320" t="s">
        <v>7</v>
      </c>
      <c r="K39" s="312"/>
      <c r="L39" s="95">
        <f>1-(H39/E39)^(1/(H$21-E$21))</f>
        <v>-2.2565182563572872E-2</v>
      </c>
      <c r="M39" s="379" t="s">
        <v>239</v>
      </c>
      <c r="N39" s="377"/>
      <c r="O39" s="354"/>
      <c r="P39" s="354"/>
    </row>
    <row r="40" spans="1:16" ht="16" thickBot="1" x14ac:dyDescent="0.25">
      <c r="B40" s="6" t="s">
        <v>8</v>
      </c>
      <c r="C40" s="331">
        <v>80</v>
      </c>
      <c r="D40" s="381">
        <v>85</v>
      </c>
      <c r="E40" s="382">
        <v>90</v>
      </c>
      <c r="F40" s="105"/>
      <c r="G40" s="384">
        <f>$E40*(1-$L40)^(G$21-$E$21)</f>
        <v>90</v>
      </c>
      <c r="H40" s="382">
        <v>90</v>
      </c>
      <c r="I40" s="105"/>
      <c r="J40" s="7" t="s">
        <v>9</v>
      </c>
      <c r="K40" s="313"/>
      <c r="L40" s="309">
        <f>1-(H40/E40)^(1/(H$21-E$21))</f>
        <v>0</v>
      </c>
      <c r="M40" s="379" t="s">
        <v>239</v>
      </c>
      <c r="N40" s="379" t="s">
        <v>241</v>
      </c>
      <c r="O40" s="354"/>
      <c r="P40" s="354"/>
    </row>
    <row r="41" spans="1:16" ht="16" thickBot="1" x14ac:dyDescent="0.25">
      <c r="C41" s="213"/>
      <c r="D41" s="320"/>
      <c r="E41" s="320"/>
      <c r="F41" s="320"/>
      <c r="G41" s="320"/>
      <c r="H41" s="320"/>
      <c r="I41" s="320"/>
      <c r="J41" s="320"/>
      <c r="K41" s="320"/>
      <c r="L41" s="320"/>
      <c r="M41" s="379"/>
      <c r="N41" s="44"/>
      <c r="O41" s="320"/>
      <c r="P41" s="320"/>
    </row>
    <row r="42" spans="1:16" x14ac:dyDescent="0.2">
      <c r="A42" s="65" t="s">
        <v>51</v>
      </c>
      <c r="B42" s="38"/>
      <c r="C42" s="49">
        <v>2016</v>
      </c>
      <c r="D42" s="360">
        <v>2013</v>
      </c>
      <c r="E42" s="367">
        <v>2020</v>
      </c>
      <c r="F42" s="367">
        <v>2023</v>
      </c>
      <c r="G42" s="367">
        <v>2025</v>
      </c>
      <c r="H42" s="367">
        <v>2030</v>
      </c>
      <c r="I42" s="38">
        <v>2033</v>
      </c>
      <c r="J42" s="38" t="s">
        <v>1</v>
      </c>
      <c r="K42" s="314"/>
      <c r="L42" s="310"/>
      <c r="M42" s="379" t="s">
        <v>245</v>
      </c>
      <c r="N42" s="372">
        <v>2050</v>
      </c>
      <c r="O42" s="320"/>
      <c r="P42" s="320"/>
    </row>
    <row r="43" spans="1:16" x14ac:dyDescent="0.2">
      <c r="B43" s="37" t="s">
        <v>2</v>
      </c>
      <c r="C43" s="328">
        <f>C4/'Overview 2016 (in)'!$O$7</f>
        <v>250</v>
      </c>
      <c r="D43" s="116"/>
      <c r="E43" s="116"/>
      <c r="F43" s="364">
        <v>136.5</v>
      </c>
      <c r="G43" s="116"/>
      <c r="H43" s="117"/>
      <c r="I43" s="103"/>
      <c r="J43" s="320" t="s">
        <v>247</v>
      </c>
      <c r="K43" s="312">
        <f>1-(F43/C43)^(1/(F$42-C$42))</f>
        <v>8.2816798658783219E-2</v>
      </c>
      <c r="L43" s="95"/>
      <c r="M43" s="379" t="s">
        <v>244</v>
      </c>
      <c r="N43" s="372">
        <v>120</v>
      </c>
      <c r="O43" s="320"/>
      <c r="P43" s="320"/>
    </row>
    <row r="44" spans="1:16" x14ac:dyDescent="0.2">
      <c r="B44" s="40" t="s">
        <v>3</v>
      </c>
      <c r="C44" s="328">
        <f>C5/'Overview 2016 (in)'!$O$7</f>
        <v>0</v>
      </c>
      <c r="D44" s="116"/>
      <c r="E44" s="116"/>
      <c r="F44" s="364">
        <v>72.5</v>
      </c>
      <c r="G44" s="120"/>
      <c r="H44" s="116"/>
      <c r="I44" s="103"/>
      <c r="J44" s="320" t="s">
        <v>248</v>
      </c>
      <c r="K44" s="312"/>
      <c r="L44" s="95"/>
      <c r="M44" s="379" t="s">
        <v>244</v>
      </c>
      <c r="N44" s="372">
        <v>45</v>
      </c>
      <c r="O44" s="320"/>
      <c r="P44" s="320"/>
    </row>
    <row r="45" spans="1:16" x14ac:dyDescent="0.2">
      <c r="B45" s="37" t="s">
        <v>4</v>
      </c>
      <c r="C45" s="329">
        <f t="shared" ref="C45:C47" si="9">C6</f>
        <v>1500</v>
      </c>
      <c r="D45" s="362">
        <v>2500</v>
      </c>
      <c r="E45" s="111">
        <f>$D45*(1-$K45)^(E$21-$C$21)</f>
        <v>2500</v>
      </c>
      <c r="F45" s="380">
        <v>2500</v>
      </c>
      <c r="G45" s="111">
        <f>$F45*(1-$L45)^(G$21-$F$42)</f>
        <v>2500</v>
      </c>
      <c r="H45" s="320"/>
      <c r="I45" s="108"/>
      <c r="J45" s="320" t="s">
        <v>5</v>
      </c>
      <c r="K45" s="312">
        <f>1-(F45/D45)^(1/(F$42-D$42))</f>
        <v>0</v>
      </c>
      <c r="L45" s="95">
        <f>1-(N45/F45)^(1/(H$42-F$42))</f>
        <v>0</v>
      </c>
      <c r="M45" s="379" t="s">
        <v>244</v>
      </c>
      <c r="N45" s="380">
        <v>2500</v>
      </c>
      <c r="O45" s="320"/>
      <c r="P45" s="320"/>
    </row>
    <row r="46" spans="1:16" x14ac:dyDescent="0.2">
      <c r="B46" s="37" t="s">
        <v>6</v>
      </c>
      <c r="C46" s="329">
        <f t="shared" si="9"/>
        <v>9</v>
      </c>
      <c r="D46" s="362">
        <v>10.5</v>
      </c>
      <c r="E46" s="111">
        <f>$C46*(1-$K46)^(E$21-$C$21)</f>
        <v>9.8026643135395268</v>
      </c>
      <c r="F46" s="380">
        <v>13</v>
      </c>
      <c r="G46" s="111">
        <f>$F46*(1-$L46)^(G$21-$F$42)</f>
        <v>13.5425328302765</v>
      </c>
      <c r="H46" s="320"/>
      <c r="I46" s="108"/>
      <c r="J46" s="320" t="s">
        <v>7</v>
      </c>
      <c r="K46" s="312">
        <f>1-(F46/D46)^(1/(F$42-D$42))</f>
        <v>-2.1587111875652099E-2</v>
      </c>
      <c r="L46" s="95">
        <f>1-(N46/F46)^(1/(H$42-F$42))</f>
        <v>-2.0653366543536E-2</v>
      </c>
      <c r="M46" s="379" t="s">
        <v>244</v>
      </c>
      <c r="N46" s="380">
        <v>15</v>
      </c>
      <c r="O46" s="320"/>
      <c r="P46" s="320"/>
    </row>
    <row r="47" spans="1:16" ht="16" thickBot="1" x14ac:dyDescent="0.25">
      <c r="B47" s="6" t="s">
        <v>8</v>
      </c>
      <c r="C47" s="331">
        <f t="shared" si="9"/>
        <v>80</v>
      </c>
      <c r="D47" s="381">
        <v>84</v>
      </c>
      <c r="E47" s="112">
        <f>$C47*(1-$K47)^(E$21-$C$21)</f>
        <v>81.130840202160201</v>
      </c>
      <c r="F47" s="382">
        <v>87</v>
      </c>
      <c r="G47" s="112">
        <f>$F47*(1-$L47)^(G$21-$F$42)</f>
        <v>87.566797723710451</v>
      </c>
      <c r="H47" s="119">
        <v>89</v>
      </c>
      <c r="I47" s="105"/>
      <c r="J47" s="7" t="s">
        <v>9</v>
      </c>
      <c r="K47" s="313">
        <f>1-(F47/D47)^(1/(F$42-D$42))</f>
        <v>-3.515296192992734E-3</v>
      </c>
      <c r="L47" s="309">
        <f>1-(H47/F47)^(1/(H$42-F$42))</f>
        <v>-3.2521698777869812E-3</v>
      </c>
      <c r="M47" s="379" t="s">
        <v>244</v>
      </c>
      <c r="N47" s="372">
        <v>89</v>
      </c>
      <c r="O47" s="320"/>
      <c r="P47" s="320"/>
    </row>
    <row r="48" spans="1:16" ht="16" thickBot="1" x14ac:dyDescent="0.25">
      <c r="C48" s="213"/>
      <c r="D48" s="320"/>
      <c r="E48" s="320"/>
      <c r="F48" s="320"/>
      <c r="G48" s="320"/>
      <c r="H48" s="320"/>
      <c r="I48" s="320"/>
      <c r="J48" s="320"/>
      <c r="K48" s="312"/>
      <c r="L48" s="95"/>
      <c r="M48" s="379"/>
      <c r="N48" s="320"/>
      <c r="O48" s="320"/>
      <c r="P48" s="320"/>
    </row>
    <row r="49" spans="1:16" x14ac:dyDescent="0.2">
      <c r="A49" s="65" t="s">
        <v>103</v>
      </c>
      <c r="B49" s="38"/>
      <c r="C49" s="49">
        <v>2016</v>
      </c>
      <c r="D49" s="360">
        <v>2014</v>
      </c>
      <c r="E49" s="38">
        <v>2017</v>
      </c>
      <c r="F49" s="62">
        <v>2020</v>
      </c>
      <c r="G49" s="62">
        <v>2025</v>
      </c>
      <c r="H49" s="62">
        <v>2030</v>
      </c>
      <c r="I49" s="38">
        <v>2050</v>
      </c>
      <c r="J49" s="38" t="s">
        <v>1</v>
      </c>
      <c r="K49" s="314"/>
      <c r="L49" s="310"/>
      <c r="M49" s="379" t="s">
        <v>246</v>
      </c>
      <c r="N49" s="320">
        <v>2013</v>
      </c>
      <c r="O49" s="320"/>
      <c r="P49" s="320"/>
    </row>
    <row r="50" spans="1:16" x14ac:dyDescent="0.2">
      <c r="A50" s="182"/>
      <c r="B50" s="37" t="s">
        <v>2</v>
      </c>
      <c r="C50" s="334">
        <f>C4</f>
        <v>262.5</v>
      </c>
      <c r="D50" s="388">
        <v>600</v>
      </c>
      <c r="E50" s="388">
        <v>550</v>
      </c>
      <c r="F50" s="389">
        <v>500</v>
      </c>
      <c r="G50" s="111">
        <f>$F50*(1-$L50)^(G$49-$F$49)</f>
        <v>426.56203118031692</v>
      </c>
      <c r="H50" s="111">
        <f>$F50*(1-$L50)^(H$49-$F$49)</f>
        <v>363.9103328893554</v>
      </c>
      <c r="I50" s="103"/>
      <c r="J50" s="320" t="s">
        <v>22</v>
      </c>
      <c r="K50" s="312">
        <f>1-(E50/D50)^(1/(E$49-D$49))</f>
        <v>2.8587219458090618E-2</v>
      </c>
      <c r="L50" s="95">
        <f>1-(F50/E50)^(1/(F$42-E$42))</f>
        <v>3.1270693848535758E-2</v>
      </c>
      <c r="M50" s="379" t="s">
        <v>249</v>
      </c>
      <c r="N50" s="320"/>
      <c r="O50" s="320"/>
      <c r="P50" s="320"/>
    </row>
    <row r="51" spans="1:16" x14ac:dyDescent="0.2">
      <c r="A51" s="182"/>
      <c r="B51" s="40" t="s">
        <v>3</v>
      </c>
      <c r="C51" s="334">
        <f t="shared" ref="C51:C54" si="10">C5</f>
        <v>0</v>
      </c>
      <c r="D51" s="103"/>
      <c r="E51" s="103"/>
      <c r="F51" s="103"/>
      <c r="G51" s="103"/>
      <c r="H51" s="103"/>
      <c r="I51" s="103"/>
      <c r="J51" s="320" t="s">
        <v>23</v>
      </c>
      <c r="K51" s="312"/>
      <c r="L51" s="95"/>
      <c r="M51" s="379"/>
      <c r="N51" s="320"/>
      <c r="O51" s="320"/>
      <c r="P51" s="320"/>
    </row>
    <row r="52" spans="1:16" x14ac:dyDescent="0.2">
      <c r="A52" s="182"/>
      <c r="B52" s="37" t="s">
        <v>4</v>
      </c>
      <c r="C52" s="334">
        <f t="shared" si="10"/>
        <v>1500</v>
      </c>
      <c r="D52" s="103"/>
      <c r="E52" s="103"/>
      <c r="F52" s="103"/>
      <c r="G52" s="103"/>
      <c r="H52" s="103"/>
      <c r="I52" s="103"/>
      <c r="J52" s="320" t="s">
        <v>5</v>
      </c>
      <c r="K52" s="312"/>
      <c r="L52" s="95"/>
      <c r="M52" s="379" t="s">
        <v>250</v>
      </c>
      <c r="N52" s="320">
        <v>2800</v>
      </c>
      <c r="O52" s="320"/>
      <c r="P52" s="320"/>
    </row>
    <row r="53" spans="1:16" x14ac:dyDescent="0.2">
      <c r="A53" s="182"/>
      <c r="B53" s="37" t="s">
        <v>6</v>
      </c>
      <c r="C53" s="334">
        <f t="shared" si="10"/>
        <v>9</v>
      </c>
      <c r="D53" s="103"/>
      <c r="E53" s="103"/>
      <c r="F53" s="103"/>
      <c r="G53" s="103"/>
      <c r="H53" s="103"/>
      <c r="I53" s="103"/>
      <c r="J53" s="320" t="s">
        <v>7</v>
      </c>
      <c r="K53" s="312"/>
      <c r="L53" s="95"/>
      <c r="M53" s="379" t="s">
        <v>250</v>
      </c>
      <c r="N53" s="320" t="s">
        <v>251</v>
      </c>
      <c r="O53" s="320"/>
      <c r="P53" s="320"/>
    </row>
    <row r="54" spans="1:16" ht="16" thickBot="1" x14ac:dyDescent="0.25">
      <c r="A54" s="182"/>
      <c r="B54" s="6" t="s">
        <v>8</v>
      </c>
      <c r="C54" s="335">
        <f t="shared" si="10"/>
        <v>80</v>
      </c>
      <c r="D54" s="316"/>
      <c r="E54" s="316"/>
      <c r="F54" s="316"/>
      <c r="G54" s="316"/>
      <c r="H54" s="316"/>
      <c r="I54" s="316"/>
      <c r="J54" s="7" t="s">
        <v>9</v>
      </c>
      <c r="K54" s="313"/>
      <c r="L54" s="309"/>
      <c r="M54" s="379"/>
      <c r="N54" s="320"/>
      <c r="O54" s="320"/>
      <c r="P54" s="320"/>
    </row>
    <row r="55" spans="1:16" x14ac:dyDescent="0.2">
      <c r="D55" s="320"/>
      <c r="E55" s="320"/>
      <c r="F55" s="320"/>
      <c r="G55" s="320"/>
      <c r="H55" s="320"/>
      <c r="I55" s="320"/>
      <c r="J55" s="320"/>
      <c r="K55" s="320"/>
      <c r="L55" s="320"/>
      <c r="M55" s="320"/>
      <c r="N55" s="320"/>
      <c r="O55" s="320"/>
      <c r="P55" s="320"/>
    </row>
    <row r="56" spans="1:16" x14ac:dyDescent="0.2">
      <c r="D56" s="408" t="s">
        <v>262</v>
      </c>
      <c r="E56" s="408" t="s">
        <v>263</v>
      </c>
      <c r="F56" s="408" t="s">
        <v>264</v>
      </c>
      <c r="G56" s="408" t="s">
        <v>265</v>
      </c>
    </row>
    <row r="57" spans="1:16" x14ac:dyDescent="0.2">
      <c r="D57" s="406">
        <f>H22/D22</f>
        <v>0.37142857142857144</v>
      </c>
      <c r="E57" s="406">
        <f>H24/D24</f>
        <v>2.6</v>
      </c>
      <c r="F57" s="406">
        <f>H25/D25</f>
        <v>1.5</v>
      </c>
      <c r="G57" s="406">
        <f>H26/D26</f>
        <v>1.0516129032258064</v>
      </c>
    </row>
    <row r="58" spans="1:16" x14ac:dyDescent="0.2">
      <c r="D58" s="406">
        <f>H29/D29</f>
        <v>0.52810998421962896</v>
      </c>
      <c r="E58" s="406">
        <f>H32/D32</f>
        <v>1.25</v>
      </c>
      <c r="F58" s="406">
        <f>H32/D32</f>
        <v>1.25</v>
      </c>
      <c r="G58" s="406">
        <f>H33/D33</f>
        <v>1</v>
      </c>
    </row>
    <row r="59" spans="1:16" x14ac:dyDescent="0.2">
      <c r="D59" s="406">
        <f>H50/D50</f>
        <v>0.60651722148225895</v>
      </c>
      <c r="E59" s="406">
        <f>H38/D38</f>
        <v>2.6</v>
      </c>
      <c r="F59" s="406">
        <f>H39/D39</f>
        <v>1.5</v>
      </c>
      <c r="G59" s="406">
        <f>H40/D40</f>
        <v>1.0588235294117647</v>
      </c>
    </row>
    <row r="60" spans="1:16" x14ac:dyDescent="0.2">
      <c r="D60" s="406"/>
      <c r="E60" s="406"/>
      <c r="F60" s="406"/>
      <c r="G60" s="406">
        <f>H47/D47</f>
        <v>1.0595238095238095</v>
      </c>
    </row>
    <row r="61" spans="1:16" x14ac:dyDescent="0.2">
      <c r="D61" s="406"/>
      <c r="E61" s="406"/>
      <c r="F61" s="406"/>
      <c r="G61" s="406"/>
    </row>
    <row r="62" spans="1:16" x14ac:dyDescent="0.2">
      <c r="D62" s="408" t="s">
        <v>261</v>
      </c>
      <c r="E62" s="408" t="s">
        <v>261</v>
      </c>
      <c r="F62" s="408" t="s">
        <v>261</v>
      </c>
      <c r="G62" s="408" t="s">
        <v>261</v>
      </c>
    </row>
    <row r="63" spans="1:16" x14ac:dyDescent="0.2">
      <c r="D63" s="406">
        <f>AVERAGE(D57:D59)</f>
        <v>0.50201859237681978</v>
      </c>
      <c r="E63" s="406">
        <f>AVERAGE(E57:E59)</f>
        <v>2.15</v>
      </c>
      <c r="F63" s="406">
        <f>AVERAGE(F57:F59)</f>
        <v>1.4166666666666667</v>
      </c>
      <c r="G63" s="406">
        <f t="shared" ref="G63" si="11">AVERAGE(G57:G60)</f>
        <v>1.0424900605403451</v>
      </c>
    </row>
  </sheetData>
  <hyperlinks>
    <hyperlink ref="E14" r:id="rId1" xr:uid="{00000000-0004-0000-1000-000000000000}"/>
    <hyperlink ref="E15" r:id="rId2" xr:uid="{00000000-0004-0000-1000-000001000000}"/>
    <hyperlink ref="E16" r:id="rId3" xr:uid="{00000000-0004-0000-1000-000002000000}"/>
    <hyperlink ref="E17" r:id="rId4" xr:uid="{00000000-0004-0000-1000-000003000000}"/>
    <hyperlink ref="E18" r:id="rId5" xr:uid="{00000000-0004-0000-1000-000004000000}"/>
  </hyperlinks>
  <pageMargins left="0.7" right="0.7" top="0.75" bottom="0.75" header="0.3" footer="0.3"/>
  <pageSetup paperSize="9" orientation="portrait" r:id="rId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O19"/>
  <sheetViews>
    <sheetView zoomScale="85" zoomScaleNormal="85" workbookViewId="0"/>
  </sheetViews>
  <sheetFormatPr baseColWidth="10" defaultColWidth="11.5" defaultRowHeight="15" x14ac:dyDescent="0.2"/>
  <cols>
    <col min="1" max="1" width="11.5" style="193"/>
    <col min="2" max="2" width="27.6640625" style="193" bestFit="1" customWidth="1"/>
    <col min="3" max="5" width="11.5" style="193"/>
    <col min="6" max="6" width="11.5" style="193" customWidth="1"/>
    <col min="7" max="14" width="11.5" style="193"/>
    <col min="15" max="15" width="20.1640625" style="193" bestFit="1" customWidth="1"/>
    <col min="16" max="16384" width="11.5" style="193"/>
  </cols>
  <sheetData>
    <row r="2" spans="2:15" x14ac:dyDescent="0.2">
      <c r="C2" s="39"/>
      <c r="D2" s="39"/>
      <c r="E2" s="39"/>
      <c r="F2" s="39"/>
      <c r="G2" s="39"/>
      <c r="H2" s="39"/>
      <c r="I2" s="39"/>
      <c r="J2" s="39"/>
      <c r="K2" s="39"/>
      <c r="L2" s="39"/>
    </row>
    <row r="3" spans="2:15" x14ac:dyDescent="0.2">
      <c r="C3" s="588">
        <v>2016</v>
      </c>
      <c r="D3" s="588"/>
      <c r="E3" s="588"/>
      <c r="F3" s="589">
        <v>2020</v>
      </c>
      <c r="G3" s="589"/>
      <c r="H3" s="589"/>
      <c r="I3" s="589">
        <v>2025</v>
      </c>
      <c r="J3" s="589"/>
      <c r="K3" s="589"/>
      <c r="L3" s="590">
        <v>2030</v>
      </c>
      <c r="M3" s="590"/>
      <c r="N3" s="590"/>
      <c r="O3" s="195"/>
    </row>
    <row r="4" spans="2:15" ht="20" thickBot="1" x14ac:dyDescent="0.3">
      <c r="B4" s="194" t="s">
        <v>200</v>
      </c>
      <c r="C4" s="196" t="s">
        <v>72</v>
      </c>
      <c r="D4" s="196" t="s">
        <v>73</v>
      </c>
      <c r="E4" s="196" t="s">
        <v>178</v>
      </c>
      <c r="F4" s="196" t="s">
        <v>72</v>
      </c>
      <c r="G4" s="196" t="s">
        <v>73</v>
      </c>
      <c r="H4" s="196" t="s">
        <v>178</v>
      </c>
      <c r="I4" s="196" t="s">
        <v>72</v>
      </c>
      <c r="J4" s="196" t="s">
        <v>73</v>
      </c>
      <c r="K4" s="196" t="s">
        <v>178</v>
      </c>
      <c r="L4" s="196" t="s">
        <v>72</v>
      </c>
      <c r="M4" s="196" t="s">
        <v>73</v>
      </c>
      <c r="N4" s="196" t="s">
        <v>178</v>
      </c>
      <c r="O4" s="196" t="s">
        <v>1</v>
      </c>
    </row>
    <row r="5" spans="2:15" x14ac:dyDescent="0.2">
      <c r="B5" s="51" t="s">
        <v>74</v>
      </c>
      <c r="C5" s="147">
        <f>'Overview 2016 (in)'!G22</f>
        <v>100</v>
      </c>
      <c r="D5" s="52">
        <f>'Overview 2016 (in)'!H22</f>
        <v>50</v>
      </c>
      <c r="E5" s="53">
        <f>'Overview 2016 (in)'!I22</f>
        <v>80</v>
      </c>
      <c r="F5" s="147">
        <f>IFERROR(C5*H5/E5,0)</f>
        <v>100</v>
      </c>
      <c r="G5" s="52">
        <f>IFERROR(D5*H5/E5, 0)</f>
        <v>50</v>
      </c>
      <c r="H5" s="53">
        <f>E5</f>
        <v>80</v>
      </c>
      <c r="I5" s="147">
        <f>IFERROR(F5*K5/H5,0)</f>
        <v>100</v>
      </c>
      <c r="J5" s="52">
        <f>IFERROR(G5*K5/H5, 0)</f>
        <v>50</v>
      </c>
      <c r="K5" s="53">
        <f>H5</f>
        <v>80</v>
      </c>
      <c r="L5" s="147">
        <f>IFERROR(I5*N5/K5,0)</f>
        <v>100</v>
      </c>
      <c r="M5" s="52">
        <f>IFERROR(J5*N5/K5, 0)</f>
        <v>50</v>
      </c>
      <c r="N5" s="53">
        <f>K5</f>
        <v>80</v>
      </c>
      <c r="O5" s="54" t="s">
        <v>75</v>
      </c>
    </row>
    <row r="6" spans="2:15" x14ac:dyDescent="0.2">
      <c r="B6" s="37" t="s">
        <v>76</v>
      </c>
      <c r="C6" s="148">
        <f>'Overview 2016 (in)'!G23</f>
        <v>700</v>
      </c>
      <c r="D6" s="149">
        <f>'Overview 2016 (in)'!H23</f>
        <v>10</v>
      </c>
      <c r="E6" s="150">
        <f>'Overview 2016 (in)'!I23</f>
        <v>350</v>
      </c>
      <c r="F6" s="148">
        <f t="shared" ref="F6:F15" si="0">IFERROR(C6*H6/E6,0)</f>
        <v>700</v>
      </c>
      <c r="G6" s="149">
        <f t="shared" ref="G6:G13" si="1">IFERROR(D6*H6/E6, 0)</f>
        <v>10</v>
      </c>
      <c r="H6" s="150">
        <f>E6</f>
        <v>350</v>
      </c>
      <c r="I6" s="148">
        <f t="shared" ref="I6:I15" si="2">IFERROR(F6*K6/H6,0)</f>
        <v>700</v>
      </c>
      <c r="J6" s="149">
        <f t="shared" ref="J6:J13" si="3">IFERROR(G6*K6/H6, 0)</f>
        <v>10</v>
      </c>
      <c r="K6" s="150">
        <f>H6</f>
        <v>350</v>
      </c>
      <c r="L6" s="148">
        <f t="shared" ref="L6:L15" si="4">IFERROR(I6*N6/K6,0)</f>
        <v>700</v>
      </c>
      <c r="M6" s="149">
        <f t="shared" ref="M6:M13" si="5">IFERROR(J6*N6/K6, 0)</f>
        <v>10</v>
      </c>
      <c r="N6" s="150">
        <f>K6</f>
        <v>350</v>
      </c>
      <c r="O6" s="55" t="s">
        <v>77</v>
      </c>
    </row>
    <row r="7" spans="2:15" x14ac:dyDescent="0.2">
      <c r="B7" s="51" t="s">
        <v>4</v>
      </c>
      <c r="C7" s="151">
        <f>'Overview 2016 (in)'!G24</f>
        <v>2500</v>
      </c>
      <c r="D7" s="56">
        <f>'Overview 2016 (in)'!H24</f>
        <v>250</v>
      </c>
      <c r="E7" s="197">
        <f>'Overview 2016 (in)'!I24</f>
        <v>1500</v>
      </c>
      <c r="F7" s="151">
        <f t="shared" ca="1" si="0"/>
        <v>3111.160568182142</v>
      </c>
      <c r="G7" s="56">
        <f t="shared" ca="1" si="1"/>
        <v>311.11605681821419</v>
      </c>
      <c r="H7" s="197">
        <f ca="1">INDIRECT(ADDRESS(ROW($B6),COLUMN(D$4),1,,$B$4))</f>
        <v>1866.6963409092853</v>
      </c>
      <c r="I7" s="151">
        <f t="shared" ca="1" si="2"/>
        <v>4089.3138854799363</v>
      </c>
      <c r="J7" s="56">
        <f t="shared" ca="1" si="3"/>
        <v>408.93138854799361</v>
      </c>
      <c r="K7" s="197">
        <f ca="1">INDIRECT(ADDRESS(ROW($B6),COLUMN(E$4),1,,$B$4))</f>
        <v>2453.5883312879619</v>
      </c>
      <c r="L7" s="151">
        <f t="shared" ca="1" si="4"/>
        <v>5375</v>
      </c>
      <c r="M7" s="56">
        <f t="shared" ca="1" si="5"/>
        <v>537.49999999999989</v>
      </c>
      <c r="N7" s="197">
        <f ca="1">INDIRECT(ADDRESS(ROW($B6),COLUMN(F$4),1,,$B$4))</f>
        <v>3225</v>
      </c>
      <c r="O7" s="54" t="s">
        <v>5</v>
      </c>
    </row>
    <row r="8" spans="2:15" x14ac:dyDescent="0.2">
      <c r="B8" s="37" t="s">
        <v>6</v>
      </c>
      <c r="C8" s="152">
        <f>'Overview 2016 (in)'!G25</f>
        <v>15</v>
      </c>
      <c r="D8" s="153">
        <f>'Overview 2016 (in)'!H25</f>
        <v>3</v>
      </c>
      <c r="E8" s="199">
        <f>'Overview 2016 (in)'!I25</f>
        <v>9</v>
      </c>
      <c r="F8" s="152">
        <f t="shared" ca="1" si="0"/>
        <v>16.569545458426763</v>
      </c>
      <c r="G8" s="153">
        <f t="shared" ca="1" si="1"/>
        <v>3.3139090916853524</v>
      </c>
      <c r="H8" s="199">
        <f ca="1">INDIRECT(ADDRESS(ROW($B7),COLUMN(D$4),1,,$B$4))</f>
        <v>9.9417272750560581</v>
      </c>
      <c r="I8" s="152">
        <f t="shared" ca="1" si="2"/>
        <v>18.764403560773495</v>
      </c>
      <c r="J8" s="153">
        <f t="shared" ca="1" si="3"/>
        <v>3.7528807121546985</v>
      </c>
      <c r="K8" s="199">
        <f ca="1">INDIRECT(ADDRESS(ROW($B7),COLUMN(E$4),1,,$B$4))</f>
        <v>11.258642136464097</v>
      </c>
      <c r="L8" s="152">
        <f t="shared" ca="1" si="4"/>
        <v>21.25</v>
      </c>
      <c r="M8" s="153">
        <f t="shared" ca="1" si="5"/>
        <v>4.2499999999999991</v>
      </c>
      <c r="N8" s="199">
        <f ca="1">INDIRECT(ADDRESS(ROW($B7),COLUMN(F$4),1,,$B$4))</f>
        <v>12.75</v>
      </c>
      <c r="O8" s="55" t="s">
        <v>7</v>
      </c>
    </row>
    <row r="9" spans="2:15" x14ac:dyDescent="0.2">
      <c r="B9" s="51" t="s">
        <v>78</v>
      </c>
      <c r="C9" s="151">
        <f>'Overview 2016 (in)'!G26</f>
        <v>50</v>
      </c>
      <c r="D9" s="56">
        <f>'Overview 2016 (in)'!H26</f>
        <v>60</v>
      </c>
      <c r="E9" s="57">
        <f>'Overview 2016 (in)'!I26</f>
        <v>50</v>
      </c>
      <c r="F9" s="151">
        <f t="shared" si="0"/>
        <v>50</v>
      </c>
      <c r="G9" s="56">
        <f t="shared" si="1"/>
        <v>60</v>
      </c>
      <c r="H9" s="57">
        <f>E9</f>
        <v>50</v>
      </c>
      <c r="I9" s="151">
        <f t="shared" si="2"/>
        <v>50</v>
      </c>
      <c r="J9" s="56">
        <f t="shared" si="3"/>
        <v>60</v>
      </c>
      <c r="K9" s="57">
        <f>H9</f>
        <v>50</v>
      </c>
      <c r="L9" s="151">
        <f t="shared" si="4"/>
        <v>50</v>
      </c>
      <c r="M9" s="56">
        <f t="shared" si="5"/>
        <v>60</v>
      </c>
      <c r="N9" s="57">
        <f>K9</f>
        <v>50</v>
      </c>
      <c r="O9" s="54" t="s">
        <v>9</v>
      </c>
    </row>
    <row r="10" spans="2:15" x14ac:dyDescent="0.2">
      <c r="B10" s="37" t="s">
        <v>8</v>
      </c>
      <c r="C10" s="152">
        <f>'Overview 2016 (in)'!G27</f>
        <v>92</v>
      </c>
      <c r="D10" s="153">
        <f>'Overview 2016 (in)'!H27</f>
        <v>75</v>
      </c>
      <c r="E10" s="199">
        <f>'Overview 2016 (in)'!I27</f>
        <v>80</v>
      </c>
      <c r="F10" s="152">
        <f t="shared" ca="1" si="0"/>
        <v>93.100332901525519</v>
      </c>
      <c r="G10" s="153">
        <f t="shared" ca="1" si="1"/>
        <v>75.897010517547983</v>
      </c>
      <c r="H10" s="199">
        <f ca="1">INDIRECT(ADDRESS(ROW($B8),COLUMN(D$4),1,,$B$4))</f>
        <v>80.956811218717846</v>
      </c>
      <c r="I10" s="152">
        <f t="shared" ca="1" si="2"/>
        <v>94.494273873188007</v>
      </c>
      <c r="J10" s="153">
        <f t="shared" ca="1" si="3"/>
        <v>77.033375440098922</v>
      </c>
      <c r="K10" s="199">
        <f ca="1">INDIRECT(ADDRESS(ROW($B8),COLUMN(E$4),1,,$B$4))</f>
        <v>82.168933802772187</v>
      </c>
      <c r="L10" s="152">
        <f t="shared" ca="1" si="4"/>
        <v>95.909085569711735</v>
      </c>
      <c r="M10" s="153">
        <f t="shared" ca="1" si="5"/>
        <v>78.186754540525882</v>
      </c>
      <c r="N10" s="199">
        <f ca="1">INDIRECT(ADDRESS(ROW($B8),COLUMN(F$4),1,,$B$4))</f>
        <v>83.399204843227608</v>
      </c>
      <c r="O10" s="55" t="s">
        <v>9</v>
      </c>
    </row>
    <row r="11" spans="2:15" x14ac:dyDescent="0.2">
      <c r="B11" s="51" t="s">
        <v>79</v>
      </c>
      <c r="C11" s="147">
        <f>'Overview 2016 (in)'!G28</f>
        <v>0.09</v>
      </c>
      <c r="D11" s="52">
        <f>'Overview 2016 (in)'!H28</f>
        <v>0.4</v>
      </c>
      <c r="E11" s="53">
        <f>'Overview 2016 (in)'!I28</f>
        <v>0.25</v>
      </c>
      <c r="F11" s="147">
        <f t="shared" si="0"/>
        <v>0.09</v>
      </c>
      <c r="G11" s="52">
        <f t="shared" si="1"/>
        <v>0.4</v>
      </c>
      <c r="H11" s="53">
        <f>E11</f>
        <v>0.25</v>
      </c>
      <c r="I11" s="147">
        <f t="shared" si="2"/>
        <v>0.09</v>
      </c>
      <c r="J11" s="52">
        <f t="shared" si="3"/>
        <v>0.4</v>
      </c>
      <c r="K11" s="53">
        <f>H11</f>
        <v>0.25</v>
      </c>
      <c r="L11" s="147">
        <f t="shared" si="4"/>
        <v>0.09</v>
      </c>
      <c r="M11" s="52">
        <f t="shared" si="5"/>
        <v>0.4</v>
      </c>
      <c r="N11" s="53">
        <f>K11</f>
        <v>0.25</v>
      </c>
      <c r="O11" s="54" t="s">
        <v>80</v>
      </c>
    </row>
    <row r="12" spans="2:15" x14ac:dyDescent="0.2">
      <c r="B12" s="154" t="s">
        <v>81</v>
      </c>
      <c r="C12" s="148">
        <f>'Overview 2016 (in)'!G29</f>
        <v>3.0000000000000001E-3</v>
      </c>
      <c r="D12" s="149">
        <f>'Overview 2016 (in)'!H29</f>
        <v>0.01</v>
      </c>
      <c r="E12" s="150">
        <f>'Overview 2016 (in)'!I29</f>
        <v>6.0000000000000001E-3</v>
      </c>
      <c r="F12" s="148">
        <f t="shared" si="0"/>
        <v>3.0000000000000001E-3</v>
      </c>
      <c r="G12" s="149">
        <f t="shared" si="1"/>
        <v>0.01</v>
      </c>
      <c r="H12" s="150">
        <f>E12</f>
        <v>6.0000000000000001E-3</v>
      </c>
      <c r="I12" s="148">
        <f t="shared" si="2"/>
        <v>3.0000000000000001E-3</v>
      </c>
      <c r="J12" s="149">
        <f t="shared" si="3"/>
        <v>0.01</v>
      </c>
      <c r="K12" s="150">
        <f>H12</f>
        <v>6.0000000000000001E-3</v>
      </c>
      <c r="L12" s="148">
        <f t="shared" si="4"/>
        <v>3.0000000000000001E-3</v>
      </c>
      <c r="M12" s="149">
        <f t="shared" si="5"/>
        <v>0.01</v>
      </c>
      <c r="N12" s="150">
        <f>K12</f>
        <v>6.0000000000000001E-3</v>
      </c>
      <c r="O12" s="155" t="s">
        <v>82</v>
      </c>
    </row>
    <row r="13" spans="2:15" x14ac:dyDescent="0.2">
      <c r="B13" s="156" t="s">
        <v>83</v>
      </c>
      <c r="C13" s="157">
        <f>'Overview 2016 (in)'!G30</f>
        <v>0</v>
      </c>
      <c r="D13" s="58">
        <f>'Overview 2016 (in)'!H30</f>
        <v>0</v>
      </c>
      <c r="E13" s="59">
        <f>'Overview 2016 (in)'!I30</f>
        <v>0</v>
      </c>
      <c r="F13" s="157">
        <f t="shared" si="0"/>
        <v>0</v>
      </c>
      <c r="G13" s="58">
        <f t="shared" si="1"/>
        <v>0</v>
      </c>
      <c r="H13" s="59">
        <f>E13</f>
        <v>0</v>
      </c>
      <c r="I13" s="157">
        <f t="shared" si="2"/>
        <v>0</v>
      </c>
      <c r="J13" s="58">
        <f t="shared" si="3"/>
        <v>0</v>
      </c>
      <c r="K13" s="59">
        <f>H13</f>
        <v>0</v>
      </c>
      <c r="L13" s="157">
        <f t="shared" si="4"/>
        <v>0</v>
      </c>
      <c r="M13" s="58">
        <f t="shared" si="5"/>
        <v>0</v>
      </c>
      <c r="N13" s="59">
        <f>K13</f>
        <v>0</v>
      </c>
      <c r="O13" s="54" t="s">
        <v>7</v>
      </c>
    </row>
    <row r="14" spans="2:15" x14ac:dyDescent="0.2">
      <c r="B14" s="154" t="s">
        <v>2</v>
      </c>
      <c r="C14" s="152">
        <f>'Overview 2016 (in)'!G31</f>
        <v>105</v>
      </c>
      <c r="D14" s="153">
        <f>'Overview 2016 (in)'!H31</f>
        <v>472.5</v>
      </c>
      <c r="E14" s="198">
        <f>'Overview 2016 (in)'!I31</f>
        <v>262.5</v>
      </c>
      <c r="F14" s="152">
        <f t="shared" ca="1" si="0"/>
        <v>86.23442481645219</v>
      </c>
      <c r="G14" s="153">
        <f t="shared" ref="G14:G15" ca="1" si="6">IFERROR(D14*H14/E14,0)</f>
        <v>388.05491167403488</v>
      </c>
      <c r="H14" s="198">
        <f ca="1">IF(CELL("format",INDIRECT(ADDRESS(ROW($B4),COLUMN(D$4),1,,$B$4)))="W0-",INDIRECT(ADDRESS(ROW($B4),COLUMN(D$4),1,,$B$4))*'Overview 2016 (in)'!$O$7,INDIRECT(ADDRESS(ROW($B4),COLUMN(D$4),1,,$B$4)))</f>
        <v>215.58606204113048</v>
      </c>
      <c r="I14" s="152">
        <f t="shared" ca="1" si="2"/>
        <v>67.420952817962316</v>
      </c>
      <c r="J14" s="153">
        <f t="shared" ref="J14:J15" ca="1" si="7">IFERROR(G14*K14/H14,0)</f>
        <v>303.39428768083042</v>
      </c>
      <c r="K14" s="198">
        <f ca="1">IF(CELL("format",INDIRECT(ADDRESS(ROW($B4),COLUMN(E$4),1,,$B$4)))="W0-",INDIRECT(ADDRESS(ROW($B4),COLUMN(E$4),1,,$B$4))*'Overview 2016 (in)'!$O$7,INDIRECT(ADDRESS(ROW($B4),COLUMN(E$4),1,,$B$4)))</f>
        <v>168.55238204490578</v>
      </c>
      <c r="L14" s="152">
        <f t="shared" ca="1" si="4"/>
        <v>52.711952199566078</v>
      </c>
      <c r="M14" s="153">
        <f t="shared" ref="M14:M15" ca="1" si="8">IFERROR(J14*N14/K14,0)</f>
        <v>237.20378489804733</v>
      </c>
      <c r="N14" s="198">
        <f ca="1">IF(CELL("format",INDIRECT(ADDRESS(ROW($B4),COLUMN(F$4),1,,$B$4)))="W0-",INDIRECT(ADDRESS(ROW($B4),COLUMN(F$4),1,,$B$4))*'Overview 2016 (in)'!$O$7,INDIRECT(ADDRESS(ROW($B4),COLUMN(F$4),1,,$B$4)))</f>
        <v>131.77988049891519</v>
      </c>
      <c r="O14" s="155" t="s">
        <v>22</v>
      </c>
    </row>
    <row r="15" spans="2:15" ht="16" thickBot="1" x14ac:dyDescent="0.25">
      <c r="B15" s="158" t="s">
        <v>3</v>
      </c>
      <c r="C15" s="180">
        <f>'Overview 2016 (in)'!G32</f>
        <v>0</v>
      </c>
      <c r="D15" s="180">
        <f>'Overview 2016 (in)'!H32</f>
        <v>0</v>
      </c>
      <c r="E15" s="200">
        <f>'Overview 2016 (in)'!I32</f>
        <v>0</v>
      </c>
      <c r="F15" s="180">
        <f t="shared" ca="1" si="0"/>
        <v>0</v>
      </c>
      <c r="G15" s="180">
        <f t="shared" ca="1" si="6"/>
        <v>0</v>
      </c>
      <c r="H15" s="200">
        <f ca="1">IF(CELL("format",INDIRECT(ADDRESS(ROW($B5),COLUMN(D$4),1,,$B$4)))="W0-",INDIRECT(ADDRESS(ROW($B5),COLUMN(D$4),1,,$B$4))*'Overview 2016 (in)'!$O$7,INDIRECT(ADDRESS(ROW($B5),COLUMN(D$4),1,,$B$4)))</f>
        <v>0</v>
      </c>
      <c r="I15" s="180">
        <f t="shared" ca="1" si="2"/>
        <v>0</v>
      </c>
      <c r="J15" s="180">
        <f t="shared" ca="1" si="7"/>
        <v>0</v>
      </c>
      <c r="K15" s="200">
        <f ca="1">IF(CELL("format",INDIRECT(ADDRESS(ROW($B5),COLUMN(E$4),1,,$B$4)))="W0-",INDIRECT(ADDRESS(ROW($B5),COLUMN(E$4),1,,$B$4))*'Overview 2016 (in)'!$O$7,INDIRECT(ADDRESS(ROW($B5),COLUMN(E$4),1,,$B$4)))</f>
        <v>0</v>
      </c>
      <c r="L15" s="180">
        <f t="shared" ca="1" si="4"/>
        <v>0</v>
      </c>
      <c r="M15" s="180">
        <f t="shared" ca="1" si="8"/>
        <v>0</v>
      </c>
      <c r="N15" s="200">
        <f ca="1">IF(CELL("format",INDIRECT(ADDRESS(ROW($B5),COLUMN(F$4),1,,$B$4)))="W0-",INDIRECT(ADDRESS(ROW($B5),COLUMN(F$4),1,,$B$4))*'Overview 2016 (in)'!$O$7,INDIRECT(ADDRESS(ROW($B5),COLUMN(F$4),1,,$B$4)))</f>
        <v>0</v>
      </c>
      <c r="O15" s="60" t="s">
        <v>23</v>
      </c>
    </row>
    <row r="16" spans="2:15" x14ac:dyDescent="0.2">
      <c r="K16" s="42"/>
    </row>
    <row r="17" spans="2:12" x14ac:dyDescent="0.2">
      <c r="C17" s="202"/>
      <c r="L17"/>
    </row>
    <row r="18" spans="2:12" ht="19" x14ac:dyDescent="0.25">
      <c r="B18" s="201"/>
    </row>
    <row r="19" spans="2:12" x14ac:dyDescent="0.2">
      <c r="B19" s="39"/>
    </row>
  </sheetData>
  <mergeCells count="4">
    <mergeCell ref="C3:E3"/>
    <mergeCell ref="F3:H3"/>
    <mergeCell ref="I3:K3"/>
    <mergeCell ref="L3:N3"/>
  </mergeCell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2:Y86"/>
  <sheetViews>
    <sheetView topLeftCell="A20" zoomScale="85" zoomScaleNormal="85" workbookViewId="0"/>
  </sheetViews>
  <sheetFormatPr baseColWidth="10" defaultColWidth="9.1640625" defaultRowHeight="15" x14ac:dyDescent="0.2"/>
  <cols>
    <col min="1" max="1" width="9.1640625" style="21"/>
    <col min="2" max="2" width="26.5" style="21" customWidth="1"/>
    <col min="3" max="4" width="10.6640625" style="21" customWidth="1"/>
    <col min="5" max="5" width="10.6640625" style="31" customWidth="1"/>
    <col min="6" max="7" width="10.6640625" style="21" customWidth="1"/>
    <col min="8" max="8" width="10.6640625" style="31" customWidth="1"/>
    <col min="9" max="9" width="20.33203125" style="21" customWidth="1"/>
    <col min="10" max="10" width="13.83203125" style="21" customWidth="1"/>
    <col min="11" max="12" width="12.6640625" style="21" customWidth="1"/>
    <col min="13" max="13" width="12.6640625" style="31" customWidth="1"/>
    <col min="14" max="14" width="12.6640625" style="21" customWidth="1"/>
    <col min="15" max="15" width="12.6640625" style="31" customWidth="1"/>
    <col min="16" max="16" width="12.6640625" style="21" customWidth="1"/>
    <col min="17" max="17" width="9.5" style="21" bestFit="1" customWidth="1"/>
    <col min="18" max="16384" width="9.1640625" style="21"/>
  </cols>
  <sheetData>
    <row r="2" spans="2:18" ht="20" thickBot="1" x14ac:dyDescent="0.3">
      <c r="B2" s="27" t="s">
        <v>57</v>
      </c>
      <c r="C2" s="13"/>
      <c r="K2" s="27" t="s">
        <v>0</v>
      </c>
    </row>
    <row r="3" spans="2:18" x14ac:dyDescent="0.2">
      <c r="B3" s="23"/>
      <c r="C3" s="23">
        <v>2016</v>
      </c>
      <c r="D3" s="367">
        <v>2020</v>
      </c>
      <c r="E3" s="367">
        <v>2025</v>
      </c>
      <c r="F3" s="367">
        <v>2030</v>
      </c>
      <c r="G3" s="23" t="s">
        <v>1</v>
      </c>
      <c r="H3" s="26"/>
      <c r="I3" s="23" t="s">
        <v>17</v>
      </c>
      <c r="J3" s="23" t="s">
        <v>18</v>
      </c>
      <c r="K3" s="23" t="s">
        <v>19</v>
      </c>
      <c r="L3" s="32" t="s">
        <v>20</v>
      </c>
      <c r="M3" s="21"/>
      <c r="N3" s="407">
        <f>1-(F4/C4)^(1/(F$3-C$3))</f>
        <v>6.3624608619961109E-2</v>
      </c>
      <c r="O3" s="21"/>
    </row>
    <row r="4" spans="2:18" x14ac:dyDescent="0.2">
      <c r="B4" s="22" t="s">
        <v>2</v>
      </c>
      <c r="C4" s="165">
        <f>'Overview 2016 (in)'!L31</f>
        <v>420</v>
      </c>
      <c r="D4" s="68">
        <f>$C4*(1-$N3)^(D$3-$C$3)</f>
        <v>322.88603118024804</v>
      </c>
      <c r="E4" s="68">
        <f>$C4*(1-$N3)^(E$3-$C$3)</f>
        <v>232.43376381268894</v>
      </c>
      <c r="F4" s="68">
        <f>C4*D63</f>
        <v>167.32050737114008</v>
      </c>
      <c r="G4" s="21" t="s">
        <v>22</v>
      </c>
      <c r="H4" s="21"/>
      <c r="I4" s="79" t="s">
        <v>52</v>
      </c>
      <c r="J4" s="42" t="s">
        <v>53</v>
      </c>
      <c r="K4" s="42" t="s">
        <v>53</v>
      </c>
      <c r="L4" s="42" t="s">
        <v>53</v>
      </c>
      <c r="M4" s="21"/>
      <c r="N4" s="407"/>
      <c r="O4" s="21"/>
    </row>
    <row r="5" spans="2:18" x14ac:dyDescent="0.2">
      <c r="B5" s="26" t="s">
        <v>3</v>
      </c>
      <c r="C5" s="165">
        <f>'Overview 2016 (in)'!L32</f>
        <v>0</v>
      </c>
      <c r="D5" s="68">
        <v>0</v>
      </c>
      <c r="E5" s="68">
        <v>0</v>
      </c>
      <c r="F5" s="68">
        <v>0</v>
      </c>
      <c r="G5" s="21" t="s">
        <v>23</v>
      </c>
      <c r="H5" s="21"/>
      <c r="I5" s="79" t="s">
        <v>52</v>
      </c>
      <c r="J5" s="42">
        <v>1</v>
      </c>
      <c r="K5" s="42">
        <v>1</v>
      </c>
      <c r="L5" s="42">
        <v>1</v>
      </c>
      <c r="M5" s="21"/>
      <c r="N5" s="407">
        <f t="shared" ref="N5:N7" si="0">1-(F6/C6)^(1/(F$3-C$3))</f>
        <v>-4.7294999279520633E-2</v>
      </c>
      <c r="O5" s="21"/>
    </row>
    <row r="6" spans="2:18" x14ac:dyDescent="0.2">
      <c r="B6" s="22" t="s">
        <v>4</v>
      </c>
      <c r="C6" s="159">
        <f>'Overview 2016 (in)'!L24</f>
        <v>2000</v>
      </c>
      <c r="D6" s="73">
        <f t="shared" ref="D6:E8" si="1">$C6*(1-$N5)^(D$3-$C$3)</f>
        <v>2406.0581264694615</v>
      </c>
      <c r="E6" s="73">
        <f t="shared" si="1"/>
        <v>3031.4559655931389</v>
      </c>
      <c r="F6" s="69">
        <f>C6*E63</f>
        <v>3819.4111647729887</v>
      </c>
      <c r="G6" s="21" t="s">
        <v>5</v>
      </c>
      <c r="H6" s="21"/>
      <c r="I6" s="79" t="s">
        <v>52</v>
      </c>
      <c r="J6" s="42" t="s">
        <v>53</v>
      </c>
      <c r="K6" s="42" t="s">
        <v>53</v>
      </c>
      <c r="L6" s="42" t="s">
        <v>53</v>
      </c>
      <c r="M6" s="21"/>
      <c r="N6" s="407">
        <f t="shared" si="0"/>
        <v>-3.0925907392973073E-2</v>
      </c>
      <c r="O6" s="21"/>
    </row>
    <row r="7" spans="2:18" x14ac:dyDescent="0.2">
      <c r="B7" s="22" t="s">
        <v>6</v>
      </c>
      <c r="C7" s="81">
        <f>'Overview 2016 (in)'!L25</f>
        <v>12</v>
      </c>
      <c r="D7" s="85">
        <f t="shared" si="1"/>
        <v>13.554735916660789</v>
      </c>
      <c r="E7" s="85">
        <f t="shared" si="1"/>
        <v>15.784409125871715</v>
      </c>
      <c r="F7" s="127">
        <f>C7*F63</f>
        <v>18.380850278806435</v>
      </c>
      <c r="G7" s="21" t="s">
        <v>7</v>
      </c>
      <c r="H7" s="21"/>
      <c r="I7" s="79" t="s">
        <v>52</v>
      </c>
      <c r="J7" s="42" t="s">
        <v>53</v>
      </c>
      <c r="K7" s="42" t="s">
        <v>53</v>
      </c>
      <c r="L7" s="42" t="s">
        <v>53</v>
      </c>
      <c r="M7" s="21"/>
      <c r="N7" s="407">
        <f t="shared" si="0"/>
        <v>-1.3078248127507131E-3</v>
      </c>
      <c r="O7" s="21"/>
    </row>
    <row r="8" spans="2:18" ht="16" thickBot="1" x14ac:dyDescent="0.25">
      <c r="B8" s="6" t="s">
        <v>8</v>
      </c>
      <c r="C8" s="78">
        <f>'Overview 2016 (in)'!L27</f>
        <v>95</v>
      </c>
      <c r="D8" s="78">
        <f t="shared" si="1"/>
        <v>95.497949210421666</v>
      </c>
      <c r="E8" s="78">
        <f t="shared" si="1"/>
        <v>96.12405768814979</v>
      </c>
      <c r="F8" s="78">
        <f>C8*G63</f>
        <v>96.754271089901181</v>
      </c>
      <c r="G8" s="7" t="s">
        <v>9</v>
      </c>
      <c r="H8" s="25"/>
      <c r="I8" s="80" t="s">
        <v>52</v>
      </c>
      <c r="J8" s="83" t="s">
        <v>53</v>
      </c>
      <c r="K8" s="83" t="s">
        <v>53</v>
      </c>
      <c r="L8" s="83" t="s">
        <v>53</v>
      </c>
      <c r="M8" s="21"/>
      <c r="O8" s="21"/>
    </row>
    <row r="9" spans="2:18" x14ac:dyDescent="0.2">
      <c r="B9" s="22"/>
      <c r="C9" s="30"/>
      <c r="J9" s="25"/>
      <c r="K9" s="25"/>
      <c r="L9" s="25"/>
      <c r="M9" s="33"/>
    </row>
    <row r="10" spans="2:18" x14ac:dyDescent="0.2">
      <c r="B10" s="262"/>
      <c r="C10" s="262"/>
      <c r="D10" s="262"/>
      <c r="E10" s="262"/>
      <c r="F10" s="262"/>
      <c r="G10" s="262"/>
      <c r="H10" s="33"/>
      <c r="I10" s="25"/>
      <c r="J10" s="25"/>
      <c r="K10" s="25"/>
      <c r="L10" s="25"/>
      <c r="M10" s="33"/>
      <c r="N10" s="25"/>
      <c r="O10" s="33"/>
      <c r="P10" s="25"/>
      <c r="Q10" s="25"/>
      <c r="R10" s="25"/>
    </row>
    <row r="11" spans="2:18" x14ac:dyDescent="0.2">
      <c r="B11" s="25"/>
      <c r="C11" s="25"/>
      <c r="D11" s="25"/>
      <c r="E11" s="33"/>
      <c r="F11" s="25"/>
      <c r="G11" s="25"/>
      <c r="H11" s="33"/>
      <c r="J11" s="29"/>
      <c r="K11" s="2" t="s">
        <v>68</v>
      </c>
      <c r="L11" s="43"/>
      <c r="M11" s="35"/>
      <c r="N11" s="29"/>
      <c r="O11" s="29"/>
      <c r="P11" s="29"/>
    </row>
    <row r="12" spans="2:18" ht="20" thickBot="1" x14ac:dyDescent="0.3">
      <c r="B12" s="27" t="s">
        <v>10</v>
      </c>
      <c r="H12" s="21"/>
      <c r="J12" s="28"/>
      <c r="K12" s="18" t="s">
        <v>69</v>
      </c>
      <c r="L12" s="42"/>
      <c r="M12" s="34"/>
      <c r="N12" s="28"/>
      <c r="O12" s="28"/>
      <c r="P12" s="28"/>
    </row>
    <row r="13" spans="2:18" x14ac:dyDescent="0.2">
      <c r="B13" s="24" t="s">
        <v>11</v>
      </c>
      <c r="C13" s="24" t="s">
        <v>12</v>
      </c>
      <c r="D13" s="24" t="s">
        <v>13</v>
      </c>
      <c r="E13" s="98" t="s">
        <v>225</v>
      </c>
      <c r="F13" s="100" t="s">
        <v>60</v>
      </c>
      <c r="G13" s="98"/>
      <c r="H13" s="100" t="s">
        <v>105</v>
      </c>
      <c r="J13" s="28"/>
      <c r="K13" s="93" t="s">
        <v>71</v>
      </c>
      <c r="L13" s="93"/>
      <c r="M13" s="34"/>
      <c r="N13" s="28"/>
      <c r="O13" s="28"/>
      <c r="P13" s="28"/>
    </row>
    <row r="14" spans="2:18" x14ac:dyDescent="0.2">
      <c r="B14" s="21">
        <v>1</v>
      </c>
      <c r="C14" s="21" t="s">
        <v>15</v>
      </c>
      <c r="D14" s="21" t="s">
        <v>16</v>
      </c>
      <c r="E14" s="303" t="s">
        <v>226</v>
      </c>
      <c r="F14" s="145" t="s">
        <v>61</v>
      </c>
      <c r="G14" s="302"/>
      <c r="H14" s="55" t="s">
        <v>115</v>
      </c>
      <c r="J14" s="28"/>
      <c r="K14" s="34"/>
      <c r="L14" s="42"/>
      <c r="M14" s="34"/>
      <c r="N14" s="28"/>
      <c r="O14" s="28"/>
      <c r="P14" s="28"/>
    </row>
    <row r="15" spans="2:18" x14ac:dyDescent="0.2">
      <c r="B15" s="21">
        <v>2</v>
      </c>
      <c r="C15" s="31" t="s">
        <v>24</v>
      </c>
      <c r="D15" s="31" t="s">
        <v>25</v>
      </c>
      <c r="E15" s="303" t="s">
        <v>227</v>
      </c>
      <c r="F15" s="145" t="s">
        <v>62</v>
      </c>
      <c r="G15" s="302"/>
      <c r="H15" s="55" t="s">
        <v>115</v>
      </c>
      <c r="J15" s="28"/>
      <c r="K15" s="34"/>
      <c r="M15" s="34"/>
      <c r="N15" s="28"/>
      <c r="O15" s="28"/>
      <c r="P15" s="28"/>
    </row>
    <row r="16" spans="2:18" x14ac:dyDescent="0.2">
      <c r="B16" s="21">
        <v>3</v>
      </c>
      <c r="C16" s="21" t="s">
        <v>29</v>
      </c>
      <c r="D16" s="21" t="s">
        <v>30</v>
      </c>
      <c r="E16" s="303" t="s">
        <v>230</v>
      </c>
      <c r="F16" s="145" t="s">
        <v>65</v>
      </c>
      <c r="G16" s="302"/>
      <c r="H16" s="55" t="s">
        <v>115</v>
      </c>
      <c r="J16" s="28"/>
      <c r="K16" s="34"/>
      <c r="L16" s="43"/>
      <c r="M16" s="34"/>
      <c r="N16" s="28"/>
      <c r="O16" s="28"/>
      <c r="P16" s="28"/>
    </row>
    <row r="17" spans="1:25" x14ac:dyDescent="0.2">
      <c r="B17" s="21">
        <v>4</v>
      </c>
      <c r="C17" s="97" t="s">
        <v>58</v>
      </c>
      <c r="D17" s="97" t="s">
        <v>59</v>
      </c>
      <c r="E17" s="303" t="s">
        <v>228</v>
      </c>
      <c r="F17" s="145" t="s">
        <v>63</v>
      </c>
      <c r="G17" s="302"/>
      <c r="H17" s="55" t="s">
        <v>115</v>
      </c>
      <c r="J17" s="28"/>
      <c r="K17" s="34"/>
      <c r="L17" s="28"/>
      <c r="M17" s="34"/>
      <c r="N17" s="28"/>
      <c r="O17" s="28"/>
      <c r="P17" s="28"/>
    </row>
    <row r="18" spans="1:25" x14ac:dyDescent="0.2">
      <c r="B18" s="182">
        <v>5</v>
      </c>
      <c r="C18" s="182" t="s">
        <v>100</v>
      </c>
      <c r="D18" s="182" t="s">
        <v>101</v>
      </c>
      <c r="E18" s="303" t="s">
        <v>231</v>
      </c>
      <c r="F18" s="145" t="s">
        <v>102</v>
      </c>
      <c r="G18" s="302"/>
      <c r="H18" s="185" t="s">
        <v>114</v>
      </c>
      <c r="J18" s="28"/>
      <c r="K18" s="34"/>
      <c r="M18" s="34"/>
      <c r="N18" s="28"/>
      <c r="O18" s="28"/>
      <c r="P18" s="28"/>
    </row>
    <row r="19" spans="1:25" x14ac:dyDescent="0.2">
      <c r="A19" s="304" t="s">
        <v>232</v>
      </c>
      <c r="D19" s="31"/>
      <c r="E19" s="21"/>
      <c r="G19" s="31"/>
      <c r="H19" s="21"/>
      <c r="L19" s="28"/>
      <c r="M19" s="34"/>
      <c r="N19" s="28"/>
      <c r="O19" s="34"/>
      <c r="P19" s="28"/>
      <c r="Q19" s="28"/>
      <c r="R19" s="28"/>
    </row>
    <row r="20" spans="1:25" ht="16" thickBot="1" x14ac:dyDescent="0.25">
      <c r="A20" s="304" t="s">
        <v>47</v>
      </c>
      <c r="B20" s="42"/>
      <c r="C20" s="332" t="s">
        <v>183</v>
      </c>
      <c r="D20" s="333" t="s">
        <v>234</v>
      </c>
      <c r="E20" s="320"/>
      <c r="F20" s="320"/>
      <c r="G20" s="320"/>
      <c r="H20" s="320"/>
      <c r="I20" s="320"/>
      <c r="J20" s="320"/>
      <c r="K20" s="320"/>
      <c r="L20" s="320"/>
      <c r="M20" s="320"/>
      <c r="N20" s="320"/>
      <c r="O20" s="320"/>
      <c r="P20" s="320"/>
      <c r="Q20" s="320"/>
      <c r="R20" s="320"/>
      <c r="S20" s="320"/>
      <c r="T20" s="320"/>
      <c r="U20" s="320"/>
      <c r="V20" s="320"/>
      <c r="W20" s="320"/>
      <c r="X20" s="320"/>
      <c r="Y20" s="320"/>
    </row>
    <row r="21" spans="1:25" x14ac:dyDescent="0.2">
      <c r="A21" s="65" t="s">
        <v>49</v>
      </c>
      <c r="B21" s="62"/>
      <c r="C21" s="49">
        <v>2016</v>
      </c>
      <c r="D21" s="360">
        <v>2012</v>
      </c>
      <c r="E21" s="367">
        <v>2020</v>
      </c>
      <c r="F21" s="367">
        <v>2023</v>
      </c>
      <c r="G21" s="367">
        <v>2025</v>
      </c>
      <c r="H21" s="374">
        <v>2030</v>
      </c>
      <c r="I21" s="38">
        <v>2033</v>
      </c>
      <c r="J21" s="38" t="s">
        <v>1</v>
      </c>
      <c r="K21" s="48" t="s">
        <v>54</v>
      </c>
      <c r="L21" s="38" t="s">
        <v>55</v>
      </c>
      <c r="M21" s="50" t="s">
        <v>237</v>
      </c>
      <c r="N21" s="50" t="s">
        <v>253</v>
      </c>
      <c r="O21" s="320"/>
      <c r="P21" s="320"/>
      <c r="Q21" s="320"/>
      <c r="R21" s="320"/>
      <c r="S21" s="320"/>
      <c r="T21" s="320"/>
      <c r="U21" s="320"/>
      <c r="V21" s="320"/>
      <c r="W21" s="320"/>
      <c r="X21" s="320"/>
      <c r="Y21" s="320"/>
    </row>
    <row r="22" spans="1:25" x14ac:dyDescent="0.2">
      <c r="A22" s="71"/>
      <c r="B22" s="37" t="s">
        <v>2</v>
      </c>
      <c r="C22" s="328">
        <f>C4/'Overview 2016 (in)'!$O$7</f>
        <v>400</v>
      </c>
      <c r="D22" s="361">
        <v>550</v>
      </c>
      <c r="E22" s="110">
        <f>$D22*(1-$K22)^(E$21-$D$21)</f>
        <v>369.69039640594207</v>
      </c>
      <c r="F22" s="87"/>
      <c r="G22" s="110">
        <f>$D22*(1-$K22)^(G$21-$D$21)</f>
        <v>288.41001922841889</v>
      </c>
      <c r="H22" s="368">
        <v>225</v>
      </c>
      <c r="I22" s="87"/>
      <c r="J22" s="372" t="s">
        <v>247</v>
      </c>
      <c r="K22" s="312">
        <f>1-(H22/D22)^(1/(H$21-D$21))</f>
        <v>4.844381837693057E-2</v>
      </c>
      <c r="L22" s="95"/>
      <c r="M22" s="379" t="s">
        <v>252</v>
      </c>
      <c r="N22" s="379"/>
      <c r="O22" s="44"/>
      <c r="P22" s="320"/>
      <c r="Q22" s="320"/>
      <c r="R22" s="320"/>
      <c r="S22" s="320"/>
      <c r="T22" s="320"/>
      <c r="U22" s="320"/>
      <c r="V22" s="320"/>
      <c r="W22" s="320"/>
      <c r="X22" s="320"/>
      <c r="Y22" s="320"/>
    </row>
    <row r="23" spans="1:25" x14ac:dyDescent="0.2">
      <c r="A23" s="71"/>
      <c r="B23" s="40" t="s">
        <v>3</v>
      </c>
      <c r="C23" s="328">
        <f>C5/'Overview 2016 (in)'!$O$7</f>
        <v>0</v>
      </c>
      <c r="D23" s="397">
        <v>175</v>
      </c>
      <c r="E23" s="123">
        <f t="shared" ref="E23:E26" si="2">$D23*(1-$K23)^(E$21-$D$21)</f>
        <v>100.28362609809263</v>
      </c>
      <c r="F23" s="87"/>
      <c r="G23" s="123">
        <f t="shared" ref="G23:G26" si="3">$D23*(1-$K23)^(G$21-$D$21)</f>
        <v>70.8108840850376</v>
      </c>
      <c r="H23" s="401">
        <v>50</v>
      </c>
      <c r="I23" s="87"/>
      <c r="J23" s="372" t="s">
        <v>248</v>
      </c>
      <c r="K23" s="312">
        <f t="shared" ref="K23:K26" si="4">1-(H23/D23)^(1/(H$21-D$21))</f>
        <v>6.7231228975996538E-2</v>
      </c>
      <c r="L23" s="95"/>
      <c r="M23" s="379" t="s">
        <v>252</v>
      </c>
      <c r="N23" s="379"/>
      <c r="O23" s="44"/>
      <c r="P23" s="320"/>
      <c r="Q23" s="320"/>
      <c r="R23" s="320"/>
      <c r="S23" s="320"/>
      <c r="T23" s="320"/>
      <c r="U23" s="320"/>
      <c r="V23" s="320"/>
      <c r="W23" s="320"/>
      <c r="X23" s="320"/>
      <c r="Y23" s="320"/>
    </row>
    <row r="24" spans="1:25" x14ac:dyDescent="0.2">
      <c r="A24" s="71"/>
      <c r="B24" s="37" t="s">
        <v>4</v>
      </c>
      <c r="C24" s="329">
        <f>C6</f>
        <v>2000</v>
      </c>
      <c r="D24" s="362">
        <v>3000</v>
      </c>
      <c r="E24" s="111">
        <f t="shared" si="2"/>
        <v>4230.2125456486547</v>
      </c>
      <c r="F24" s="88"/>
      <c r="G24" s="111">
        <f t="shared" si="3"/>
        <v>5243.6992235173329</v>
      </c>
      <c r="H24" s="394">
        <v>6500</v>
      </c>
      <c r="I24" s="91"/>
      <c r="J24" s="372" t="s">
        <v>5</v>
      </c>
      <c r="K24" s="312">
        <f t="shared" si="4"/>
        <v>-4.3890912220534872E-2</v>
      </c>
      <c r="L24" s="95"/>
      <c r="M24" s="379" t="s">
        <v>252</v>
      </c>
      <c r="N24" s="379"/>
      <c r="O24" s="44"/>
      <c r="P24" s="320"/>
      <c r="Q24" s="320"/>
      <c r="R24" s="320"/>
      <c r="S24" s="320"/>
      <c r="T24" s="320"/>
      <c r="U24" s="320"/>
      <c r="V24" s="320"/>
      <c r="W24" s="320"/>
      <c r="X24" s="320"/>
      <c r="Y24" s="320"/>
    </row>
    <row r="25" spans="1:25" x14ac:dyDescent="0.2">
      <c r="A25" s="71"/>
      <c r="B25" s="37" t="s">
        <v>6</v>
      </c>
      <c r="C25" s="329">
        <f>C7</f>
        <v>12</v>
      </c>
      <c r="D25" s="362">
        <v>12.5</v>
      </c>
      <c r="E25" s="111">
        <f t="shared" si="2"/>
        <v>15.403875693958369</v>
      </c>
      <c r="F25" s="88"/>
      <c r="G25" s="111">
        <f t="shared" si="3"/>
        <v>17.55213701744513</v>
      </c>
      <c r="H25" s="394">
        <v>20</v>
      </c>
      <c r="I25" s="91"/>
      <c r="J25" s="372" t="s">
        <v>7</v>
      </c>
      <c r="K25" s="312">
        <f t="shared" si="4"/>
        <v>-2.6455199651044037E-2</v>
      </c>
      <c r="L25" s="95"/>
      <c r="M25" s="379" t="s">
        <v>252</v>
      </c>
      <c r="N25" s="379"/>
      <c r="O25" s="44"/>
      <c r="P25" s="320"/>
      <c r="Q25" s="320"/>
      <c r="R25" s="320"/>
      <c r="S25" s="320"/>
      <c r="T25" s="320"/>
      <c r="U25" s="320"/>
      <c r="V25" s="320"/>
      <c r="W25" s="320"/>
      <c r="X25" s="320"/>
      <c r="Y25" s="320"/>
    </row>
    <row r="26" spans="1:25" ht="16" thickBot="1" x14ac:dyDescent="0.25">
      <c r="A26" s="71"/>
      <c r="B26" s="6" t="s">
        <v>8</v>
      </c>
      <c r="C26" s="330">
        <f>C8</f>
        <v>95</v>
      </c>
      <c r="D26" s="363">
        <v>84.5</v>
      </c>
      <c r="E26" s="112">
        <f t="shared" si="2"/>
        <v>86.254958335584746</v>
      </c>
      <c r="F26" s="90"/>
      <c r="G26" s="112">
        <f t="shared" si="3"/>
        <v>87.370268471026563</v>
      </c>
      <c r="H26" s="395">
        <v>88.5</v>
      </c>
      <c r="I26" s="92"/>
      <c r="J26" s="373" t="s">
        <v>9</v>
      </c>
      <c r="K26" s="313">
        <f t="shared" si="4"/>
        <v>-2.5728049775106676E-3</v>
      </c>
      <c r="L26" s="309"/>
      <c r="M26" s="379" t="s">
        <v>252</v>
      </c>
      <c r="N26" s="379"/>
      <c r="O26" s="44"/>
      <c r="P26" s="320"/>
      <c r="Q26" s="320"/>
      <c r="R26" s="320"/>
      <c r="S26" s="320"/>
      <c r="T26" s="320"/>
      <c r="U26" s="320"/>
      <c r="V26" s="320"/>
      <c r="W26" s="320"/>
      <c r="X26" s="320"/>
      <c r="Y26" s="320"/>
    </row>
    <row r="27" spans="1:25" ht="16" thickBot="1" x14ac:dyDescent="0.25">
      <c r="A27" s="71"/>
      <c r="B27" s="71"/>
      <c r="C27" s="213"/>
      <c r="D27" s="320"/>
      <c r="E27" s="320"/>
      <c r="F27" s="320"/>
      <c r="G27" s="320"/>
      <c r="H27" s="320"/>
      <c r="I27" s="320"/>
      <c r="J27" s="320"/>
      <c r="K27" s="312"/>
      <c r="L27" s="95"/>
      <c r="M27" s="379"/>
      <c r="N27" s="379"/>
      <c r="O27" s="44"/>
      <c r="P27" s="320"/>
      <c r="Q27" s="320"/>
      <c r="R27" s="320"/>
      <c r="S27" s="320"/>
      <c r="T27" s="320"/>
      <c r="U27" s="320"/>
      <c r="V27" s="320"/>
      <c r="W27" s="320"/>
      <c r="X27" s="320"/>
      <c r="Y27" s="320"/>
    </row>
    <row r="28" spans="1:25" x14ac:dyDescent="0.2">
      <c r="A28" s="65" t="s">
        <v>56</v>
      </c>
      <c r="B28" s="62"/>
      <c r="C28" s="49">
        <v>2016</v>
      </c>
      <c r="D28" s="360">
        <v>2014</v>
      </c>
      <c r="E28" s="367">
        <v>2020</v>
      </c>
      <c r="F28" s="374">
        <v>2023</v>
      </c>
      <c r="G28" s="367">
        <v>2025</v>
      </c>
      <c r="H28" s="367">
        <v>2030</v>
      </c>
      <c r="I28" s="38">
        <v>2033</v>
      </c>
      <c r="J28" s="38" t="s">
        <v>1</v>
      </c>
      <c r="K28" s="314"/>
      <c r="L28" s="310"/>
      <c r="M28" s="379" t="s">
        <v>238</v>
      </c>
      <c r="N28" s="379"/>
      <c r="O28" s="377"/>
      <c r="P28" s="320"/>
      <c r="Q28" s="320"/>
      <c r="R28" s="320"/>
      <c r="S28" s="320"/>
      <c r="T28" s="320"/>
      <c r="U28" s="320"/>
      <c r="V28" s="320"/>
      <c r="W28" s="320"/>
      <c r="X28" s="320"/>
      <c r="Y28" s="320"/>
    </row>
    <row r="29" spans="1:25" x14ac:dyDescent="0.2">
      <c r="A29" s="71"/>
      <c r="B29" s="37" t="s">
        <v>2</v>
      </c>
      <c r="C29" s="328">
        <f>C4/'Overview 2016 (in)'!$O$7</f>
        <v>400</v>
      </c>
      <c r="D29" s="361">
        <v>550</v>
      </c>
      <c r="E29" s="110">
        <f>$D29*(1-$K29)^(E$28-$D$28)</f>
        <v>406.91115221988514</v>
      </c>
      <c r="F29" s="385">
        <v>350</v>
      </c>
      <c r="G29" s="110">
        <f>$F29*(1-$L29)^(G$28-$F$28)</f>
        <v>333.51930279302439</v>
      </c>
      <c r="H29" s="110">
        <f>$F29*(1-$L29)^(H$28-$F$28)</f>
        <v>295.63326444998853</v>
      </c>
      <c r="I29" s="361">
        <v>275</v>
      </c>
      <c r="J29" s="372" t="s">
        <v>247</v>
      </c>
      <c r="K29" s="312">
        <f>1-(F29/D29)^(1/(F$28-D$28))</f>
        <v>4.8980364374794583E-2</v>
      </c>
      <c r="L29" s="95">
        <f>1-(I29/F29)^(1/(I$28-F$28))</f>
        <v>2.3827733597007295E-2</v>
      </c>
      <c r="M29" s="379" t="s">
        <v>238</v>
      </c>
      <c r="N29" s="379"/>
      <c r="O29" s="377"/>
      <c r="P29" s="320"/>
      <c r="Q29" s="320"/>
      <c r="R29" s="320"/>
      <c r="S29" s="320"/>
      <c r="T29" s="320"/>
      <c r="U29" s="320"/>
      <c r="V29" s="320"/>
      <c r="W29" s="320"/>
      <c r="X29" s="320"/>
      <c r="Y29" s="320"/>
    </row>
    <row r="30" spans="1:25" x14ac:dyDescent="0.2">
      <c r="A30" s="71"/>
      <c r="B30" s="40" t="s">
        <v>3</v>
      </c>
      <c r="C30" s="328">
        <f>C5/'Overview 2016 (in)'!$O$7</f>
        <v>0</v>
      </c>
      <c r="D30" s="397">
        <v>160</v>
      </c>
      <c r="E30" s="123"/>
      <c r="F30" s="397">
        <v>90</v>
      </c>
      <c r="G30" s="123"/>
      <c r="H30" s="123"/>
      <c r="I30" s="397">
        <v>40</v>
      </c>
      <c r="J30" s="372" t="s">
        <v>248</v>
      </c>
      <c r="K30" s="312"/>
      <c r="L30" s="95"/>
      <c r="M30" s="379" t="s">
        <v>238</v>
      </c>
      <c r="N30" s="379"/>
      <c r="O30" s="377"/>
      <c r="P30" s="320"/>
      <c r="Q30" s="320"/>
      <c r="R30" s="320"/>
      <c r="S30" s="320"/>
      <c r="T30" s="320"/>
      <c r="U30" s="320"/>
      <c r="V30" s="320"/>
      <c r="W30" s="320"/>
      <c r="X30" s="320"/>
      <c r="Y30" s="320"/>
    </row>
    <row r="31" spans="1:25" x14ac:dyDescent="0.2">
      <c r="A31" s="71"/>
      <c r="B31" s="37" t="s">
        <v>4</v>
      </c>
      <c r="C31" s="329">
        <f t="shared" ref="C31:C33" si="5">C6</f>
        <v>2000</v>
      </c>
      <c r="D31" s="396"/>
      <c r="E31" s="124"/>
      <c r="F31" s="398"/>
      <c r="G31" s="124"/>
      <c r="H31" s="124"/>
      <c r="I31" s="399"/>
      <c r="J31" s="372" t="s">
        <v>5</v>
      </c>
      <c r="K31" s="312"/>
      <c r="L31" s="95"/>
      <c r="M31" s="379"/>
      <c r="N31" s="379"/>
      <c r="O31" s="377"/>
      <c r="P31" s="320"/>
      <c r="Q31" s="320"/>
      <c r="R31" s="320"/>
      <c r="S31" s="320"/>
      <c r="T31" s="320"/>
      <c r="U31" s="320"/>
      <c r="V31" s="320"/>
      <c r="W31" s="320"/>
      <c r="X31" s="320"/>
      <c r="Y31" s="320"/>
    </row>
    <row r="32" spans="1:25" x14ac:dyDescent="0.2">
      <c r="A32" s="71"/>
      <c r="B32" s="37" t="s">
        <v>6</v>
      </c>
      <c r="C32" s="329">
        <f t="shared" si="5"/>
        <v>12</v>
      </c>
      <c r="D32" s="362">
        <v>12</v>
      </c>
      <c r="E32" s="111">
        <f>$D32*(1-$K32)^(E$28-$D$28)</f>
        <v>13.924766500838338</v>
      </c>
      <c r="F32" s="386">
        <v>15</v>
      </c>
      <c r="G32" s="111">
        <f>$F32*(1-$L32)^(G$28-$F$28)</f>
        <v>15.888357615732186</v>
      </c>
      <c r="H32" s="111">
        <f>$F32*(1-$L32)^(H$28-$F$28)</f>
        <v>18.346295092848042</v>
      </c>
      <c r="I32" s="362">
        <v>20</v>
      </c>
      <c r="J32" s="372" t="s">
        <v>7</v>
      </c>
      <c r="K32" s="312">
        <f>1-(F32/D32)^(1/(F$28-D$28))</f>
        <v>-2.5103648456901162E-2</v>
      </c>
      <c r="L32" s="95">
        <f>1-(I32/F32)^(1/(I$28-F$28))</f>
        <v>-2.9186008964760646E-2</v>
      </c>
      <c r="M32" s="379" t="s">
        <v>238</v>
      </c>
      <c r="N32" s="379"/>
      <c r="O32" s="377"/>
      <c r="P32" s="320"/>
      <c r="Q32" s="320"/>
      <c r="R32" s="320"/>
      <c r="S32" s="320"/>
      <c r="T32" s="320"/>
      <c r="U32" s="320"/>
      <c r="V32" s="320"/>
      <c r="W32" s="320"/>
      <c r="X32" s="320"/>
      <c r="Y32" s="320"/>
    </row>
    <row r="33" spans="1:25" ht="16" thickBot="1" x14ac:dyDescent="0.25">
      <c r="A33" s="71"/>
      <c r="B33" s="6" t="s">
        <v>8</v>
      </c>
      <c r="C33" s="330">
        <f t="shared" si="5"/>
        <v>95</v>
      </c>
      <c r="D33" s="363">
        <v>90</v>
      </c>
      <c r="E33" s="112">
        <f>$D33*(1-$K33)^(E$28-$D$28)</f>
        <v>90</v>
      </c>
      <c r="F33" s="387">
        <v>90</v>
      </c>
      <c r="G33" s="112">
        <f>$F33*(1-$L33)^(G$28-$F$28)</f>
        <v>90</v>
      </c>
      <c r="H33" s="112">
        <f>$F33*(1-$L33)^(H$28-$F$28)</f>
        <v>90</v>
      </c>
      <c r="I33" s="363">
        <v>90</v>
      </c>
      <c r="J33" s="373" t="s">
        <v>9</v>
      </c>
      <c r="K33" s="313">
        <f>1-(F33/D33)^(1/(F$28-D$28))</f>
        <v>0</v>
      </c>
      <c r="L33" s="309">
        <f>1-(I33/F33)^(1/(I$28-F$28))</f>
        <v>0</v>
      </c>
      <c r="M33" s="379" t="s">
        <v>238</v>
      </c>
      <c r="N33" s="379"/>
      <c r="O33" s="377"/>
      <c r="P33" s="320"/>
      <c r="Q33" s="320"/>
      <c r="R33" s="320"/>
      <c r="S33" s="320"/>
      <c r="T33" s="320"/>
      <c r="U33" s="320"/>
      <c r="V33" s="320"/>
      <c r="W33" s="320"/>
      <c r="X33" s="320"/>
      <c r="Y33" s="320"/>
    </row>
    <row r="34" spans="1:25" ht="16" thickBot="1" x14ac:dyDescent="0.25">
      <c r="A34" s="71"/>
      <c r="B34" s="71"/>
      <c r="C34" s="213"/>
      <c r="D34" s="320"/>
      <c r="E34" s="320"/>
      <c r="F34" s="320"/>
      <c r="G34" s="320"/>
      <c r="H34" s="320"/>
      <c r="I34" s="320"/>
      <c r="J34" s="320"/>
      <c r="K34" s="312"/>
      <c r="L34" s="95"/>
      <c r="M34" s="379"/>
      <c r="N34" s="379"/>
      <c r="O34" s="44"/>
      <c r="P34" s="320"/>
      <c r="Q34" s="320"/>
      <c r="R34" s="320"/>
      <c r="S34" s="320"/>
      <c r="T34" s="320"/>
      <c r="U34" s="320"/>
      <c r="V34" s="320"/>
      <c r="W34" s="320"/>
      <c r="X34" s="320"/>
      <c r="Y34" s="320"/>
    </row>
    <row r="35" spans="1:25" x14ac:dyDescent="0.2">
      <c r="A35" s="65" t="s">
        <v>48</v>
      </c>
      <c r="B35" s="62"/>
      <c r="C35" s="49">
        <v>2016</v>
      </c>
      <c r="D35" s="360">
        <v>2015</v>
      </c>
      <c r="E35" s="367">
        <v>2020</v>
      </c>
      <c r="F35" s="367">
        <v>2023</v>
      </c>
      <c r="G35" s="367">
        <v>2025</v>
      </c>
      <c r="H35" s="367">
        <v>2030</v>
      </c>
      <c r="I35" s="38">
        <v>2033</v>
      </c>
      <c r="J35" s="38" t="s">
        <v>1</v>
      </c>
      <c r="K35" s="314"/>
      <c r="L35" s="310"/>
      <c r="M35" s="379"/>
      <c r="N35" s="379"/>
      <c r="O35" s="44"/>
      <c r="P35" s="320"/>
      <c r="Q35" s="320"/>
      <c r="R35" s="320"/>
      <c r="S35" s="320"/>
      <c r="T35" s="320"/>
      <c r="U35" s="320"/>
      <c r="V35" s="320"/>
      <c r="W35" s="320"/>
      <c r="X35" s="320"/>
      <c r="Y35" s="320"/>
    </row>
    <row r="36" spans="1:25" x14ac:dyDescent="0.2">
      <c r="A36" s="71"/>
      <c r="B36" s="37" t="s">
        <v>2</v>
      </c>
      <c r="C36" s="328">
        <f>C4/'Overview 2016 (in)'!$O$7</f>
        <v>400</v>
      </c>
      <c r="D36" s="361">
        <v>285</v>
      </c>
      <c r="E36" s="364">
        <v>180</v>
      </c>
      <c r="F36" s="87"/>
      <c r="G36" s="364">
        <v>145</v>
      </c>
      <c r="H36" s="181">
        <f>$E36*(1-$L36)^(H$35-$E$35)</f>
        <v>116.80555555555554</v>
      </c>
      <c r="I36" s="87"/>
      <c r="J36" s="372" t="s">
        <v>247</v>
      </c>
      <c r="K36" s="312">
        <f>1-(H36/D36)^(1/(H$35-D$35))</f>
        <v>5.7731710360176214E-2</v>
      </c>
      <c r="L36" s="95">
        <f>1-(G36/E36)^(1/(G$35-E$35))</f>
        <v>4.2322907181576386E-2</v>
      </c>
      <c r="M36" s="379" t="s">
        <v>254</v>
      </c>
      <c r="N36" s="379" t="s">
        <v>255</v>
      </c>
      <c r="O36" s="44"/>
      <c r="P36" s="320"/>
      <c r="Q36" s="320"/>
      <c r="R36" s="320"/>
      <c r="S36" s="320"/>
      <c r="T36" s="320"/>
      <c r="U36" s="320"/>
      <c r="V36" s="320"/>
      <c r="W36" s="320"/>
      <c r="X36" s="320"/>
      <c r="Y36" s="320"/>
    </row>
    <row r="37" spans="1:25" x14ac:dyDescent="0.2">
      <c r="A37" s="71"/>
      <c r="B37" s="40" t="s">
        <v>3</v>
      </c>
      <c r="C37" s="328">
        <f>C5/'Overview 2016 (in)'!$O$7</f>
        <v>0</v>
      </c>
      <c r="D37" s="397">
        <v>125</v>
      </c>
      <c r="E37" s="401">
        <v>92.5</v>
      </c>
      <c r="F37" s="87"/>
      <c r="G37" s="402">
        <v>75</v>
      </c>
      <c r="H37" s="123"/>
      <c r="I37" s="87"/>
      <c r="J37" s="372" t="s">
        <v>248</v>
      </c>
      <c r="K37" s="312"/>
      <c r="L37" s="95"/>
      <c r="M37" s="379" t="s">
        <v>243</v>
      </c>
      <c r="N37" s="379"/>
      <c r="O37" s="44"/>
      <c r="P37" s="320"/>
      <c r="Q37" s="320"/>
      <c r="R37" s="320"/>
      <c r="S37" s="320"/>
      <c r="T37" s="320"/>
      <c r="U37" s="320"/>
      <c r="V37" s="320"/>
      <c r="W37" s="320"/>
      <c r="X37" s="320"/>
      <c r="Y37" s="320"/>
    </row>
    <row r="38" spans="1:25" x14ac:dyDescent="0.2">
      <c r="A38" s="71"/>
      <c r="B38" s="37" t="s">
        <v>4</v>
      </c>
      <c r="C38" s="329">
        <f t="shared" ref="C38:C40" si="6">C6</f>
        <v>2000</v>
      </c>
      <c r="D38" s="362">
        <v>3000</v>
      </c>
      <c r="E38" s="380">
        <v>5000</v>
      </c>
      <c r="F38" s="88"/>
      <c r="G38" s="111">
        <f>$E38*(1-$L38)^(G$35-$E$35)</f>
        <v>5916.0797830996144</v>
      </c>
      <c r="H38" s="380">
        <v>7000</v>
      </c>
      <c r="I38" s="89"/>
      <c r="J38" s="320" t="s">
        <v>5</v>
      </c>
      <c r="K38" s="312">
        <f>1-(H38/D38)^(1/(H$35-D$35))</f>
        <v>-5.8112355609357458E-2</v>
      </c>
      <c r="L38" s="95">
        <f>1-(H38/E38)^(1/(H$35-E$35))</f>
        <v>-3.4219694129380196E-2</v>
      </c>
      <c r="M38" s="379" t="s">
        <v>256</v>
      </c>
      <c r="N38" s="379"/>
      <c r="O38" s="44"/>
      <c r="P38" s="320"/>
      <c r="Q38" s="320"/>
      <c r="R38" s="320"/>
      <c r="S38" s="320"/>
      <c r="T38" s="320"/>
      <c r="U38" s="320"/>
      <c r="V38" s="320"/>
      <c r="W38" s="320"/>
      <c r="X38" s="320"/>
      <c r="Y38" s="320"/>
    </row>
    <row r="39" spans="1:25" x14ac:dyDescent="0.2">
      <c r="A39" s="71"/>
      <c r="B39" s="37" t="s">
        <v>6</v>
      </c>
      <c r="C39" s="329">
        <f t="shared" si="6"/>
        <v>12</v>
      </c>
      <c r="D39" s="362">
        <v>12.5</v>
      </c>
      <c r="E39" s="380">
        <v>20</v>
      </c>
      <c r="F39" s="88"/>
      <c r="G39" s="111">
        <f>$E39*(1-$L39)^(G$21-$E$21)</f>
        <v>20</v>
      </c>
      <c r="H39" s="380">
        <v>20</v>
      </c>
      <c r="I39" s="391"/>
      <c r="J39" s="320" t="s">
        <v>7</v>
      </c>
      <c r="K39" s="312">
        <f t="shared" ref="K39:K40" si="7">1-(H39/D39)^(1/(H$35-D$35))</f>
        <v>-3.1829639349793881E-2</v>
      </c>
      <c r="L39" s="95">
        <f>1-(H39/E39)^(1/(H$21-E$21))</f>
        <v>0</v>
      </c>
      <c r="M39" s="379" t="s">
        <v>256</v>
      </c>
      <c r="N39" s="379"/>
      <c r="O39" s="44"/>
      <c r="P39" s="320"/>
      <c r="Q39" s="320"/>
      <c r="R39" s="320"/>
      <c r="S39" s="320"/>
      <c r="T39" s="320"/>
      <c r="U39" s="320"/>
      <c r="V39" s="320"/>
      <c r="W39" s="320"/>
      <c r="X39" s="320"/>
      <c r="Y39" s="320"/>
    </row>
    <row r="40" spans="1:25" ht="16" thickBot="1" x14ac:dyDescent="0.25">
      <c r="A40" s="71"/>
      <c r="B40" s="6" t="s">
        <v>8</v>
      </c>
      <c r="C40" s="336">
        <f t="shared" si="6"/>
        <v>95</v>
      </c>
      <c r="D40" s="400">
        <v>97</v>
      </c>
      <c r="E40" s="400">
        <v>97</v>
      </c>
      <c r="F40" s="94"/>
      <c r="G40" s="121">
        <f>$E40*(1-$L40)^(G$21-$E$21)</f>
        <v>97</v>
      </c>
      <c r="H40" s="400">
        <v>97</v>
      </c>
      <c r="I40" s="94"/>
      <c r="J40" s="7" t="s">
        <v>9</v>
      </c>
      <c r="K40" s="313">
        <f t="shared" si="7"/>
        <v>0</v>
      </c>
      <c r="L40" s="309">
        <f>1-(H40/E40)^(1/(H$21-E$21))</f>
        <v>0</v>
      </c>
      <c r="M40" s="379" t="s">
        <v>256</v>
      </c>
      <c r="N40" s="379"/>
      <c r="O40" s="44"/>
      <c r="P40" s="320"/>
      <c r="Q40" s="320"/>
      <c r="R40" s="320"/>
      <c r="S40" s="320"/>
      <c r="T40" s="320"/>
      <c r="U40" s="320"/>
      <c r="V40" s="320"/>
      <c r="W40" s="320"/>
      <c r="X40" s="320"/>
      <c r="Y40" s="320"/>
    </row>
    <row r="41" spans="1:25" s="71" customFormat="1" ht="16" thickBot="1" x14ac:dyDescent="0.25">
      <c r="B41" s="40"/>
      <c r="C41" s="337"/>
      <c r="D41" s="84"/>
      <c r="E41" s="73"/>
      <c r="F41" s="73"/>
      <c r="G41" s="85"/>
      <c r="H41" s="85"/>
      <c r="I41" s="86"/>
      <c r="J41" s="39"/>
      <c r="K41" s="320"/>
      <c r="L41" s="320"/>
      <c r="M41" s="379"/>
      <c r="N41" s="379"/>
      <c r="O41" s="44"/>
      <c r="P41" s="320"/>
      <c r="Q41" s="320"/>
      <c r="R41" s="320"/>
      <c r="S41" s="320"/>
      <c r="T41" s="320"/>
      <c r="U41" s="320"/>
      <c r="V41" s="320"/>
      <c r="W41" s="320"/>
      <c r="X41" s="320"/>
      <c r="Y41" s="320"/>
    </row>
    <row r="42" spans="1:25" s="97" customFormat="1" x14ac:dyDescent="0.2">
      <c r="A42" s="65" t="s">
        <v>51</v>
      </c>
      <c r="B42" s="62"/>
      <c r="C42" s="49">
        <v>2016</v>
      </c>
      <c r="D42" s="360">
        <v>2013</v>
      </c>
      <c r="E42" s="367">
        <v>2020</v>
      </c>
      <c r="F42" s="367">
        <v>2023</v>
      </c>
      <c r="G42" s="367">
        <v>2025</v>
      </c>
      <c r="H42" s="367">
        <v>2030</v>
      </c>
      <c r="I42" s="38">
        <v>2050</v>
      </c>
      <c r="J42" s="38" t="s">
        <v>1</v>
      </c>
      <c r="K42" s="314"/>
      <c r="L42" s="310"/>
      <c r="M42" s="379"/>
      <c r="N42" s="379"/>
      <c r="O42" s="44"/>
      <c r="P42" s="320"/>
      <c r="Q42" s="320"/>
      <c r="R42" s="320"/>
      <c r="S42" s="320"/>
      <c r="T42" s="320"/>
      <c r="U42" s="320"/>
      <c r="V42" s="320"/>
      <c r="W42" s="320"/>
      <c r="X42" s="320"/>
      <c r="Y42" s="320"/>
    </row>
    <row r="43" spans="1:25" s="97" customFormat="1" x14ac:dyDescent="0.2">
      <c r="B43" s="37" t="s">
        <v>2</v>
      </c>
      <c r="C43" s="328">
        <f>C4/'Overview 2016 (in)'!$O$7</f>
        <v>400</v>
      </c>
      <c r="D43" s="361">
        <v>445</v>
      </c>
      <c r="E43" s="110">
        <f>$D43*(1-$K43)^(E$42-$D$42)</f>
        <v>199.04963344344532</v>
      </c>
      <c r="F43" s="385">
        <v>141</v>
      </c>
      <c r="G43" s="110">
        <f>$F43*(1-$L43)^(G$42-$F$42)</f>
        <v>138.00291165715254</v>
      </c>
      <c r="H43" s="110">
        <f>$F43*(1-$L43)^(H$42-$F$42)</f>
        <v>130.78595004595371</v>
      </c>
      <c r="I43" s="385">
        <v>105.5</v>
      </c>
      <c r="J43" s="372" t="s">
        <v>247</v>
      </c>
      <c r="K43" s="312">
        <f>1-(F43/D43)^(1/(F$42-D$42))</f>
        <v>0.10857274120333937</v>
      </c>
      <c r="L43" s="95">
        <f>1-(I43/F43)^(1/(I$42-F$42))</f>
        <v>1.0685058080064036E-2</v>
      </c>
      <c r="M43" s="379" t="s">
        <v>257</v>
      </c>
      <c r="N43" s="379" t="s">
        <v>258</v>
      </c>
      <c r="O43" s="44"/>
      <c r="P43" s="320"/>
      <c r="Q43" s="320"/>
      <c r="R43" s="320"/>
      <c r="S43" s="320"/>
      <c r="T43" s="320"/>
      <c r="U43" s="320"/>
      <c r="V43" s="320"/>
      <c r="W43" s="320"/>
      <c r="X43" s="320"/>
      <c r="Y43" s="320"/>
    </row>
    <row r="44" spans="1:25" x14ac:dyDescent="0.2">
      <c r="A44" s="97"/>
      <c r="B44" s="40" t="s">
        <v>3</v>
      </c>
      <c r="C44" s="328">
        <f>C5/'Overview 2016 (in)'!$O$7</f>
        <v>0</v>
      </c>
      <c r="D44" s="397">
        <v>160</v>
      </c>
      <c r="E44" s="123"/>
      <c r="F44" s="397">
        <v>72.5</v>
      </c>
      <c r="G44" s="123"/>
      <c r="H44" s="123"/>
      <c r="I44" s="397">
        <v>45</v>
      </c>
      <c r="J44" s="372" t="s">
        <v>248</v>
      </c>
      <c r="K44" s="312"/>
      <c r="L44" s="95"/>
      <c r="M44" s="379" t="s">
        <v>257</v>
      </c>
      <c r="N44" s="379"/>
      <c r="O44" s="44"/>
      <c r="P44" s="320"/>
      <c r="Q44" s="320"/>
      <c r="R44" s="320"/>
      <c r="S44" s="320"/>
      <c r="T44" s="320"/>
      <c r="U44" s="320"/>
      <c r="V44" s="320"/>
      <c r="W44" s="320"/>
      <c r="X44" s="320"/>
      <c r="Y44" s="320"/>
    </row>
    <row r="45" spans="1:25" x14ac:dyDescent="0.2">
      <c r="A45" s="97"/>
      <c r="B45" s="37" t="s">
        <v>4</v>
      </c>
      <c r="C45" s="329">
        <f t="shared" ref="C45:C47" si="8">C6</f>
        <v>2000</v>
      </c>
      <c r="D45" s="362">
        <v>5000</v>
      </c>
      <c r="E45" s="111">
        <f>$D45*(1-$K45)^(E$42-$D$42)</f>
        <v>6327.9003196206622</v>
      </c>
      <c r="F45" s="386">
        <v>7000</v>
      </c>
      <c r="G45" s="111">
        <f t="shared" ref="G45:H47" si="9">$F45*(1-$L45)^(G$42-$F$42)</f>
        <v>7285.1338713304003</v>
      </c>
      <c r="H45" s="111">
        <f t="shared" si="9"/>
        <v>8049.8220257098674</v>
      </c>
      <c r="I45" s="403">
        <v>12000</v>
      </c>
      <c r="J45" s="320" t="s">
        <v>5</v>
      </c>
      <c r="K45" s="312">
        <f>1-(F45/D45)^(1/(F$42-D$42))</f>
        <v>-3.4219694129380196E-2</v>
      </c>
      <c r="L45" s="95">
        <f>1-(I45/F45)^(1/(I$42-F$42))</f>
        <v>-2.0163423275926462E-2</v>
      </c>
      <c r="M45" s="379" t="s">
        <v>257</v>
      </c>
      <c r="N45" s="379"/>
      <c r="O45" s="44"/>
      <c r="P45" s="320"/>
      <c r="Q45" s="320"/>
      <c r="R45" s="320"/>
      <c r="S45" s="320"/>
      <c r="T45" s="320"/>
      <c r="U45" s="320"/>
      <c r="V45" s="320"/>
      <c r="W45" s="320"/>
      <c r="X45" s="320"/>
      <c r="Y45" s="320"/>
    </row>
    <row r="46" spans="1:25" s="71" customFormat="1" x14ac:dyDescent="0.2">
      <c r="A46" s="97"/>
      <c r="B46" s="37" t="s">
        <v>6</v>
      </c>
      <c r="C46" s="329">
        <f t="shared" si="8"/>
        <v>12</v>
      </c>
      <c r="D46" s="362">
        <v>13</v>
      </c>
      <c r="E46" s="111">
        <f>$D46*(1-$K46)^(E$42-$D$42)</f>
        <v>15.685459678171382</v>
      </c>
      <c r="F46" s="405">
        <v>17</v>
      </c>
      <c r="G46" s="111">
        <f t="shared" si="9"/>
        <v>17.327793907858741</v>
      </c>
      <c r="H46" s="111">
        <f t="shared" si="9"/>
        <v>18.175198190909164</v>
      </c>
      <c r="I46" s="403">
        <v>22</v>
      </c>
      <c r="J46" s="320" t="s">
        <v>7</v>
      </c>
      <c r="K46" s="312">
        <f>1-(F46/D46)^(1/(F$42-D$42))</f>
        <v>-2.7189465815924629E-2</v>
      </c>
      <c r="L46" s="95">
        <f>1-(I46/F46)^(1/(I$42-F$42))</f>
        <v>-9.5949656074587608E-3</v>
      </c>
      <c r="M46" s="379" t="s">
        <v>257</v>
      </c>
      <c r="N46" s="379"/>
      <c r="O46" s="44"/>
      <c r="P46" s="320"/>
      <c r="Q46" s="320"/>
      <c r="R46" s="320"/>
      <c r="S46" s="320"/>
      <c r="T46" s="320"/>
      <c r="U46" s="320"/>
      <c r="V46" s="320"/>
      <c r="W46" s="320"/>
      <c r="X46" s="320"/>
      <c r="Y46" s="320"/>
    </row>
    <row r="47" spans="1:25" ht="16" thickBot="1" x14ac:dyDescent="0.25">
      <c r="A47" s="97"/>
      <c r="B47" s="6" t="s">
        <v>8</v>
      </c>
      <c r="C47" s="336">
        <f t="shared" si="8"/>
        <v>95</v>
      </c>
      <c r="D47" s="400">
        <v>85.5</v>
      </c>
      <c r="E47" s="112">
        <f>$D47*(1-$K47)^(E$42-$D$42)</f>
        <v>86.547257639084734</v>
      </c>
      <c r="F47" s="404">
        <v>87</v>
      </c>
      <c r="G47" s="112">
        <f t="shared" si="9"/>
        <v>87.218751218274875</v>
      </c>
      <c r="H47" s="112">
        <f t="shared" si="9"/>
        <v>87.768038645537743</v>
      </c>
      <c r="I47" s="404">
        <v>90</v>
      </c>
      <c r="J47" s="7" t="s">
        <v>9</v>
      </c>
      <c r="K47" s="313">
        <f>1-(F47/D47)^(1/(F$42-D$42))</f>
        <v>-1.740687511895711E-3</v>
      </c>
      <c r="L47" s="309">
        <f>1-(I47/F47)^(1/(I$42-F$42))</f>
        <v>-1.2564016370888442E-3</v>
      </c>
      <c r="M47" s="379" t="s">
        <v>257</v>
      </c>
      <c r="N47" s="379" t="s">
        <v>259</v>
      </c>
      <c r="O47" s="44"/>
      <c r="P47" s="320"/>
      <c r="Q47" s="320"/>
      <c r="R47" s="320"/>
      <c r="S47" s="320"/>
      <c r="T47" s="320"/>
      <c r="U47" s="320"/>
      <c r="V47" s="320"/>
      <c r="W47" s="320"/>
      <c r="X47" s="320"/>
      <c r="Y47" s="320"/>
    </row>
    <row r="48" spans="1:25" ht="16" thickBot="1" x14ac:dyDescent="0.25">
      <c r="C48" s="213"/>
      <c r="D48" s="320"/>
      <c r="E48" s="320"/>
      <c r="F48" s="320"/>
      <c r="G48" s="320"/>
      <c r="H48" s="320"/>
      <c r="I48" s="320"/>
      <c r="J48" s="320"/>
      <c r="K48" s="312"/>
      <c r="L48" s="95"/>
      <c r="M48" s="379"/>
      <c r="N48" s="44"/>
      <c r="O48" s="44"/>
      <c r="P48" s="320"/>
      <c r="Q48" s="320"/>
      <c r="R48" s="320"/>
      <c r="S48" s="320"/>
      <c r="T48" s="320"/>
      <c r="U48" s="320"/>
      <c r="V48" s="320"/>
      <c r="W48" s="320"/>
      <c r="X48" s="320"/>
      <c r="Y48" s="320"/>
    </row>
    <row r="49" spans="1:25" x14ac:dyDescent="0.2">
      <c r="A49" s="65" t="s">
        <v>103</v>
      </c>
      <c r="B49" s="62"/>
      <c r="C49" s="49">
        <v>2016</v>
      </c>
      <c r="D49" s="360">
        <v>2014</v>
      </c>
      <c r="E49" s="38">
        <v>2017</v>
      </c>
      <c r="F49" s="62">
        <v>2020</v>
      </c>
      <c r="G49" s="62">
        <v>2025</v>
      </c>
      <c r="H49" s="62">
        <v>2030</v>
      </c>
      <c r="I49" s="38">
        <v>2050</v>
      </c>
      <c r="J49" s="38" t="s">
        <v>1</v>
      </c>
      <c r="K49" s="314"/>
      <c r="L49" s="310"/>
      <c r="M49" s="379"/>
      <c r="N49" s="44"/>
      <c r="O49" s="44"/>
      <c r="P49" s="320"/>
      <c r="Q49" s="320"/>
      <c r="R49" s="320"/>
      <c r="S49" s="320"/>
      <c r="T49" s="320"/>
      <c r="U49" s="320"/>
      <c r="V49" s="320"/>
      <c r="W49" s="320"/>
      <c r="X49" s="320"/>
      <c r="Y49" s="320"/>
    </row>
    <row r="50" spans="1:25" x14ac:dyDescent="0.2">
      <c r="A50" s="182"/>
      <c r="B50" s="37" t="s">
        <v>2</v>
      </c>
      <c r="C50" s="334">
        <f>C4</f>
        <v>420</v>
      </c>
      <c r="D50" s="388">
        <v>600</v>
      </c>
      <c r="E50" s="388">
        <v>500</v>
      </c>
      <c r="F50" s="389">
        <v>300</v>
      </c>
      <c r="G50" s="125">
        <f>$F50*(1-$L50)^(G$49-$F$49)</f>
        <v>128.04815896164223</v>
      </c>
      <c r="H50" s="125">
        <f>$F50*(1-$L50)^(H$49-$F$49)</f>
        <v>54.65443671155333</v>
      </c>
      <c r="I50" s="317"/>
      <c r="J50" s="320" t="s">
        <v>22</v>
      </c>
      <c r="K50" s="312">
        <f>1-(E50/D50)^(1/(E$49-D$49))</f>
        <v>5.8963971118971448E-2</v>
      </c>
      <c r="L50" s="95">
        <f>1-(F50/E50)^(1/(F$49-E$49))</f>
        <v>0.15656733469825079</v>
      </c>
      <c r="M50" s="379" t="s">
        <v>260</v>
      </c>
      <c r="N50" s="44"/>
      <c r="O50" s="44"/>
      <c r="P50" s="320"/>
      <c r="Q50" s="320"/>
      <c r="R50" s="320"/>
      <c r="S50" s="320"/>
      <c r="T50" s="320"/>
      <c r="U50" s="320"/>
      <c r="V50" s="320"/>
      <c r="W50" s="320"/>
      <c r="X50" s="320"/>
      <c r="Y50" s="320"/>
    </row>
    <row r="51" spans="1:25" x14ac:dyDescent="0.2">
      <c r="A51" s="182"/>
      <c r="B51" s="40" t="s">
        <v>3</v>
      </c>
      <c r="C51" s="334">
        <f t="shared" ref="C51:C54" si="10">C5</f>
        <v>0</v>
      </c>
      <c r="D51" s="160"/>
      <c r="E51" s="317"/>
      <c r="F51" s="392"/>
      <c r="G51" s="162"/>
      <c r="H51" s="162"/>
      <c r="I51" s="163"/>
      <c r="J51" s="320" t="s">
        <v>23</v>
      </c>
      <c r="K51" s="312"/>
      <c r="L51" s="95"/>
      <c r="M51" s="320"/>
      <c r="N51" s="320"/>
      <c r="O51" s="320"/>
      <c r="P51" s="320"/>
      <c r="Q51" s="320"/>
      <c r="R51" s="320"/>
      <c r="S51" s="320"/>
      <c r="T51" s="320"/>
      <c r="U51" s="320"/>
      <c r="V51" s="320"/>
      <c r="W51" s="320"/>
      <c r="X51" s="320"/>
      <c r="Y51" s="320"/>
    </row>
    <row r="52" spans="1:25" x14ac:dyDescent="0.2">
      <c r="A52" s="182"/>
      <c r="B52" s="37" t="s">
        <v>4</v>
      </c>
      <c r="C52" s="334">
        <f t="shared" si="10"/>
        <v>2000</v>
      </c>
      <c r="D52" s="160"/>
      <c r="E52" s="163"/>
      <c r="F52" s="124"/>
      <c r="G52" s="124"/>
      <c r="H52" s="124"/>
      <c r="I52" s="89"/>
      <c r="J52" s="320" t="s">
        <v>5</v>
      </c>
      <c r="K52" s="312"/>
      <c r="L52" s="95"/>
      <c r="M52" s="320"/>
      <c r="N52" s="320"/>
      <c r="O52" s="320"/>
      <c r="P52" s="320"/>
      <c r="Q52" s="320"/>
      <c r="R52" s="320"/>
      <c r="S52" s="320"/>
      <c r="T52" s="320"/>
      <c r="U52" s="320"/>
      <c r="V52" s="320"/>
      <c r="W52" s="320"/>
      <c r="X52" s="320"/>
      <c r="Y52" s="320"/>
    </row>
    <row r="53" spans="1:25" x14ac:dyDescent="0.2">
      <c r="A53" s="182"/>
      <c r="B53" s="37" t="s">
        <v>6</v>
      </c>
      <c r="C53" s="334">
        <f t="shared" si="10"/>
        <v>12</v>
      </c>
      <c r="D53" s="160"/>
      <c r="E53" s="163"/>
      <c r="F53" s="124"/>
      <c r="G53" s="124"/>
      <c r="H53" s="124"/>
      <c r="I53" s="88"/>
      <c r="J53" s="320" t="s">
        <v>7</v>
      </c>
      <c r="K53" s="312"/>
      <c r="L53" s="95"/>
      <c r="M53" s="320"/>
      <c r="N53" s="320"/>
      <c r="O53" s="320"/>
      <c r="P53" s="320"/>
      <c r="Q53" s="320"/>
      <c r="R53" s="320"/>
      <c r="S53" s="320"/>
      <c r="T53" s="320"/>
      <c r="U53" s="320"/>
      <c r="V53" s="320"/>
      <c r="W53" s="320"/>
      <c r="X53" s="320"/>
      <c r="Y53" s="320"/>
    </row>
    <row r="54" spans="1:25" ht="16" thickBot="1" x14ac:dyDescent="0.25">
      <c r="A54" s="182"/>
      <c r="B54" s="6" t="s">
        <v>8</v>
      </c>
      <c r="C54" s="335">
        <f t="shared" si="10"/>
        <v>95</v>
      </c>
      <c r="D54" s="183"/>
      <c r="E54" s="318"/>
      <c r="F54" s="130"/>
      <c r="G54" s="130"/>
      <c r="H54" s="130"/>
      <c r="I54" s="90"/>
      <c r="J54" s="7" t="s">
        <v>9</v>
      </c>
      <c r="K54" s="313"/>
      <c r="L54" s="309"/>
      <c r="M54" s="320"/>
      <c r="N54" s="320"/>
      <c r="O54" s="320"/>
      <c r="P54" s="320"/>
      <c r="Q54" s="320"/>
      <c r="R54" s="320"/>
      <c r="S54" s="320"/>
      <c r="T54" s="320"/>
      <c r="U54" s="320"/>
      <c r="V54" s="320"/>
      <c r="W54" s="320"/>
      <c r="X54" s="320"/>
      <c r="Y54" s="320"/>
    </row>
    <row r="55" spans="1:25" x14ac:dyDescent="0.2">
      <c r="D55" s="320"/>
      <c r="E55" s="320"/>
      <c r="F55" s="320"/>
      <c r="G55" s="320"/>
      <c r="H55" s="320"/>
      <c r="I55" s="320"/>
      <c r="J55" s="320"/>
      <c r="K55" s="320"/>
      <c r="L55" s="320"/>
      <c r="M55" s="320"/>
      <c r="N55" s="320"/>
      <c r="O55" s="320"/>
      <c r="P55" s="320"/>
      <c r="Q55" s="320"/>
      <c r="R55" s="320"/>
      <c r="S55" s="320"/>
      <c r="T55" s="320"/>
      <c r="U55" s="320"/>
      <c r="V55" s="320"/>
      <c r="W55" s="320"/>
      <c r="X55" s="320"/>
      <c r="Y55" s="320"/>
    </row>
    <row r="56" spans="1:25" x14ac:dyDescent="0.2">
      <c r="A56" s="308"/>
      <c r="B56" s="308"/>
      <c r="C56" s="308"/>
      <c r="D56" s="408" t="s">
        <v>262</v>
      </c>
      <c r="E56" s="408" t="s">
        <v>263</v>
      </c>
      <c r="F56" s="408" t="s">
        <v>264</v>
      </c>
      <c r="G56" s="408" t="s">
        <v>265</v>
      </c>
      <c r="H56" s="320"/>
      <c r="I56" s="320"/>
      <c r="J56" s="320"/>
      <c r="K56" s="320"/>
      <c r="L56" s="320"/>
      <c r="M56" s="320"/>
      <c r="N56" s="320"/>
      <c r="O56" s="320"/>
      <c r="P56" s="320"/>
      <c r="Q56" s="320"/>
      <c r="R56" s="320"/>
      <c r="S56" s="320"/>
      <c r="T56" s="320"/>
      <c r="U56" s="320"/>
      <c r="V56" s="320"/>
      <c r="W56" s="320"/>
      <c r="X56" s="320"/>
      <c r="Y56" s="320"/>
    </row>
    <row r="57" spans="1:25" x14ac:dyDescent="0.2">
      <c r="A57" s="308"/>
      <c r="B57" s="308"/>
      <c r="C57" s="308"/>
      <c r="D57" s="406">
        <f>H22/D22</f>
        <v>0.40909090909090912</v>
      </c>
      <c r="E57" s="406">
        <f>H24/D24</f>
        <v>2.1666666666666665</v>
      </c>
      <c r="F57" s="406">
        <f>H25/D25</f>
        <v>1.6</v>
      </c>
      <c r="G57" s="406">
        <f>H26/D26</f>
        <v>1.0473372781065089</v>
      </c>
      <c r="H57" s="320"/>
      <c r="I57" s="320"/>
      <c r="J57" s="320"/>
      <c r="K57" s="320"/>
      <c r="L57" s="320"/>
      <c r="M57" s="320"/>
      <c r="N57" s="320"/>
      <c r="O57" s="320"/>
      <c r="P57" s="320"/>
      <c r="Q57" s="320"/>
      <c r="R57" s="320"/>
      <c r="S57" s="320"/>
      <c r="T57" s="320"/>
      <c r="U57" s="320"/>
      <c r="V57" s="320"/>
      <c r="W57" s="320"/>
      <c r="X57" s="320"/>
      <c r="Y57" s="320"/>
    </row>
    <row r="58" spans="1:25" x14ac:dyDescent="0.2">
      <c r="A58" s="308"/>
      <c r="B58" s="308"/>
      <c r="C58" s="308"/>
      <c r="D58" s="406">
        <f>H29/D29</f>
        <v>0.53751502627270642</v>
      </c>
      <c r="E58" s="406">
        <f>H32/D32</f>
        <v>1.5288579244040035</v>
      </c>
      <c r="F58" s="406">
        <f>H32/D32</f>
        <v>1.5288579244040035</v>
      </c>
      <c r="G58" s="406">
        <f>H33/D33</f>
        <v>1</v>
      </c>
      <c r="H58" s="320"/>
      <c r="I58" s="320"/>
      <c r="J58" s="320"/>
      <c r="K58" s="320"/>
      <c r="L58" s="320"/>
      <c r="M58" s="320"/>
      <c r="N58" s="320"/>
      <c r="O58" s="320"/>
      <c r="P58" s="320"/>
      <c r="Q58" s="320"/>
      <c r="R58" s="320"/>
      <c r="S58" s="320"/>
      <c r="T58" s="320"/>
      <c r="U58" s="320"/>
      <c r="V58" s="320"/>
      <c r="W58" s="320"/>
      <c r="X58" s="320"/>
      <c r="Y58" s="320"/>
    </row>
    <row r="59" spans="1:25" x14ac:dyDescent="0.2">
      <c r="A59" s="308"/>
      <c r="B59" s="308"/>
      <c r="C59" s="308"/>
      <c r="D59" s="406">
        <f>H36/D36</f>
        <v>0.40984405458089662</v>
      </c>
      <c r="E59" s="406">
        <f>H38/D38</f>
        <v>2.3333333333333335</v>
      </c>
      <c r="F59" s="406">
        <f>H39/D39</f>
        <v>1.6</v>
      </c>
      <c r="G59" s="406">
        <f>H40/D40</f>
        <v>1</v>
      </c>
      <c r="H59" s="320"/>
      <c r="I59" s="320"/>
      <c r="J59" s="320"/>
      <c r="K59" s="320"/>
      <c r="L59" s="320"/>
      <c r="M59" s="320"/>
      <c r="N59" s="320"/>
      <c r="O59" s="320"/>
      <c r="P59" s="320"/>
      <c r="Q59" s="320"/>
      <c r="R59" s="320"/>
      <c r="S59" s="320"/>
      <c r="T59" s="320"/>
      <c r="U59" s="320"/>
      <c r="V59" s="320"/>
      <c r="W59" s="320"/>
      <c r="X59" s="320"/>
      <c r="Y59" s="320"/>
    </row>
    <row r="60" spans="1:25" x14ac:dyDescent="0.2">
      <c r="A60" s="308"/>
      <c r="B60" s="308"/>
      <c r="C60" s="308"/>
      <c r="D60" s="406">
        <f>I43/D43</f>
        <v>0.23707865168539327</v>
      </c>
      <c r="E60" s="406">
        <f>H45/D45</f>
        <v>1.6099644051419735</v>
      </c>
      <c r="F60" s="406">
        <f>H46/D46</f>
        <v>1.3980921685314742</v>
      </c>
      <c r="G60" s="406">
        <f>H47/D47</f>
        <v>1.0265267677840673</v>
      </c>
      <c r="H60" s="320"/>
      <c r="I60" s="320"/>
      <c r="J60" s="320"/>
      <c r="K60" s="320"/>
      <c r="L60" s="320"/>
      <c r="M60" s="320"/>
      <c r="N60" s="320"/>
      <c r="O60" s="320"/>
      <c r="P60" s="320"/>
      <c r="Q60" s="320"/>
      <c r="R60" s="320"/>
      <c r="S60" s="320"/>
      <c r="T60" s="320"/>
      <c r="U60" s="320"/>
      <c r="V60" s="320"/>
      <c r="W60" s="320"/>
      <c r="X60" s="320"/>
      <c r="Y60" s="320"/>
    </row>
    <row r="61" spans="1:25" x14ac:dyDescent="0.2">
      <c r="A61" s="308"/>
      <c r="B61" s="308"/>
      <c r="C61" s="308"/>
      <c r="D61" s="406">
        <f>H50/D50</f>
        <v>9.1090727852588885E-2</v>
      </c>
      <c r="E61" s="406"/>
      <c r="F61" s="406"/>
      <c r="G61" s="406"/>
      <c r="H61" s="320"/>
      <c r="I61" s="320"/>
      <c r="J61" s="320"/>
      <c r="K61" s="320"/>
      <c r="L61" s="320"/>
      <c r="M61" s="320"/>
      <c r="N61" s="320"/>
      <c r="O61" s="320"/>
      <c r="P61" s="320"/>
      <c r="Q61" s="320"/>
      <c r="R61" s="320"/>
      <c r="S61" s="320"/>
      <c r="T61" s="320"/>
      <c r="U61" s="320"/>
      <c r="V61" s="320"/>
      <c r="W61" s="320"/>
      <c r="X61" s="320"/>
      <c r="Y61" s="320"/>
    </row>
    <row r="62" spans="1:25" x14ac:dyDescent="0.2">
      <c r="A62" s="308"/>
      <c r="B62" s="308"/>
      <c r="C62" s="308"/>
      <c r="D62" s="408" t="s">
        <v>261</v>
      </c>
      <c r="E62" s="408" t="s">
        <v>261</v>
      </c>
      <c r="F62" s="408" t="s">
        <v>261</v>
      </c>
      <c r="G62" s="408" t="s">
        <v>261</v>
      </c>
      <c r="H62" s="320"/>
      <c r="I62" s="320"/>
      <c r="J62" s="320"/>
      <c r="K62" s="320"/>
      <c r="L62" s="320"/>
      <c r="M62" s="320"/>
      <c r="N62" s="320"/>
      <c r="O62" s="320"/>
      <c r="P62" s="320"/>
      <c r="Q62" s="320"/>
      <c r="R62" s="320"/>
      <c r="S62" s="320"/>
      <c r="T62" s="320"/>
      <c r="U62" s="320"/>
      <c r="V62" s="320"/>
      <c r="W62" s="320"/>
      <c r="X62" s="320"/>
      <c r="Y62" s="320"/>
    </row>
    <row r="63" spans="1:25" x14ac:dyDescent="0.2">
      <c r="A63" s="308"/>
      <c r="B63" s="308"/>
      <c r="C63" s="308"/>
      <c r="D63" s="406">
        <f>AVERAGE(D57:D60)</f>
        <v>0.39838216040747637</v>
      </c>
      <c r="E63" s="406">
        <f t="shared" ref="E63:G63" si="11">AVERAGE(E57:E60)</f>
        <v>1.9097055823864943</v>
      </c>
      <c r="F63" s="406">
        <f t="shared" si="11"/>
        <v>1.5317375232338695</v>
      </c>
      <c r="G63" s="406">
        <f t="shared" si="11"/>
        <v>1.018466011472644</v>
      </c>
      <c r="H63" s="320"/>
      <c r="I63" s="320"/>
      <c r="J63" s="320"/>
      <c r="K63" s="320"/>
      <c r="L63" s="320"/>
      <c r="M63" s="320"/>
      <c r="N63" s="320"/>
      <c r="O63" s="320"/>
      <c r="P63" s="320"/>
      <c r="Q63" s="320"/>
      <c r="R63" s="320"/>
      <c r="S63" s="320"/>
      <c r="T63" s="320"/>
      <c r="U63" s="320"/>
      <c r="V63" s="320"/>
      <c r="W63" s="320"/>
      <c r="X63" s="320"/>
      <c r="Y63" s="320"/>
    </row>
    <row r="64" spans="1:25" x14ac:dyDescent="0.2">
      <c r="A64" s="308"/>
      <c r="B64" s="308"/>
      <c r="C64" s="308"/>
      <c r="D64" s="320"/>
      <c r="E64" s="320"/>
      <c r="F64" s="320"/>
      <c r="G64" s="320"/>
      <c r="H64" s="320"/>
      <c r="I64" s="320"/>
      <c r="J64" s="320"/>
      <c r="K64" s="320"/>
      <c r="L64" s="320"/>
      <c r="M64" s="320"/>
      <c r="N64" s="320"/>
      <c r="O64" s="320"/>
      <c r="P64" s="320"/>
      <c r="Q64" s="320"/>
      <c r="R64" s="320"/>
      <c r="S64" s="320"/>
      <c r="T64" s="320"/>
      <c r="U64" s="320"/>
      <c r="V64" s="320"/>
      <c r="W64" s="320"/>
      <c r="X64" s="320"/>
      <c r="Y64" s="320"/>
    </row>
    <row r="65" spans="1:15" x14ac:dyDescent="0.2">
      <c r="A65" s="308"/>
      <c r="B65" s="308"/>
      <c r="C65" s="308"/>
      <c r="D65" s="308"/>
      <c r="E65" s="308"/>
      <c r="F65" s="308"/>
      <c r="G65" s="308"/>
      <c r="H65" s="308"/>
      <c r="I65" s="308"/>
      <c r="J65" s="308"/>
      <c r="K65" s="308"/>
      <c r="L65" s="308"/>
      <c r="M65" s="308"/>
      <c r="O65" s="21"/>
    </row>
    <row r="66" spans="1:15" x14ac:dyDescent="0.2">
      <c r="A66" s="308"/>
      <c r="B66" s="308"/>
      <c r="C66" s="308"/>
      <c r="D66" s="308"/>
      <c r="E66" s="308"/>
      <c r="F66" s="308"/>
      <c r="G66" s="308"/>
      <c r="H66" s="308"/>
      <c r="I66" s="308"/>
      <c r="J66" s="308"/>
      <c r="K66" s="308"/>
      <c r="L66" s="308"/>
      <c r="M66" s="308"/>
      <c r="O66" s="21"/>
    </row>
    <row r="67" spans="1:15" x14ac:dyDescent="0.2">
      <c r="A67" s="308"/>
      <c r="B67" s="308"/>
      <c r="C67" s="308"/>
      <c r="D67" s="308"/>
      <c r="E67" s="308"/>
      <c r="F67" s="308"/>
      <c r="G67" s="308"/>
      <c r="H67" s="308"/>
      <c r="I67" s="308"/>
      <c r="J67" s="308"/>
      <c r="K67" s="308"/>
      <c r="L67" s="308"/>
      <c r="M67" s="308"/>
      <c r="O67" s="21"/>
    </row>
    <row r="68" spans="1:15" x14ac:dyDescent="0.2">
      <c r="A68" s="308"/>
      <c r="B68" s="308"/>
      <c r="C68" s="308"/>
      <c r="D68" s="308"/>
      <c r="E68" s="308"/>
      <c r="F68" s="308"/>
      <c r="G68" s="308"/>
      <c r="H68" s="308"/>
      <c r="I68" s="308"/>
      <c r="J68" s="308"/>
      <c r="K68" s="308"/>
      <c r="L68" s="308"/>
      <c r="M68" s="308"/>
      <c r="O68" s="21"/>
    </row>
    <row r="69" spans="1:15" x14ac:dyDescent="0.2">
      <c r="A69" s="308"/>
      <c r="B69" s="308"/>
      <c r="C69" s="308"/>
      <c r="D69" s="308"/>
      <c r="E69" s="308"/>
      <c r="F69" s="308"/>
      <c r="G69" s="308"/>
      <c r="H69" s="308"/>
      <c r="I69" s="308"/>
      <c r="J69" s="308"/>
      <c r="K69" s="308"/>
      <c r="L69" s="308"/>
      <c r="M69" s="308"/>
    </row>
    <row r="70" spans="1:15" x14ac:dyDescent="0.2">
      <c r="A70" s="308"/>
      <c r="B70" s="308"/>
      <c r="C70" s="308"/>
      <c r="D70" s="308"/>
      <c r="E70" s="308"/>
      <c r="F70" s="308"/>
      <c r="G70" s="308"/>
      <c r="H70" s="308"/>
      <c r="I70" s="308"/>
      <c r="J70" s="308"/>
      <c r="K70" s="308"/>
      <c r="L70" s="308"/>
      <c r="M70" s="308"/>
    </row>
    <row r="71" spans="1:15" x14ac:dyDescent="0.2">
      <c r="A71" s="308"/>
      <c r="B71" s="308"/>
      <c r="C71" s="308"/>
      <c r="D71" s="308"/>
      <c r="E71" s="308"/>
      <c r="F71" s="308"/>
      <c r="G71" s="308"/>
      <c r="H71" s="308"/>
      <c r="I71" s="308"/>
      <c r="J71" s="308"/>
      <c r="K71" s="308"/>
      <c r="L71" s="308"/>
      <c r="M71" s="308"/>
    </row>
    <row r="72" spans="1:15" x14ac:dyDescent="0.2">
      <c r="A72" s="308"/>
      <c r="B72" s="308"/>
      <c r="C72" s="308"/>
      <c r="D72" s="308"/>
      <c r="E72" s="308"/>
      <c r="F72" s="308"/>
      <c r="G72" s="308"/>
      <c r="H72" s="308"/>
      <c r="I72" s="308"/>
      <c r="J72" s="308"/>
      <c r="K72" s="308"/>
      <c r="L72" s="308"/>
      <c r="M72" s="308"/>
    </row>
    <row r="73" spans="1:15" x14ac:dyDescent="0.2">
      <c r="A73" s="308"/>
      <c r="B73" s="308"/>
      <c r="C73" s="308"/>
      <c r="D73" s="308"/>
      <c r="E73" s="308"/>
      <c r="F73" s="308"/>
      <c r="G73" s="308"/>
      <c r="H73" s="308"/>
      <c r="I73" s="308"/>
      <c r="J73" s="308"/>
      <c r="K73" s="308"/>
      <c r="L73" s="308"/>
      <c r="M73" s="308"/>
    </row>
    <row r="74" spans="1:15" x14ac:dyDescent="0.2">
      <c r="A74" s="308"/>
      <c r="B74" s="308"/>
      <c r="C74" s="308"/>
      <c r="D74" s="308"/>
      <c r="E74" s="308"/>
      <c r="F74" s="308"/>
      <c r="G74" s="308"/>
      <c r="H74" s="308"/>
      <c r="I74" s="308"/>
      <c r="J74" s="308"/>
      <c r="K74" s="308"/>
      <c r="L74" s="308"/>
      <c r="M74" s="308"/>
    </row>
    <row r="75" spans="1:15" x14ac:dyDescent="0.2">
      <c r="A75" s="308"/>
      <c r="B75" s="308"/>
      <c r="C75" s="308"/>
      <c r="D75" s="308"/>
      <c r="E75" s="308"/>
      <c r="F75" s="308"/>
      <c r="G75" s="308"/>
      <c r="H75" s="308"/>
      <c r="I75" s="308"/>
      <c r="J75" s="308"/>
      <c r="K75" s="308"/>
      <c r="L75" s="308"/>
      <c r="M75" s="308"/>
    </row>
    <row r="76" spans="1:15" x14ac:dyDescent="0.2">
      <c r="A76" s="308"/>
      <c r="B76" s="308"/>
      <c r="C76" s="308"/>
      <c r="D76" s="308"/>
      <c r="E76" s="308"/>
      <c r="F76" s="308"/>
      <c r="G76" s="308"/>
      <c r="H76" s="308"/>
      <c r="I76" s="308"/>
      <c r="J76" s="308"/>
      <c r="K76" s="308"/>
      <c r="L76" s="308"/>
      <c r="M76" s="308"/>
    </row>
    <row r="77" spans="1:15" x14ac:dyDescent="0.2">
      <c r="A77" s="308"/>
      <c r="B77" s="308"/>
      <c r="C77" s="308"/>
      <c r="D77" s="308"/>
      <c r="E77" s="308"/>
      <c r="F77" s="308"/>
      <c r="G77" s="308"/>
      <c r="H77" s="308"/>
      <c r="I77" s="308"/>
      <c r="J77" s="308"/>
      <c r="K77" s="308"/>
      <c r="L77" s="308"/>
      <c r="M77" s="308"/>
    </row>
    <row r="78" spans="1:15" x14ac:dyDescent="0.2">
      <c r="A78" s="308"/>
      <c r="B78" s="308"/>
      <c r="C78" s="308"/>
      <c r="D78" s="308"/>
      <c r="E78" s="308"/>
      <c r="F78" s="308"/>
      <c r="G78" s="308"/>
      <c r="H78" s="308"/>
      <c r="I78" s="308"/>
      <c r="J78" s="308"/>
      <c r="K78" s="308"/>
      <c r="L78" s="308"/>
      <c r="M78" s="308"/>
    </row>
    <row r="79" spans="1:15" x14ac:dyDescent="0.2">
      <c r="A79" s="308"/>
      <c r="B79" s="308"/>
      <c r="C79" s="308"/>
      <c r="D79" s="308"/>
      <c r="E79" s="308"/>
      <c r="F79" s="308"/>
      <c r="G79" s="308"/>
      <c r="H79" s="308"/>
      <c r="I79" s="308"/>
      <c r="J79" s="308"/>
      <c r="K79" s="308"/>
      <c r="L79" s="308"/>
      <c r="M79" s="308"/>
    </row>
    <row r="80" spans="1:15" x14ac:dyDescent="0.2">
      <c r="A80" s="308"/>
      <c r="B80" s="308"/>
      <c r="C80" s="308"/>
      <c r="D80" s="308"/>
      <c r="E80" s="308"/>
      <c r="F80" s="308"/>
      <c r="G80" s="308"/>
      <c r="H80" s="308"/>
      <c r="I80" s="308"/>
      <c r="J80" s="308"/>
      <c r="K80" s="308"/>
      <c r="L80" s="308"/>
      <c r="M80" s="308"/>
    </row>
    <row r="81" spans="1:13" x14ac:dyDescent="0.2">
      <c r="A81" s="308"/>
      <c r="B81" s="308"/>
      <c r="C81" s="308"/>
      <c r="D81" s="308"/>
      <c r="E81" s="308"/>
      <c r="F81" s="308"/>
      <c r="G81" s="308"/>
      <c r="H81" s="308"/>
      <c r="I81" s="308"/>
      <c r="J81" s="308"/>
      <c r="K81" s="308"/>
      <c r="L81" s="308"/>
      <c r="M81" s="308"/>
    </row>
    <row r="82" spans="1:13" x14ac:dyDescent="0.2">
      <c r="A82" s="308"/>
      <c r="B82" s="308"/>
      <c r="C82" s="308"/>
      <c r="D82" s="308"/>
      <c r="E82" s="308"/>
      <c r="F82" s="308"/>
      <c r="G82" s="308"/>
      <c r="H82" s="308"/>
      <c r="I82" s="308"/>
      <c r="J82" s="308"/>
      <c r="K82" s="308"/>
      <c r="L82" s="308"/>
      <c r="M82" s="308"/>
    </row>
    <row r="83" spans="1:13" x14ac:dyDescent="0.2">
      <c r="A83" s="308"/>
      <c r="B83" s="308"/>
      <c r="C83" s="308"/>
      <c r="D83" s="308"/>
      <c r="E83" s="308"/>
      <c r="F83" s="308"/>
      <c r="G83" s="308"/>
      <c r="H83" s="308"/>
      <c r="I83" s="308"/>
      <c r="J83" s="308"/>
      <c r="K83" s="308"/>
      <c r="L83" s="308"/>
      <c r="M83" s="308"/>
    </row>
    <row r="84" spans="1:13" x14ac:dyDescent="0.2">
      <c r="A84" s="308"/>
      <c r="B84" s="308"/>
      <c r="C84" s="308"/>
      <c r="D84" s="308"/>
      <c r="E84" s="308"/>
      <c r="F84" s="308"/>
      <c r="G84" s="308"/>
      <c r="H84" s="308"/>
      <c r="I84" s="308"/>
      <c r="J84" s="308"/>
      <c r="K84" s="308"/>
      <c r="L84" s="308"/>
      <c r="M84" s="308"/>
    </row>
    <row r="85" spans="1:13" x14ac:dyDescent="0.2">
      <c r="A85" s="308"/>
      <c r="B85" s="308"/>
      <c r="C85" s="308"/>
      <c r="D85" s="308"/>
      <c r="E85" s="308"/>
      <c r="F85" s="308"/>
      <c r="G85" s="308"/>
      <c r="H85" s="308"/>
      <c r="I85" s="308"/>
      <c r="J85" s="308"/>
      <c r="K85" s="308"/>
      <c r="L85" s="308"/>
      <c r="M85" s="308"/>
    </row>
    <row r="86" spans="1:13" x14ac:dyDescent="0.2">
      <c r="A86" s="308"/>
      <c r="B86" s="308"/>
      <c r="C86" s="308"/>
      <c r="D86" s="308"/>
      <c r="E86" s="308"/>
      <c r="F86" s="308"/>
      <c r="G86" s="308"/>
      <c r="H86" s="308"/>
      <c r="I86" s="308"/>
      <c r="J86" s="308"/>
      <c r="K86" s="308"/>
      <c r="L86" s="308"/>
      <c r="M86" s="308"/>
    </row>
  </sheetData>
  <hyperlinks>
    <hyperlink ref="E14" r:id="rId1" xr:uid="{00000000-0004-0000-1200-000000000000}"/>
    <hyperlink ref="E15" r:id="rId2" xr:uid="{00000000-0004-0000-1200-000001000000}"/>
    <hyperlink ref="E16" r:id="rId3" xr:uid="{00000000-0004-0000-1200-000002000000}"/>
    <hyperlink ref="E17" r:id="rId4" xr:uid="{00000000-0004-0000-1200-000003000000}"/>
    <hyperlink ref="E18" r:id="rId5" xr:uid="{00000000-0004-0000-1200-000004000000}"/>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Z146"/>
  <sheetViews>
    <sheetView showGridLines="0" zoomScale="85" zoomScaleNormal="85" workbookViewId="0"/>
  </sheetViews>
  <sheetFormatPr baseColWidth="10" defaultColWidth="8.83203125" defaultRowHeight="15" x14ac:dyDescent="0.2"/>
  <sheetData>
    <row r="2" spans="2:26" x14ac:dyDescent="0.2">
      <c r="B2" s="552" t="s">
        <v>288</v>
      </c>
      <c r="C2" s="552"/>
      <c r="D2" s="552"/>
      <c r="E2" s="552"/>
      <c r="F2" s="552"/>
      <c r="G2" s="552"/>
      <c r="H2" s="552"/>
      <c r="I2" s="552"/>
      <c r="J2" s="552"/>
      <c r="K2" s="552"/>
      <c r="L2" s="552"/>
      <c r="M2" s="552"/>
      <c r="N2" s="552"/>
      <c r="O2" s="552"/>
      <c r="P2" s="552"/>
      <c r="Q2" s="552"/>
      <c r="R2" s="552"/>
      <c r="S2" s="552"/>
      <c r="T2" s="552"/>
      <c r="U2" s="552"/>
      <c r="V2" s="552"/>
      <c r="W2" s="552"/>
      <c r="X2" s="552"/>
      <c r="Y2" s="552"/>
      <c r="Z2" s="552"/>
    </row>
    <row r="3" spans="2:26" s="515" customFormat="1" x14ac:dyDescent="0.2"/>
    <row r="4" spans="2:26" s="515" customFormat="1" x14ac:dyDescent="0.2">
      <c r="D4" s="515" t="s">
        <v>297</v>
      </c>
    </row>
    <row r="5" spans="2:26" s="515" customFormat="1" x14ac:dyDescent="0.2">
      <c r="D5" s="515" t="s">
        <v>316</v>
      </c>
    </row>
    <row r="6" spans="2:26" s="515" customFormat="1" x14ac:dyDescent="0.2"/>
    <row r="7" spans="2:26" s="515" customFormat="1" x14ac:dyDescent="0.2">
      <c r="D7" s="560" t="s">
        <v>298</v>
      </c>
      <c r="G7" s="303" t="s">
        <v>299</v>
      </c>
    </row>
    <row r="8" spans="2:26" s="515" customFormat="1" x14ac:dyDescent="0.2"/>
    <row r="9" spans="2:26" x14ac:dyDescent="0.2">
      <c r="B9" s="541" t="s">
        <v>317</v>
      </c>
      <c r="C9" s="541"/>
      <c r="D9" s="541"/>
      <c r="E9" s="541"/>
      <c r="F9" s="541"/>
      <c r="G9" s="541"/>
      <c r="H9" s="541"/>
      <c r="I9" s="541"/>
      <c r="J9" s="541"/>
      <c r="K9" s="541"/>
      <c r="L9" s="541"/>
      <c r="M9" s="541"/>
      <c r="N9" s="541"/>
      <c r="O9" s="541"/>
      <c r="P9" s="541"/>
      <c r="Q9" s="541"/>
      <c r="R9" s="541"/>
      <c r="S9" s="541"/>
      <c r="T9" s="541"/>
      <c r="U9" s="541"/>
      <c r="V9" s="541"/>
      <c r="W9" s="541"/>
      <c r="X9" s="541"/>
      <c r="Y9" s="541"/>
      <c r="Z9" s="541"/>
    </row>
    <row r="10" spans="2:26" x14ac:dyDescent="0.2">
      <c r="B10" s="559" t="s">
        <v>312</v>
      </c>
    </row>
    <row r="11" spans="2:26" x14ac:dyDescent="0.2">
      <c r="B11" s="559" t="s">
        <v>313</v>
      </c>
    </row>
    <row r="12" spans="2:26" x14ac:dyDescent="0.2">
      <c r="B12" s="559" t="s">
        <v>314</v>
      </c>
    </row>
    <row r="13" spans="2:26" x14ac:dyDescent="0.2">
      <c r="B13" s="559" t="s">
        <v>318</v>
      </c>
    </row>
    <row r="14" spans="2:26" x14ac:dyDescent="0.2">
      <c r="C14" s="303" t="s">
        <v>315</v>
      </c>
    </row>
    <row r="15" spans="2:26" s="515" customFormat="1" x14ac:dyDescent="0.2"/>
    <row r="16" spans="2:26" x14ac:dyDescent="0.2">
      <c r="B16" s="541" t="s">
        <v>287</v>
      </c>
      <c r="C16" s="541"/>
      <c r="D16" s="541"/>
      <c r="E16" s="541"/>
      <c r="F16" s="541"/>
      <c r="G16" s="541"/>
      <c r="H16" s="541"/>
      <c r="I16" s="541"/>
      <c r="J16" s="541"/>
      <c r="K16" s="541"/>
      <c r="L16" s="541"/>
      <c r="M16" s="541"/>
      <c r="N16" s="541"/>
      <c r="O16" s="541"/>
      <c r="P16" s="541"/>
      <c r="Q16" s="541"/>
      <c r="R16" s="541"/>
      <c r="S16" s="541"/>
      <c r="T16" s="541"/>
      <c r="U16" s="541"/>
      <c r="V16" s="541"/>
      <c r="W16" s="541"/>
      <c r="X16" s="541"/>
      <c r="Y16" s="541"/>
      <c r="Z16" s="541"/>
    </row>
    <row r="17" spans="2:26" x14ac:dyDescent="0.2">
      <c r="B17" s="559" t="s">
        <v>290</v>
      </c>
    </row>
    <row r="18" spans="2:26" x14ac:dyDescent="0.2">
      <c r="B18" s="559" t="s">
        <v>300</v>
      </c>
    </row>
    <row r="23" spans="2:26" x14ac:dyDescent="0.2">
      <c r="B23" s="541" t="s">
        <v>291</v>
      </c>
      <c r="C23" s="541"/>
      <c r="D23" s="541"/>
      <c r="E23" s="541"/>
      <c r="F23" s="541"/>
      <c r="G23" s="541"/>
      <c r="H23" s="541"/>
      <c r="I23" s="541"/>
      <c r="J23" s="541"/>
      <c r="K23" s="541"/>
      <c r="L23" s="541"/>
      <c r="M23" s="541"/>
      <c r="N23" s="541"/>
      <c r="O23" s="541"/>
      <c r="P23" s="541"/>
      <c r="Q23" s="541"/>
      <c r="R23" s="541"/>
      <c r="S23" s="541"/>
      <c r="T23" s="541"/>
      <c r="U23" s="541"/>
      <c r="V23" s="541"/>
      <c r="W23" s="541"/>
      <c r="X23" s="541"/>
      <c r="Y23" s="541"/>
      <c r="Z23" s="541"/>
    </row>
    <row r="24" spans="2:26" x14ac:dyDescent="0.2">
      <c r="B24" s="559" t="s">
        <v>292</v>
      </c>
    </row>
    <row r="28" spans="2:26" s="563" customFormat="1" x14ac:dyDescent="0.2"/>
    <row r="29" spans="2:26" s="563" customFormat="1" x14ac:dyDescent="0.2">
      <c r="D29" s="44" t="s">
        <v>330</v>
      </c>
    </row>
    <row r="30" spans="2:26" s="515" customFormat="1" x14ac:dyDescent="0.2"/>
    <row r="31" spans="2:26" x14ac:dyDescent="0.2">
      <c r="B31" s="541" t="s">
        <v>293</v>
      </c>
      <c r="C31" s="541"/>
      <c r="D31" s="541"/>
      <c r="E31" s="541"/>
      <c r="F31" s="541"/>
      <c r="G31" s="541"/>
      <c r="H31" s="541"/>
      <c r="I31" s="541"/>
      <c r="J31" s="541"/>
      <c r="K31" s="541"/>
      <c r="L31" s="541"/>
      <c r="M31" s="541"/>
      <c r="N31" s="541"/>
      <c r="O31" s="541"/>
      <c r="P31" s="541"/>
      <c r="Q31" s="541"/>
      <c r="R31" s="541"/>
      <c r="S31" s="541"/>
      <c r="T31" s="541"/>
      <c r="U31" s="541"/>
      <c r="V31" s="541"/>
      <c r="W31" s="541"/>
      <c r="X31" s="541"/>
      <c r="Y31" s="541"/>
      <c r="Z31" s="541"/>
    </row>
    <row r="32" spans="2:26" x14ac:dyDescent="0.2">
      <c r="B32" s="559" t="s">
        <v>294</v>
      </c>
    </row>
    <row r="33" spans="2:26" x14ac:dyDescent="0.2">
      <c r="B33" s="515"/>
    </row>
    <row r="34" spans="2:26" x14ac:dyDescent="0.2">
      <c r="B34" s="515"/>
    </row>
    <row r="35" spans="2:26" s="515" customFormat="1" x14ac:dyDescent="0.2"/>
    <row r="36" spans="2:26" x14ac:dyDescent="0.2">
      <c r="B36" s="562" t="s">
        <v>325</v>
      </c>
    </row>
    <row r="37" spans="2:26" s="540" customFormat="1" x14ac:dyDescent="0.2">
      <c r="B37" s="562" t="s">
        <v>326</v>
      </c>
    </row>
    <row r="38" spans="2:26" s="540" customFormat="1" x14ac:dyDescent="0.2"/>
    <row r="39" spans="2:26" s="515" customFormat="1" x14ac:dyDescent="0.2">
      <c r="B39" s="541" t="s">
        <v>295</v>
      </c>
      <c r="C39" s="541"/>
      <c r="D39" s="541"/>
      <c r="E39" s="541"/>
      <c r="F39" s="541"/>
      <c r="G39" s="541"/>
      <c r="H39" s="541"/>
      <c r="I39" s="541"/>
      <c r="J39" s="541"/>
      <c r="K39" s="541"/>
      <c r="L39" s="541"/>
      <c r="M39" s="541"/>
      <c r="N39" s="541"/>
      <c r="O39" s="541"/>
      <c r="P39" s="541"/>
      <c r="Q39" s="541"/>
      <c r="R39" s="541"/>
      <c r="S39" s="541"/>
      <c r="T39" s="541"/>
      <c r="U39" s="541"/>
      <c r="V39" s="541"/>
      <c r="W39" s="541"/>
      <c r="X39" s="541"/>
      <c r="Y39" s="541"/>
      <c r="Z39" s="541"/>
    </row>
    <row r="40" spans="2:26" s="515" customFormat="1" x14ac:dyDescent="0.2">
      <c r="B40" s="559" t="s">
        <v>305</v>
      </c>
    </row>
    <row r="41" spans="2:26" s="515" customFormat="1" x14ac:dyDescent="0.2"/>
    <row r="42" spans="2:26" s="515" customFormat="1" x14ac:dyDescent="0.2"/>
    <row r="43" spans="2:26" s="515" customFormat="1" x14ac:dyDescent="0.2"/>
    <row r="44" spans="2:26" s="515" customFormat="1" x14ac:dyDescent="0.2"/>
    <row r="45" spans="2:26" s="515" customFormat="1" x14ac:dyDescent="0.2"/>
    <row r="46" spans="2:26" s="515" customFormat="1" x14ac:dyDescent="0.2"/>
    <row r="47" spans="2:26" s="515" customFormat="1" x14ac:dyDescent="0.2"/>
    <row r="48" spans="2:26" s="515" customFormat="1" x14ac:dyDescent="0.2"/>
    <row r="49" spans="2:26" s="515" customFormat="1" x14ac:dyDescent="0.2">
      <c r="D49" s="44" t="s">
        <v>296</v>
      </c>
    </row>
    <row r="50" spans="2:26" s="515" customFormat="1" x14ac:dyDescent="0.2"/>
    <row r="51" spans="2:26" s="515" customFormat="1" x14ac:dyDescent="0.2">
      <c r="B51" s="541" t="s">
        <v>302</v>
      </c>
      <c r="C51" s="541"/>
      <c r="D51" s="541"/>
      <c r="E51" s="541"/>
      <c r="F51" s="541"/>
      <c r="G51" s="541"/>
      <c r="H51" s="541"/>
      <c r="I51" s="541"/>
      <c r="J51" s="541"/>
      <c r="K51" s="541"/>
      <c r="L51" s="541"/>
      <c r="M51" s="541"/>
      <c r="N51" s="541"/>
      <c r="O51" s="541"/>
      <c r="P51" s="541"/>
      <c r="Q51" s="541"/>
      <c r="R51" s="541"/>
      <c r="S51" s="541"/>
      <c r="T51" s="541"/>
      <c r="U51" s="541"/>
      <c r="V51" s="541"/>
      <c r="W51" s="541"/>
      <c r="X51" s="541"/>
      <c r="Y51" s="541"/>
      <c r="Z51" s="541"/>
    </row>
    <row r="52" spans="2:26" s="515" customFormat="1" x14ac:dyDescent="0.2">
      <c r="B52" s="559" t="s">
        <v>301</v>
      </c>
    </row>
    <row r="53" spans="2:26" s="515" customFormat="1" x14ac:dyDescent="0.2"/>
    <row r="54" spans="2:26" s="515" customFormat="1" x14ac:dyDescent="0.2"/>
    <row r="55" spans="2:26" s="515" customFormat="1" x14ac:dyDescent="0.2"/>
    <row r="56" spans="2:26" s="515" customFormat="1" x14ac:dyDescent="0.2"/>
    <row r="57" spans="2:26" s="515" customFormat="1" x14ac:dyDescent="0.2"/>
    <row r="58" spans="2:26" s="515" customFormat="1" x14ac:dyDescent="0.2"/>
    <row r="59" spans="2:26" s="515" customFormat="1" x14ac:dyDescent="0.2"/>
    <row r="60" spans="2:26" s="515" customFormat="1" x14ac:dyDescent="0.2">
      <c r="B60" s="541" t="s">
        <v>303</v>
      </c>
      <c r="C60" s="541"/>
      <c r="D60" s="541"/>
      <c r="E60" s="541"/>
      <c r="F60" s="541"/>
      <c r="G60" s="541"/>
      <c r="H60" s="541"/>
      <c r="I60" s="541"/>
      <c r="J60" s="541"/>
      <c r="K60" s="541"/>
      <c r="L60" s="541"/>
      <c r="M60" s="541"/>
      <c r="N60" s="541"/>
      <c r="O60" s="541"/>
      <c r="P60" s="541"/>
      <c r="Q60" s="541"/>
      <c r="R60" s="541"/>
      <c r="S60" s="541"/>
      <c r="T60" s="541"/>
      <c r="U60" s="541"/>
      <c r="V60" s="541"/>
      <c r="W60" s="541"/>
      <c r="X60" s="541"/>
      <c r="Y60" s="541"/>
      <c r="Z60" s="541"/>
    </row>
    <row r="61" spans="2:26" s="515" customFormat="1" x14ac:dyDescent="0.2">
      <c r="B61" s="559" t="s">
        <v>327</v>
      </c>
    </row>
    <row r="62" spans="2:26" s="515" customFormat="1" x14ac:dyDescent="0.2"/>
    <row r="63" spans="2:26" s="515" customFormat="1" x14ac:dyDescent="0.2">
      <c r="C63" s="515" t="s">
        <v>328</v>
      </c>
    </row>
    <row r="64" spans="2:26" s="515" customFormat="1" x14ac:dyDescent="0.2"/>
    <row r="65" s="515" customFormat="1" x14ac:dyDescent="0.2"/>
    <row r="66" s="515" customFormat="1" x14ac:dyDescent="0.2"/>
    <row r="67" s="515" customFormat="1" x14ac:dyDescent="0.2"/>
    <row r="68" s="515" customFormat="1" x14ac:dyDescent="0.2"/>
    <row r="69" s="515" customFormat="1" x14ac:dyDescent="0.2"/>
    <row r="70" s="515" customFormat="1" x14ac:dyDescent="0.2"/>
    <row r="71" s="515" customFormat="1" x14ac:dyDescent="0.2"/>
    <row r="72" s="515" customFormat="1" x14ac:dyDescent="0.2"/>
    <row r="73" s="515" customFormat="1" x14ac:dyDescent="0.2"/>
    <row r="74" s="515" customFormat="1" x14ac:dyDescent="0.2"/>
    <row r="75" s="515" customFormat="1" x14ac:dyDescent="0.2"/>
    <row r="76" s="515" customFormat="1" x14ac:dyDescent="0.2"/>
    <row r="77" s="515" customFormat="1" x14ac:dyDescent="0.2"/>
    <row r="78" s="515" customFormat="1" x14ac:dyDescent="0.2"/>
    <row r="79" s="515" customFormat="1" x14ac:dyDescent="0.2"/>
    <row r="80" s="515" customFormat="1" x14ac:dyDescent="0.2"/>
    <row r="81" spans="2:26" s="515" customFormat="1" x14ac:dyDescent="0.2"/>
    <row r="82" spans="2:26" s="515" customFormat="1" x14ac:dyDescent="0.2"/>
    <row r="83" spans="2:26" s="515" customFormat="1" x14ac:dyDescent="0.2"/>
    <row r="84" spans="2:26" s="515" customFormat="1" x14ac:dyDescent="0.2"/>
    <row r="85" spans="2:26" s="515" customFormat="1" x14ac:dyDescent="0.2"/>
    <row r="86" spans="2:26" s="515" customFormat="1" x14ac:dyDescent="0.2"/>
    <row r="87" spans="2:26" s="515" customFormat="1" x14ac:dyDescent="0.2"/>
    <row r="88" spans="2:26" s="515" customFormat="1" x14ac:dyDescent="0.2"/>
    <row r="89" spans="2:26" s="515" customFormat="1" x14ac:dyDescent="0.2"/>
    <row r="90" spans="2:26" s="515" customFormat="1" x14ac:dyDescent="0.2"/>
    <row r="91" spans="2:26" s="515" customFormat="1" x14ac:dyDescent="0.2"/>
    <row r="92" spans="2:26" s="515" customFormat="1" x14ac:dyDescent="0.2">
      <c r="B92" s="541" t="s">
        <v>306</v>
      </c>
      <c r="C92" s="541"/>
      <c r="D92" s="541"/>
      <c r="E92" s="541"/>
      <c r="F92" s="541"/>
      <c r="G92" s="541"/>
      <c r="H92" s="541"/>
      <c r="I92" s="541"/>
      <c r="J92" s="541"/>
      <c r="K92" s="541"/>
      <c r="L92" s="541"/>
      <c r="M92" s="541"/>
      <c r="N92" s="541"/>
      <c r="O92" s="541"/>
      <c r="P92" s="541"/>
      <c r="Q92" s="541"/>
      <c r="R92" s="541"/>
      <c r="S92" s="541"/>
      <c r="T92" s="541"/>
      <c r="U92" s="541"/>
      <c r="V92" s="541"/>
      <c r="W92" s="541"/>
      <c r="X92" s="541"/>
      <c r="Y92" s="541"/>
      <c r="Z92" s="541"/>
    </row>
    <row r="93" spans="2:26" s="515" customFormat="1" x14ac:dyDescent="0.2">
      <c r="B93" s="559" t="s">
        <v>307</v>
      </c>
    </row>
    <row r="94" spans="2:26" s="515" customFormat="1" x14ac:dyDescent="0.2"/>
    <row r="95" spans="2:26" s="515" customFormat="1" x14ac:dyDescent="0.2"/>
    <row r="96" spans="2:26" s="515" customFormat="1" x14ac:dyDescent="0.2"/>
    <row r="97" s="515" customFormat="1" x14ac:dyDescent="0.2"/>
    <row r="98" s="515" customFormat="1" x14ac:dyDescent="0.2"/>
    <row r="99" s="515" customFormat="1" x14ac:dyDescent="0.2"/>
    <row r="100" s="515" customFormat="1" x14ac:dyDescent="0.2"/>
    <row r="101" s="515" customFormat="1" x14ac:dyDescent="0.2"/>
    <row r="102" s="515" customFormat="1" x14ac:dyDescent="0.2"/>
    <row r="103" s="515" customFormat="1" x14ac:dyDescent="0.2"/>
    <row r="104" s="515" customFormat="1" x14ac:dyDescent="0.2"/>
    <row r="105" s="515" customFormat="1" x14ac:dyDescent="0.2"/>
    <row r="106" s="515" customFormat="1" x14ac:dyDescent="0.2"/>
    <row r="107" s="515" customFormat="1" x14ac:dyDescent="0.2"/>
    <row r="108" s="515" customFormat="1" x14ac:dyDescent="0.2"/>
    <row r="109" s="515" customFormat="1" x14ac:dyDescent="0.2"/>
    <row r="110" s="515" customFormat="1" x14ac:dyDescent="0.2"/>
    <row r="111" s="515" customFormat="1" x14ac:dyDescent="0.2"/>
    <row r="112" s="515" customFormat="1" x14ac:dyDescent="0.2"/>
    <row r="113" spans="2:26" s="515" customFormat="1" x14ac:dyDescent="0.2"/>
    <row r="114" spans="2:26" s="515" customFormat="1" x14ac:dyDescent="0.2"/>
    <row r="115" spans="2:26" s="515" customFormat="1" x14ac:dyDescent="0.2"/>
    <row r="116" spans="2:26" s="515" customFormat="1" x14ac:dyDescent="0.2"/>
    <row r="117" spans="2:26" s="515" customFormat="1" x14ac:dyDescent="0.2"/>
    <row r="118" spans="2:26" s="515" customFormat="1" x14ac:dyDescent="0.2"/>
    <row r="119" spans="2:26" s="515" customFormat="1" x14ac:dyDescent="0.2">
      <c r="B119" s="541" t="s">
        <v>324</v>
      </c>
      <c r="C119" s="541"/>
      <c r="D119" s="541"/>
      <c r="E119" s="541"/>
      <c r="F119" s="541"/>
      <c r="G119" s="541"/>
      <c r="H119" s="541"/>
      <c r="I119" s="541"/>
      <c r="J119" s="541"/>
      <c r="K119" s="541"/>
      <c r="L119" s="541"/>
      <c r="M119" s="541"/>
      <c r="N119" s="541"/>
      <c r="O119" s="541"/>
      <c r="P119" s="541"/>
      <c r="Q119" s="541"/>
      <c r="R119" s="541"/>
      <c r="S119" s="541"/>
      <c r="T119" s="541"/>
      <c r="U119" s="541"/>
      <c r="V119" s="541"/>
      <c r="W119" s="541"/>
      <c r="X119" s="541"/>
      <c r="Y119" s="541"/>
      <c r="Z119" s="541"/>
    </row>
    <row r="120" spans="2:26" s="515" customFormat="1" x14ac:dyDescent="0.2">
      <c r="B120" s="559" t="s">
        <v>308</v>
      </c>
    </row>
    <row r="121" spans="2:26" s="515" customFormat="1" x14ac:dyDescent="0.2">
      <c r="B121" s="559" t="s">
        <v>310</v>
      </c>
    </row>
    <row r="122" spans="2:26" s="515" customFormat="1" x14ac:dyDescent="0.2">
      <c r="B122" s="515" t="s">
        <v>309</v>
      </c>
    </row>
    <row r="123" spans="2:26" s="515" customFormat="1" x14ac:dyDescent="0.2"/>
    <row r="124" spans="2:26" s="515" customFormat="1" x14ac:dyDescent="0.2"/>
    <row r="125" spans="2:26" s="515" customFormat="1" x14ac:dyDescent="0.2"/>
    <row r="126" spans="2:26" s="515" customFormat="1" x14ac:dyDescent="0.2"/>
    <row r="127" spans="2:26" s="515" customFormat="1" x14ac:dyDescent="0.2"/>
    <row r="128" spans="2:26" s="515" customFormat="1" x14ac:dyDescent="0.2"/>
    <row r="129" spans="2:2" s="515" customFormat="1" x14ac:dyDescent="0.2"/>
    <row r="130" spans="2:2" s="515" customFormat="1" x14ac:dyDescent="0.2"/>
    <row r="131" spans="2:2" s="515" customFormat="1" x14ac:dyDescent="0.2"/>
    <row r="132" spans="2:2" s="515" customFormat="1" x14ac:dyDescent="0.2"/>
    <row r="133" spans="2:2" s="515" customFormat="1" x14ac:dyDescent="0.2"/>
    <row r="134" spans="2:2" s="515" customFormat="1" x14ac:dyDescent="0.2"/>
    <row r="135" spans="2:2" s="515" customFormat="1" x14ac:dyDescent="0.2"/>
    <row r="136" spans="2:2" s="515" customFormat="1" x14ac:dyDescent="0.2"/>
    <row r="137" spans="2:2" s="515" customFormat="1" x14ac:dyDescent="0.2"/>
    <row r="138" spans="2:2" x14ac:dyDescent="0.2">
      <c r="B138" s="515"/>
    </row>
    <row r="139" spans="2:2" x14ac:dyDescent="0.2">
      <c r="B139" s="515"/>
    </row>
    <row r="146" spans="2:26" x14ac:dyDescent="0.2">
      <c r="B146" s="552"/>
      <c r="C146" s="552"/>
      <c r="D146" s="552"/>
      <c r="E146" s="552"/>
      <c r="F146" s="552"/>
      <c r="G146" s="552"/>
      <c r="H146" s="552"/>
      <c r="I146" s="552"/>
      <c r="J146" s="552"/>
      <c r="K146" s="552"/>
      <c r="L146" s="552"/>
      <c r="M146" s="552"/>
      <c r="N146" s="552"/>
      <c r="O146" s="552"/>
      <c r="P146" s="552"/>
      <c r="Q146" s="552"/>
      <c r="R146" s="552"/>
      <c r="S146" s="552"/>
      <c r="T146" s="552"/>
      <c r="U146" s="552"/>
      <c r="V146" s="552"/>
      <c r="W146" s="552"/>
      <c r="X146" s="552"/>
      <c r="Y146" s="552"/>
      <c r="Z146" s="552"/>
    </row>
  </sheetData>
  <hyperlinks>
    <hyperlink ref="G7" r:id="rId1" xr:uid="{00000000-0004-0000-0100-000000000000}"/>
    <hyperlink ref="C14" r:id="rId2" xr:uid="{00000000-0004-0000-0100-000001000000}"/>
  </hyperlinks>
  <pageMargins left="0.7" right="0.7" top="0.75" bottom="0.75" header="0.3" footer="0.3"/>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B2:O19"/>
  <sheetViews>
    <sheetView zoomScale="85" zoomScaleNormal="85" workbookViewId="0"/>
  </sheetViews>
  <sheetFormatPr baseColWidth="10" defaultColWidth="11.5" defaultRowHeight="15" x14ac:dyDescent="0.2"/>
  <cols>
    <col min="1" max="1" width="11.5" style="193"/>
    <col min="2" max="2" width="27.6640625" style="193" bestFit="1" customWidth="1"/>
    <col min="3" max="5" width="11.5" style="193"/>
    <col min="6" max="6" width="11.5" style="193" customWidth="1"/>
    <col min="7" max="14" width="11.5" style="193"/>
    <col min="15" max="15" width="20.1640625" style="193" bestFit="1" customWidth="1"/>
    <col min="16" max="16384" width="11.5" style="193"/>
  </cols>
  <sheetData>
    <row r="2" spans="2:15" x14ac:dyDescent="0.2">
      <c r="C2" s="39"/>
      <c r="D2" s="39"/>
      <c r="E2" s="39"/>
      <c r="F2" s="39"/>
      <c r="G2" s="39"/>
      <c r="H2" s="39"/>
      <c r="I2" s="39"/>
      <c r="J2" s="39"/>
      <c r="K2" s="39"/>
      <c r="L2" s="39"/>
    </row>
    <row r="3" spans="2:15" x14ac:dyDescent="0.2">
      <c r="C3" s="588">
        <v>2016</v>
      </c>
      <c r="D3" s="588"/>
      <c r="E3" s="588"/>
      <c r="F3" s="589">
        <v>2020</v>
      </c>
      <c r="G3" s="589"/>
      <c r="H3" s="589"/>
      <c r="I3" s="589">
        <v>2025</v>
      </c>
      <c r="J3" s="589"/>
      <c r="K3" s="589"/>
      <c r="L3" s="590">
        <v>2030</v>
      </c>
      <c r="M3" s="590"/>
      <c r="N3" s="590"/>
      <c r="O3" s="195"/>
    </row>
    <row r="4" spans="2:15" ht="20" thickBot="1" x14ac:dyDescent="0.3">
      <c r="B4" s="194" t="s">
        <v>201</v>
      </c>
      <c r="C4" s="196" t="s">
        <v>72</v>
      </c>
      <c r="D4" s="196" t="s">
        <v>73</v>
      </c>
      <c r="E4" s="196" t="s">
        <v>178</v>
      </c>
      <c r="F4" s="196" t="s">
        <v>72</v>
      </c>
      <c r="G4" s="196" t="s">
        <v>73</v>
      </c>
      <c r="H4" s="196" t="s">
        <v>178</v>
      </c>
      <c r="I4" s="196" t="s">
        <v>72</v>
      </c>
      <c r="J4" s="196" t="s">
        <v>73</v>
      </c>
      <c r="K4" s="196" t="s">
        <v>178</v>
      </c>
      <c r="L4" s="196" t="s">
        <v>72</v>
      </c>
      <c r="M4" s="196" t="s">
        <v>73</v>
      </c>
      <c r="N4" s="196" t="s">
        <v>178</v>
      </c>
      <c r="O4" s="196" t="s">
        <v>1</v>
      </c>
    </row>
    <row r="5" spans="2:15" x14ac:dyDescent="0.2">
      <c r="B5" s="51" t="s">
        <v>74</v>
      </c>
      <c r="C5" s="147">
        <f>'Overview 2016 (in)'!J22</f>
        <v>735</v>
      </c>
      <c r="D5" s="52">
        <f>'Overview 2016 (in)'!K22</f>
        <v>200</v>
      </c>
      <c r="E5" s="53">
        <f>'Overview 2016 (in)'!L22</f>
        <v>468</v>
      </c>
      <c r="F5" s="147">
        <f>IFERROR(C5*H5/E5,0)</f>
        <v>735</v>
      </c>
      <c r="G5" s="52">
        <f>IFERROR(D5*H5/E5, 0)</f>
        <v>200</v>
      </c>
      <c r="H5" s="53">
        <f>E5</f>
        <v>468</v>
      </c>
      <c r="I5" s="147">
        <f>IFERROR(F5*K5/H5,0)</f>
        <v>735</v>
      </c>
      <c r="J5" s="52">
        <f>IFERROR(G5*K5/H5, 0)</f>
        <v>200</v>
      </c>
      <c r="K5" s="53">
        <f>H5</f>
        <v>468</v>
      </c>
      <c r="L5" s="147">
        <f>IFERROR(I5*N5/K5,0)</f>
        <v>735</v>
      </c>
      <c r="M5" s="52">
        <f>IFERROR(J5*N5/K5, 0)</f>
        <v>200</v>
      </c>
      <c r="N5" s="53">
        <f>K5</f>
        <v>468</v>
      </c>
      <c r="O5" s="54" t="s">
        <v>75</v>
      </c>
    </row>
    <row r="6" spans="2:15" x14ac:dyDescent="0.2">
      <c r="B6" s="37" t="s">
        <v>76</v>
      </c>
      <c r="C6" s="148">
        <f>'Overview 2016 (in)'!J23</f>
        <v>10000</v>
      </c>
      <c r="D6" s="149">
        <f>'Overview 2016 (in)'!K23</f>
        <v>100</v>
      </c>
      <c r="E6" s="150">
        <f>'Overview 2016 (in)'!L23</f>
        <v>3500</v>
      </c>
      <c r="F6" s="148">
        <f t="shared" ref="F6:F15" si="0">IFERROR(C6*H6/E6,0)</f>
        <v>10000</v>
      </c>
      <c r="G6" s="149">
        <f t="shared" ref="G6:G13" si="1">IFERROR(D6*H6/E6, 0)</f>
        <v>100</v>
      </c>
      <c r="H6" s="150">
        <f>E6</f>
        <v>3500</v>
      </c>
      <c r="I6" s="148">
        <f t="shared" ref="I6:I15" si="2">IFERROR(F6*K6/H6,0)</f>
        <v>10000</v>
      </c>
      <c r="J6" s="149">
        <f t="shared" ref="J6:J13" si="3">IFERROR(G6*K6/H6, 0)</f>
        <v>100</v>
      </c>
      <c r="K6" s="150">
        <f>H6</f>
        <v>3500</v>
      </c>
      <c r="L6" s="148">
        <f t="shared" ref="L6:L15" si="4">IFERROR(I6*N6/K6,0)</f>
        <v>10000</v>
      </c>
      <c r="M6" s="149">
        <f t="shared" ref="M6:M13" si="5">IFERROR(J6*N6/K6, 0)</f>
        <v>100</v>
      </c>
      <c r="N6" s="150">
        <f>K6</f>
        <v>3500</v>
      </c>
      <c r="O6" s="55" t="s">
        <v>77</v>
      </c>
    </row>
    <row r="7" spans="2:15" x14ac:dyDescent="0.2">
      <c r="B7" s="51" t="s">
        <v>4</v>
      </c>
      <c r="C7" s="151">
        <f>'Overview 2016 (in)'!J24</f>
        <v>4000</v>
      </c>
      <c r="D7" s="56">
        <f>'Overview 2016 (in)'!K24</f>
        <v>500</v>
      </c>
      <c r="E7" s="197">
        <f>'Overview 2016 (in)'!L24</f>
        <v>2000</v>
      </c>
      <c r="F7" s="151">
        <f t="shared" ca="1" si="0"/>
        <v>4812.116252938923</v>
      </c>
      <c r="G7" s="56">
        <f t="shared" ca="1" si="1"/>
        <v>601.51453161736538</v>
      </c>
      <c r="H7" s="197">
        <f ca="1">INDIRECT(ADDRESS(ROW($B6),COLUMN(D$4),1,,$B$4))</f>
        <v>2406.0581264694615</v>
      </c>
      <c r="I7" s="151">
        <f t="shared" ca="1" si="2"/>
        <v>6062.9119311862778</v>
      </c>
      <c r="J7" s="56">
        <f t="shared" ca="1" si="3"/>
        <v>757.86399139828472</v>
      </c>
      <c r="K7" s="197">
        <f ca="1">INDIRECT(ADDRESS(ROW($B6),COLUMN(E$4),1,,$B$4))</f>
        <v>3031.4559655931389</v>
      </c>
      <c r="L7" s="151">
        <f t="shared" ca="1" si="4"/>
        <v>7638.8223295459775</v>
      </c>
      <c r="M7" s="56">
        <f t="shared" ca="1" si="5"/>
        <v>954.85279119324719</v>
      </c>
      <c r="N7" s="197">
        <f ca="1">INDIRECT(ADDRESS(ROW($B6),COLUMN(F$4),1,,$B$4))</f>
        <v>3819.4111647729887</v>
      </c>
      <c r="O7" s="54" t="s">
        <v>5</v>
      </c>
    </row>
    <row r="8" spans="2:15" x14ac:dyDescent="0.2">
      <c r="B8" s="37" t="s">
        <v>6</v>
      </c>
      <c r="C8" s="152">
        <f>'Overview 2016 (in)'!J25</f>
        <v>20</v>
      </c>
      <c r="D8" s="153">
        <f>'Overview 2016 (in)'!K25</f>
        <v>5</v>
      </c>
      <c r="E8" s="199">
        <f>'Overview 2016 (in)'!L25</f>
        <v>12</v>
      </c>
      <c r="F8" s="152">
        <f t="shared" ca="1" si="0"/>
        <v>22.591226527767983</v>
      </c>
      <c r="G8" s="153">
        <f t="shared" ca="1" si="1"/>
        <v>5.6478066319419957</v>
      </c>
      <c r="H8" s="199">
        <f ca="1">INDIRECT(ADDRESS(ROW($B7),COLUMN(D$4),1,,$B$4))</f>
        <v>13.554735916660789</v>
      </c>
      <c r="I8" s="152">
        <f t="shared" ca="1" si="2"/>
        <v>26.307348543119524</v>
      </c>
      <c r="J8" s="153">
        <f t="shared" ca="1" si="3"/>
        <v>6.5768371357798809</v>
      </c>
      <c r="K8" s="199">
        <f ca="1">INDIRECT(ADDRESS(ROW($B7),COLUMN(E$4),1,,$B$4))</f>
        <v>15.784409125871715</v>
      </c>
      <c r="L8" s="152">
        <f t="shared" ca="1" si="4"/>
        <v>30.634750464677392</v>
      </c>
      <c r="M8" s="153">
        <f t="shared" ca="1" si="5"/>
        <v>7.658687616169348</v>
      </c>
      <c r="N8" s="199">
        <f ca="1">INDIRECT(ADDRESS(ROW($B7),COLUMN(F$4),1,,$B$4))</f>
        <v>18.380850278806435</v>
      </c>
      <c r="O8" s="55" t="s">
        <v>7</v>
      </c>
    </row>
    <row r="9" spans="2:15" x14ac:dyDescent="0.2">
      <c r="B9" s="51" t="s">
        <v>78</v>
      </c>
      <c r="C9" s="151">
        <f>'Overview 2016 (in)'!J26</f>
        <v>100</v>
      </c>
      <c r="D9" s="56">
        <f>'Overview 2016 (in)'!K26</f>
        <v>84</v>
      </c>
      <c r="E9" s="57">
        <f>'Overview 2016 (in)'!L26</f>
        <v>90</v>
      </c>
      <c r="F9" s="151">
        <f t="shared" si="0"/>
        <v>100</v>
      </c>
      <c r="G9" s="56">
        <f t="shared" si="1"/>
        <v>84</v>
      </c>
      <c r="H9" s="57">
        <f>E9</f>
        <v>90</v>
      </c>
      <c r="I9" s="151">
        <f t="shared" si="2"/>
        <v>100</v>
      </c>
      <c r="J9" s="56">
        <f t="shared" si="3"/>
        <v>84</v>
      </c>
      <c r="K9" s="57">
        <f>H9</f>
        <v>90</v>
      </c>
      <c r="L9" s="151">
        <f t="shared" si="4"/>
        <v>100</v>
      </c>
      <c r="M9" s="56">
        <f t="shared" si="5"/>
        <v>84</v>
      </c>
      <c r="N9" s="57">
        <f>K9</f>
        <v>90</v>
      </c>
      <c r="O9" s="54" t="s">
        <v>9</v>
      </c>
    </row>
    <row r="10" spans="2:15" x14ac:dyDescent="0.2">
      <c r="B10" s="37" t="s">
        <v>8</v>
      </c>
      <c r="C10" s="152">
        <f>'Overview 2016 (in)'!J27</f>
        <v>98</v>
      </c>
      <c r="D10" s="153">
        <f>'Overview 2016 (in)'!K27</f>
        <v>81</v>
      </c>
      <c r="E10" s="199">
        <f>'Overview 2016 (in)'!L27</f>
        <v>95</v>
      </c>
      <c r="F10" s="152">
        <v>99</v>
      </c>
      <c r="G10" s="153">
        <f t="shared" ca="1" si="1"/>
        <v>81.424567221517421</v>
      </c>
      <c r="H10" s="199">
        <f ca="1">INDIRECT(ADDRESS(ROW($B8),COLUMN(D$4),1,,$B$4))</f>
        <v>95.497949210421666</v>
      </c>
      <c r="I10" s="152">
        <v>99</v>
      </c>
      <c r="J10" s="153">
        <f t="shared" ca="1" si="3"/>
        <v>81.958407081475087</v>
      </c>
      <c r="K10" s="199">
        <f ca="1">INDIRECT(ADDRESS(ROW($B8),COLUMN(E$4),1,,$B$4))</f>
        <v>96.12405768814979</v>
      </c>
      <c r="L10" s="152">
        <v>99</v>
      </c>
      <c r="M10" s="153">
        <f t="shared" ca="1" si="5"/>
        <v>82.495746929284167</v>
      </c>
      <c r="N10" s="199">
        <f ca="1">INDIRECT(ADDRESS(ROW($B8),COLUMN(F$4),1,,$B$4))</f>
        <v>96.754271089901181</v>
      </c>
      <c r="O10" s="55" t="s">
        <v>9</v>
      </c>
    </row>
    <row r="11" spans="2:15" x14ac:dyDescent="0.2">
      <c r="B11" s="51" t="s">
        <v>79</v>
      </c>
      <c r="C11" s="147">
        <f>'Overview 2016 (in)'!J28</f>
        <v>0.09</v>
      </c>
      <c r="D11" s="52">
        <f>'Overview 2016 (in)'!K28</f>
        <v>0.36</v>
      </c>
      <c r="E11" s="53">
        <f>'Overview 2016 (in)'!L28</f>
        <v>0.1</v>
      </c>
      <c r="F11" s="147">
        <f t="shared" si="0"/>
        <v>8.9999999999999983E-2</v>
      </c>
      <c r="G11" s="52">
        <f t="shared" si="1"/>
        <v>0.35999999999999993</v>
      </c>
      <c r="H11" s="53">
        <f>E11</f>
        <v>0.1</v>
      </c>
      <c r="I11" s="147">
        <f t="shared" si="2"/>
        <v>8.9999999999999983E-2</v>
      </c>
      <c r="J11" s="52">
        <f t="shared" si="3"/>
        <v>0.35999999999999993</v>
      </c>
      <c r="K11" s="53">
        <f>H11</f>
        <v>0.1</v>
      </c>
      <c r="L11" s="147">
        <f t="shared" si="4"/>
        <v>8.9999999999999983E-2</v>
      </c>
      <c r="M11" s="52">
        <f t="shared" si="5"/>
        <v>0.35999999999999993</v>
      </c>
      <c r="N11" s="53">
        <f>K11</f>
        <v>0.1</v>
      </c>
      <c r="O11" s="54" t="s">
        <v>80</v>
      </c>
    </row>
    <row r="12" spans="2:15" x14ac:dyDescent="0.2">
      <c r="B12" s="154" t="s">
        <v>81</v>
      </c>
      <c r="C12" s="148">
        <f>'Overview 2016 (in)'!J29</f>
        <v>3.0000000000000001E-3</v>
      </c>
      <c r="D12" s="149">
        <f>'Overview 2016 (in)'!K29</f>
        <v>1</v>
      </c>
      <c r="E12" s="150">
        <f>'Overview 2016 (in)'!L29</f>
        <v>0.01</v>
      </c>
      <c r="F12" s="148">
        <f t="shared" si="0"/>
        <v>3.0000000000000001E-3</v>
      </c>
      <c r="G12" s="149">
        <f t="shared" si="1"/>
        <v>1</v>
      </c>
      <c r="H12" s="150">
        <f>E12</f>
        <v>0.01</v>
      </c>
      <c r="I12" s="148">
        <f t="shared" si="2"/>
        <v>3.0000000000000001E-3</v>
      </c>
      <c r="J12" s="149">
        <f t="shared" si="3"/>
        <v>1</v>
      </c>
      <c r="K12" s="150">
        <f>H12</f>
        <v>0.01</v>
      </c>
      <c r="L12" s="148">
        <f t="shared" si="4"/>
        <v>3.0000000000000001E-3</v>
      </c>
      <c r="M12" s="149">
        <f t="shared" si="5"/>
        <v>1</v>
      </c>
      <c r="N12" s="150">
        <f>K12</f>
        <v>0.01</v>
      </c>
      <c r="O12" s="155" t="s">
        <v>82</v>
      </c>
    </row>
    <row r="13" spans="2:15" x14ac:dyDescent="0.2">
      <c r="B13" s="156" t="s">
        <v>83</v>
      </c>
      <c r="C13" s="157">
        <f>'Overview 2016 (in)'!J30</f>
        <v>0</v>
      </c>
      <c r="D13" s="58">
        <f>'Overview 2016 (in)'!K30</f>
        <v>0</v>
      </c>
      <c r="E13" s="59">
        <f>'Overview 2016 (in)'!L30</f>
        <v>0</v>
      </c>
      <c r="F13" s="157">
        <f t="shared" si="0"/>
        <v>0</v>
      </c>
      <c r="G13" s="58">
        <f t="shared" si="1"/>
        <v>0</v>
      </c>
      <c r="H13" s="59">
        <f>E13</f>
        <v>0</v>
      </c>
      <c r="I13" s="157">
        <f t="shared" si="2"/>
        <v>0</v>
      </c>
      <c r="J13" s="58">
        <f t="shared" si="3"/>
        <v>0</v>
      </c>
      <c r="K13" s="59">
        <f>H13</f>
        <v>0</v>
      </c>
      <c r="L13" s="157">
        <f t="shared" si="4"/>
        <v>0</v>
      </c>
      <c r="M13" s="58">
        <f t="shared" si="5"/>
        <v>0</v>
      </c>
      <c r="N13" s="59">
        <f>K13</f>
        <v>0</v>
      </c>
      <c r="O13" s="54" t="s">
        <v>7</v>
      </c>
    </row>
    <row r="14" spans="2:15" x14ac:dyDescent="0.2">
      <c r="B14" s="154" t="s">
        <v>2</v>
      </c>
      <c r="C14" s="152">
        <f>'Overview 2016 (in)'!J31</f>
        <v>199.5</v>
      </c>
      <c r="D14" s="153">
        <f>'Overview 2016 (in)'!K31</f>
        <v>840</v>
      </c>
      <c r="E14" s="198">
        <f>'Overview 2016 (in)'!L31</f>
        <v>420</v>
      </c>
      <c r="F14" s="152">
        <f t="shared" ca="1" si="0"/>
        <v>153.37086481061783</v>
      </c>
      <c r="G14" s="153">
        <f t="shared" ref="G14:G15" ca="1" si="6">IFERROR(D14*H14/E14,0)</f>
        <v>645.77206236049597</v>
      </c>
      <c r="H14" s="198">
        <f ca="1">IF(CELL("format",INDIRECT(ADDRESS(ROW($B4),COLUMN(D$4),1,,$B$4)))="W0-",INDIRECT(ADDRESS(ROW($B4),COLUMN(D$4),1,,$B$4))*'Overview 2016 (in)'!$O$7,INDIRECT(ADDRESS(ROW($B4),COLUMN(D$4),1,,$B$4)))</f>
        <v>322.88603118024804</v>
      </c>
      <c r="I14" s="152">
        <f t="shared" ca="1" si="2"/>
        <v>110.40603781102725</v>
      </c>
      <c r="J14" s="153">
        <f t="shared" ref="J14:J15" ca="1" si="7">IFERROR(G14*K14/H14,0)</f>
        <v>464.86752762537776</v>
      </c>
      <c r="K14" s="198">
        <f ca="1">IF(CELL("format",INDIRECT(ADDRESS(ROW($B4),COLUMN(E$4),1,,$B$4)))="W0-",INDIRECT(ADDRESS(ROW($B4),COLUMN(E$4),1,,$B$4))*'Overview 2016 (in)'!$O$7,INDIRECT(ADDRESS(ROW($B4),COLUMN(E$4),1,,$B$4)))</f>
        <v>232.43376381268894</v>
      </c>
      <c r="L14" s="152">
        <f t="shared" ca="1" si="4"/>
        <v>79.477241001291532</v>
      </c>
      <c r="M14" s="153">
        <f t="shared" ref="M14:M15" ca="1" si="8">IFERROR(J14*N14/K14,0)</f>
        <v>334.64101474228011</v>
      </c>
      <c r="N14" s="198">
        <f ca="1">IF(CELL("format",INDIRECT(ADDRESS(ROW($B4),COLUMN(F$4),1,,$B$4)))="W0-",INDIRECT(ADDRESS(ROW($B4),COLUMN(F$4),1,,$B$4))*'Overview 2016 (in)'!$O$7,INDIRECT(ADDRESS(ROW($B4),COLUMN(F$4),1,,$B$4)))</f>
        <v>167.32050737114008</v>
      </c>
      <c r="O14" s="155" t="s">
        <v>22</v>
      </c>
    </row>
    <row r="15" spans="2:15" ht="16" thickBot="1" x14ac:dyDescent="0.25">
      <c r="B15" s="158" t="s">
        <v>3</v>
      </c>
      <c r="C15" s="180">
        <f>'Overview 2016 (in)'!J32</f>
        <v>0</v>
      </c>
      <c r="D15" s="180">
        <f>'Overview 2016 (in)'!K32</f>
        <v>0</v>
      </c>
      <c r="E15" s="200">
        <f>'Overview 2016 (in)'!L32</f>
        <v>0</v>
      </c>
      <c r="F15" s="180">
        <f t="shared" ca="1" si="0"/>
        <v>0</v>
      </c>
      <c r="G15" s="180">
        <f t="shared" ca="1" si="6"/>
        <v>0</v>
      </c>
      <c r="H15" s="200">
        <f ca="1">IF(CELL("format",INDIRECT(ADDRESS(ROW($B5),COLUMN(D$4),1,,$B$4)))="W0-",INDIRECT(ADDRESS(ROW($B5),COLUMN(D$4),1,,$B$4))*'Overview 2016 (in)'!$O$7,INDIRECT(ADDRESS(ROW($B5),COLUMN(D$4),1,,$B$4)))</f>
        <v>0</v>
      </c>
      <c r="I15" s="180">
        <f t="shared" ca="1" si="2"/>
        <v>0</v>
      </c>
      <c r="J15" s="180">
        <f t="shared" ca="1" si="7"/>
        <v>0</v>
      </c>
      <c r="K15" s="200">
        <f ca="1">IF(CELL("format",INDIRECT(ADDRESS(ROW($B5),COLUMN(E$4),1,,$B$4)))="W0-",INDIRECT(ADDRESS(ROW($B5),COLUMN(E$4),1,,$B$4))*'Overview 2016 (in)'!$O$7,INDIRECT(ADDRESS(ROW($B5),COLUMN(E$4),1,,$B$4)))</f>
        <v>0</v>
      </c>
      <c r="L15" s="180">
        <f t="shared" ca="1" si="4"/>
        <v>0</v>
      </c>
      <c r="M15" s="180">
        <f t="shared" ca="1" si="8"/>
        <v>0</v>
      </c>
      <c r="N15" s="200">
        <f ca="1">IF(CELL("format",INDIRECT(ADDRESS(ROW($B5),COLUMN(F$4),1,,$B$4)))="W0-",INDIRECT(ADDRESS(ROW($B5),COLUMN(F$4),1,,$B$4))*'Overview 2016 (in)'!$O$7,INDIRECT(ADDRESS(ROW($B5),COLUMN(F$4),1,,$B$4)))</f>
        <v>0</v>
      </c>
      <c r="O15" s="60" t="s">
        <v>23</v>
      </c>
    </row>
    <row r="17" spans="2:3" x14ac:dyDescent="0.2">
      <c r="C17" s="202"/>
    </row>
    <row r="18" spans="2:3" ht="19" x14ac:dyDescent="0.25">
      <c r="B18" s="201"/>
    </row>
    <row r="19" spans="2:3" x14ac:dyDescent="0.2">
      <c r="B19" s="39"/>
    </row>
  </sheetData>
  <mergeCells count="4">
    <mergeCell ref="C3:E3"/>
    <mergeCell ref="F3:H3"/>
    <mergeCell ref="I3:K3"/>
    <mergeCell ref="L3:N3"/>
  </mergeCells>
  <pageMargins left="0.7" right="0.7" top="0.78740157499999996" bottom="0.78740157499999996"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A2:AA86"/>
  <sheetViews>
    <sheetView zoomScale="85" zoomScaleNormal="85" workbookViewId="0"/>
  </sheetViews>
  <sheetFormatPr baseColWidth="10" defaultColWidth="9.1640625" defaultRowHeight="15" x14ac:dyDescent="0.2"/>
  <cols>
    <col min="1" max="1" width="9.1640625" style="97"/>
    <col min="2" max="2" width="26.5" style="97" customWidth="1"/>
    <col min="3" max="8" width="10.6640625" style="97" customWidth="1"/>
    <col min="9" max="9" width="20.33203125" style="97" customWidth="1"/>
    <col min="10" max="10" width="13.83203125" style="97" customWidth="1"/>
    <col min="11" max="16" width="12.6640625" style="97" customWidth="1"/>
    <col min="17" max="17" width="9.5" style="97" bestFit="1" customWidth="1"/>
    <col min="18" max="16384" width="9.1640625" style="97"/>
  </cols>
  <sheetData>
    <row r="2" spans="1:18" ht="20" thickBot="1" x14ac:dyDescent="0.3">
      <c r="B2" s="41" t="s">
        <v>85</v>
      </c>
      <c r="C2" s="13"/>
      <c r="K2" s="41" t="s">
        <v>0</v>
      </c>
    </row>
    <row r="3" spans="1:18" x14ac:dyDescent="0.2">
      <c r="B3" s="38"/>
      <c r="C3" s="38">
        <v>2016</v>
      </c>
      <c r="D3" s="367">
        <v>2020</v>
      </c>
      <c r="E3" s="367">
        <v>2025</v>
      </c>
      <c r="F3" s="367">
        <v>2030</v>
      </c>
      <c r="G3" s="38" t="s">
        <v>1</v>
      </c>
      <c r="H3" s="40"/>
      <c r="I3" s="38" t="s">
        <v>17</v>
      </c>
      <c r="J3" s="38" t="s">
        <v>18</v>
      </c>
      <c r="K3" s="38" t="s">
        <v>19</v>
      </c>
      <c r="L3" s="38" t="s">
        <v>20</v>
      </c>
      <c r="N3" s="407">
        <f>1-(F4/C4)^(1/(F$3-C$3))</f>
        <v>6.1278249588361255E-2</v>
      </c>
    </row>
    <row r="4" spans="1:18" x14ac:dyDescent="0.2">
      <c r="B4" s="37" t="s">
        <v>2</v>
      </c>
      <c r="C4" s="165">
        <f>'Overview 2016 (in)'!F47</f>
        <v>351.75</v>
      </c>
      <c r="D4" s="68">
        <f>$C4*(1-$N3)^(D$3-$C$3)</f>
        <v>273.13768794404609</v>
      </c>
      <c r="E4" s="68">
        <f>$C4*(1-$N3)^(E$3-$C$3)</f>
        <v>199.09760340392722</v>
      </c>
      <c r="F4" s="68">
        <f>C4*D63</f>
        <v>145.12774117538834</v>
      </c>
      <c r="G4" s="97" t="s">
        <v>22</v>
      </c>
      <c r="I4" s="79" t="s">
        <v>52</v>
      </c>
      <c r="J4" s="42" t="s">
        <v>53</v>
      </c>
      <c r="K4" s="42" t="s">
        <v>53</v>
      </c>
      <c r="L4" s="42" t="s">
        <v>53</v>
      </c>
      <c r="N4" s="407"/>
    </row>
    <row r="5" spans="1:18" x14ac:dyDescent="0.2">
      <c r="B5" s="40" t="s">
        <v>3</v>
      </c>
      <c r="C5" s="165">
        <f>'Overview 2016 (in)'!F48</f>
        <v>0</v>
      </c>
      <c r="D5" s="68">
        <v>0</v>
      </c>
      <c r="E5" s="68">
        <v>0</v>
      </c>
      <c r="F5" s="68">
        <v>0</v>
      </c>
      <c r="G5" s="97" t="s">
        <v>23</v>
      </c>
      <c r="I5" s="79" t="s">
        <v>52</v>
      </c>
      <c r="J5" s="42">
        <v>1</v>
      </c>
      <c r="K5" s="42">
        <v>1</v>
      </c>
      <c r="L5" s="42">
        <v>1</v>
      </c>
      <c r="N5" s="407">
        <f t="shared" ref="N5:N7" si="0">1-(F6/C6)^(1/(F$3-C$3))</f>
        <v>-4.7294999279520633E-2</v>
      </c>
    </row>
    <row r="6" spans="1:18" x14ac:dyDescent="0.2">
      <c r="B6" s="37" t="s">
        <v>4</v>
      </c>
      <c r="C6" s="165">
        <f>'Overview 2016 (in)'!F40</f>
        <v>1000</v>
      </c>
      <c r="D6" s="73">
        <f t="shared" ref="D6:E8" si="1">$C6*(1-$N5)^(D$3-$C$3)</f>
        <v>1203.0290632347308</v>
      </c>
      <c r="E6" s="73">
        <f t="shared" si="1"/>
        <v>1515.7279827965694</v>
      </c>
      <c r="F6" s="69">
        <f>C6*E63</f>
        <v>1909.7055823864944</v>
      </c>
      <c r="G6" s="97" t="s">
        <v>5</v>
      </c>
      <c r="I6" s="79" t="s">
        <v>52</v>
      </c>
      <c r="J6" s="42" t="s">
        <v>53</v>
      </c>
      <c r="K6" s="42" t="s">
        <v>53</v>
      </c>
      <c r="L6" s="42" t="s">
        <v>53</v>
      </c>
      <c r="N6" s="407">
        <f t="shared" si="0"/>
        <v>-3.0925907392973073E-2</v>
      </c>
    </row>
    <row r="7" spans="1:18" x14ac:dyDescent="0.2">
      <c r="B7" s="37" t="s">
        <v>6</v>
      </c>
      <c r="C7" s="165">
        <f>'Overview 2016 (in)'!F41</f>
        <v>12</v>
      </c>
      <c r="D7" s="85">
        <f t="shared" si="1"/>
        <v>13.554735916660789</v>
      </c>
      <c r="E7" s="85">
        <f t="shared" si="1"/>
        <v>15.784409125871715</v>
      </c>
      <c r="F7" s="127">
        <f>C7*F63</f>
        <v>18.380850278806435</v>
      </c>
      <c r="G7" s="97" t="s">
        <v>7</v>
      </c>
      <c r="I7" s="79" t="s">
        <v>52</v>
      </c>
      <c r="J7" s="42" t="s">
        <v>53</v>
      </c>
      <c r="K7" s="42" t="s">
        <v>53</v>
      </c>
      <c r="L7" s="42" t="s">
        <v>53</v>
      </c>
      <c r="N7" s="407">
        <f t="shared" si="0"/>
        <v>-1.3078248127507131E-3</v>
      </c>
    </row>
    <row r="8" spans="1:18" ht="16" thickBot="1" x14ac:dyDescent="0.25">
      <c r="B8" s="6" t="s">
        <v>8</v>
      </c>
      <c r="C8" s="187">
        <f>'Overview 2016 (in)'!F43</f>
        <v>95</v>
      </c>
      <c r="D8" s="78">
        <f t="shared" si="1"/>
        <v>95.497949210421666</v>
      </c>
      <c r="E8" s="78">
        <f t="shared" si="1"/>
        <v>96.12405768814979</v>
      </c>
      <c r="F8" s="78">
        <f>C8*G63</f>
        <v>96.754271089901181</v>
      </c>
      <c r="G8" s="7" t="s">
        <v>9</v>
      </c>
      <c r="H8" s="39"/>
      <c r="I8" s="80" t="s">
        <v>52</v>
      </c>
      <c r="J8" s="83" t="s">
        <v>53</v>
      </c>
      <c r="K8" s="83" t="s">
        <v>53</v>
      </c>
      <c r="L8" s="83" t="s">
        <v>53</v>
      </c>
      <c r="N8" s="320"/>
    </row>
    <row r="9" spans="1:18" x14ac:dyDescent="0.2">
      <c r="B9" s="37"/>
      <c r="C9" s="44"/>
      <c r="J9" s="39"/>
      <c r="K9" s="39"/>
      <c r="L9" s="39"/>
      <c r="M9" s="39"/>
    </row>
    <row r="10" spans="1:18" x14ac:dyDescent="0.2">
      <c r="A10" s="262"/>
      <c r="B10" s="262"/>
      <c r="C10" s="262"/>
      <c r="D10" s="262"/>
      <c r="E10" s="262"/>
      <c r="F10" s="262"/>
      <c r="G10" s="262"/>
      <c r="H10" s="262"/>
      <c r="I10" s="39"/>
      <c r="J10" s="39"/>
      <c r="K10" s="39"/>
      <c r="L10" s="39"/>
      <c r="M10" s="39"/>
      <c r="N10" s="39"/>
      <c r="O10" s="39"/>
      <c r="P10" s="39"/>
      <c r="Q10" s="39"/>
      <c r="R10" s="39"/>
    </row>
    <row r="11" spans="1:18" x14ac:dyDescent="0.2">
      <c r="B11" s="39"/>
      <c r="C11" s="39"/>
      <c r="D11" s="39"/>
      <c r="E11" s="39"/>
      <c r="F11" s="39"/>
      <c r="G11" s="39"/>
      <c r="H11" s="39"/>
      <c r="J11" s="43"/>
      <c r="K11" s="2" t="s">
        <v>68</v>
      </c>
      <c r="L11" s="43"/>
      <c r="M11" s="43"/>
      <c r="N11" s="43"/>
      <c r="O11" s="43"/>
      <c r="P11" s="43"/>
    </row>
    <row r="12" spans="1:18" ht="20" thickBot="1" x14ac:dyDescent="0.3">
      <c r="B12" s="41" t="s">
        <v>10</v>
      </c>
      <c r="J12" s="42"/>
      <c r="K12" s="18" t="s">
        <v>69</v>
      </c>
      <c r="L12" s="42"/>
      <c r="M12" s="42"/>
      <c r="N12" s="42"/>
      <c r="O12" s="42"/>
      <c r="P12" s="42"/>
    </row>
    <row r="13" spans="1:18" x14ac:dyDescent="0.2">
      <c r="B13" s="98" t="s">
        <v>11</v>
      </c>
      <c r="C13" s="98" t="s">
        <v>12</v>
      </c>
      <c r="D13" s="98" t="s">
        <v>13</v>
      </c>
      <c r="E13" s="98" t="s">
        <v>225</v>
      </c>
      <c r="F13" s="100" t="s">
        <v>60</v>
      </c>
      <c r="G13" s="98"/>
      <c r="H13" s="100" t="s">
        <v>105</v>
      </c>
      <c r="J13" s="42"/>
      <c r="K13" s="93" t="s">
        <v>71</v>
      </c>
      <c r="L13" s="93"/>
      <c r="M13" s="42"/>
      <c r="N13" s="42"/>
      <c r="O13" s="42"/>
      <c r="P13" s="42"/>
    </row>
    <row r="14" spans="1:18" x14ac:dyDescent="0.2">
      <c r="B14" s="97">
        <v>1</v>
      </c>
      <c r="C14" s="97" t="s">
        <v>15</v>
      </c>
      <c r="D14" s="97" t="s">
        <v>16</v>
      </c>
      <c r="E14" s="303" t="s">
        <v>226</v>
      </c>
      <c r="F14" s="145" t="s">
        <v>61</v>
      </c>
      <c r="G14" s="302"/>
      <c r="H14" s="55" t="s">
        <v>115</v>
      </c>
      <c r="J14" s="42"/>
      <c r="K14" s="42"/>
      <c r="L14" s="42"/>
      <c r="M14" s="42"/>
      <c r="N14" s="42"/>
      <c r="O14" s="42"/>
      <c r="P14" s="42"/>
    </row>
    <row r="15" spans="1:18" x14ac:dyDescent="0.2">
      <c r="B15" s="97">
        <v>2</v>
      </c>
      <c r="C15" s="97" t="s">
        <v>24</v>
      </c>
      <c r="D15" s="97" t="s">
        <v>25</v>
      </c>
      <c r="E15" s="303" t="s">
        <v>227</v>
      </c>
      <c r="F15" s="145" t="s">
        <v>62</v>
      </c>
      <c r="G15" s="302"/>
      <c r="H15" s="55" t="s">
        <v>115</v>
      </c>
      <c r="J15" s="42"/>
      <c r="K15" s="42"/>
      <c r="L15" s="42"/>
      <c r="M15" s="42"/>
      <c r="N15" s="42"/>
      <c r="O15" s="42"/>
      <c r="P15" s="42"/>
    </row>
    <row r="16" spans="1:18" x14ac:dyDescent="0.2">
      <c r="B16" s="97">
        <v>3</v>
      </c>
      <c r="C16" s="97" t="s">
        <v>29</v>
      </c>
      <c r="D16" s="97" t="s">
        <v>30</v>
      </c>
      <c r="E16" s="303" t="s">
        <v>230</v>
      </c>
      <c r="F16" s="145" t="s">
        <v>65</v>
      </c>
      <c r="G16" s="302"/>
      <c r="H16" s="55" t="s">
        <v>115</v>
      </c>
      <c r="J16" s="42"/>
      <c r="K16" s="42"/>
      <c r="L16" s="42"/>
      <c r="M16" s="42"/>
      <c r="N16" s="42"/>
      <c r="O16" s="42"/>
      <c r="P16" s="42"/>
    </row>
    <row r="17" spans="1:27" x14ac:dyDescent="0.2">
      <c r="B17" s="97">
        <v>4</v>
      </c>
      <c r="C17" s="97" t="s">
        <v>58</v>
      </c>
      <c r="D17" s="97" t="s">
        <v>59</v>
      </c>
      <c r="E17" s="303" t="s">
        <v>228</v>
      </c>
      <c r="F17" s="145" t="s">
        <v>63</v>
      </c>
      <c r="G17" s="302"/>
      <c r="H17" s="55" t="s">
        <v>115</v>
      </c>
      <c r="J17" s="42"/>
      <c r="K17" s="42"/>
      <c r="L17" s="42"/>
      <c r="M17" s="42"/>
      <c r="N17" s="42"/>
      <c r="O17" s="42"/>
      <c r="P17" s="42"/>
    </row>
    <row r="18" spans="1:27" x14ac:dyDescent="0.2">
      <c r="B18" s="182">
        <v>5</v>
      </c>
      <c r="C18" s="182" t="s">
        <v>100</v>
      </c>
      <c r="D18" s="182" t="s">
        <v>101</v>
      </c>
      <c r="E18" s="303" t="s">
        <v>231</v>
      </c>
      <c r="F18" s="145" t="s">
        <v>102</v>
      </c>
      <c r="G18" s="302"/>
      <c r="H18" s="185" t="s">
        <v>38</v>
      </c>
      <c r="J18" s="42"/>
      <c r="K18" s="42"/>
      <c r="L18" s="42"/>
      <c r="M18" s="42"/>
      <c r="N18" s="42"/>
      <c r="O18" s="42"/>
      <c r="P18" s="42"/>
    </row>
    <row r="19" spans="1:27" x14ac:dyDescent="0.2">
      <c r="A19" s="304" t="s">
        <v>232</v>
      </c>
      <c r="K19" s="42"/>
      <c r="L19" s="42"/>
      <c r="M19" s="42"/>
      <c r="N19" s="42"/>
      <c r="O19" s="42"/>
      <c r="P19" s="42"/>
      <c r="Q19" s="42"/>
      <c r="R19" s="42"/>
    </row>
    <row r="20" spans="1:27" ht="16" thickBot="1" x14ac:dyDescent="0.25">
      <c r="A20" s="304" t="s">
        <v>47</v>
      </c>
      <c r="B20" s="42"/>
      <c r="C20" s="332" t="s">
        <v>183</v>
      </c>
      <c r="D20" s="333" t="s">
        <v>234</v>
      </c>
      <c r="E20" s="320"/>
      <c r="F20" s="320"/>
      <c r="G20" s="320"/>
      <c r="H20" s="320"/>
      <c r="I20" s="320"/>
      <c r="J20" s="320"/>
      <c r="K20" s="320"/>
      <c r="L20" s="320"/>
      <c r="M20" s="320"/>
      <c r="N20" s="320"/>
      <c r="O20" s="320"/>
      <c r="P20" s="320"/>
      <c r="Q20" s="320"/>
      <c r="R20" s="320"/>
      <c r="S20" s="320"/>
      <c r="T20" s="320"/>
      <c r="U20" s="320"/>
      <c r="V20" s="320"/>
      <c r="W20" s="320"/>
      <c r="X20" s="320"/>
      <c r="Y20" s="320"/>
      <c r="Z20" s="320"/>
      <c r="AA20" s="320"/>
    </row>
    <row r="21" spans="1:27" x14ac:dyDescent="0.2">
      <c r="A21" s="65" t="s">
        <v>49</v>
      </c>
      <c r="B21" s="38"/>
      <c r="C21" s="49">
        <v>2016</v>
      </c>
      <c r="D21" s="360">
        <v>2012</v>
      </c>
      <c r="E21" s="367">
        <v>2020</v>
      </c>
      <c r="F21" s="367">
        <v>2023</v>
      </c>
      <c r="G21" s="367">
        <v>2025</v>
      </c>
      <c r="H21" s="374">
        <v>2030</v>
      </c>
      <c r="I21" s="38">
        <v>2033</v>
      </c>
      <c r="J21" s="38" t="s">
        <v>1</v>
      </c>
      <c r="K21" s="48" t="s">
        <v>54</v>
      </c>
      <c r="L21" s="38" t="s">
        <v>55</v>
      </c>
      <c r="M21" s="50" t="s">
        <v>237</v>
      </c>
      <c r="N21" s="50" t="s">
        <v>253</v>
      </c>
      <c r="O21" s="320"/>
      <c r="P21" s="320"/>
      <c r="Q21" s="320"/>
      <c r="R21" s="320"/>
      <c r="S21" s="320"/>
      <c r="T21" s="320"/>
      <c r="U21" s="320"/>
      <c r="V21" s="320"/>
      <c r="W21" s="320"/>
      <c r="X21" s="320"/>
      <c r="Y21" s="320"/>
      <c r="Z21" s="320"/>
      <c r="AA21" s="320"/>
    </row>
    <row r="22" spans="1:27" x14ac:dyDescent="0.2">
      <c r="B22" s="37" t="s">
        <v>2</v>
      </c>
      <c r="C22" s="328">
        <f>C4/'Overview 2016 (in)'!$O$7</f>
        <v>335</v>
      </c>
      <c r="D22" s="361">
        <v>550</v>
      </c>
      <c r="E22" s="110">
        <f>$D22*(1-$K22)^(E$21-$D$21)</f>
        <v>369.69039640594207</v>
      </c>
      <c r="F22" s="87"/>
      <c r="G22" s="110">
        <f>$D22*(1-$K22)^(G$21-$D$21)</f>
        <v>288.41001922841889</v>
      </c>
      <c r="H22" s="368">
        <v>225</v>
      </c>
      <c r="I22" s="87"/>
      <c r="J22" s="372" t="s">
        <v>247</v>
      </c>
      <c r="K22" s="312">
        <f>1-(H22/D22)^(1/(H$21-D$21))</f>
        <v>4.844381837693057E-2</v>
      </c>
      <c r="L22" s="95"/>
      <c r="M22" s="379" t="s">
        <v>252</v>
      </c>
      <c r="N22" s="379"/>
      <c r="O22" s="379"/>
      <c r="P22" s="379"/>
      <c r="Q22" s="379"/>
      <c r="R22" s="320"/>
      <c r="S22" s="320"/>
      <c r="T22" s="320"/>
      <c r="U22" s="320"/>
      <c r="V22" s="320"/>
      <c r="W22" s="320"/>
      <c r="X22" s="320"/>
      <c r="Y22" s="320"/>
      <c r="Z22" s="320"/>
      <c r="AA22" s="320"/>
    </row>
    <row r="23" spans="1:27" x14ac:dyDescent="0.2">
      <c r="B23" s="40" t="s">
        <v>3</v>
      </c>
      <c r="C23" s="328">
        <f>C5/'Overview 2016 (in)'!$O$7</f>
        <v>0</v>
      </c>
      <c r="D23" s="397">
        <v>175</v>
      </c>
      <c r="E23" s="123">
        <f t="shared" ref="E23:E26" si="2">$D23*(1-$K23)^(E$21-$D$21)</f>
        <v>100.28362609809263</v>
      </c>
      <c r="F23" s="87"/>
      <c r="G23" s="123">
        <f t="shared" ref="G23:G26" si="3">$D23*(1-$K23)^(G$21-$D$21)</f>
        <v>70.8108840850376</v>
      </c>
      <c r="H23" s="401">
        <v>50</v>
      </c>
      <c r="I23" s="87"/>
      <c r="J23" s="372" t="s">
        <v>248</v>
      </c>
      <c r="K23" s="312">
        <f t="shared" ref="K23:K26" si="4">1-(H23/D23)^(1/(H$21-D$21))</f>
        <v>6.7231228975996538E-2</v>
      </c>
      <c r="L23" s="95"/>
      <c r="M23" s="379" t="s">
        <v>252</v>
      </c>
      <c r="N23" s="379"/>
      <c r="O23" s="379"/>
      <c r="P23" s="379"/>
      <c r="Q23" s="379"/>
      <c r="R23" s="320"/>
      <c r="S23" s="320"/>
      <c r="T23" s="320"/>
      <c r="U23" s="320"/>
      <c r="V23" s="320"/>
      <c r="W23" s="320"/>
      <c r="X23" s="320"/>
      <c r="Y23" s="320"/>
      <c r="Z23" s="320"/>
      <c r="AA23" s="320"/>
    </row>
    <row r="24" spans="1:27" x14ac:dyDescent="0.2">
      <c r="B24" s="37" t="s">
        <v>4</v>
      </c>
      <c r="C24" s="329">
        <f>C6</f>
        <v>1000</v>
      </c>
      <c r="D24" s="362">
        <v>3000</v>
      </c>
      <c r="E24" s="111">
        <f t="shared" si="2"/>
        <v>4230.2125456486547</v>
      </c>
      <c r="F24" s="88"/>
      <c r="G24" s="111">
        <f t="shared" si="3"/>
        <v>5243.6992235173329</v>
      </c>
      <c r="H24" s="394">
        <v>6500</v>
      </c>
      <c r="I24" s="91"/>
      <c r="J24" s="372" t="s">
        <v>5</v>
      </c>
      <c r="K24" s="312">
        <f t="shared" si="4"/>
        <v>-4.3890912220534872E-2</v>
      </c>
      <c r="L24" s="95"/>
      <c r="M24" s="379" t="s">
        <v>252</v>
      </c>
      <c r="N24" s="379"/>
      <c r="O24" s="379"/>
      <c r="P24" s="379"/>
      <c r="Q24" s="379"/>
      <c r="R24" s="320"/>
      <c r="S24" s="320"/>
      <c r="T24" s="320"/>
      <c r="U24" s="320"/>
      <c r="V24" s="320"/>
      <c r="W24" s="320"/>
      <c r="X24" s="320"/>
      <c r="Y24" s="320"/>
      <c r="Z24" s="320"/>
      <c r="AA24" s="320"/>
    </row>
    <row r="25" spans="1:27" x14ac:dyDescent="0.2">
      <c r="B25" s="37" t="s">
        <v>6</v>
      </c>
      <c r="C25" s="329">
        <f>C7</f>
        <v>12</v>
      </c>
      <c r="D25" s="362">
        <v>12.5</v>
      </c>
      <c r="E25" s="111">
        <f t="shared" si="2"/>
        <v>15.403875693958369</v>
      </c>
      <c r="F25" s="88"/>
      <c r="G25" s="111">
        <f t="shared" si="3"/>
        <v>17.55213701744513</v>
      </c>
      <c r="H25" s="394">
        <v>20</v>
      </c>
      <c r="I25" s="91"/>
      <c r="J25" s="372" t="s">
        <v>7</v>
      </c>
      <c r="K25" s="312">
        <f t="shared" si="4"/>
        <v>-2.6455199651044037E-2</v>
      </c>
      <c r="L25" s="95"/>
      <c r="M25" s="379" t="s">
        <v>252</v>
      </c>
      <c r="N25" s="379"/>
      <c r="O25" s="379"/>
      <c r="P25" s="379"/>
      <c r="Q25" s="379"/>
      <c r="R25" s="320"/>
      <c r="S25" s="320"/>
      <c r="T25" s="320"/>
      <c r="U25" s="320"/>
      <c r="V25" s="320"/>
      <c r="W25" s="320"/>
      <c r="X25" s="320"/>
      <c r="Y25" s="320"/>
      <c r="Z25" s="320"/>
      <c r="AA25" s="320"/>
    </row>
    <row r="26" spans="1:27" ht="16" thickBot="1" x14ac:dyDescent="0.25">
      <c r="B26" s="6" t="s">
        <v>8</v>
      </c>
      <c r="C26" s="330">
        <f>C8</f>
        <v>95</v>
      </c>
      <c r="D26" s="363">
        <v>84.5</v>
      </c>
      <c r="E26" s="112">
        <f t="shared" si="2"/>
        <v>86.254958335584746</v>
      </c>
      <c r="F26" s="90"/>
      <c r="G26" s="112">
        <f t="shared" si="3"/>
        <v>87.370268471026563</v>
      </c>
      <c r="H26" s="395">
        <v>88.5</v>
      </c>
      <c r="I26" s="92"/>
      <c r="J26" s="373" t="s">
        <v>9</v>
      </c>
      <c r="K26" s="313">
        <f t="shared" si="4"/>
        <v>-2.5728049775106676E-3</v>
      </c>
      <c r="L26" s="309"/>
      <c r="M26" s="379" t="s">
        <v>252</v>
      </c>
      <c r="N26" s="379"/>
      <c r="O26" s="379"/>
      <c r="P26" s="379"/>
      <c r="Q26" s="379"/>
      <c r="R26" s="320"/>
      <c r="S26" s="320"/>
      <c r="T26" s="320"/>
      <c r="U26" s="320"/>
      <c r="V26" s="320"/>
      <c r="W26" s="320"/>
      <c r="X26" s="320"/>
      <c r="Y26" s="320"/>
      <c r="Z26" s="320"/>
      <c r="AA26" s="320"/>
    </row>
    <row r="27" spans="1:27" ht="16" thickBot="1" x14ac:dyDescent="0.25">
      <c r="C27" s="213"/>
      <c r="D27" s="320"/>
      <c r="E27" s="320"/>
      <c r="F27" s="320"/>
      <c r="G27" s="320"/>
      <c r="H27" s="320"/>
      <c r="I27" s="320"/>
      <c r="J27" s="320"/>
      <c r="K27" s="312"/>
      <c r="L27" s="95"/>
      <c r="M27" s="379"/>
      <c r="N27" s="379"/>
      <c r="O27" s="379"/>
      <c r="P27" s="379"/>
      <c r="Q27" s="379"/>
      <c r="R27" s="320"/>
      <c r="S27" s="320"/>
      <c r="T27" s="320"/>
      <c r="U27" s="320"/>
      <c r="V27" s="320"/>
      <c r="W27" s="320"/>
      <c r="X27" s="320"/>
      <c r="Y27" s="320"/>
      <c r="Z27" s="320"/>
      <c r="AA27" s="320"/>
    </row>
    <row r="28" spans="1:27" x14ac:dyDescent="0.2">
      <c r="A28" s="65" t="s">
        <v>56</v>
      </c>
      <c r="B28" s="38"/>
      <c r="C28" s="49">
        <v>2016</v>
      </c>
      <c r="D28" s="360">
        <v>2014</v>
      </c>
      <c r="E28" s="367">
        <v>2020</v>
      </c>
      <c r="F28" s="374">
        <v>2023</v>
      </c>
      <c r="G28" s="367">
        <v>2025</v>
      </c>
      <c r="H28" s="367">
        <v>2030</v>
      </c>
      <c r="I28" s="38">
        <v>2033</v>
      </c>
      <c r="J28" s="38" t="s">
        <v>1</v>
      </c>
      <c r="K28" s="314"/>
      <c r="L28" s="310"/>
      <c r="M28" s="379" t="s">
        <v>238</v>
      </c>
      <c r="N28" s="379"/>
      <c r="O28" s="379"/>
      <c r="P28" s="379"/>
      <c r="Q28" s="379"/>
      <c r="R28" s="320"/>
      <c r="S28" s="320"/>
      <c r="T28" s="320"/>
      <c r="U28" s="320"/>
      <c r="V28" s="320"/>
      <c r="W28" s="320"/>
      <c r="X28" s="320"/>
      <c r="Y28" s="320"/>
      <c r="Z28" s="320"/>
      <c r="AA28" s="320"/>
    </row>
    <row r="29" spans="1:27" x14ac:dyDescent="0.2">
      <c r="B29" s="37" t="s">
        <v>2</v>
      </c>
      <c r="C29" s="328">
        <f>C4/'Overview 2016 (in)'!$O$7</f>
        <v>335</v>
      </c>
      <c r="D29" s="361">
        <v>550</v>
      </c>
      <c r="E29" s="110">
        <f>$D29*(1-$K29)^(E$28-$D$28)</f>
        <v>406.91115221988514</v>
      </c>
      <c r="F29" s="385">
        <v>350</v>
      </c>
      <c r="G29" s="110">
        <f>$F29*(1-$L29)^(G$28-$F$28)</f>
        <v>333.51930279302439</v>
      </c>
      <c r="H29" s="110">
        <f>$F29*(1-$L29)^(H$28-$F$28)</f>
        <v>295.63326444998853</v>
      </c>
      <c r="I29" s="361">
        <v>275</v>
      </c>
      <c r="J29" s="372" t="s">
        <v>247</v>
      </c>
      <c r="K29" s="312">
        <f>1-(F29/D29)^(1/(F$28-D$28))</f>
        <v>4.8980364374794583E-2</v>
      </c>
      <c r="L29" s="95">
        <f>1-(I29/F29)^(1/(I$28-F$28))</f>
        <v>2.3827733597007295E-2</v>
      </c>
      <c r="M29" s="379" t="s">
        <v>238</v>
      </c>
      <c r="N29" s="379"/>
      <c r="O29" s="379"/>
      <c r="P29" s="379"/>
      <c r="Q29" s="379"/>
      <c r="R29" s="320"/>
      <c r="S29" s="320"/>
      <c r="T29" s="320"/>
      <c r="U29" s="320"/>
      <c r="V29" s="320"/>
      <c r="W29" s="320"/>
      <c r="X29" s="320"/>
      <c r="Y29" s="320"/>
      <c r="Z29" s="320"/>
      <c r="AA29" s="320"/>
    </row>
    <row r="30" spans="1:27" x14ac:dyDescent="0.2">
      <c r="B30" s="40" t="s">
        <v>3</v>
      </c>
      <c r="C30" s="328">
        <f>C5/'Overview 2016 (in)'!$O$7</f>
        <v>0</v>
      </c>
      <c r="D30" s="397">
        <v>160</v>
      </c>
      <c r="E30" s="123"/>
      <c r="F30" s="397">
        <v>90</v>
      </c>
      <c r="G30" s="123"/>
      <c r="H30" s="123"/>
      <c r="I30" s="397">
        <v>40</v>
      </c>
      <c r="J30" s="372" t="s">
        <v>248</v>
      </c>
      <c r="K30" s="312"/>
      <c r="L30" s="95"/>
      <c r="M30" s="379" t="s">
        <v>238</v>
      </c>
      <c r="N30" s="379"/>
      <c r="O30" s="379"/>
      <c r="P30" s="379"/>
      <c r="Q30" s="379"/>
      <c r="R30" s="320"/>
      <c r="S30" s="320"/>
      <c r="T30" s="320"/>
      <c r="U30" s="320"/>
      <c r="V30" s="320"/>
      <c r="W30" s="320"/>
      <c r="X30" s="320"/>
      <c r="Y30" s="320"/>
      <c r="Z30" s="320"/>
      <c r="AA30" s="320"/>
    </row>
    <row r="31" spans="1:27" x14ac:dyDescent="0.2">
      <c r="B31" s="37" t="s">
        <v>4</v>
      </c>
      <c r="C31" s="329">
        <f t="shared" ref="C31:C33" si="5">C6</f>
        <v>1000</v>
      </c>
      <c r="D31" s="396"/>
      <c r="E31" s="124"/>
      <c r="F31" s="398"/>
      <c r="G31" s="124"/>
      <c r="H31" s="124"/>
      <c r="I31" s="399"/>
      <c r="J31" s="372" t="s">
        <v>5</v>
      </c>
      <c r="K31" s="312"/>
      <c r="L31" s="95"/>
      <c r="M31" s="379"/>
      <c r="N31" s="379"/>
      <c r="O31" s="379"/>
      <c r="P31" s="379"/>
      <c r="Q31" s="379"/>
      <c r="R31" s="320"/>
      <c r="S31" s="320"/>
      <c r="T31" s="320"/>
      <c r="U31" s="320"/>
      <c r="V31" s="320"/>
      <c r="W31" s="320"/>
      <c r="X31" s="320"/>
      <c r="Y31" s="320"/>
      <c r="Z31" s="320"/>
      <c r="AA31" s="320"/>
    </row>
    <row r="32" spans="1:27" x14ac:dyDescent="0.2">
      <c r="B32" s="37" t="s">
        <v>6</v>
      </c>
      <c r="C32" s="329">
        <f t="shared" si="5"/>
        <v>12</v>
      </c>
      <c r="D32" s="362">
        <v>12</v>
      </c>
      <c r="E32" s="111">
        <f>$D32*(1-$K32)^(E$28-$D$28)</f>
        <v>13.924766500838338</v>
      </c>
      <c r="F32" s="386">
        <v>15</v>
      </c>
      <c r="G32" s="111">
        <f>$F32*(1-$L32)^(G$28-$F$28)</f>
        <v>15.888357615732186</v>
      </c>
      <c r="H32" s="111">
        <f>$F32*(1-$L32)^(H$28-$F$28)</f>
        <v>18.346295092848042</v>
      </c>
      <c r="I32" s="362">
        <v>20</v>
      </c>
      <c r="J32" s="372" t="s">
        <v>7</v>
      </c>
      <c r="K32" s="312">
        <f>1-(F32/D32)^(1/(F$28-D$28))</f>
        <v>-2.5103648456901162E-2</v>
      </c>
      <c r="L32" s="95">
        <f>1-(I32/F32)^(1/(I$28-F$28))</f>
        <v>-2.9186008964760646E-2</v>
      </c>
      <c r="M32" s="379" t="s">
        <v>238</v>
      </c>
      <c r="N32" s="379"/>
      <c r="O32" s="379"/>
      <c r="P32" s="379"/>
      <c r="Q32" s="379"/>
      <c r="R32" s="320"/>
      <c r="S32" s="320"/>
      <c r="T32" s="320"/>
      <c r="U32" s="320"/>
      <c r="V32" s="320"/>
      <c r="W32" s="320"/>
      <c r="X32" s="320"/>
      <c r="Y32" s="320"/>
      <c r="Z32" s="320"/>
      <c r="AA32" s="320"/>
    </row>
    <row r="33" spans="1:27" ht="16" thickBot="1" x14ac:dyDescent="0.25">
      <c r="B33" s="6" t="s">
        <v>8</v>
      </c>
      <c r="C33" s="330">
        <f t="shared" si="5"/>
        <v>95</v>
      </c>
      <c r="D33" s="363">
        <v>90</v>
      </c>
      <c r="E33" s="112">
        <f>$D33*(1-$K33)^(E$28-$D$28)</f>
        <v>90</v>
      </c>
      <c r="F33" s="387">
        <v>90</v>
      </c>
      <c r="G33" s="112">
        <f>$F33*(1-$L33)^(G$28-$F$28)</f>
        <v>90</v>
      </c>
      <c r="H33" s="112">
        <f>$F33*(1-$L33)^(H$28-$F$28)</f>
        <v>90</v>
      </c>
      <c r="I33" s="363">
        <v>90</v>
      </c>
      <c r="J33" s="373" t="s">
        <v>9</v>
      </c>
      <c r="K33" s="313">
        <f>1-(F33/D33)^(1/(F$28-D$28))</f>
        <v>0</v>
      </c>
      <c r="L33" s="309">
        <f>1-(I33/F33)^(1/(I$28-F$28))</f>
        <v>0</v>
      </c>
      <c r="M33" s="379" t="s">
        <v>238</v>
      </c>
      <c r="N33" s="379"/>
      <c r="O33" s="379"/>
      <c r="P33" s="379"/>
      <c r="Q33" s="379"/>
      <c r="R33" s="320"/>
      <c r="S33" s="320"/>
      <c r="T33" s="320"/>
      <c r="U33" s="320"/>
      <c r="V33" s="320"/>
      <c r="W33" s="320"/>
      <c r="X33" s="320"/>
      <c r="Y33" s="320"/>
      <c r="Z33" s="320"/>
      <c r="AA33" s="320"/>
    </row>
    <row r="34" spans="1:27" ht="16" thickBot="1" x14ac:dyDescent="0.25">
      <c r="C34" s="213"/>
      <c r="D34" s="320"/>
      <c r="E34" s="320"/>
      <c r="F34" s="320"/>
      <c r="G34" s="320"/>
      <c r="H34" s="320"/>
      <c r="I34" s="320"/>
      <c r="J34" s="320"/>
      <c r="K34" s="312"/>
      <c r="L34" s="95"/>
      <c r="M34" s="379"/>
      <c r="N34" s="379"/>
      <c r="O34" s="379"/>
      <c r="P34" s="379"/>
      <c r="Q34" s="379"/>
      <c r="R34" s="320"/>
      <c r="S34" s="320"/>
      <c r="T34" s="320"/>
      <c r="U34" s="320"/>
      <c r="V34" s="320"/>
      <c r="W34" s="320"/>
      <c r="X34" s="320"/>
      <c r="Y34" s="320"/>
      <c r="Z34" s="320"/>
      <c r="AA34" s="320"/>
    </row>
    <row r="35" spans="1:27" x14ac:dyDescent="0.2">
      <c r="A35" s="65" t="s">
        <v>48</v>
      </c>
      <c r="B35" s="38"/>
      <c r="C35" s="49">
        <v>2016</v>
      </c>
      <c r="D35" s="360">
        <v>2015</v>
      </c>
      <c r="E35" s="367">
        <v>2020</v>
      </c>
      <c r="F35" s="367">
        <v>2023</v>
      </c>
      <c r="G35" s="367">
        <v>2025</v>
      </c>
      <c r="H35" s="367">
        <v>2030</v>
      </c>
      <c r="I35" s="38">
        <v>2033</v>
      </c>
      <c r="J35" s="38" t="s">
        <v>1</v>
      </c>
      <c r="K35" s="314"/>
      <c r="L35" s="310"/>
      <c r="M35" s="379"/>
      <c r="N35" s="379"/>
      <c r="O35" s="379"/>
      <c r="P35" s="379"/>
      <c r="Q35" s="379"/>
      <c r="R35" s="320"/>
      <c r="S35" s="320"/>
      <c r="T35" s="320"/>
      <c r="U35" s="320"/>
      <c r="V35" s="320"/>
      <c r="W35" s="320"/>
      <c r="X35" s="320"/>
      <c r="Y35" s="320"/>
      <c r="Z35" s="320"/>
      <c r="AA35" s="320"/>
    </row>
    <row r="36" spans="1:27" x14ac:dyDescent="0.2">
      <c r="B36" s="37" t="s">
        <v>2</v>
      </c>
      <c r="C36" s="328">
        <f>C4/'Overview 2016 (in)'!$O$7</f>
        <v>335</v>
      </c>
      <c r="D36" s="361">
        <v>285</v>
      </c>
      <c r="E36" s="364">
        <v>180</v>
      </c>
      <c r="F36" s="87"/>
      <c r="G36" s="364">
        <v>145</v>
      </c>
      <c r="H36" s="181">
        <f>$E36*(1-$L36)^(H$35-$E$35)</f>
        <v>116.80555555555554</v>
      </c>
      <c r="I36" s="87"/>
      <c r="J36" s="372" t="s">
        <v>247</v>
      </c>
      <c r="K36" s="312">
        <f>1-(H36/D36)^(1/(H$35-D$35))</f>
        <v>5.7731710360176214E-2</v>
      </c>
      <c r="L36" s="95">
        <f>1-(G36/E36)^(1/(G$35-E$35))</f>
        <v>4.2322907181576386E-2</v>
      </c>
      <c r="M36" s="379" t="s">
        <v>254</v>
      </c>
      <c r="N36" s="379" t="s">
        <v>255</v>
      </c>
      <c r="O36" s="379"/>
      <c r="P36" s="379"/>
      <c r="Q36" s="379"/>
      <c r="R36" s="320"/>
      <c r="S36" s="320"/>
      <c r="T36" s="320"/>
      <c r="U36" s="320"/>
      <c r="V36" s="320"/>
      <c r="W36" s="320"/>
      <c r="X36" s="320"/>
      <c r="Y36" s="320"/>
      <c r="Z36" s="320"/>
      <c r="AA36" s="320"/>
    </row>
    <row r="37" spans="1:27" x14ac:dyDescent="0.2">
      <c r="B37" s="40" t="s">
        <v>3</v>
      </c>
      <c r="C37" s="328">
        <f>C5/'Overview 2016 (in)'!$O$7</f>
        <v>0</v>
      </c>
      <c r="D37" s="397">
        <v>125</v>
      </c>
      <c r="E37" s="401">
        <v>92.5</v>
      </c>
      <c r="F37" s="87"/>
      <c r="G37" s="402">
        <v>75</v>
      </c>
      <c r="H37" s="123"/>
      <c r="I37" s="87"/>
      <c r="J37" s="372" t="s">
        <v>248</v>
      </c>
      <c r="K37" s="312"/>
      <c r="L37" s="95"/>
      <c r="M37" s="379" t="s">
        <v>243</v>
      </c>
      <c r="N37" s="379"/>
      <c r="O37" s="379"/>
      <c r="P37" s="379"/>
      <c r="Q37" s="379"/>
      <c r="R37" s="320"/>
      <c r="S37" s="320"/>
      <c r="T37" s="320"/>
      <c r="U37" s="320"/>
      <c r="V37" s="320"/>
      <c r="W37" s="320"/>
      <c r="X37" s="320"/>
      <c r="Y37" s="320"/>
      <c r="Z37" s="320"/>
      <c r="AA37" s="320"/>
    </row>
    <row r="38" spans="1:27" x14ac:dyDescent="0.2">
      <c r="B38" s="37" t="s">
        <v>4</v>
      </c>
      <c r="C38" s="329">
        <f t="shared" ref="C38:C40" si="6">C6</f>
        <v>1000</v>
      </c>
      <c r="D38" s="362">
        <v>3000</v>
      </c>
      <c r="E38" s="380">
        <v>5000</v>
      </c>
      <c r="F38" s="88"/>
      <c r="G38" s="111">
        <f>$E38*(1-$L38)^(G$35-$E$35)</f>
        <v>5916.0797830996144</v>
      </c>
      <c r="H38" s="380">
        <v>7000</v>
      </c>
      <c r="I38" s="89"/>
      <c r="J38" s="320" t="s">
        <v>5</v>
      </c>
      <c r="K38" s="312">
        <f>1-(H38/D38)^(1/(H$35-D$35))</f>
        <v>-5.8112355609357458E-2</v>
      </c>
      <c r="L38" s="95">
        <f>1-(H38/E38)^(1/(H$35-E$35))</f>
        <v>-3.4219694129380196E-2</v>
      </c>
      <c r="M38" s="379" t="s">
        <v>256</v>
      </c>
      <c r="N38" s="379"/>
      <c r="O38" s="379"/>
      <c r="P38" s="379"/>
      <c r="Q38" s="379"/>
      <c r="R38" s="320"/>
      <c r="S38" s="320"/>
      <c r="T38" s="320"/>
      <c r="U38" s="320"/>
      <c r="V38" s="320"/>
      <c r="W38" s="320"/>
      <c r="X38" s="320"/>
      <c r="Y38" s="320"/>
      <c r="Z38" s="320"/>
      <c r="AA38" s="320"/>
    </row>
    <row r="39" spans="1:27" x14ac:dyDescent="0.2">
      <c r="B39" s="37" t="s">
        <v>6</v>
      </c>
      <c r="C39" s="329">
        <f t="shared" si="6"/>
        <v>12</v>
      </c>
      <c r="D39" s="362">
        <v>12.5</v>
      </c>
      <c r="E39" s="380">
        <v>20</v>
      </c>
      <c r="F39" s="88"/>
      <c r="G39" s="111">
        <f>$E39*(1-$L39)^(G$21-$E$21)</f>
        <v>20</v>
      </c>
      <c r="H39" s="380">
        <v>20</v>
      </c>
      <c r="I39" s="391"/>
      <c r="J39" s="320" t="s">
        <v>7</v>
      </c>
      <c r="K39" s="312">
        <f t="shared" ref="K39:K40" si="7">1-(H39/D39)^(1/(H$35-D$35))</f>
        <v>-3.1829639349793881E-2</v>
      </c>
      <c r="L39" s="95">
        <f>1-(H39/E39)^(1/(H$21-E$21))</f>
        <v>0</v>
      </c>
      <c r="M39" s="379" t="s">
        <v>256</v>
      </c>
      <c r="N39" s="379"/>
      <c r="O39" s="379"/>
      <c r="P39" s="379"/>
      <c r="Q39" s="379"/>
      <c r="R39" s="320"/>
      <c r="S39" s="320"/>
      <c r="T39" s="320"/>
      <c r="U39" s="320"/>
      <c r="V39" s="320"/>
      <c r="W39" s="320"/>
      <c r="X39" s="320"/>
      <c r="Y39" s="320"/>
      <c r="Z39" s="320"/>
      <c r="AA39" s="320"/>
    </row>
    <row r="40" spans="1:27" ht="16" thickBot="1" x14ac:dyDescent="0.25">
      <c r="B40" s="6" t="s">
        <v>8</v>
      </c>
      <c r="C40" s="336">
        <f t="shared" si="6"/>
        <v>95</v>
      </c>
      <c r="D40" s="400">
        <v>97</v>
      </c>
      <c r="E40" s="400">
        <v>97</v>
      </c>
      <c r="F40" s="94"/>
      <c r="G40" s="121">
        <f>$E40*(1-$L40)^(G$21-$E$21)</f>
        <v>97</v>
      </c>
      <c r="H40" s="400">
        <v>97</v>
      </c>
      <c r="I40" s="94"/>
      <c r="J40" s="7" t="s">
        <v>9</v>
      </c>
      <c r="K40" s="313">
        <f t="shared" si="7"/>
        <v>0</v>
      </c>
      <c r="L40" s="309">
        <f>1-(H40/E40)^(1/(H$21-E$21))</f>
        <v>0</v>
      </c>
      <c r="M40" s="379" t="s">
        <v>256</v>
      </c>
      <c r="N40" s="379"/>
      <c r="O40" s="379"/>
      <c r="P40" s="379"/>
      <c r="Q40" s="379"/>
      <c r="R40" s="320"/>
      <c r="S40" s="320"/>
      <c r="T40" s="320"/>
      <c r="U40" s="320"/>
      <c r="V40" s="320"/>
      <c r="W40" s="320"/>
      <c r="X40" s="320"/>
      <c r="Y40" s="320"/>
      <c r="Z40" s="320"/>
      <c r="AA40" s="320"/>
    </row>
    <row r="41" spans="1:27" ht="16" thickBot="1" x14ac:dyDescent="0.25">
      <c r="B41" s="40"/>
      <c r="C41" s="337"/>
      <c r="D41" s="84"/>
      <c r="E41" s="73"/>
      <c r="F41" s="73"/>
      <c r="G41" s="85"/>
      <c r="H41" s="85"/>
      <c r="I41" s="86"/>
      <c r="J41" s="39"/>
      <c r="K41" s="320"/>
      <c r="L41" s="320"/>
      <c r="M41" s="379"/>
      <c r="N41" s="379"/>
      <c r="O41" s="379"/>
      <c r="P41" s="379"/>
      <c r="Q41" s="379"/>
      <c r="R41" s="320"/>
      <c r="S41" s="320"/>
      <c r="T41" s="320"/>
      <c r="U41" s="320"/>
      <c r="V41" s="320"/>
      <c r="W41" s="320"/>
      <c r="X41" s="320"/>
      <c r="Y41" s="320"/>
      <c r="Z41" s="320"/>
      <c r="AA41" s="320"/>
    </row>
    <row r="42" spans="1:27" x14ac:dyDescent="0.2">
      <c r="A42" s="65" t="s">
        <v>51</v>
      </c>
      <c r="B42" s="38"/>
      <c r="C42" s="49">
        <v>2016</v>
      </c>
      <c r="D42" s="360">
        <v>2013</v>
      </c>
      <c r="E42" s="367">
        <v>2020</v>
      </c>
      <c r="F42" s="367">
        <v>2023</v>
      </c>
      <c r="G42" s="367">
        <v>2025</v>
      </c>
      <c r="H42" s="367">
        <v>2030</v>
      </c>
      <c r="I42" s="38">
        <v>2050</v>
      </c>
      <c r="J42" s="38" t="s">
        <v>1</v>
      </c>
      <c r="K42" s="314"/>
      <c r="L42" s="310"/>
      <c r="M42" s="379"/>
      <c r="N42" s="379"/>
      <c r="O42" s="379"/>
      <c r="P42" s="379"/>
      <c r="Q42" s="379"/>
      <c r="R42" s="320"/>
      <c r="S42" s="320"/>
      <c r="T42" s="320"/>
      <c r="U42" s="320"/>
      <c r="V42" s="320"/>
      <c r="W42" s="320"/>
      <c r="X42" s="320"/>
      <c r="Y42" s="320"/>
      <c r="Z42" s="320"/>
      <c r="AA42" s="320"/>
    </row>
    <row r="43" spans="1:27" x14ac:dyDescent="0.2">
      <c r="B43" s="37" t="s">
        <v>2</v>
      </c>
      <c r="C43" s="328">
        <f>C4/'Overview 2016 (in)'!$O$7</f>
        <v>335</v>
      </c>
      <c r="D43" s="361">
        <v>445</v>
      </c>
      <c r="E43" s="110">
        <f>$D43*(1-$K43)^(E$42-$D$42)</f>
        <v>199.04963344344532</v>
      </c>
      <c r="F43" s="385">
        <v>141</v>
      </c>
      <c r="G43" s="110">
        <f>$F43*(1-$L43)^(G$42-$F$42)</f>
        <v>138.00291165715254</v>
      </c>
      <c r="H43" s="110">
        <f>$F43*(1-$L43)^(H$42-$F$42)</f>
        <v>130.78595004595371</v>
      </c>
      <c r="I43" s="385">
        <v>105.5</v>
      </c>
      <c r="J43" s="372" t="s">
        <v>247</v>
      </c>
      <c r="K43" s="312">
        <f>1-(F43/D43)^(1/(F$42-D$42))</f>
        <v>0.10857274120333937</v>
      </c>
      <c r="L43" s="95">
        <f>1-(I43/F43)^(1/(I$42-F$42))</f>
        <v>1.0685058080064036E-2</v>
      </c>
      <c r="M43" s="379" t="s">
        <v>257</v>
      </c>
      <c r="N43" s="379" t="s">
        <v>258</v>
      </c>
      <c r="O43" s="379"/>
      <c r="P43" s="379"/>
      <c r="Q43" s="379"/>
      <c r="R43" s="320"/>
      <c r="S43" s="320"/>
      <c r="T43" s="320"/>
      <c r="U43" s="320"/>
      <c r="V43" s="320"/>
      <c r="W43" s="320"/>
      <c r="X43" s="320"/>
      <c r="Y43" s="320"/>
      <c r="Z43" s="320"/>
      <c r="AA43" s="320"/>
    </row>
    <row r="44" spans="1:27" x14ac:dyDescent="0.2">
      <c r="B44" s="40" t="s">
        <v>3</v>
      </c>
      <c r="C44" s="328">
        <f>C5/'Overview 2016 (in)'!$O$7</f>
        <v>0</v>
      </c>
      <c r="D44" s="397">
        <v>160</v>
      </c>
      <c r="E44" s="123"/>
      <c r="F44" s="397">
        <v>72.5</v>
      </c>
      <c r="G44" s="123"/>
      <c r="H44" s="123"/>
      <c r="I44" s="397">
        <v>45</v>
      </c>
      <c r="J44" s="372" t="s">
        <v>248</v>
      </c>
      <c r="K44" s="312"/>
      <c r="L44" s="95"/>
      <c r="M44" s="379" t="s">
        <v>257</v>
      </c>
      <c r="N44" s="379"/>
      <c r="O44" s="379"/>
      <c r="P44" s="379"/>
      <c r="Q44" s="379"/>
      <c r="R44" s="320"/>
      <c r="S44" s="320"/>
      <c r="T44" s="320"/>
      <c r="U44" s="320"/>
      <c r="V44" s="320"/>
      <c r="W44" s="320"/>
      <c r="X44" s="320"/>
      <c r="Y44" s="320"/>
      <c r="Z44" s="320"/>
      <c r="AA44" s="320"/>
    </row>
    <row r="45" spans="1:27" x14ac:dyDescent="0.2">
      <c r="B45" s="37" t="s">
        <v>4</v>
      </c>
      <c r="C45" s="329">
        <f t="shared" ref="C45:C47" si="8">C6</f>
        <v>1000</v>
      </c>
      <c r="D45" s="362">
        <v>5000</v>
      </c>
      <c r="E45" s="111">
        <f>$D45*(1-$K45)^(E$42-$D$42)</f>
        <v>6327.9003196206622</v>
      </c>
      <c r="F45" s="386">
        <v>7000</v>
      </c>
      <c r="G45" s="111">
        <f t="shared" ref="G45:H47" si="9">$F45*(1-$L45)^(G$42-$F$42)</f>
        <v>7285.1338713304003</v>
      </c>
      <c r="H45" s="111">
        <f t="shared" si="9"/>
        <v>8049.8220257098674</v>
      </c>
      <c r="I45" s="403">
        <v>12000</v>
      </c>
      <c r="J45" s="320" t="s">
        <v>5</v>
      </c>
      <c r="K45" s="312">
        <f>1-(F45/D45)^(1/(F$42-D$42))</f>
        <v>-3.4219694129380196E-2</v>
      </c>
      <c r="L45" s="95">
        <f>1-(I45/F45)^(1/(I$42-F$42))</f>
        <v>-2.0163423275926462E-2</v>
      </c>
      <c r="M45" s="379" t="s">
        <v>257</v>
      </c>
      <c r="N45" s="379"/>
      <c r="O45" s="379"/>
      <c r="P45" s="379"/>
      <c r="Q45" s="379"/>
      <c r="R45" s="320"/>
      <c r="S45" s="320"/>
      <c r="T45" s="320"/>
      <c r="U45" s="320"/>
      <c r="V45" s="320"/>
      <c r="W45" s="320"/>
      <c r="X45" s="320"/>
      <c r="Y45" s="320"/>
      <c r="Z45" s="320"/>
      <c r="AA45" s="320"/>
    </row>
    <row r="46" spans="1:27" x14ac:dyDescent="0.2">
      <c r="B46" s="37" t="s">
        <v>6</v>
      </c>
      <c r="C46" s="329">
        <f t="shared" si="8"/>
        <v>12</v>
      </c>
      <c r="D46" s="362">
        <v>13</v>
      </c>
      <c r="E46" s="111">
        <f>$D46*(1-$K46)^(E$42-$D$42)</f>
        <v>15.685459678171382</v>
      </c>
      <c r="F46" s="405">
        <v>17</v>
      </c>
      <c r="G46" s="111">
        <f t="shared" si="9"/>
        <v>17.327793907858741</v>
      </c>
      <c r="H46" s="111">
        <f t="shared" si="9"/>
        <v>18.175198190909164</v>
      </c>
      <c r="I46" s="403">
        <v>22</v>
      </c>
      <c r="J46" s="320" t="s">
        <v>7</v>
      </c>
      <c r="K46" s="312">
        <f>1-(F46/D46)^(1/(F$42-D$42))</f>
        <v>-2.7189465815924629E-2</v>
      </c>
      <c r="L46" s="95">
        <f>1-(I46/F46)^(1/(I$42-F$42))</f>
        <v>-9.5949656074587608E-3</v>
      </c>
      <c r="M46" s="379" t="s">
        <v>257</v>
      </c>
      <c r="N46" s="379"/>
      <c r="O46" s="379"/>
      <c r="P46" s="379"/>
      <c r="Q46" s="379"/>
      <c r="R46" s="320"/>
      <c r="S46" s="320"/>
      <c r="T46" s="320"/>
      <c r="U46" s="320"/>
      <c r="V46" s="320"/>
      <c r="W46" s="320"/>
      <c r="X46" s="320"/>
      <c r="Y46" s="320"/>
      <c r="Z46" s="320"/>
      <c r="AA46" s="320"/>
    </row>
    <row r="47" spans="1:27" ht="16" thickBot="1" x14ac:dyDescent="0.25">
      <c r="B47" s="6" t="s">
        <v>8</v>
      </c>
      <c r="C47" s="336">
        <f t="shared" si="8"/>
        <v>95</v>
      </c>
      <c r="D47" s="400">
        <v>85.5</v>
      </c>
      <c r="E47" s="112">
        <f>$D47*(1-$K47)^(E$42-$D$42)</f>
        <v>86.547257639084734</v>
      </c>
      <c r="F47" s="404">
        <v>87</v>
      </c>
      <c r="G47" s="112">
        <f t="shared" si="9"/>
        <v>87.218751218274875</v>
      </c>
      <c r="H47" s="112">
        <f t="shared" si="9"/>
        <v>87.768038645537743</v>
      </c>
      <c r="I47" s="404">
        <v>90</v>
      </c>
      <c r="J47" s="7" t="s">
        <v>9</v>
      </c>
      <c r="K47" s="313">
        <f>1-(F47/D47)^(1/(F$42-D$42))</f>
        <v>-1.740687511895711E-3</v>
      </c>
      <c r="L47" s="309">
        <f>1-(I47/F47)^(1/(I$42-F$42))</f>
        <v>-1.2564016370888442E-3</v>
      </c>
      <c r="M47" s="379" t="s">
        <v>257</v>
      </c>
      <c r="N47" s="379" t="s">
        <v>259</v>
      </c>
      <c r="O47" s="379"/>
      <c r="P47" s="379"/>
      <c r="Q47" s="379"/>
      <c r="R47" s="320"/>
      <c r="S47" s="320"/>
      <c r="T47" s="320"/>
      <c r="U47" s="320"/>
      <c r="V47" s="320"/>
      <c r="W47" s="320"/>
      <c r="X47" s="320"/>
      <c r="Y47" s="320"/>
      <c r="Z47" s="320"/>
      <c r="AA47" s="320"/>
    </row>
    <row r="48" spans="1:27" ht="16" thickBot="1" x14ac:dyDescent="0.25">
      <c r="C48" s="213"/>
      <c r="D48" s="320"/>
      <c r="E48" s="320"/>
      <c r="F48" s="320"/>
      <c r="G48" s="320"/>
      <c r="H48" s="320"/>
      <c r="I48" s="320"/>
      <c r="J48" s="320"/>
      <c r="K48" s="312"/>
      <c r="L48" s="95"/>
      <c r="M48" s="379"/>
      <c r="N48" s="379"/>
      <c r="O48" s="379"/>
      <c r="P48" s="379"/>
      <c r="Q48" s="379"/>
      <c r="R48" s="320"/>
      <c r="S48" s="320"/>
      <c r="T48" s="320"/>
      <c r="U48" s="320"/>
      <c r="V48" s="320"/>
      <c r="W48" s="320"/>
      <c r="X48" s="320"/>
      <c r="Y48" s="320"/>
      <c r="Z48" s="320"/>
      <c r="AA48" s="320"/>
    </row>
    <row r="49" spans="1:27" x14ac:dyDescent="0.2">
      <c r="A49" s="65" t="s">
        <v>103</v>
      </c>
      <c r="B49" s="357"/>
      <c r="C49" s="49">
        <v>2016</v>
      </c>
      <c r="D49" s="360">
        <v>2014</v>
      </c>
      <c r="E49" s="38">
        <v>2017</v>
      </c>
      <c r="F49" s="62">
        <v>2020</v>
      </c>
      <c r="G49" s="62">
        <v>2025</v>
      </c>
      <c r="H49" s="62">
        <v>2030</v>
      </c>
      <c r="I49" s="38">
        <v>2050</v>
      </c>
      <c r="J49" s="38" t="s">
        <v>1</v>
      </c>
      <c r="K49" s="314"/>
      <c r="L49" s="310"/>
      <c r="M49" s="379"/>
      <c r="N49" s="379"/>
      <c r="O49" s="379"/>
      <c r="P49" s="379"/>
      <c r="Q49" s="379"/>
      <c r="R49" s="320"/>
      <c r="S49" s="320"/>
      <c r="T49" s="320"/>
      <c r="U49" s="320"/>
      <c r="V49" s="320"/>
      <c r="W49" s="320"/>
      <c r="X49" s="320"/>
      <c r="Y49" s="320"/>
      <c r="Z49" s="320"/>
      <c r="AA49" s="320"/>
    </row>
    <row r="50" spans="1:27" x14ac:dyDescent="0.2">
      <c r="A50" s="182"/>
      <c r="B50" s="37" t="s">
        <v>2</v>
      </c>
      <c r="C50" s="334">
        <f>C4</f>
        <v>351.75</v>
      </c>
      <c r="D50" s="388">
        <v>320</v>
      </c>
      <c r="E50" s="388">
        <v>280</v>
      </c>
      <c r="F50" s="389">
        <v>180</v>
      </c>
      <c r="G50" s="125">
        <f>$F50*(1-$L50)^(G$49-$F$49)</f>
        <v>86.191272929327283</v>
      </c>
      <c r="H50" s="125">
        <f>$F50*(1-$L50)^(H$49-$F$49)</f>
        <v>41.271864050987702</v>
      </c>
      <c r="I50" s="317"/>
      <c r="J50" s="320" t="s">
        <v>22</v>
      </c>
      <c r="K50" s="312">
        <f>1-(E50/D50)^(1/(E$49-D$49))</f>
        <v>4.353440861380542E-2</v>
      </c>
      <c r="L50" s="95">
        <f>1-(F50/E50)^(1/(F$49-E$49))</f>
        <v>0.1369456260028179</v>
      </c>
      <c r="M50" s="379" t="s">
        <v>260</v>
      </c>
      <c r="N50" s="379"/>
      <c r="O50" s="379"/>
      <c r="P50" s="379"/>
      <c r="Q50" s="379"/>
      <c r="R50" s="320"/>
      <c r="S50" s="320"/>
      <c r="T50" s="320"/>
      <c r="U50" s="320"/>
      <c r="V50" s="320"/>
      <c r="W50" s="320"/>
      <c r="X50" s="320"/>
      <c r="Y50" s="320"/>
      <c r="Z50" s="320"/>
      <c r="AA50" s="320"/>
    </row>
    <row r="51" spans="1:27" x14ac:dyDescent="0.2">
      <c r="A51" s="182"/>
      <c r="B51" s="40" t="s">
        <v>3</v>
      </c>
      <c r="C51" s="334">
        <f t="shared" ref="C51:C54" si="10">C5</f>
        <v>0</v>
      </c>
      <c r="D51" s="160"/>
      <c r="E51" s="317"/>
      <c r="F51" s="392"/>
      <c r="G51" s="162"/>
      <c r="H51" s="162"/>
      <c r="I51" s="163"/>
      <c r="J51" s="320" t="s">
        <v>23</v>
      </c>
      <c r="K51" s="312"/>
      <c r="L51" s="95"/>
      <c r="M51" s="379"/>
      <c r="N51" s="379"/>
      <c r="O51" s="379"/>
      <c r="P51" s="379"/>
      <c r="Q51" s="379"/>
      <c r="R51" s="320"/>
      <c r="S51" s="320"/>
      <c r="T51" s="320"/>
      <c r="U51" s="320"/>
      <c r="V51" s="320"/>
      <c r="W51" s="320"/>
      <c r="X51" s="320"/>
      <c r="Y51" s="320"/>
      <c r="Z51" s="320"/>
      <c r="AA51" s="320"/>
    </row>
    <row r="52" spans="1:27" x14ac:dyDescent="0.2">
      <c r="A52" s="182"/>
      <c r="B52" s="37" t="s">
        <v>4</v>
      </c>
      <c r="C52" s="334">
        <f t="shared" si="10"/>
        <v>1000</v>
      </c>
      <c r="D52" s="160"/>
      <c r="E52" s="163"/>
      <c r="F52" s="124"/>
      <c r="G52" s="124"/>
      <c r="H52" s="124"/>
      <c r="I52" s="89"/>
      <c r="J52" s="320" t="s">
        <v>5</v>
      </c>
      <c r="K52" s="312"/>
      <c r="L52" s="95"/>
      <c r="M52" s="379"/>
      <c r="N52" s="379"/>
      <c r="O52" s="379"/>
      <c r="P52" s="379"/>
      <c r="Q52" s="379"/>
      <c r="R52" s="320"/>
      <c r="S52" s="320"/>
      <c r="T52" s="320"/>
      <c r="U52" s="320"/>
      <c r="V52" s="320"/>
      <c r="W52" s="320"/>
      <c r="X52" s="320"/>
      <c r="Y52" s="320"/>
      <c r="Z52" s="320"/>
      <c r="AA52" s="320"/>
    </row>
    <row r="53" spans="1:27" x14ac:dyDescent="0.2">
      <c r="A53" s="182"/>
      <c r="B53" s="37" t="s">
        <v>6</v>
      </c>
      <c r="C53" s="334">
        <f t="shared" si="10"/>
        <v>12</v>
      </c>
      <c r="D53" s="160"/>
      <c r="E53" s="163"/>
      <c r="F53" s="124"/>
      <c r="G53" s="124"/>
      <c r="H53" s="124"/>
      <c r="I53" s="88"/>
      <c r="J53" s="320" t="s">
        <v>7</v>
      </c>
      <c r="K53" s="312"/>
      <c r="L53" s="95"/>
      <c r="M53" s="379"/>
      <c r="N53" s="379"/>
      <c r="O53" s="379"/>
      <c r="P53" s="379"/>
      <c r="Q53" s="379"/>
      <c r="R53" s="320"/>
      <c r="S53" s="320"/>
      <c r="T53" s="320"/>
      <c r="U53" s="320"/>
      <c r="V53" s="320"/>
      <c r="W53" s="320"/>
      <c r="X53" s="320"/>
      <c r="Y53" s="320"/>
      <c r="Z53" s="320"/>
      <c r="AA53" s="320"/>
    </row>
    <row r="54" spans="1:27" ht="16" thickBot="1" x14ac:dyDescent="0.25">
      <c r="A54" s="182"/>
      <c r="B54" s="6" t="s">
        <v>8</v>
      </c>
      <c r="C54" s="335">
        <f t="shared" si="10"/>
        <v>95</v>
      </c>
      <c r="D54" s="183"/>
      <c r="E54" s="318"/>
      <c r="F54" s="130"/>
      <c r="G54" s="130"/>
      <c r="H54" s="130"/>
      <c r="I54" s="90"/>
      <c r="J54" s="7" t="s">
        <v>9</v>
      </c>
      <c r="K54" s="313"/>
      <c r="L54" s="309"/>
      <c r="M54" s="379"/>
      <c r="N54" s="379"/>
      <c r="O54" s="379"/>
      <c r="P54" s="379"/>
      <c r="Q54" s="379"/>
      <c r="R54" s="320"/>
      <c r="S54" s="320"/>
      <c r="T54" s="320"/>
      <c r="U54" s="320"/>
      <c r="V54" s="320"/>
      <c r="W54" s="320"/>
      <c r="X54" s="320"/>
      <c r="Y54" s="320"/>
      <c r="Z54" s="320"/>
      <c r="AA54" s="320"/>
    </row>
    <row r="55" spans="1:27" x14ac:dyDescent="0.2">
      <c r="D55" s="320"/>
      <c r="E55" s="320"/>
      <c r="F55" s="320"/>
      <c r="G55" s="320"/>
      <c r="H55" s="320"/>
      <c r="I55" s="320"/>
      <c r="J55" s="320"/>
      <c r="K55" s="320"/>
      <c r="L55" s="320"/>
      <c r="M55" s="320"/>
      <c r="N55" s="320"/>
      <c r="O55" s="320"/>
      <c r="P55" s="320"/>
      <c r="Q55" s="320"/>
      <c r="R55" s="320"/>
      <c r="S55" s="320"/>
      <c r="T55" s="320"/>
      <c r="U55" s="320"/>
      <c r="V55" s="320"/>
      <c r="W55" s="320"/>
      <c r="X55" s="320"/>
      <c r="Y55" s="320"/>
      <c r="Z55" s="320"/>
      <c r="AA55" s="320"/>
    </row>
    <row r="56" spans="1:27" x14ac:dyDescent="0.2">
      <c r="D56" s="408" t="s">
        <v>262</v>
      </c>
      <c r="E56" s="408" t="s">
        <v>263</v>
      </c>
      <c r="F56" s="408" t="s">
        <v>264</v>
      </c>
      <c r="G56" s="408" t="s">
        <v>265</v>
      </c>
      <c r="H56" s="320"/>
      <c r="I56" s="320"/>
      <c r="J56" s="320"/>
      <c r="K56" s="320"/>
      <c r="L56" s="320"/>
      <c r="M56" s="320"/>
      <c r="N56" s="320"/>
      <c r="O56" s="320"/>
      <c r="P56" s="320"/>
      <c r="Q56" s="320"/>
      <c r="R56" s="320"/>
      <c r="S56" s="320"/>
      <c r="T56" s="320"/>
      <c r="U56" s="320"/>
      <c r="V56" s="320"/>
      <c r="W56" s="320"/>
      <c r="X56" s="320"/>
      <c r="Y56" s="320"/>
      <c r="Z56" s="320"/>
      <c r="AA56" s="320"/>
    </row>
    <row r="57" spans="1:27" x14ac:dyDescent="0.2">
      <c r="A57" s="308"/>
      <c r="B57" s="308"/>
      <c r="C57" s="308"/>
      <c r="D57" s="406">
        <f>H22/D22</f>
        <v>0.40909090909090912</v>
      </c>
      <c r="E57" s="406">
        <f>H24/D24</f>
        <v>2.1666666666666665</v>
      </c>
      <c r="F57" s="406">
        <f>H25/D25</f>
        <v>1.6</v>
      </c>
      <c r="G57" s="406">
        <f>H26/D26</f>
        <v>1.0473372781065089</v>
      </c>
      <c r="H57" s="320"/>
      <c r="I57" s="320"/>
      <c r="J57" s="320"/>
      <c r="K57" s="320"/>
      <c r="L57" s="320"/>
      <c r="M57" s="320"/>
      <c r="N57" s="320"/>
      <c r="O57" s="320"/>
      <c r="P57" s="320"/>
      <c r="Q57" s="320"/>
      <c r="R57" s="320"/>
      <c r="S57" s="320"/>
      <c r="T57" s="320"/>
      <c r="U57" s="320"/>
      <c r="V57" s="320"/>
      <c r="W57" s="320"/>
      <c r="X57" s="320"/>
      <c r="Y57" s="320"/>
      <c r="Z57" s="320"/>
      <c r="AA57" s="320"/>
    </row>
    <row r="58" spans="1:27" x14ac:dyDescent="0.2">
      <c r="A58" s="308"/>
      <c r="B58" s="308"/>
      <c r="C58" s="308"/>
      <c r="D58" s="406">
        <f>H29/D29</f>
        <v>0.53751502627270642</v>
      </c>
      <c r="E58" s="406">
        <f>H32/D32</f>
        <v>1.5288579244040035</v>
      </c>
      <c r="F58" s="406">
        <f>H32/D32</f>
        <v>1.5288579244040035</v>
      </c>
      <c r="G58" s="406">
        <f>H33/D33</f>
        <v>1</v>
      </c>
      <c r="H58" s="320"/>
      <c r="I58" s="320"/>
      <c r="J58" s="320"/>
      <c r="K58" s="320"/>
      <c r="L58" s="320"/>
      <c r="M58" s="320"/>
      <c r="N58" s="320"/>
      <c r="O58" s="320"/>
      <c r="P58" s="320"/>
      <c r="Q58" s="320"/>
      <c r="R58" s="320"/>
      <c r="S58" s="320"/>
      <c r="T58" s="320"/>
      <c r="U58" s="320"/>
      <c r="V58" s="320"/>
      <c r="W58" s="320"/>
      <c r="X58" s="320"/>
      <c r="Y58" s="320"/>
      <c r="Z58" s="320"/>
      <c r="AA58" s="320"/>
    </row>
    <row r="59" spans="1:27" x14ac:dyDescent="0.2">
      <c r="A59" s="308"/>
      <c r="B59" s="308"/>
      <c r="C59" s="308"/>
      <c r="D59" s="406">
        <f>H36/D36</f>
        <v>0.40984405458089662</v>
      </c>
      <c r="E59" s="406">
        <f>H38/D38</f>
        <v>2.3333333333333335</v>
      </c>
      <c r="F59" s="406">
        <f>H39/D39</f>
        <v>1.6</v>
      </c>
      <c r="G59" s="406">
        <f>H40/D40</f>
        <v>1</v>
      </c>
      <c r="H59" s="320"/>
      <c r="I59" s="320"/>
      <c r="J59" s="320"/>
      <c r="K59" s="320"/>
      <c r="L59" s="320"/>
      <c r="M59" s="320"/>
      <c r="N59" s="320"/>
      <c r="O59" s="320"/>
      <c r="P59" s="320"/>
      <c r="Q59" s="320"/>
      <c r="R59" s="320"/>
      <c r="S59" s="320"/>
      <c r="T59" s="320"/>
      <c r="U59" s="320"/>
      <c r="V59" s="320"/>
      <c r="W59" s="320"/>
      <c r="X59" s="320"/>
      <c r="Y59" s="320"/>
      <c r="Z59" s="320"/>
      <c r="AA59" s="320"/>
    </row>
    <row r="60" spans="1:27" x14ac:dyDescent="0.2">
      <c r="A60" s="308"/>
      <c r="B60" s="308"/>
      <c r="C60" s="308"/>
      <c r="D60" s="406">
        <f>H43/D43</f>
        <v>0.29390101133922181</v>
      </c>
      <c r="E60" s="406">
        <f>H45/D45</f>
        <v>1.6099644051419735</v>
      </c>
      <c r="F60" s="406">
        <f>H46/D46</f>
        <v>1.3980921685314742</v>
      </c>
      <c r="G60" s="406">
        <f>H47/D47</f>
        <v>1.0265267677840673</v>
      </c>
      <c r="H60" s="320"/>
      <c r="I60" s="320"/>
      <c r="J60" s="320"/>
      <c r="K60" s="320"/>
      <c r="L60" s="320"/>
      <c r="M60" s="320"/>
      <c r="N60" s="320"/>
      <c r="O60" s="320"/>
      <c r="P60" s="320"/>
      <c r="Q60" s="320"/>
      <c r="R60" s="320"/>
      <c r="S60" s="320"/>
      <c r="T60" s="320"/>
      <c r="U60" s="320"/>
      <c r="V60" s="320"/>
      <c r="W60" s="320"/>
      <c r="X60" s="320"/>
      <c r="Y60" s="320"/>
      <c r="Z60" s="320"/>
      <c r="AA60" s="320"/>
    </row>
    <row r="61" spans="1:27" x14ac:dyDescent="0.2">
      <c r="A61" s="308"/>
      <c r="B61" s="308"/>
      <c r="C61" s="308"/>
      <c r="D61" s="406">
        <f>H50/D50</f>
        <v>0.12897457515933658</v>
      </c>
      <c r="E61" s="406"/>
      <c r="F61" s="406"/>
      <c r="G61" s="406"/>
      <c r="H61" s="320"/>
      <c r="I61" s="320"/>
      <c r="J61" s="320"/>
      <c r="K61" s="320"/>
      <c r="L61" s="320"/>
      <c r="M61" s="320"/>
      <c r="N61" s="320"/>
      <c r="O61" s="320"/>
      <c r="P61" s="320"/>
      <c r="Q61" s="320"/>
      <c r="R61" s="320"/>
      <c r="S61" s="320"/>
      <c r="T61" s="320"/>
      <c r="U61" s="320"/>
      <c r="V61" s="320"/>
      <c r="W61" s="320"/>
      <c r="X61" s="320"/>
      <c r="Y61" s="320"/>
      <c r="Z61" s="320"/>
      <c r="AA61" s="320"/>
    </row>
    <row r="62" spans="1:27" x14ac:dyDescent="0.2">
      <c r="A62" s="308"/>
      <c r="B62" s="308"/>
      <c r="C62" s="308"/>
      <c r="D62" s="408" t="s">
        <v>261</v>
      </c>
      <c r="E62" s="408" t="s">
        <v>261</v>
      </c>
      <c r="F62" s="408" t="s">
        <v>261</v>
      </c>
      <c r="G62" s="408" t="s">
        <v>261</v>
      </c>
      <c r="H62" s="320"/>
      <c r="I62" s="320"/>
      <c r="J62" s="320"/>
      <c r="K62" s="320"/>
      <c r="L62" s="320"/>
      <c r="M62" s="320"/>
      <c r="N62" s="320"/>
      <c r="O62" s="320"/>
      <c r="P62" s="320"/>
      <c r="Q62" s="320"/>
      <c r="R62" s="320"/>
      <c r="S62" s="320"/>
      <c r="T62" s="320"/>
      <c r="U62" s="320"/>
      <c r="V62" s="320"/>
      <c r="W62" s="320"/>
      <c r="X62" s="320"/>
      <c r="Y62" s="320"/>
      <c r="Z62" s="320"/>
      <c r="AA62" s="320"/>
    </row>
    <row r="63" spans="1:27" x14ac:dyDescent="0.2">
      <c r="A63" s="308"/>
      <c r="B63" s="308"/>
      <c r="C63" s="308"/>
      <c r="D63" s="406">
        <f>AVERAGE(D57:D60)</f>
        <v>0.41258775032093348</v>
      </c>
      <c r="E63" s="406">
        <f t="shared" ref="E63:G63" si="11">AVERAGE(E57:E60)</f>
        <v>1.9097055823864943</v>
      </c>
      <c r="F63" s="406">
        <f t="shared" si="11"/>
        <v>1.5317375232338695</v>
      </c>
      <c r="G63" s="406">
        <f t="shared" si="11"/>
        <v>1.018466011472644</v>
      </c>
      <c r="H63" s="320"/>
      <c r="I63" s="320"/>
      <c r="J63" s="320"/>
      <c r="K63" s="320"/>
      <c r="L63" s="320"/>
      <c r="M63" s="320"/>
      <c r="N63" s="320"/>
      <c r="O63" s="320"/>
      <c r="P63" s="320"/>
      <c r="Q63" s="320"/>
      <c r="R63" s="320"/>
      <c r="S63" s="320"/>
      <c r="T63" s="320"/>
      <c r="U63" s="320"/>
      <c r="V63" s="320"/>
      <c r="W63" s="320"/>
      <c r="X63" s="320"/>
      <c r="Y63" s="320"/>
      <c r="Z63" s="320"/>
      <c r="AA63" s="320"/>
    </row>
    <row r="64" spans="1:27" x14ac:dyDescent="0.2">
      <c r="A64" s="308"/>
      <c r="B64" s="308"/>
      <c r="C64" s="308"/>
      <c r="D64" s="320"/>
      <c r="E64" s="320"/>
      <c r="F64" s="320"/>
      <c r="G64" s="320"/>
      <c r="H64" s="320"/>
      <c r="I64" s="320"/>
      <c r="J64" s="320"/>
      <c r="K64" s="320"/>
      <c r="L64" s="320"/>
      <c r="M64" s="320"/>
      <c r="N64" s="320"/>
      <c r="O64" s="320"/>
      <c r="P64" s="320"/>
      <c r="Q64" s="320"/>
      <c r="R64" s="320"/>
      <c r="S64" s="320"/>
      <c r="T64" s="320"/>
      <c r="U64" s="320"/>
      <c r="V64" s="320"/>
      <c r="W64" s="320"/>
      <c r="X64" s="320"/>
      <c r="Y64" s="320"/>
      <c r="Z64" s="320"/>
      <c r="AA64" s="320"/>
    </row>
    <row r="65" spans="1:27" x14ac:dyDescent="0.2">
      <c r="A65" s="308"/>
      <c r="B65" s="308"/>
      <c r="C65" s="308"/>
      <c r="D65" s="320"/>
      <c r="E65" s="320"/>
      <c r="F65" s="320"/>
      <c r="G65" s="320"/>
      <c r="H65" s="320"/>
      <c r="I65" s="320"/>
      <c r="J65" s="320"/>
      <c r="K65" s="320"/>
      <c r="L65" s="320"/>
      <c r="M65" s="320"/>
      <c r="N65" s="320"/>
      <c r="O65" s="320"/>
      <c r="P65" s="320"/>
      <c r="Q65" s="320"/>
      <c r="R65" s="320"/>
      <c r="S65" s="320"/>
      <c r="T65" s="320"/>
      <c r="U65" s="320"/>
      <c r="V65" s="320"/>
      <c r="W65" s="320"/>
      <c r="X65" s="320"/>
      <c r="Y65" s="320"/>
      <c r="Z65" s="320"/>
      <c r="AA65" s="320"/>
    </row>
    <row r="66" spans="1:27" x14ac:dyDescent="0.2">
      <c r="A66" s="308"/>
      <c r="B66" s="308"/>
      <c r="C66" s="308"/>
      <c r="D66" s="320"/>
      <c r="E66" s="320"/>
      <c r="F66" s="320"/>
      <c r="G66" s="320"/>
      <c r="H66" s="320"/>
      <c r="I66" s="320"/>
      <c r="J66" s="320"/>
      <c r="K66" s="320"/>
      <c r="L66" s="320"/>
      <c r="M66" s="320"/>
      <c r="N66" s="320"/>
      <c r="O66" s="320"/>
      <c r="P66" s="320"/>
      <c r="Q66" s="320"/>
      <c r="R66" s="320"/>
      <c r="S66" s="320"/>
      <c r="T66" s="320"/>
      <c r="U66" s="320"/>
      <c r="V66" s="320"/>
      <c r="W66" s="320"/>
      <c r="X66" s="320"/>
      <c r="Y66" s="320"/>
      <c r="Z66" s="320"/>
      <c r="AA66" s="320"/>
    </row>
    <row r="67" spans="1:27" x14ac:dyDescent="0.2">
      <c r="A67" s="308"/>
      <c r="B67" s="308"/>
      <c r="C67" s="308"/>
      <c r="D67" s="320"/>
      <c r="E67" s="320"/>
      <c r="F67" s="320"/>
      <c r="G67" s="320"/>
      <c r="H67" s="320"/>
      <c r="I67" s="320"/>
      <c r="J67" s="320"/>
      <c r="K67" s="320"/>
      <c r="L67" s="320"/>
      <c r="M67" s="320"/>
      <c r="N67" s="320"/>
      <c r="O67" s="320"/>
      <c r="P67" s="320"/>
      <c r="Q67" s="320"/>
      <c r="R67" s="320"/>
      <c r="S67" s="320"/>
      <c r="T67" s="320"/>
      <c r="U67" s="320"/>
      <c r="V67" s="320"/>
      <c r="W67" s="320"/>
      <c r="X67" s="320"/>
      <c r="Y67" s="320"/>
      <c r="Z67" s="320"/>
      <c r="AA67" s="320"/>
    </row>
    <row r="68" spans="1:27" x14ac:dyDescent="0.2">
      <c r="A68" s="308"/>
      <c r="B68" s="308"/>
      <c r="C68" s="308"/>
      <c r="D68" s="320"/>
      <c r="E68" s="320"/>
      <c r="F68" s="320"/>
      <c r="G68" s="320"/>
      <c r="H68" s="320"/>
      <c r="I68" s="320"/>
      <c r="J68" s="320"/>
      <c r="K68" s="320"/>
      <c r="L68" s="320"/>
      <c r="M68" s="320"/>
      <c r="N68" s="320"/>
      <c r="O68" s="320"/>
      <c r="P68" s="320"/>
      <c r="Q68" s="320"/>
      <c r="R68" s="320"/>
      <c r="S68" s="320"/>
      <c r="T68" s="320"/>
      <c r="U68" s="320"/>
      <c r="V68" s="320"/>
      <c r="W68" s="320"/>
      <c r="X68" s="320"/>
      <c r="Y68" s="320"/>
      <c r="Z68" s="320"/>
      <c r="AA68" s="320"/>
    </row>
    <row r="69" spans="1:27" x14ac:dyDescent="0.2">
      <c r="A69" s="308"/>
      <c r="B69" s="308"/>
      <c r="C69" s="308"/>
      <c r="D69" s="320"/>
      <c r="E69" s="320"/>
      <c r="F69" s="320"/>
      <c r="G69" s="320"/>
      <c r="H69" s="320"/>
      <c r="I69" s="320"/>
      <c r="J69" s="320"/>
      <c r="K69" s="320"/>
      <c r="L69" s="320"/>
      <c r="M69" s="320"/>
      <c r="N69" s="320"/>
      <c r="O69" s="320"/>
      <c r="P69" s="320"/>
      <c r="Q69" s="320"/>
      <c r="R69" s="320"/>
      <c r="S69" s="320"/>
      <c r="T69" s="320"/>
      <c r="U69" s="320"/>
      <c r="V69" s="320"/>
      <c r="W69" s="320"/>
      <c r="X69" s="320"/>
      <c r="Y69" s="320"/>
      <c r="Z69" s="320"/>
      <c r="AA69" s="320"/>
    </row>
    <row r="70" spans="1:27" x14ac:dyDescent="0.2">
      <c r="A70" s="308"/>
      <c r="B70" s="308"/>
      <c r="C70" s="308"/>
      <c r="D70" s="320"/>
      <c r="E70" s="320"/>
      <c r="F70" s="320"/>
      <c r="G70" s="320"/>
      <c r="H70" s="320"/>
      <c r="I70" s="320"/>
      <c r="J70" s="320"/>
      <c r="K70" s="320"/>
      <c r="L70" s="320"/>
      <c r="M70" s="320"/>
      <c r="N70" s="320"/>
      <c r="O70" s="320"/>
      <c r="P70" s="320"/>
      <c r="Q70" s="320"/>
      <c r="R70" s="320"/>
      <c r="S70" s="320"/>
      <c r="T70" s="320"/>
      <c r="U70" s="320"/>
      <c r="V70" s="320"/>
      <c r="W70" s="320"/>
      <c r="X70" s="320"/>
      <c r="Y70" s="320"/>
      <c r="Z70" s="320"/>
      <c r="AA70" s="320"/>
    </row>
    <row r="71" spans="1:27" x14ac:dyDescent="0.2">
      <c r="A71" s="308"/>
      <c r="B71" s="308"/>
      <c r="C71" s="308"/>
      <c r="D71" s="320"/>
      <c r="E71" s="320"/>
      <c r="F71" s="320"/>
      <c r="G71" s="320"/>
      <c r="H71" s="320"/>
      <c r="I71" s="320"/>
      <c r="J71" s="320"/>
      <c r="K71" s="320"/>
      <c r="L71" s="320"/>
      <c r="M71" s="320"/>
      <c r="N71" s="320"/>
      <c r="O71" s="320"/>
      <c r="P71" s="320"/>
      <c r="Q71" s="320"/>
      <c r="R71" s="320"/>
      <c r="S71" s="320"/>
      <c r="T71" s="320"/>
      <c r="U71" s="320"/>
      <c r="V71" s="320"/>
      <c r="W71" s="320"/>
      <c r="X71" s="320"/>
      <c r="Y71" s="320"/>
      <c r="Z71" s="320"/>
      <c r="AA71" s="320"/>
    </row>
    <row r="72" spans="1:27" x14ac:dyDescent="0.2">
      <c r="A72" s="308"/>
      <c r="B72" s="308"/>
      <c r="C72" s="308"/>
      <c r="D72" s="320"/>
      <c r="E72" s="320"/>
      <c r="F72" s="320"/>
      <c r="G72" s="320"/>
      <c r="H72" s="320"/>
      <c r="I72" s="320"/>
      <c r="J72" s="320"/>
      <c r="K72" s="320"/>
      <c r="L72" s="320"/>
      <c r="M72" s="320"/>
      <c r="N72" s="320"/>
      <c r="O72" s="320"/>
      <c r="P72" s="320"/>
      <c r="Q72" s="320"/>
      <c r="R72" s="320"/>
      <c r="S72" s="320"/>
      <c r="T72" s="320"/>
      <c r="U72" s="320"/>
      <c r="V72" s="320"/>
      <c r="W72" s="320"/>
      <c r="X72" s="320"/>
      <c r="Y72" s="320"/>
      <c r="Z72" s="320"/>
      <c r="AA72" s="320"/>
    </row>
    <row r="73" spans="1:27" x14ac:dyDescent="0.2">
      <c r="A73" s="308"/>
      <c r="B73" s="308"/>
      <c r="C73" s="308"/>
      <c r="D73" s="320"/>
      <c r="E73" s="320"/>
      <c r="F73" s="320"/>
      <c r="G73" s="320"/>
      <c r="H73" s="320"/>
      <c r="I73" s="320"/>
      <c r="J73" s="320"/>
      <c r="K73" s="320"/>
      <c r="L73" s="320"/>
      <c r="M73" s="320"/>
      <c r="N73" s="320"/>
      <c r="O73" s="320"/>
      <c r="P73" s="320"/>
      <c r="Q73" s="320"/>
      <c r="R73" s="320"/>
      <c r="S73" s="320"/>
      <c r="T73" s="320"/>
      <c r="U73" s="320"/>
      <c r="V73" s="320"/>
      <c r="W73" s="320"/>
      <c r="X73" s="320"/>
      <c r="Y73" s="320"/>
      <c r="Z73" s="320"/>
      <c r="AA73" s="320"/>
    </row>
    <row r="74" spans="1:27" x14ac:dyDescent="0.2">
      <c r="A74" s="308"/>
      <c r="B74" s="308"/>
      <c r="C74" s="308"/>
      <c r="D74" s="320"/>
      <c r="E74" s="320"/>
      <c r="F74" s="320"/>
      <c r="G74" s="320"/>
      <c r="H74" s="320"/>
      <c r="I74" s="320"/>
      <c r="J74" s="320"/>
      <c r="K74" s="320"/>
      <c r="L74" s="320"/>
      <c r="M74" s="320"/>
      <c r="N74" s="320"/>
      <c r="O74" s="320"/>
      <c r="P74" s="320"/>
      <c r="Q74" s="320"/>
      <c r="R74" s="320"/>
      <c r="S74" s="320"/>
      <c r="T74" s="320"/>
      <c r="U74" s="320"/>
      <c r="V74" s="320"/>
      <c r="W74" s="320"/>
      <c r="X74" s="320"/>
      <c r="Y74" s="320"/>
      <c r="Z74" s="320"/>
      <c r="AA74" s="320"/>
    </row>
    <row r="75" spans="1:27" x14ac:dyDescent="0.2">
      <c r="A75" s="308"/>
      <c r="B75" s="308"/>
      <c r="C75" s="308"/>
      <c r="D75" s="320"/>
      <c r="E75" s="320"/>
      <c r="F75" s="320"/>
      <c r="G75" s="320"/>
      <c r="H75" s="320"/>
      <c r="I75" s="320"/>
      <c r="J75" s="320"/>
      <c r="K75" s="320"/>
      <c r="L75" s="320"/>
      <c r="M75" s="320"/>
      <c r="N75" s="320"/>
      <c r="O75" s="320"/>
      <c r="P75" s="320"/>
      <c r="Q75" s="320"/>
      <c r="R75" s="320"/>
      <c r="S75" s="320"/>
      <c r="T75" s="320"/>
      <c r="U75" s="320"/>
      <c r="V75" s="320"/>
      <c r="W75" s="320"/>
      <c r="X75" s="320"/>
      <c r="Y75" s="320"/>
      <c r="Z75" s="320"/>
      <c r="AA75" s="320"/>
    </row>
    <row r="76" spans="1:27" x14ac:dyDescent="0.2">
      <c r="A76" s="308"/>
      <c r="B76" s="308"/>
      <c r="C76" s="308"/>
      <c r="D76" s="320"/>
      <c r="E76" s="320"/>
      <c r="F76" s="320"/>
      <c r="G76" s="320"/>
      <c r="H76" s="320"/>
      <c r="I76" s="320"/>
      <c r="J76" s="320"/>
      <c r="K76" s="320"/>
      <c r="L76" s="320"/>
      <c r="M76" s="320"/>
      <c r="N76" s="320"/>
      <c r="O76" s="320"/>
      <c r="P76" s="320"/>
      <c r="Q76" s="320"/>
      <c r="R76" s="320"/>
      <c r="S76" s="320"/>
      <c r="T76" s="320"/>
      <c r="U76" s="320"/>
      <c r="V76" s="320"/>
      <c r="W76" s="320"/>
      <c r="X76" s="320"/>
      <c r="Y76" s="320"/>
      <c r="Z76" s="320"/>
      <c r="AA76" s="320"/>
    </row>
    <row r="77" spans="1:27" x14ac:dyDescent="0.2">
      <c r="A77" s="308"/>
      <c r="B77" s="308"/>
      <c r="C77" s="308"/>
      <c r="D77" s="320"/>
      <c r="E77" s="320"/>
      <c r="F77" s="320"/>
      <c r="G77" s="320"/>
      <c r="H77" s="320"/>
      <c r="I77" s="320"/>
      <c r="J77" s="320"/>
      <c r="K77" s="320"/>
      <c r="L77" s="320"/>
      <c r="M77" s="320"/>
      <c r="N77" s="320"/>
      <c r="O77" s="320"/>
      <c r="P77" s="320"/>
      <c r="Q77" s="320"/>
      <c r="R77" s="320"/>
      <c r="S77" s="320"/>
      <c r="T77" s="320"/>
      <c r="U77" s="320"/>
      <c r="V77" s="320"/>
      <c r="W77" s="320"/>
      <c r="X77" s="320"/>
      <c r="Y77" s="320"/>
      <c r="Z77" s="320"/>
      <c r="AA77" s="320"/>
    </row>
    <row r="78" spans="1:27" x14ac:dyDescent="0.2">
      <c r="A78" s="308"/>
      <c r="B78" s="308"/>
      <c r="C78" s="308"/>
      <c r="D78" s="320"/>
      <c r="E78" s="320"/>
      <c r="F78" s="320"/>
      <c r="G78" s="320"/>
      <c r="H78" s="320"/>
      <c r="I78" s="320"/>
      <c r="J78" s="320"/>
      <c r="K78" s="320"/>
      <c r="L78" s="320"/>
      <c r="M78" s="320"/>
      <c r="N78" s="320"/>
      <c r="O78" s="320"/>
      <c r="P78" s="320"/>
      <c r="Q78" s="320"/>
      <c r="R78" s="320"/>
      <c r="S78" s="320"/>
      <c r="T78" s="320"/>
      <c r="U78" s="320"/>
      <c r="V78" s="320"/>
      <c r="W78" s="320"/>
      <c r="X78" s="320"/>
      <c r="Y78" s="320"/>
      <c r="Z78" s="320"/>
      <c r="AA78" s="320"/>
    </row>
    <row r="79" spans="1:27" x14ac:dyDescent="0.2">
      <c r="A79" s="308"/>
      <c r="B79" s="308"/>
      <c r="C79" s="308"/>
      <c r="D79" s="320"/>
      <c r="E79" s="320"/>
      <c r="F79" s="320"/>
      <c r="G79" s="320"/>
      <c r="H79" s="320"/>
      <c r="I79" s="320"/>
      <c r="J79" s="320"/>
      <c r="K79" s="320"/>
      <c r="L79" s="320"/>
      <c r="M79" s="320"/>
      <c r="N79" s="320"/>
      <c r="O79" s="320"/>
      <c r="P79" s="320"/>
      <c r="Q79" s="320"/>
      <c r="R79" s="320"/>
      <c r="S79" s="320"/>
      <c r="T79" s="320"/>
      <c r="U79" s="320"/>
      <c r="V79" s="320"/>
      <c r="W79" s="320"/>
      <c r="X79" s="320"/>
      <c r="Y79" s="320"/>
      <c r="Z79" s="320"/>
      <c r="AA79" s="320"/>
    </row>
    <row r="80" spans="1:27" x14ac:dyDescent="0.2">
      <c r="A80" s="308"/>
      <c r="B80" s="308"/>
      <c r="C80" s="308"/>
      <c r="D80" s="320"/>
      <c r="E80" s="320"/>
      <c r="F80" s="320"/>
      <c r="G80" s="320"/>
      <c r="H80" s="320"/>
      <c r="I80" s="320"/>
      <c r="J80" s="320"/>
      <c r="K80" s="320"/>
      <c r="L80" s="320"/>
      <c r="M80" s="320"/>
      <c r="N80" s="320"/>
      <c r="O80" s="320"/>
      <c r="P80" s="320"/>
      <c r="Q80" s="320"/>
      <c r="R80" s="320"/>
      <c r="S80" s="320"/>
      <c r="T80" s="320"/>
      <c r="U80" s="320"/>
      <c r="V80" s="320"/>
      <c r="W80" s="320"/>
      <c r="X80" s="320"/>
      <c r="Y80" s="320"/>
      <c r="Z80" s="320"/>
      <c r="AA80" s="320"/>
    </row>
    <row r="81" spans="1:27" x14ac:dyDescent="0.2">
      <c r="A81" s="308"/>
      <c r="B81" s="308"/>
      <c r="C81" s="308"/>
      <c r="D81" s="320"/>
      <c r="E81" s="320"/>
      <c r="F81" s="320"/>
      <c r="G81" s="320"/>
      <c r="H81" s="320"/>
      <c r="I81" s="320"/>
      <c r="J81" s="320"/>
      <c r="K81" s="320"/>
      <c r="L81" s="320"/>
      <c r="M81" s="320"/>
      <c r="N81" s="320"/>
      <c r="O81" s="320"/>
      <c r="P81" s="320"/>
      <c r="Q81" s="320"/>
      <c r="R81" s="320"/>
      <c r="S81" s="320"/>
      <c r="T81" s="320"/>
      <c r="U81" s="320"/>
      <c r="V81" s="320"/>
      <c r="W81" s="320"/>
      <c r="X81" s="320"/>
      <c r="Y81" s="320"/>
      <c r="Z81" s="320"/>
      <c r="AA81" s="320"/>
    </row>
    <row r="82" spans="1:27" x14ac:dyDescent="0.2">
      <c r="A82" s="308"/>
      <c r="B82" s="308"/>
      <c r="C82" s="308"/>
      <c r="D82" s="320"/>
      <c r="E82" s="320"/>
      <c r="F82" s="320"/>
      <c r="G82" s="320"/>
      <c r="H82" s="320"/>
      <c r="I82" s="320"/>
      <c r="J82" s="320"/>
      <c r="K82" s="320"/>
      <c r="L82" s="320"/>
      <c r="M82" s="320"/>
      <c r="N82" s="320"/>
      <c r="O82" s="320"/>
      <c r="P82" s="320"/>
      <c r="Q82" s="320"/>
      <c r="R82" s="320"/>
      <c r="S82" s="320"/>
      <c r="T82" s="320"/>
      <c r="U82" s="320"/>
      <c r="V82" s="320"/>
      <c r="W82" s="320"/>
      <c r="X82" s="320"/>
      <c r="Y82" s="320"/>
      <c r="Z82" s="320"/>
      <c r="AA82" s="320"/>
    </row>
    <row r="83" spans="1:27" x14ac:dyDescent="0.2">
      <c r="A83" s="308"/>
      <c r="B83" s="308"/>
      <c r="C83" s="308"/>
      <c r="D83" s="308"/>
      <c r="E83" s="308"/>
      <c r="F83" s="308"/>
      <c r="G83" s="308"/>
      <c r="H83" s="308"/>
      <c r="I83" s="308"/>
      <c r="J83" s="308"/>
    </row>
    <row r="84" spans="1:27" x14ac:dyDescent="0.2">
      <c r="A84" s="308"/>
      <c r="B84" s="308"/>
      <c r="C84" s="308"/>
      <c r="D84" s="308"/>
      <c r="E84" s="308"/>
      <c r="F84" s="308"/>
      <c r="G84" s="308"/>
      <c r="H84" s="308"/>
      <c r="I84" s="308"/>
      <c r="J84" s="308"/>
    </row>
    <row r="85" spans="1:27" x14ac:dyDescent="0.2">
      <c r="A85" s="308"/>
      <c r="B85" s="308"/>
      <c r="C85" s="308"/>
      <c r="D85" s="308"/>
      <c r="E85" s="308"/>
      <c r="F85" s="308"/>
      <c r="G85" s="308"/>
      <c r="H85" s="308"/>
      <c r="I85" s="308"/>
      <c r="J85" s="308"/>
    </row>
    <row r="86" spans="1:27" x14ac:dyDescent="0.2">
      <c r="A86" s="308"/>
      <c r="B86" s="308"/>
      <c r="C86" s="308"/>
      <c r="D86" s="308"/>
      <c r="E86" s="308"/>
      <c r="F86" s="308"/>
      <c r="G86" s="308"/>
      <c r="H86" s="308"/>
      <c r="I86" s="308"/>
      <c r="J86" s="308"/>
    </row>
  </sheetData>
  <hyperlinks>
    <hyperlink ref="E14" r:id="rId1" xr:uid="{00000000-0004-0000-1400-000000000000}"/>
    <hyperlink ref="E15" r:id="rId2" xr:uid="{00000000-0004-0000-1400-000001000000}"/>
    <hyperlink ref="E16" r:id="rId3" xr:uid="{00000000-0004-0000-1400-000002000000}"/>
    <hyperlink ref="E17" r:id="rId4" xr:uid="{00000000-0004-0000-1400-000003000000}"/>
    <hyperlink ref="E18" r:id="rId5" xr:uid="{00000000-0004-0000-1400-000004000000}"/>
  </hyperlinks>
  <pageMargins left="0.7" right="0.7" top="0.75" bottom="0.75" header="0.3" footer="0.3"/>
  <pageSetup paperSize="9" orientation="portrait" r:id="rId6"/>
  <drawing r:id="rId7"/>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C000"/>
  </sheetPr>
  <dimension ref="B2:O19"/>
  <sheetViews>
    <sheetView zoomScale="85" zoomScaleNormal="85" workbookViewId="0"/>
  </sheetViews>
  <sheetFormatPr baseColWidth="10" defaultColWidth="11.5" defaultRowHeight="15" x14ac:dyDescent="0.2"/>
  <cols>
    <col min="1" max="1" width="11.5" style="193"/>
    <col min="2" max="2" width="27.6640625" style="193" bestFit="1" customWidth="1"/>
    <col min="3" max="5" width="11.5" style="193"/>
    <col min="6" max="6" width="11.5" style="193" customWidth="1"/>
    <col min="7" max="14" width="11.5" style="193"/>
    <col min="15" max="15" width="20.1640625" style="193" bestFit="1" customWidth="1"/>
    <col min="16" max="16384" width="11.5" style="193"/>
  </cols>
  <sheetData>
    <row r="2" spans="2:15" x14ac:dyDescent="0.2">
      <c r="C2" s="39"/>
      <c r="D2" s="39"/>
      <c r="E2" s="39"/>
      <c r="F2" s="39"/>
      <c r="G2" s="39"/>
      <c r="H2" s="39"/>
      <c r="I2" s="39"/>
      <c r="J2" s="39"/>
      <c r="K2" s="39"/>
      <c r="L2" s="39"/>
    </row>
    <row r="3" spans="2:15" x14ac:dyDescent="0.2">
      <c r="C3" s="588">
        <v>2016</v>
      </c>
      <c r="D3" s="588"/>
      <c r="E3" s="588"/>
      <c r="F3" s="589">
        <v>2020</v>
      </c>
      <c r="G3" s="589"/>
      <c r="H3" s="589"/>
      <c r="I3" s="589">
        <v>2025</v>
      </c>
      <c r="J3" s="589"/>
      <c r="K3" s="589"/>
      <c r="L3" s="590">
        <v>2030</v>
      </c>
      <c r="M3" s="590"/>
      <c r="N3" s="590"/>
      <c r="O3" s="195"/>
    </row>
    <row r="4" spans="2:15" ht="20" thickBot="1" x14ac:dyDescent="0.3">
      <c r="B4" s="194" t="s">
        <v>202</v>
      </c>
      <c r="C4" s="196" t="s">
        <v>72</v>
      </c>
      <c r="D4" s="196" t="s">
        <v>73</v>
      </c>
      <c r="E4" s="196" t="s">
        <v>178</v>
      </c>
      <c r="F4" s="196" t="s">
        <v>72</v>
      </c>
      <c r="G4" s="196" t="s">
        <v>73</v>
      </c>
      <c r="H4" s="196" t="s">
        <v>178</v>
      </c>
      <c r="I4" s="196" t="s">
        <v>72</v>
      </c>
      <c r="J4" s="196" t="s">
        <v>73</v>
      </c>
      <c r="K4" s="196" t="s">
        <v>178</v>
      </c>
      <c r="L4" s="196" t="s">
        <v>72</v>
      </c>
      <c r="M4" s="196" t="s">
        <v>73</v>
      </c>
      <c r="N4" s="196" t="s">
        <v>178</v>
      </c>
      <c r="O4" s="196" t="s">
        <v>1</v>
      </c>
    </row>
    <row r="5" spans="2:15" x14ac:dyDescent="0.2">
      <c r="B5" s="51" t="s">
        <v>74</v>
      </c>
      <c r="C5" s="147">
        <f>'Overview 2016 (in)'!D38</f>
        <v>620</v>
      </c>
      <c r="D5" s="52">
        <f>'Overview 2016 (in)'!E38</f>
        <v>200</v>
      </c>
      <c r="E5" s="53">
        <f>'Overview 2016 (in)'!F38</f>
        <v>350</v>
      </c>
      <c r="F5" s="147">
        <f>IFERROR(C5*H5/E5,0)</f>
        <v>620</v>
      </c>
      <c r="G5" s="52">
        <f>IFERROR(D5*H5/E5, 0)</f>
        <v>200</v>
      </c>
      <c r="H5" s="53">
        <f>E5</f>
        <v>350</v>
      </c>
      <c r="I5" s="147">
        <f>IFERROR(F5*K5/H5,0)</f>
        <v>620</v>
      </c>
      <c r="J5" s="52">
        <f>IFERROR(G5*K5/H5, 0)</f>
        <v>200</v>
      </c>
      <c r="K5" s="53">
        <f>H5</f>
        <v>350</v>
      </c>
      <c r="L5" s="147">
        <f>IFERROR(I5*N5/K5,0)</f>
        <v>620</v>
      </c>
      <c r="M5" s="52">
        <f>IFERROR(J5*N5/K5, 0)</f>
        <v>200</v>
      </c>
      <c r="N5" s="53">
        <f>K5</f>
        <v>350</v>
      </c>
      <c r="O5" s="54" t="s">
        <v>75</v>
      </c>
    </row>
    <row r="6" spans="2:15" x14ac:dyDescent="0.2">
      <c r="B6" s="37" t="s">
        <v>76</v>
      </c>
      <c r="C6" s="148">
        <f>'Overview 2016 (in)'!D39</f>
        <v>10000</v>
      </c>
      <c r="D6" s="149">
        <f>'Overview 2016 (in)'!E39</f>
        <v>100</v>
      </c>
      <c r="E6" s="150">
        <f>'Overview 2016 (in)'!F39</f>
        <v>3500</v>
      </c>
      <c r="F6" s="148">
        <f t="shared" ref="F6:F15" si="0">IFERROR(C6*H6/E6,0)</f>
        <v>10000</v>
      </c>
      <c r="G6" s="149">
        <f t="shared" ref="G6:G13" si="1">IFERROR(D6*H6/E6, 0)</f>
        <v>100</v>
      </c>
      <c r="H6" s="150">
        <f>E6</f>
        <v>3500</v>
      </c>
      <c r="I6" s="148">
        <f t="shared" ref="I6:I15" si="2">IFERROR(F6*K6/H6,0)</f>
        <v>10000</v>
      </c>
      <c r="J6" s="149">
        <f t="shared" ref="J6:J13" si="3">IFERROR(G6*K6/H6, 0)</f>
        <v>100</v>
      </c>
      <c r="K6" s="150">
        <f>H6</f>
        <v>3500</v>
      </c>
      <c r="L6" s="148">
        <f t="shared" ref="L6:L15" si="4">IFERROR(I6*N6/K6,0)</f>
        <v>10000</v>
      </c>
      <c r="M6" s="149">
        <f t="shared" ref="M6:M13" si="5">IFERROR(J6*N6/K6, 0)</f>
        <v>100</v>
      </c>
      <c r="N6" s="150">
        <f>K6</f>
        <v>3500</v>
      </c>
      <c r="O6" s="55" t="s">
        <v>77</v>
      </c>
    </row>
    <row r="7" spans="2:15" x14ac:dyDescent="0.2">
      <c r="B7" s="51" t="s">
        <v>4</v>
      </c>
      <c r="C7" s="151">
        <f>'Overview 2016 (in)'!D40</f>
        <v>2000</v>
      </c>
      <c r="D7" s="56">
        <f>'Overview 2016 (in)'!E40</f>
        <v>500</v>
      </c>
      <c r="E7" s="197">
        <f>'Overview 2016 (in)'!F40</f>
        <v>1000</v>
      </c>
      <c r="F7" s="151">
        <f t="shared" ca="1" si="0"/>
        <v>2406.0581264694615</v>
      </c>
      <c r="G7" s="56">
        <f t="shared" ca="1" si="1"/>
        <v>601.51453161736538</v>
      </c>
      <c r="H7" s="197">
        <f ca="1">INDIRECT(ADDRESS(ROW($B6),COLUMN(D$4),1,,$B$4))</f>
        <v>1203.0290632347308</v>
      </c>
      <c r="I7" s="151">
        <f t="shared" ca="1" si="2"/>
        <v>3031.4559655931389</v>
      </c>
      <c r="J7" s="56">
        <f t="shared" ca="1" si="3"/>
        <v>757.86399139828472</v>
      </c>
      <c r="K7" s="197">
        <f ca="1">INDIRECT(ADDRESS(ROW($B6),COLUMN(E$4),1,,$B$4))</f>
        <v>1515.7279827965694</v>
      </c>
      <c r="L7" s="151">
        <f t="shared" ca="1" si="4"/>
        <v>3819.4111647729887</v>
      </c>
      <c r="M7" s="56">
        <f t="shared" ca="1" si="5"/>
        <v>954.85279119324719</v>
      </c>
      <c r="N7" s="197">
        <f ca="1">INDIRECT(ADDRESS(ROW($B6),COLUMN(F$4),1,,$B$4))</f>
        <v>1909.7055823864944</v>
      </c>
      <c r="O7" s="54" t="s">
        <v>5</v>
      </c>
    </row>
    <row r="8" spans="2:15" x14ac:dyDescent="0.2">
      <c r="B8" s="37" t="s">
        <v>6</v>
      </c>
      <c r="C8" s="152">
        <f>'Overview 2016 (in)'!D41</f>
        <v>20</v>
      </c>
      <c r="D8" s="153">
        <f>'Overview 2016 (in)'!E41</f>
        <v>5</v>
      </c>
      <c r="E8" s="199">
        <f>'Overview 2016 (in)'!F41</f>
        <v>12</v>
      </c>
      <c r="F8" s="152">
        <f t="shared" ca="1" si="0"/>
        <v>22.591226527767983</v>
      </c>
      <c r="G8" s="153">
        <f t="shared" ca="1" si="1"/>
        <v>5.6478066319419957</v>
      </c>
      <c r="H8" s="199">
        <f ca="1">INDIRECT(ADDRESS(ROW($B7),COLUMN(D$4),1,,$B$4))</f>
        <v>13.554735916660789</v>
      </c>
      <c r="I8" s="152">
        <f t="shared" ca="1" si="2"/>
        <v>26.307348543119524</v>
      </c>
      <c r="J8" s="153">
        <f t="shared" ca="1" si="3"/>
        <v>6.5768371357798809</v>
      </c>
      <c r="K8" s="199">
        <f ca="1">INDIRECT(ADDRESS(ROW($B7),COLUMN(E$4),1,,$B$4))</f>
        <v>15.784409125871715</v>
      </c>
      <c r="L8" s="152">
        <f t="shared" ca="1" si="4"/>
        <v>30.634750464677392</v>
      </c>
      <c r="M8" s="153">
        <f t="shared" ca="1" si="5"/>
        <v>7.658687616169348</v>
      </c>
      <c r="N8" s="199">
        <f ca="1">INDIRECT(ADDRESS(ROW($B7),COLUMN(F$4),1,,$B$4))</f>
        <v>18.380850278806435</v>
      </c>
      <c r="O8" s="55" t="s">
        <v>7</v>
      </c>
    </row>
    <row r="9" spans="2:15" x14ac:dyDescent="0.2">
      <c r="B9" s="51" t="s">
        <v>78</v>
      </c>
      <c r="C9" s="151">
        <f>'Overview 2016 (in)'!D42</f>
        <v>100</v>
      </c>
      <c r="D9" s="56">
        <f>'Overview 2016 (in)'!E42</f>
        <v>84</v>
      </c>
      <c r="E9" s="57">
        <f>'Overview 2016 (in)'!F42</f>
        <v>90</v>
      </c>
      <c r="F9" s="151">
        <f t="shared" si="0"/>
        <v>100</v>
      </c>
      <c r="G9" s="56">
        <f t="shared" si="1"/>
        <v>84</v>
      </c>
      <c r="H9" s="57">
        <f>E9</f>
        <v>90</v>
      </c>
      <c r="I9" s="151">
        <f t="shared" si="2"/>
        <v>100</v>
      </c>
      <c r="J9" s="56">
        <f t="shared" si="3"/>
        <v>84</v>
      </c>
      <c r="K9" s="57">
        <f>H9</f>
        <v>90</v>
      </c>
      <c r="L9" s="151">
        <f t="shared" si="4"/>
        <v>100</v>
      </c>
      <c r="M9" s="56">
        <f t="shared" si="5"/>
        <v>84</v>
      </c>
      <c r="N9" s="57">
        <f>K9</f>
        <v>90</v>
      </c>
      <c r="O9" s="54" t="s">
        <v>9</v>
      </c>
    </row>
    <row r="10" spans="2:15" x14ac:dyDescent="0.2">
      <c r="B10" s="37" t="s">
        <v>8</v>
      </c>
      <c r="C10" s="152">
        <f>'Overview 2016 (in)'!D43</f>
        <v>98</v>
      </c>
      <c r="D10" s="153">
        <f>'Overview 2016 (in)'!E43</f>
        <v>81</v>
      </c>
      <c r="E10" s="199">
        <f>'Overview 2016 (in)'!F43</f>
        <v>95</v>
      </c>
      <c r="F10" s="152">
        <f t="shared" ca="1" si="0"/>
        <v>98.513673922329716</v>
      </c>
      <c r="G10" s="153">
        <f t="shared" ca="1" si="1"/>
        <v>81.424567221517421</v>
      </c>
      <c r="H10" s="199">
        <f ca="1">INDIRECT(ADDRESS(ROW($B8),COLUMN(D$4),1,,$B$4))</f>
        <v>95.497949210421666</v>
      </c>
      <c r="I10" s="152">
        <v>99</v>
      </c>
      <c r="J10" s="153">
        <f t="shared" ca="1" si="3"/>
        <v>81.958407081475087</v>
      </c>
      <c r="K10" s="199">
        <f ca="1">INDIRECT(ADDRESS(ROW($B8),COLUMN(E$4),1,,$B$4))</f>
        <v>96.12405768814979</v>
      </c>
      <c r="L10" s="152">
        <v>99</v>
      </c>
      <c r="M10" s="153">
        <f t="shared" ca="1" si="5"/>
        <v>82.495746929284167</v>
      </c>
      <c r="N10" s="199">
        <f ca="1">INDIRECT(ADDRESS(ROW($B8),COLUMN(F$4),1,,$B$4))</f>
        <v>96.754271089901181</v>
      </c>
      <c r="O10" s="55" t="s">
        <v>9</v>
      </c>
    </row>
    <row r="11" spans="2:15" x14ac:dyDescent="0.2">
      <c r="B11" s="51" t="s">
        <v>79</v>
      </c>
      <c r="C11" s="147">
        <f>'Overview 2016 (in)'!D44</f>
        <v>0.09</v>
      </c>
      <c r="D11" s="52">
        <f>'Overview 2016 (in)'!E44</f>
        <v>0.36</v>
      </c>
      <c r="E11" s="53">
        <f>'Overview 2016 (in)'!F44</f>
        <v>0.2</v>
      </c>
      <c r="F11" s="147">
        <f t="shared" si="0"/>
        <v>8.9999999999999983E-2</v>
      </c>
      <c r="G11" s="52">
        <f t="shared" si="1"/>
        <v>0.35999999999999993</v>
      </c>
      <c r="H11" s="53">
        <f>E11</f>
        <v>0.2</v>
      </c>
      <c r="I11" s="147">
        <f t="shared" si="2"/>
        <v>8.9999999999999983E-2</v>
      </c>
      <c r="J11" s="52">
        <f t="shared" si="3"/>
        <v>0.35999999999999993</v>
      </c>
      <c r="K11" s="53">
        <f>H11</f>
        <v>0.2</v>
      </c>
      <c r="L11" s="147">
        <f t="shared" si="4"/>
        <v>8.9999999999999983E-2</v>
      </c>
      <c r="M11" s="52">
        <f t="shared" si="5"/>
        <v>0.35999999999999993</v>
      </c>
      <c r="N11" s="53">
        <f>K11</f>
        <v>0.2</v>
      </c>
      <c r="O11" s="54" t="s">
        <v>80</v>
      </c>
    </row>
    <row r="12" spans="2:15" x14ac:dyDescent="0.2">
      <c r="B12" s="154" t="s">
        <v>81</v>
      </c>
      <c r="C12" s="148">
        <f>'Overview 2016 (in)'!D45</f>
        <v>3.0000000000000001E-3</v>
      </c>
      <c r="D12" s="149">
        <f>'Overview 2016 (in)'!E45</f>
        <v>1</v>
      </c>
      <c r="E12" s="150">
        <f>'Overview 2016 (in)'!F45</f>
        <v>0.01</v>
      </c>
      <c r="F12" s="148">
        <f t="shared" si="0"/>
        <v>3.0000000000000001E-3</v>
      </c>
      <c r="G12" s="149">
        <f t="shared" si="1"/>
        <v>1</v>
      </c>
      <c r="H12" s="150">
        <f>E12</f>
        <v>0.01</v>
      </c>
      <c r="I12" s="148">
        <f t="shared" si="2"/>
        <v>3.0000000000000001E-3</v>
      </c>
      <c r="J12" s="149">
        <f t="shared" si="3"/>
        <v>1</v>
      </c>
      <c r="K12" s="150">
        <f>H12</f>
        <v>0.01</v>
      </c>
      <c r="L12" s="148">
        <f t="shared" si="4"/>
        <v>3.0000000000000001E-3</v>
      </c>
      <c r="M12" s="149">
        <f t="shared" si="5"/>
        <v>1</v>
      </c>
      <c r="N12" s="150">
        <f>K12</f>
        <v>0.01</v>
      </c>
      <c r="O12" s="155" t="s">
        <v>82</v>
      </c>
    </row>
    <row r="13" spans="2:15" x14ac:dyDescent="0.2">
      <c r="B13" s="156" t="s">
        <v>83</v>
      </c>
      <c r="C13" s="157">
        <f>'Overview 2016 (in)'!D46</f>
        <v>0</v>
      </c>
      <c r="D13" s="58">
        <f>'Overview 2016 (in)'!E46</f>
        <v>0</v>
      </c>
      <c r="E13" s="59">
        <f>'Overview 2016 (in)'!F46</f>
        <v>0</v>
      </c>
      <c r="F13" s="157">
        <f t="shared" si="0"/>
        <v>0</v>
      </c>
      <c r="G13" s="58">
        <f t="shared" si="1"/>
        <v>0</v>
      </c>
      <c r="H13" s="59">
        <f>E13</f>
        <v>0</v>
      </c>
      <c r="I13" s="157">
        <f t="shared" si="2"/>
        <v>0</v>
      </c>
      <c r="J13" s="58">
        <f t="shared" si="3"/>
        <v>0</v>
      </c>
      <c r="K13" s="59">
        <f>H13</f>
        <v>0</v>
      </c>
      <c r="L13" s="157">
        <f t="shared" si="4"/>
        <v>0</v>
      </c>
      <c r="M13" s="58">
        <f t="shared" si="5"/>
        <v>0</v>
      </c>
      <c r="N13" s="59">
        <f>K13</f>
        <v>0</v>
      </c>
      <c r="O13" s="54" t="s">
        <v>7</v>
      </c>
    </row>
    <row r="14" spans="2:15" x14ac:dyDescent="0.2">
      <c r="B14" s="154" t="s">
        <v>2</v>
      </c>
      <c r="C14" s="152">
        <f>'Overview 2016 (in)'!D47</f>
        <v>199.5</v>
      </c>
      <c r="D14" s="153">
        <f>'Overview 2016 (in)'!E47</f>
        <v>840</v>
      </c>
      <c r="E14" s="198">
        <f>'Overview 2016 (in)'!F47</f>
        <v>351.75</v>
      </c>
      <c r="F14" s="152">
        <f t="shared" ca="1" si="0"/>
        <v>154.91391256527987</v>
      </c>
      <c r="G14" s="153">
        <f t="shared" ref="G14:G15" ca="1" si="6">IFERROR(D14*H14/E14,0)</f>
        <v>652.26910553802054</v>
      </c>
      <c r="H14" s="198">
        <f ca="1">IF(CELL("format",INDIRECT(ADDRESS(ROW($B4),COLUMN(D$4),1,,$B$4)))="W0-",INDIRECT(ADDRESS(ROW($B4),COLUMN(D$4),1,,$B$4))*'Overview 2016 (in)'!$O$7,INDIRECT(ADDRESS(ROW($B4),COLUMN(D$4),1,,$B$4)))</f>
        <v>273.13768794404609</v>
      </c>
      <c r="I14" s="152">
        <f t="shared" ca="1" si="2"/>
        <v>112.92102879625723</v>
      </c>
      <c r="J14" s="153">
        <f t="shared" ref="J14:J15" ca="1" si="7">IFERROR(G14*K14/H14,0)</f>
        <v>475.45696335266206</v>
      </c>
      <c r="K14" s="198">
        <f ca="1">IF(CELL("format",INDIRECT(ADDRESS(ROW($B4),COLUMN(E$4),1,,$B$4)))="W0-",INDIRECT(ADDRESS(ROW($B4),COLUMN(E$4),1,,$B$4))*'Overview 2016 (in)'!$O$7,INDIRECT(ADDRESS(ROW($B4),COLUMN(E$4),1,,$B$4)))</f>
        <v>199.09760340392722</v>
      </c>
      <c r="L14" s="152">
        <f t="shared" ca="1" si="4"/>
        <v>82.31125618902621</v>
      </c>
      <c r="M14" s="153">
        <f t="shared" ref="M14:M15" ca="1" si="8">IFERROR(J14*N14/K14,0)</f>
        <v>346.57371026958407</v>
      </c>
      <c r="N14" s="198">
        <f ca="1">IF(CELL("format",INDIRECT(ADDRESS(ROW($B4),COLUMN(F$4),1,,$B$4)))="W0-",INDIRECT(ADDRESS(ROW($B4),COLUMN(F$4),1,,$B$4))*'Overview 2016 (in)'!$O$7,INDIRECT(ADDRESS(ROW($B4),COLUMN(F$4),1,,$B$4)))</f>
        <v>145.12774117538834</v>
      </c>
      <c r="O14" s="155" t="s">
        <v>22</v>
      </c>
    </row>
    <row r="15" spans="2:15" ht="16" thickBot="1" x14ac:dyDescent="0.25">
      <c r="B15" s="158" t="s">
        <v>3</v>
      </c>
      <c r="C15" s="180">
        <f>'Overview 2016 (in)'!D48</f>
        <v>0</v>
      </c>
      <c r="D15" s="180">
        <f>'Overview 2016 (in)'!E48</f>
        <v>0</v>
      </c>
      <c r="E15" s="200">
        <f>'Overview 2016 (in)'!F48</f>
        <v>0</v>
      </c>
      <c r="F15" s="180">
        <f t="shared" ca="1" si="0"/>
        <v>0</v>
      </c>
      <c r="G15" s="180">
        <f t="shared" ca="1" si="6"/>
        <v>0</v>
      </c>
      <c r="H15" s="200">
        <f ca="1">IF(CELL("format",INDIRECT(ADDRESS(ROW($B5),COLUMN(D$4),1,,$B$4)))="W0-",INDIRECT(ADDRESS(ROW($B5),COLUMN(D$4),1,,$B$4))*'Overview 2016 (in)'!$O$7,INDIRECT(ADDRESS(ROW($B5),COLUMN(D$4),1,,$B$4)))</f>
        <v>0</v>
      </c>
      <c r="I15" s="180">
        <f t="shared" ca="1" si="2"/>
        <v>0</v>
      </c>
      <c r="J15" s="180">
        <f t="shared" ca="1" si="7"/>
        <v>0</v>
      </c>
      <c r="K15" s="200">
        <f ca="1">IF(CELL("format",INDIRECT(ADDRESS(ROW($B5),COLUMN(E$4),1,,$B$4)))="W0-",INDIRECT(ADDRESS(ROW($B5),COLUMN(E$4),1,,$B$4))*'Overview 2016 (in)'!$O$7,INDIRECT(ADDRESS(ROW($B5),COLUMN(E$4),1,,$B$4)))</f>
        <v>0</v>
      </c>
      <c r="L15" s="180">
        <f t="shared" ca="1" si="4"/>
        <v>0</v>
      </c>
      <c r="M15" s="180">
        <f t="shared" ca="1" si="8"/>
        <v>0</v>
      </c>
      <c r="N15" s="200">
        <f ca="1">IF(CELL("format",INDIRECT(ADDRESS(ROW($B5),COLUMN(F$4),1,,$B$4)))="W0-",INDIRECT(ADDRESS(ROW($B5),COLUMN(F$4),1,,$B$4))*'Overview 2016 (in)'!$O$7,INDIRECT(ADDRESS(ROW($B5),COLUMN(F$4),1,,$B$4)))</f>
        <v>0</v>
      </c>
      <c r="O15" s="60" t="s">
        <v>23</v>
      </c>
    </row>
    <row r="17" spans="2:3" x14ac:dyDescent="0.2">
      <c r="C17" s="202"/>
    </row>
    <row r="18" spans="2:3" ht="19" x14ac:dyDescent="0.25">
      <c r="B18" s="201"/>
    </row>
    <row r="19" spans="2:3" x14ac:dyDescent="0.2">
      <c r="B19" s="39"/>
    </row>
  </sheetData>
  <mergeCells count="4">
    <mergeCell ref="C3:E3"/>
    <mergeCell ref="F3:H3"/>
    <mergeCell ref="I3:K3"/>
    <mergeCell ref="L3:N3"/>
  </mergeCells>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C000"/>
  </sheetPr>
  <dimension ref="A2:AB82"/>
  <sheetViews>
    <sheetView zoomScale="85" zoomScaleNormal="85" workbookViewId="0"/>
  </sheetViews>
  <sheetFormatPr baseColWidth="10" defaultColWidth="9.1640625" defaultRowHeight="15" x14ac:dyDescent="0.2"/>
  <cols>
    <col min="1" max="1" width="9.1640625" style="97"/>
    <col min="2" max="2" width="26.5" style="97" customWidth="1"/>
    <col min="3" max="8" width="10.6640625" style="97" customWidth="1"/>
    <col min="9" max="9" width="20.33203125" style="97" customWidth="1"/>
    <col min="10" max="10" width="13.83203125" style="97" customWidth="1"/>
    <col min="11" max="16" width="12.6640625" style="97" customWidth="1"/>
    <col min="17" max="17" width="9.5" style="97" bestFit="1" customWidth="1"/>
    <col min="18" max="16384" width="9.1640625" style="97"/>
  </cols>
  <sheetData>
    <row r="2" spans="1:18" ht="20" thickBot="1" x14ac:dyDescent="0.3">
      <c r="B2" s="41" t="s">
        <v>84</v>
      </c>
      <c r="C2" s="13"/>
      <c r="K2" s="41" t="s">
        <v>0</v>
      </c>
    </row>
    <row r="3" spans="1:18" x14ac:dyDescent="0.2">
      <c r="B3" s="38"/>
      <c r="C3" s="38">
        <v>2016</v>
      </c>
      <c r="D3" s="367">
        <v>2020</v>
      </c>
      <c r="E3" s="367">
        <v>2025</v>
      </c>
      <c r="F3" s="367">
        <v>2030</v>
      </c>
      <c r="G3" s="38" t="s">
        <v>1</v>
      </c>
      <c r="H3" s="40"/>
      <c r="I3" s="38" t="s">
        <v>17</v>
      </c>
      <c r="J3" s="38" t="s">
        <v>18</v>
      </c>
      <c r="K3" s="38" t="s">
        <v>19</v>
      </c>
      <c r="L3" s="38" t="s">
        <v>20</v>
      </c>
      <c r="N3" s="407">
        <f>1-(F4/C4)^(1/(F$3-C$3))</f>
        <v>6.5379764467925261E-2</v>
      </c>
    </row>
    <row r="4" spans="1:18" x14ac:dyDescent="0.2">
      <c r="B4" s="37" t="s">
        <v>2</v>
      </c>
      <c r="C4" s="165">
        <f>'Overview 2016 (in)'!I47</f>
        <v>577.5</v>
      </c>
      <c r="D4" s="68">
        <f>$C4*(1-$N3)^(D$3-$C$3)</f>
        <v>440.64891742184551</v>
      </c>
      <c r="E4" s="68">
        <f>$C4*(1-$N3)^(E$3-$C$3)</f>
        <v>314.24516632558237</v>
      </c>
      <c r="F4" s="68">
        <f>C4*D63</f>
        <v>224.10136654087555</v>
      </c>
      <c r="G4" s="97" t="s">
        <v>22</v>
      </c>
      <c r="I4" s="79" t="s">
        <v>52</v>
      </c>
      <c r="J4" s="42" t="s">
        <v>53</v>
      </c>
      <c r="K4" s="42" t="s">
        <v>53</v>
      </c>
      <c r="L4" s="42" t="s">
        <v>53</v>
      </c>
      <c r="N4" s="407"/>
    </row>
    <row r="5" spans="1:18" x14ac:dyDescent="0.2">
      <c r="B5" s="40" t="s">
        <v>3</v>
      </c>
      <c r="C5" s="165">
        <f>'Overview 2016 (in)'!I48</f>
        <v>0</v>
      </c>
      <c r="D5" s="68">
        <v>0</v>
      </c>
      <c r="E5" s="68">
        <v>0</v>
      </c>
      <c r="F5" s="68">
        <v>0</v>
      </c>
      <c r="G5" s="97" t="s">
        <v>23</v>
      </c>
      <c r="I5" s="79" t="s">
        <v>52</v>
      </c>
      <c r="J5" s="42">
        <v>1</v>
      </c>
      <c r="K5" s="42">
        <v>1</v>
      </c>
      <c r="L5" s="42">
        <v>1</v>
      </c>
      <c r="N5" s="407">
        <f t="shared" ref="N5:N7" si="0">1-(F6/C6)^(1/(F$3-C$3))</f>
        <v>-4.7294999279520633E-2</v>
      </c>
    </row>
    <row r="6" spans="1:18" x14ac:dyDescent="0.2">
      <c r="B6" s="37" t="s">
        <v>4</v>
      </c>
      <c r="C6" s="188">
        <f>'Overview 2016 (in)'!I40</f>
        <v>2500</v>
      </c>
      <c r="D6" s="73">
        <f t="shared" ref="D6:E8" si="1">$C6*(1-$N5)^(D$3-$C$3)</f>
        <v>3007.5726580868268</v>
      </c>
      <c r="E6" s="73">
        <f t="shared" si="1"/>
        <v>3789.3199569914236</v>
      </c>
      <c r="F6" s="69">
        <f>C6*E63</f>
        <v>4774.2639559662357</v>
      </c>
      <c r="G6" s="97" t="s">
        <v>5</v>
      </c>
      <c r="I6" s="79" t="s">
        <v>52</v>
      </c>
      <c r="J6" s="42" t="s">
        <v>53</v>
      </c>
      <c r="K6" s="42" t="s">
        <v>53</v>
      </c>
      <c r="L6" s="42" t="s">
        <v>53</v>
      </c>
      <c r="N6" s="407">
        <f t="shared" si="0"/>
        <v>-3.0925907392973073E-2</v>
      </c>
    </row>
    <row r="7" spans="1:18" x14ac:dyDescent="0.2">
      <c r="B7" s="37" t="s">
        <v>6</v>
      </c>
      <c r="C7" s="81">
        <f>'Overview 2016 (in)'!I41</f>
        <v>12</v>
      </c>
      <c r="D7" s="85">
        <f t="shared" si="1"/>
        <v>13.554735916660789</v>
      </c>
      <c r="E7" s="85">
        <f t="shared" si="1"/>
        <v>15.784409125871715</v>
      </c>
      <c r="F7" s="127">
        <f>C7*F63</f>
        <v>18.380850278806435</v>
      </c>
      <c r="G7" s="97" t="s">
        <v>7</v>
      </c>
      <c r="I7" s="79" t="s">
        <v>52</v>
      </c>
      <c r="J7" s="42" t="s">
        <v>53</v>
      </c>
      <c r="K7" s="42" t="s">
        <v>53</v>
      </c>
      <c r="L7" s="42" t="s">
        <v>53</v>
      </c>
      <c r="N7" s="407">
        <f t="shared" si="0"/>
        <v>-1.3078248127507131E-3</v>
      </c>
    </row>
    <row r="8" spans="1:18" ht="16" thickBot="1" x14ac:dyDescent="0.25">
      <c r="B8" s="6" t="s">
        <v>8</v>
      </c>
      <c r="C8" s="82">
        <f>'Overview 2016 (in)'!I43</f>
        <v>92</v>
      </c>
      <c r="D8" s="78">
        <f t="shared" si="1"/>
        <v>92.482224498513617</v>
      </c>
      <c r="E8" s="78">
        <f t="shared" si="1"/>
        <v>93.088561129576632</v>
      </c>
      <c r="F8" s="78">
        <f>C8*G63</f>
        <v>93.698873055483247</v>
      </c>
      <c r="G8" s="7" t="s">
        <v>9</v>
      </c>
      <c r="H8" s="39"/>
      <c r="I8" s="80" t="s">
        <v>52</v>
      </c>
      <c r="J8" s="83" t="s">
        <v>53</v>
      </c>
      <c r="K8" s="83" t="s">
        <v>53</v>
      </c>
      <c r="L8" s="83" t="s">
        <v>53</v>
      </c>
      <c r="N8" s="320"/>
    </row>
    <row r="9" spans="1:18" x14ac:dyDescent="0.2">
      <c r="B9" s="37"/>
      <c r="C9" s="44"/>
      <c r="J9" s="39"/>
      <c r="K9" s="39"/>
      <c r="L9" s="39"/>
      <c r="M9" s="39"/>
    </row>
    <row r="10" spans="1:18" x14ac:dyDescent="0.2">
      <c r="A10" s="262"/>
      <c r="B10" s="262"/>
      <c r="C10" s="262"/>
      <c r="D10" s="262"/>
      <c r="E10" s="262"/>
      <c r="F10" s="262"/>
      <c r="G10" s="262"/>
      <c r="H10" s="262"/>
      <c r="I10" s="262"/>
      <c r="J10" s="39"/>
      <c r="K10" s="39"/>
      <c r="L10" s="39"/>
      <c r="M10" s="39"/>
      <c r="N10" s="39"/>
      <c r="O10" s="39"/>
      <c r="P10" s="39"/>
      <c r="Q10" s="39"/>
      <c r="R10" s="39"/>
    </row>
    <row r="11" spans="1:18" x14ac:dyDescent="0.2">
      <c r="B11" s="39"/>
      <c r="C11" s="39"/>
      <c r="D11" s="39"/>
      <c r="E11" s="39"/>
      <c r="F11" s="39"/>
      <c r="G11" s="39"/>
      <c r="H11" s="39"/>
      <c r="J11" s="43"/>
      <c r="K11" s="2" t="s">
        <v>68</v>
      </c>
      <c r="L11" s="43"/>
      <c r="M11" s="43"/>
      <c r="N11" s="43"/>
      <c r="O11" s="43"/>
      <c r="P11" s="43"/>
    </row>
    <row r="12" spans="1:18" ht="20" thickBot="1" x14ac:dyDescent="0.3">
      <c r="B12" s="41" t="s">
        <v>10</v>
      </c>
      <c r="J12" s="42"/>
      <c r="K12" s="18" t="s">
        <v>69</v>
      </c>
      <c r="L12" s="42"/>
      <c r="M12" s="42"/>
      <c r="N12" s="42"/>
      <c r="O12" s="42"/>
      <c r="P12" s="42"/>
    </row>
    <row r="13" spans="1:18" x14ac:dyDescent="0.2">
      <c r="B13" s="98" t="s">
        <v>11</v>
      </c>
      <c r="C13" s="98" t="s">
        <v>12</v>
      </c>
      <c r="D13" s="98" t="s">
        <v>13</v>
      </c>
      <c r="E13" s="98" t="s">
        <v>225</v>
      </c>
      <c r="F13" s="100" t="s">
        <v>60</v>
      </c>
      <c r="G13" s="98"/>
      <c r="H13" s="100" t="s">
        <v>105</v>
      </c>
      <c r="I13" s="302"/>
      <c r="J13" s="42"/>
      <c r="K13" s="93" t="s">
        <v>71</v>
      </c>
      <c r="L13" s="93"/>
      <c r="M13" s="42"/>
      <c r="N13" s="42"/>
      <c r="O13" s="42"/>
      <c r="P13" s="42"/>
    </row>
    <row r="14" spans="1:18" x14ac:dyDescent="0.2">
      <c r="B14" s="97">
        <v>1</v>
      </c>
      <c r="C14" s="97" t="s">
        <v>15</v>
      </c>
      <c r="D14" s="97" t="s">
        <v>16</v>
      </c>
      <c r="E14" s="303" t="s">
        <v>226</v>
      </c>
      <c r="F14" s="145" t="s">
        <v>61</v>
      </c>
      <c r="G14" s="302"/>
      <c r="H14" s="282" t="s">
        <v>115</v>
      </c>
      <c r="I14" s="302"/>
      <c r="J14" s="42"/>
      <c r="K14" s="42"/>
      <c r="L14" s="42"/>
      <c r="M14" s="42"/>
      <c r="N14" s="42"/>
      <c r="O14" s="42"/>
      <c r="P14" s="42"/>
    </row>
    <row r="15" spans="1:18" x14ac:dyDescent="0.2">
      <c r="B15" s="97">
        <v>2</v>
      </c>
      <c r="C15" s="97" t="s">
        <v>24</v>
      </c>
      <c r="D15" s="97" t="s">
        <v>25</v>
      </c>
      <c r="E15" s="303" t="s">
        <v>227</v>
      </c>
      <c r="F15" s="145" t="s">
        <v>62</v>
      </c>
      <c r="G15" s="302"/>
      <c r="H15" s="282" t="s">
        <v>115</v>
      </c>
      <c r="I15" s="302"/>
      <c r="J15" s="42"/>
      <c r="K15" s="42"/>
      <c r="L15" s="42"/>
      <c r="M15" s="42"/>
      <c r="N15" s="42"/>
      <c r="O15" s="42"/>
      <c r="P15" s="42"/>
    </row>
    <row r="16" spans="1:18" x14ac:dyDescent="0.2">
      <c r="B16" s="97">
        <v>3</v>
      </c>
      <c r="C16" s="97" t="s">
        <v>29</v>
      </c>
      <c r="D16" s="97" t="s">
        <v>30</v>
      </c>
      <c r="E16" s="303" t="s">
        <v>230</v>
      </c>
      <c r="F16" s="145" t="s">
        <v>65</v>
      </c>
      <c r="G16" s="302"/>
      <c r="H16" s="282" t="s">
        <v>115</v>
      </c>
      <c r="I16" s="302"/>
      <c r="J16" s="42"/>
      <c r="K16" s="42"/>
      <c r="L16" s="42"/>
      <c r="M16" s="42"/>
      <c r="N16" s="42"/>
      <c r="O16" s="42"/>
      <c r="P16" s="42"/>
    </row>
    <row r="17" spans="1:28" x14ac:dyDescent="0.2">
      <c r="B17" s="97">
        <v>4</v>
      </c>
      <c r="C17" s="97" t="s">
        <v>58</v>
      </c>
      <c r="D17" s="97" t="s">
        <v>59</v>
      </c>
      <c r="E17" s="303" t="s">
        <v>228</v>
      </c>
      <c r="F17" s="145" t="s">
        <v>63</v>
      </c>
      <c r="G17" s="302"/>
      <c r="H17" s="282" t="s">
        <v>115</v>
      </c>
      <c r="I17" s="302"/>
      <c r="J17" s="42"/>
      <c r="K17" s="42"/>
      <c r="L17" s="42"/>
      <c r="M17" s="42"/>
      <c r="N17" s="42"/>
      <c r="O17" s="42"/>
      <c r="P17" s="42"/>
    </row>
    <row r="18" spans="1:28" x14ac:dyDescent="0.2">
      <c r="B18" s="182">
        <v>5</v>
      </c>
      <c r="C18" s="182" t="s">
        <v>100</v>
      </c>
      <c r="D18" s="182" t="s">
        <v>101</v>
      </c>
      <c r="E18" s="303" t="s">
        <v>231</v>
      </c>
      <c r="F18" s="145" t="s">
        <v>102</v>
      </c>
      <c r="G18" s="302"/>
      <c r="H18" s="185" t="s">
        <v>116</v>
      </c>
      <c r="I18" s="302"/>
      <c r="J18" s="42"/>
      <c r="K18" s="42"/>
      <c r="L18" s="42"/>
      <c r="M18" s="42"/>
      <c r="N18" s="42"/>
      <c r="O18" s="42"/>
      <c r="P18" s="42"/>
    </row>
    <row r="19" spans="1:28" x14ac:dyDescent="0.2">
      <c r="A19" s="304" t="s">
        <v>232</v>
      </c>
      <c r="L19" s="42"/>
      <c r="M19" s="42"/>
      <c r="N19" s="42"/>
      <c r="O19" s="42"/>
      <c r="P19" s="42"/>
      <c r="Q19" s="42"/>
      <c r="R19" s="42"/>
    </row>
    <row r="20" spans="1:28" ht="16" thickBot="1" x14ac:dyDescent="0.25">
      <c r="A20" s="304" t="s">
        <v>47</v>
      </c>
      <c r="B20" s="42"/>
      <c r="C20" s="332" t="s">
        <v>183</v>
      </c>
      <c r="D20" s="333" t="s">
        <v>234</v>
      </c>
      <c r="E20" s="320"/>
      <c r="F20" s="320"/>
      <c r="G20" s="320"/>
      <c r="H20" s="320"/>
      <c r="I20" s="320"/>
      <c r="J20" s="320"/>
      <c r="K20" s="320"/>
      <c r="L20" s="320"/>
      <c r="M20" s="320"/>
      <c r="N20" s="320"/>
      <c r="O20" s="320"/>
      <c r="P20" s="320"/>
      <c r="Q20" s="320"/>
      <c r="R20" s="320"/>
      <c r="S20" s="320"/>
      <c r="T20" s="320"/>
      <c r="U20" s="320"/>
      <c r="V20" s="320"/>
      <c r="W20" s="320"/>
      <c r="X20" s="320"/>
      <c r="Y20" s="320"/>
      <c r="Z20" s="320"/>
      <c r="AA20" s="320"/>
      <c r="AB20" s="320"/>
    </row>
    <row r="21" spans="1:28" x14ac:dyDescent="0.2">
      <c r="A21" s="65" t="s">
        <v>49</v>
      </c>
      <c r="B21" s="38"/>
      <c r="C21" s="49">
        <v>2016</v>
      </c>
      <c r="D21" s="360">
        <v>2012</v>
      </c>
      <c r="E21" s="367">
        <v>2020</v>
      </c>
      <c r="F21" s="367">
        <v>2023</v>
      </c>
      <c r="G21" s="367">
        <v>2025</v>
      </c>
      <c r="H21" s="374">
        <v>2030</v>
      </c>
      <c r="I21" s="38">
        <v>2033</v>
      </c>
      <c r="J21" s="38" t="s">
        <v>1</v>
      </c>
      <c r="K21" s="48" t="s">
        <v>54</v>
      </c>
      <c r="L21" s="38" t="s">
        <v>55</v>
      </c>
      <c r="M21" s="50" t="s">
        <v>237</v>
      </c>
      <c r="N21" s="50" t="s">
        <v>253</v>
      </c>
      <c r="O21" s="320"/>
      <c r="P21" s="320"/>
      <c r="Q21" s="320"/>
      <c r="R21" s="320"/>
      <c r="S21" s="320"/>
      <c r="T21" s="320"/>
      <c r="U21" s="320"/>
      <c r="V21" s="320"/>
      <c r="W21" s="320"/>
      <c r="X21" s="320"/>
      <c r="Y21" s="320"/>
      <c r="Z21" s="320"/>
      <c r="AA21" s="320"/>
      <c r="AB21" s="320"/>
    </row>
    <row r="22" spans="1:28" x14ac:dyDescent="0.2">
      <c r="B22" s="37" t="s">
        <v>2</v>
      </c>
      <c r="C22" s="328">
        <f>C4/'Overview 2016 (in)'!$O$7</f>
        <v>550</v>
      </c>
      <c r="D22" s="361">
        <v>550</v>
      </c>
      <c r="E22" s="110">
        <f>$D22*(1-$K22)^(E$21-$D$21)</f>
        <v>369.69039640594207</v>
      </c>
      <c r="F22" s="87"/>
      <c r="G22" s="110">
        <f>$D22*(1-$K22)^(G$21-$D$21)</f>
        <v>288.41001922841889</v>
      </c>
      <c r="H22" s="368">
        <v>225</v>
      </c>
      <c r="I22" s="87"/>
      <c r="J22" s="372" t="s">
        <v>247</v>
      </c>
      <c r="K22" s="312">
        <f>1-(H22/D22)^(1/(H$21-D$21))</f>
        <v>4.844381837693057E-2</v>
      </c>
      <c r="L22" s="95"/>
      <c r="M22" s="379" t="s">
        <v>252</v>
      </c>
      <c r="N22" s="379"/>
      <c r="O22" s="379"/>
      <c r="P22" s="379"/>
      <c r="Q22" s="379"/>
      <c r="R22" s="320"/>
      <c r="S22" s="320"/>
      <c r="T22" s="320"/>
      <c r="U22" s="320"/>
      <c r="V22" s="320"/>
      <c r="W22" s="320"/>
      <c r="X22" s="320"/>
      <c r="Y22" s="320"/>
      <c r="Z22" s="320"/>
      <c r="AA22" s="320"/>
      <c r="AB22" s="320"/>
    </row>
    <row r="23" spans="1:28" x14ac:dyDescent="0.2">
      <c r="B23" s="40" t="s">
        <v>3</v>
      </c>
      <c r="C23" s="328">
        <f>C5/'Overview 2016 (in)'!$O$7</f>
        <v>0</v>
      </c>
      <c r="D23" s="397">
        <v>175</v>
      </c>
      <c r="E23" s="123">
        <f t="shared" ref="E23:E26" si="2">$D23*(1-$K23)^(E$21-$D$21)</f>
        <v>100.28362609809263</v>
      </c>
      <c r="F23" s="87"/>
      <c r="G23" s="123">
        <f t="shared" ref="G23:G26" si="3">$D23*(1-$K23)^(G$21-$D$21)</f>
        <v>70.8108840850376</v>
      </c>
      <c r="H23" s="401">
        <v>50</v>
      </c>
      <c r="I23" s="87"/>
      <c r="J23" s="372" t="s">
        <v>248</v>
      </c>
      <c r="K23" s="312">
        <f t="shared" ref="K23:K26" si="4">1-(H23/D23)^(1/(H$21-D$21))</f>
        <v>6.7231228975996538E-2</v>
      </c>
      <c r="L23" s="95"/>
      <c r="M23" s="379" t="s">
        <v>252</v>
      </c>
      <c r="N23" s="379"/>
      <c r="O23" s="379"/>
      <c r="P23" s="379"/>
      <c r="Q23" s="379"/>
      <c r="R23" s="320"/>
      <c r="S23" s="320"/>
      <c r="T23" s="320"/>
      <c r="U23" s="320"/>
      <c r="V23" s="320"/>
      <c r="W23" s="320"/>
      <c r="X23" s="320"/>
      <c r="Y23" s="320"/>
      <c r="Z23" s="320"/>
      <c r="AA23" s="320"/>
      <c r="AB23" s="320"/>
    </row>
    <row r="24" spans="1:28" x14ac:dyDescent="0.2">
      <c r="B24" s="37" t="s">
        <v>4</v>
      </c>
      <c r="C24" s="329">
        <f>C6</f>
        <v>2500</v>
      </c>
      <c r="D24" s="362">
        <v>3000</v>
      </c>
      <c r="E24" s="111">
        <f t="shared" si="2"/>
        <v>4230.2125456486547</v>
      </c>
      <c r="F24" s="88"/>
      <c r="G24" s="111">
        <f t="shared" si="3"/>
        <v>5243.6992235173329</v>
      </c>
      <c r="H24" s="394">
        <v>6500</v>
      </c>
      <c r="I24" s="91"/>
      <c r="J24" s="372" t="s">
        <v>5</v>
      </c>
      <c r="K24" s="312">
        <f t="shared" si="4"/>
        <v>-4.3890912220534872E-2</v>
      </c>
      <c r="L24" s="95"/>
      <c r="M24" s="379" t="s">
        <v>252</v>
      </c>
      <c r="N24" s="379"/>
      <c r="O24" s="379"/>
      <c r="P24" s="379"/>
      <c r="Q24" s="379"/>
      <c r="R24" s="320"/>
      <c r="S24" s="320"/>
      <c r="T24" s="320"/>
      <c r="U24" s="320"/>
      <c r="V24" s="320"/>
      <c r="W24" s="320"/>
      <c r="X24" s="320"/>
      <c r="Y24" s="320"/>
      <c r="Z24" s="320"/>
      <c r="AA24" s="320"/>
      <c r="AB24" s="320"/>
    </row>
    <row r="25" spans="1:28" x14ac:dyDescent="0.2">
      <c r="B25" s="37" t="s">
        <v>6</v>
      </c>
      <c r="C25" s="329">
        <f>C7</f>
        <v>12</v>
      </c>
      <c r="D25" s="362">
        <v>12.5</v>
      </c>
      <c r="E25" s="111">
        <f t="shared" si="2"/>
        <v>15.403875693958369</v>
      </c>
      <c r="F25" s="88"/>
      <c r="G25" s="111">
        <f t="shared" si="3"/>
        <v>17.55213701744513</v>
      </c>
      <c r="H25" s="394">
        <v>20</v>
      </c>
      <c r="I25" s="91"/>
      <c r="J25" s="372" t="s">
        <v>7</v>
      </c>
      <c r="K25" s="312">
        <f t="shared" si="4"/>
        <v>-2.6455199651044037E-2</v>
      </c>
      <c r="L25" s="95"/>
      <c r="M25" s="379" t="s">
        <v>252</v>
      </c>
      <c r="N25" s="379"/>
      <c r="O25" s="379"/>
      <c r="P25" s="379"/>
      <c r="Q25" s="379"/>
      <c r="R25" s="320"/>
      <c r="S25" s="320"/>
      <c r="T25" s="320"/>
      <c r="U25" s="320"/>
      <c r="V25" s="320"/>
      <c r="W25" s="320"/>
      <c r="X25" s="320"/>
      <c r="Y25" s="320"/>
      <c r="Z25" s="320"/>
      <c r="AA25" s="320"/>
      <c r="AB25" s="320"/>
    </row>
    <row r="26" spans="1:28" ht="16" thickBot="1" x14ac:dyDescent="0.25">
      <c r="B26" s="6" t="s">
        <v>8</v>
      </c>
      <c r="C26" s="330">
        <f>C8</f>
        <v>92</v>
      </c>
      <c r="D26" s="363">
        <v>84.5</v>
      </c>
      <c r="E26" s="112">
        <f t="shared" si="2"/>
        <v>86.254958335584746</v>
      </c>
      <c r="F26" s="90"/>
      <c r="G26" s="112">
        <f t="shared" si="3"/>
        <v>87.370268471026563</v>
      </c>
      <c r="H26" s="395">
        <v>88.5</v>
      </c>
      <c r="I26" s="92"/>
      <c r="J26" s="373" t="s">
        <v>9</v>
      </c>
      <c r="K26" s="313">
        <f t="shared" si="4"/>
        <v>-2.5728049775106676E-3</v>
      </c>
      <c r="L26" s="309"/>
      <c r="M26" s="379" t="s">
        <v>252</v>
      </c>
      <c r="N26" s="379"/>
      <c r="O26" s="379"/>
      <c r="P26" s="379"/>
      <c r="Q26" s="379"/>
      <c r="R26" s="320"/>
      <c r="S26" s="320"/>
      <c r="T26" s="320"/>
      <c r="U26" s="320"/>
      <c r="V26" s="320"/>
      <c r="W26" s="320"/>
      <c r="X26" s="320"/>
      <c r="Y26" s="320"/>
      <c r="Z26" s="320"/>
      <c r="AA26" s="320"/>
      <c r="AB26" s="320"/>
    </row>
    <row r="27" spans="1:28" ht="16" thickBot="1" x14ac:dyDescent="0.25">
      <c r="C27" s="213"/>
      <c r="D27" s="320"/>
      <c r="E27" s="320"/>
      <c r="F27" s="320"/>
      <c r="G27" s="320"/>
      <c r="H27" s="320"/>
      <c r="I27" s="320"/>
      <c r="J27" s="320"/>
      <c r="K27" s="312"/>
      <c r="L27" s="95"/>
      <c r="M27" s="379"/>
      <c r="N27" s="379"/>
      <c r="O27" s="379"/>
      <c r="P27" s="379"/>
      <c r="Q27" s="379"/>
      <c r="R27" s="320"/>
      <c r="S27" s="320"/>
      <c r="T27" s="320"/>
      <c r="U27" s="320"/>
      <c r="V27" s="320"/>
      <c r="W27" s="320"/>
      <c r="X27" s="320"/>
      <c r="Y27" s="320"/>
      <c r="Z27" s="320"/>
      <c r="AA27" s="320"/>
      <c r="AB27" s="320"/>
    </row>
    <row r="28" spans="1:28" x14ac:dyDescent="0.2">
      <c r="A28" s="65" t="s">
        <v>56</v>
      </c>
      <c r="B28" s="38"/>
      <c r="C28" s="49">
        <v>2016</v>
      </c>
      <c r="D28" s="360">
        <v>2014</v>
      </c>
      <c r="E28" s="367">
        <v>2020</v>
      </c>
      <c r="F28" s="374">
        <v>2023</v>
      </c>
      <c r="G28" s="367">
        <v>2025</v>
      </c>
      <c r="H28" s="367">
        <v>2030</v>
      </c>
      <c r="I28" s="38">
        <v>2033</v>
      </c>
      <c r="J28" s="38" t="s">
        <v>1</v>
      </c>
      <c r="K28" s="314"/>
      <c r="L28" s="310"/>
      <c r="M28" s="379" t="s">
        <v>238</v>
      </c>
      <c r="N28" s="379"/>
      <c r="O28" s="379"/>
      <c r="P28" s="379"/>
      <c r="Q28" s="379"/>
      <c r="R28" s="320"/>
      <c r="S28" s="320"/>
      <c r="T28" s="320"/>
      <c r="U28" s="320"/>
      <c r="V28" s="320"/>
      <c r="W28" s="320"/>
      <c r="X28" s="320"/>
      <c r="Y28" s="320"/>
      <c r="Z28" s="320"/>
      <c r="AA28" s="320"/>
      <c r="AB28" s="320"/>
    </row>
    <row r="29" spans="1:28" x14ac:dyDescent="0.2">
      <c r="B29" s="37" t="s">
        <v>2</v>
      </c>
      <c r="C29" s="328">
        <f>C4/'Overview 2016 (in)'!$O$7</f>
        <v>550</v>
      </c>
      <c r="D29" s="361">
        <v>550</v>
      </c>
      <c r="E29" s="110">
        <f>$D29*(1-$K29)^(E$28-$D$28)</f>
        <v>406.91115221988514</v>
      </c>
      <c r="F29" s="385">
        <v>350</v>
      </c>
      <c r="G29" s="110">
        <f>$F29*(1-$L29)^(G$28-$F$28)</f>
        <v>333.51930279302439</v>
      </c>
      <c r="H29" s="110">
        <f>$F29*(1-$L29)^(H$28-$F$28)</f>
        <v>295.63326444998853</v>
      </c>
      <c r="I29" s="361">
        <v>275</v>
      </c>
      <c r="J29" s="372" t="s">
        <v>247</v>
      </c>
      <c r="K29" s="312">
        <f>1-(F29/D29)^(1/(F$28-D$28))</f>
        <v>4.8980364374794583E-2</v>
      </c>
      <c r="L29" s="95">
        <f>1-(I29/F29)^(1/(I$28-F$28))</f>
        <v>2.3827733597007295E-2</v>
      </c>
      <c r="M29" s="379" t="s">
        <v>238</v>
      </c>
      <c r="N29" s="379"/>
      <c r="O29" s="379"/>
      <c r="P29" s="379"/>
      <c r="Q29" s="379"/>
      <c r="R29" s="320"/>
      <c r="S29" s="320"/>
      <c r="T29" s="320"/>
      <c r="U29" s="320"/>
      <c r="V29" s="320"/>
      <c r="W29" s="320"/>
      <c r="X29" s="320"/>
      <c r="Y29" s="320"/>
      <c r="Z29" s="320"/>
      <c r="AA29" s="320"/>
      <c r="AB29" s="320"/>
    </row>
    <row r="30" spans="1:28" x14ac:dyDescent="0.2">
      <c r="B30" s="40" t="s">
        <v>3</v>
      </c>
      <c r="C30" s="328">
        <f>C5/'Overview 2016 (in)'!$O$7</f>
        <v>0</v>
      </c>
      <c r="D30" s="397">
        <v>160</v>
      </c>
      <c r="E30" s="123"/>
      <c r="F30" s="397">
        <v>90</v>
      </c>
      <c r="G30" s="123"/>
      <c r="H30" s="123"/>
      <c r="I30" s="397">
        <v>40</v>
      </c>
      <c r="J30" s="372" t="s">
        <v>248</v>
      </c>
      <c r="K30" s="312"/>
      <c r="L30" s="95"/>
      <c r="M30" s="379" t="s">
        <v>238</v>
      </c>
      <c r="N30" s="379"/>
      <c r="O30" s="379"/>
      <c r="P30" s="379"/>
      <c r="Q30" s="379"/>
      <c r="R30" s="320"/>
      <c r="S30" s="320"/>
      <c r="T30" s="320"/>
      <c r="U30" s="320"/>
      <c r="V30" s="320"/>
      <c r="W30" s="320"/>
      <c r="X30" s="320"/>
      <c r="Y30" s="320"/>
      <c r="Z30" s="320"/>
      <c r="AA30" s="320"/>
      <c r="AB30" s="320"/>
    </row>
    <row r="31" spans="1:28" x14ac:dyDescent="0.2">
      <c r="B31" s="37" t="s">
        <v>4</v>
      </c>
      <c r="C31" s="329">
        <f t="shared" ref="C31:C33" si="5">C6</f>
        <v>2500</v>
      </c>
      <c r="D31" s="396"/>
      <c r="E31" s="124"/>
      <c r="F31" s="398"/>
      <c r="G31" s="124"/>
      <c r="H31" s="124"/>
      <c r="I31" s="399"/>
      <c r="J31" s="372" t="s">
        <v>5</v>
      </c>
      <c r="K31" s="312"/>
      <c r="L31" s="95"/>
      <c r="M31" s="379"/>
      <c r="N31" s="379"/>
      <c r="O31" s="379"/>
      <c r="P31" s="379"/>
      <c r="Q31" s="379"/>
      <c r="R31" s="320"/>
      <c r="S31" s="320"/>
      <c r="T31" s="320"/>
      <c r="U31" s="320"/>
      <c r="V31" s="320"/>
      <c r="W31" s="320"/>
      <c r="X31" s="320"/>
      <c r="Y31" s="320"/>
      <c r="Z31" s="320"/>
      <c r="AA31" s="320"/>
      <c r="AB31" s="320"/>
    </row>
    <row r="32" spans="1:28" x14ac:dyDescent="0.2">
      <c r="B32" s="37" t="s">
        <v>6</v>
      </c>
      <c r="C32" s="329">
        <f t="shared" si="5"/>
        <v>12</v>
      </c>
      <c r="D32" s="362">
        <v>12</v>
      </c>
      <c r="E32" s="111">
        <f>$D32*(1-$K32)^(E$28-$D$28)</f>
        <v>13.924766500838338</v>
      </c>
      <c r="F32" s="386">
        <v>15</v>
      </c>
      <c r="G32" s="111">
        <f>$F32*(1-$L32)^(G$28-$F$28)</f>
        <v>15.888357615732186</v>
      </c>
      <c r="H32" s="111">
        <f>$F32*(1-$L32)^(H$28-$F$28)</f>
        <v>18.346295092848042</v>
      </c>
      <c r="I32" s="362">
        <v>20</v>
      </c>
      <c r="J32" s="372" t="s">
        <v>7</v>
      </c>
      <c r="K32" s="312">
        <f>1-(F32/D32)^(1/(F$28-D$28))</f>
        <v>-2.5103648456901162E-2</v>
      </c>
      <c r="L32" s="95">
        <f>1-(I32/F32)^(1/(I$28-F$28))</f>
        <v>-2.9186008964760646E-2</v>
      </c>
      <c r="M32" s="379" t="s">
        <v>238</v>
      </c>
      <c r="N32" s="379"/>
      <c r="O32" s="379"/>
      <c r="P32" s="379"/>
      <c r="Q32" s="379"/>
      <c r="R32" s="320"/>
      <c r="S32" s="320"/>
      <c r="T32" s="320"/>
      <c r="U32" s="320"/>
      <c r="V32" s="320"/>
      <c r="W32" s="320"/>
      <c r="X32" s="320"/>
      <c r="Y32" s="320"/>
      <c r="Z32" s="320"/>
      <c r="AA32" s="320"/>
      <c r="AB32" s="320"/>
    </row>
    <row r="33" spans="1:28" ht="16" thickBot="1" x14ac:dyDescent="0.25">
      <c r="B33" s="6" t="s">
        <v>8</v>
      </c>
      <c r="C33" s="330">
        <f t="shared" si="5"/>
        <v>92</v>
      </c>
      <c r="D33" s="363">
        <v>90</v>
      </c>
      <c r="E33" s="112">
        <f>$D33*(1-$K33)^(E$28-$D$28)</f>
        <v>90</v>
      </c>
      <c r="F33" s="387">
        <v>90</v>
      </c>
      <c r="G33" s="112">
        <f>$F33*(1-$L33)^(G$28-$F$28)</f>
        <v>90</v>
      </c>
      <c r="H33" s="112">
        <f>$F33*(1-$L33)^(H$28-$F$28)</f>
        <v>90</v>
      </c>
      <c r="I33" s="363">
        <v>90</v>
      </c>
      <c r="J33" s="373" t="s">
        <v>9</v>
      </c>
      <c r="K33" s="313">
        <f>1-(F33/D33)^(1/(F$28-D$28))</f>
        <v>0</v>
      </c>
      <c r="L33" s="309">
        <f>1-(I33/F33)^(1/(I$28-F$28))</f>
        <v>0</v>
      </c>
      <c r="M33" s="379" t="s">
        <v>238</v>
      </c>
      <c r="N33" s="379"/>
      <c r="O33" s="379"/>
      <c r="P33" s="379"/>
      <c r="Q33" s="379"/>
      <c r="R33" s="320"/>
      <c r="S33" s="320"/>
      <c r="T33" s="320"/>
      <c r="U33" s="320"/>
      <c r="V33" s="320"/>
      <c r="W33" s="320"/>
      <c r="X33" s="320"/>
      <c r="Y33" s="320"/>
      <c r="Z33" s="320"/>
      <c r="AA33" s="320"/>
      <c r="AB33" s="320"/>
    </row>
    <row r="34" spans="1:28" ht="16" thickBot="1" x14ac:dyDescent="0.25">
      <c r="C34" s="213"/>
      <c r="D34" s="320"/>
      <c r="E34" s="320"/>
      <c r="F34" s="320"/>
      <c r="G34" s="320"/>
      <c r="H34" s="320"/>
      <c r="I34" s="320"/>
      <c r="J34" s="320"/>
      <c r="K34" s="312"/>
      <c r="L34" s="95"/>
      <c r="M34" s="379"/>
      <c r="N34" s="379"/>
      <c r="O34" s="379"/>
      <c r="P34" s="379"/>
      <c r="Q34" s="379"/>
      <c r="R34" s="320"/>
      <c r="S34" s="320"/>
      <c r="T34" s="320"/>
      <c r="U34" s="320"/>
      <c r="V34" s="320"/>
      <c r="W34" s="320"/>
      <c r="X34" s="320"/>
      <c r="Y34" s="320"/>
      <c r="Z34" s="320"/>
      <c r="AA34" s="320"/>
      <c r="AB34" s="320"/>
    </row>
    <row r="35" spans="1:28" x14ac:dyDescent="0.2">
      <c r="A35" s="65" t="s">
        <v>48</v>
      </c>
      <c r="B35" s="38"/>
      <c r="C35" s="49">
        <v>2016</v>
      </c>
      <c r="D35" s="360">
        <v>2015</v>
      </c>
      <c r="E35" s="367">
        <v>2020</v>
      </c>
      <c r="F35" s="367">
        <v>2023</v>
      </c>
      <c r="G35" s="367">
        <v>2025</v>
      </c>
      <c r="H35" s="367">
        <v>2030</v>
      </c>
      <c r="I35" s="38">
        <v>2033</v>
      </c>
      <c r="J35" s="38" t="s">
        <v>1</v>
      </c>
      <c r="K35" s="314"/>
      <c r="L35" s="310"/>
      <c r="M35" s="379"/>
      <c r="N35" s="379"/>
      <c r="O35" s="379"/>
      <c r="P35" s="379"/>
      <c r="Q35" s="379"/>
      <c r="R35" s="320"/>
      <c r="S35" s="320"/>
      <c r="T35" s="320"/>
      <c r="U35" s="320"/>
      <c r="V35" s="320"/>
      <c r="W35" s="320"/>
      <c r="X35" s="320"/>
      <c r="Y35" s="320"/>
      <c r="Z35" s="320"/>
      <c r="AA35" s="320"/>
      <c r="AB35" s="320"/>
    </row>
    <row r="36" spans="1:28" x14ac:dyDescent="0.2">
      <c r="B36" s="37" t="s">
        <v>2</v>
      </c>
      <c r="C36" s="328">
        <f>C4/'Overview 2016 (in)'!$O$7</f>
        <v>550</v>
      </c>
      <c r="D36" s="361">
        <v>285</v>
      </c>
      <c r="E36" s="364">
        <v>180</v>
      </c>
      <c r="F36" s="87"/>
      <c r="G36" s="364">
        <v>145</v>
      </c>
      <c r="H36" s="181">
        <f>$E36*(1-$L36)^(H$35-$E$35)</f>
        <v>116.80555555555554</v>
      </c>
      <c r="I36" s="87"/>
      <c r="J36" s="372" t="s">
        <v>247</v>
      </c>
      <c r="K36" s="312">
        <f>1-(H36/D36)^(1/(H$35-D$35))</f>
        <v>5.7731710360176214E-2</v>
      </c>
      <c r="L36" s="95">
        <f>1-(G36/E36)^(1/(G$35-E$35))</f>
        <v>4.2322907181576386E-2</v>
      </c>
      <c r="M36" s="379" t="s">
        <v>254</v>
      </c>
      <c r="N36" s="379" t="s">
        <v>255</v>
      </c>
      <c r="O36" s="379"/>
      <c r="P36" s="379"/>
      <c r="Q36" s="379"/>
      <c r="R36" s="320"/>
      <c r="S36" s="320"/>
      <c r="T36" s="320"/>
      <c r="U36" s="320"/>
      <c r="V36" s="320"/>
      <c r="W36" s="320"/>
      <c r="X36" s="320"/>
      <c r="Y36" s="320"/>
      <c r="Z36" s="320"/>
      <c r="AA36" s="320"/>
      <c r="AB36" s="320"/>
    </row>
    <row r="37" spans="1:28" x14ac:dyDescent="0.2">
      <c r="B37" s="40" t="s">
        <v>3</v>
      </c>
      <c r="C37" s="328">
        <f>C5/'Overview 2016 (in)'!$O$7</f>
        <v>0</v>
      </c>
      <c r="D37" s="397">
        <v>125</v>
      </c>
      <c r="E37" s="401">
        <v>92.5</v>
      </c>
      <c r="F37" s="87"/>
      <c r="G37" s="402">
        <v>75</v>
      </c>
      <c r="H37" s="123"/>
      <c r="I37" s="87"/>
      <c r="J37" s="372" t="s">
        <v>248</v>
      </c>
      <c r="K37" s="312"/>
      <c r="L37" s="95"/>
      <c r="M37" s="379" t="s">
        <v>243</v>
      </c>
      <c r="N37" s="379"/>
      <c r="O37" s="379"/>
      <c r="P37" s="379"/>
      <c r="Q37" s="379"/>
      <c r="R37" s="320"/>
      <c r="S37" s="320"/>
      <c r="T37" s="320"/>
      <c r="U37" s="320"/>
      <c r="V37" s="320"/>
      <c r="W37" s="320"/>
      <c r="X37" s="320"/>
      <c r="Y37" s="320"/>
      <c r="Z37" s="320"/>
      <c r="AA37" s="320"/>
      <c r="AB37" s="320"/>
    </row>
    <row r="38" spans="1:28" x14ac:dyDescent="0.2">
      <c r="B38" s="37" t="s">
        <v>4</v>
      </c>
      <c r="C38" s="329">
        <f t="shared" ref="C38:C40" si="6">C6</f>
        <v>2500</v>
      </c>
      <c r="D38" s="362">
        <v>3000</v>
      </c>
      <c r="E38" s="380">
        <v>5000</v>
      </c>
      <c r="F38" s="88"/>
      <c r="G38" s="111">
        <f>$E38*(1-$L38)^(G$35-$E$35)</f>
        <v>5916.0797830996144</v>
      </c>
      <c r="H38" s="380">
        <v>7000</v>
      </c>
      <c r="I38" s="89"/>
      <c r="J38" s="320" t="s">
        <v>5</v>
      </c>
      <c r="K38" s="312">
        <f>1-(H38/D38)^(1/(H$35-D$35))</f>
        <v>-5.8112355609357458E-2</v>
      </c>
      <c r="L38" s="95">
        <f>1-(H38/E38)^(1/(H$35-E$35))</f>
        <v>-3.4219694129380196E-2</v>
      </c>
      <c r="M38" s="379" t="s">
        <v>256</v>
      </c>
      <c r="N38" s="379"/>
      <c r="O38" s="379"/>
      <c r="P38" s="379"/>
      <c r="Q38" s="379"/>
      <c r="R38" s="320"/>
      <c r="S38" s="320"/>
      <c r="T38" s="320"/>
      <c r="U38" s="320"/>
      <c r="V38" s="320"/>
      <c r="W38" s="320"/>
      <c r="X38" s="320"/>
      <c r="Y38" s="320"/>
      <c r="Z38" s="320"/>
      <c r="AA38" s="320"/>
      <c r="AB38" s="320"/>
    </row>
    <row r="39" spans="1:28" x14ac:dyDescent="0.2">
      <c r="B39" s="37" t="s">
        <v>6</v>
      </c>
      <c r="C39" s="329">
        <f t="shared" si="6"/>
        <v>12</v>
      </c>
      <c r="D39" s="362">
        <v>12.5</v>
      </c>
      <c r="E39" s="380">
        <v>20</v>
      </c>
      <c r="F39" s="88"/>
      <c r="G39" s="111">
        <f>$E39*(1-$L39)^(G$21-$E$21)</f>
        <v>20</v>
      </c>
      <c r="H39" s="380">
        <v>20</v>
      </c>
      <c r="I39" s="391"/>
      <c r="J39" s="320" t="s">
        <v>7</v>
      </c>
      <c r="K39" s="312">
        <f t="shared" ref="K39:K40" si="7">1-(H39/D39)^(1/(H$35-D$35))</f>
        <v>-3.1829639349793881E-2</v>
      </c>
      <c r="L39" s="95">
        <f>1-(H39/E39)^(1/(H$21-E$21))</f>
        <v>0</v>
      </c>
      <c r="M39" s="379" t="s">
        <v>256</v>
      </c>
      <c r="N39" s="379"/>
      <c r="O39" s="379"/>
      <c r="P39" s="379"/>
      <c r="Q39" s="379"/>
      <c r="R39" s="320"/>
      <c r="S39" s="320"/>
      <c r="T39" s="320"/>
      <c r="U39" s="320"/>
      <c r="V39" s="320"/>
      <c r="W39" s="320"/>
      <c r="X39" s="320"/>
      <c r="Y39" s="320"/>
      <c r="Z39" s="320"/>
      <c r="AA39" s="320"/>
      <c r="AB39" s="320"/>
    </row>
    <row r="40" spans="1:28" ht="16" thickBot="1" x14ac:dyDescent="0.25">
      <c r="B40" s="6" t="s">
        <v>8</v>
      </c>
      <c r="C40" s="336">
        <f t="shared" si="6"/>
        <v>92</v>
      </c>
      <c r="D40" s="400">
        <v>97</v>
      </c>
      <c r="E40" s="400">
        <v>97</v>
      </c>
      <c r="F40" s="94"/>
      <c r="G40" s="121">
        <f>$E40*(1-$L40)^(G$21-$E$21)</f>
        <v>97</v>
      </c>
      <c r="H40" s="400">
        <v>97</v>
      </c>
      <c r="I40" s="94"/>
      <c r="J40" s="7" t="s">
        <v>9</v>
      </c>
      <c r="K40" s="313">
        <f t="shared" si="7"/>
        <v>0</v>
      </c>
      <c r="L40" s="309">
        <f>1-(H40/E40)^(1/(H$21-E$21))</f>
        <v>0</v>
      </c>
      <c r="M40" s="379" t="s">
        <v>256</v>
      </c>
      <c r="N40" s="379"/>
      <c r="O40" s="379"/>
      <c r="P40" s="379"/>
      <c r="Q40" s="379"/>
      <c r="R40" s="320"/>
      <c r="S40" s="320"/>
      <c r="T40" s="320"/>
      <c r="U40" s="320"/>
      <c r="V40" s="320"/>
      <c r="W40" s="320"/>
      <c r="X40" s="320"/>
      <c r="Y40" s="320"/>
      <c r="Z40" s="320"/>
      <c r="AA40" s="320"/>
      <c r="AB40" s="320"/>
    </row>
    <row r="41" spans="1:28" ht="16" thickBot="1" x14ac:dyDescent="0.25">
      <c r="B41" s="40"/>
      <c r="C41" s="337"/>
      <c r="D41" s="84"/>
      <c r="E41" s="73"/>
      <c r="F41" s="73"/>
      <c r="G41" s="85"/>
      <c r="H41" s="85"/>
      <c r="I41" s="86"/>
      <c r="J41" s="39"/>
      <c r="K41" s="320"/>
      <c r="L41" s="320"/>
      <c r="M41" s="379"/>
      <c r="N41" s="379"/>
      <c r="O41" s="379"/>
      <c r="P41" s="379"/>
      <c r="Q41" s="379"/>
      <c r="R41" s="320"/>
      <c r="S41" s="320"/>
      <c r="T41" s="320"/>
      <c r="U41" s="320"/>
      <c r="V41" s="320"/>
      <c r="W41" s="320"/>
      <c r="X41" s="320"/>
      <c r="Y41" s="320"/>
      <c r="Z41" s="320"/>
      <c r="AA41" s="320"/>
      <c r="AB41" s="320"/>
    </row>
    <row r="42" spans="1:28" x14ac:dyDescent="0.2">
      <c r="A42" s="65" t="s">
        <v>51</v>
      </c>
      <c r="B42" s="38"/>
      <c r="C42" s="49">
        <v>2016</v>
      </c>
      <c r="D42" s="360">
        <v>2013</v>
      </c>
      <c r="E42" s="367">
        <v>2020</v>
      </c>
      <c r="F42" s="367">
        <v>2023</v>
      </c>
      <c r="G42" s="367">
        <v>2025</v>
      </c>
      <c r="H42" s="367">
        <v>2030</v>
      </c>
      <c r="I42" s="38">
        <v>2050</v>
      </c>
      <c r="J42" s="38" t="s">
        <v>1</v>
      </c>
      <c r="K42" s="314"/>
      <c r="L42" s="310"/>
      <c r="M42" s="379"/>
      <c r="N42" s="379"/>
      <c r="O42" s="379"/>
      <c r="P42" s="379"/>
      <c r="Q42" s="379"/>
      <c r="R42" s="320"/>
      <c r="S42" s="320"/>
      <c r="T42" s="320"/>
      <c r="U42" s="320"/>
      <c r="V42" s="320"/>
      <c r="W42" s="320"/>
      <c r="X42" s="320"/>
      <c r="Y42" s="320"/>
      <c r="Z42" s="320"/>
      <c r="AA42" s="320"/>
      <c r="AB42" s="320"/>
    </row>
    <row r="43" spans="1:28" x14ac:dyDescent="0.2">
      <c r="B43" s="37" t="s">
        <v>2</v>
      </c>
      <c r="C43" s="328">
        <f>C4/'Overview 2016 (in)'!$O$7</f>
        <v>550</v>
      </c>
      <c r="D43" s="361">
        <v>445</v>
      </c>
      <c r="E43" s="110">
        <f>$D43*(1-$K43)^(E$42-$D$42)</f>
        <v>199.04963344344532</v>
      </c>
      <c r="F43" s="385">
        <v>141</v>
      </c>
      <c r="G43" s="110">
        <f>$F43*(1-$L43)^(G$42-$F$42)</f>
        <v>138.00291165715254</v>
      </c>
      <c r="H43" s="110">
        <f>$F43*(1-$L43)^(H$42-$F$42)</f>
        <v>130.78595004595371</v>
      </c>
      <c r="I43" s="385">
        <v>105.5</v>
      </c>
      <c r="J43" s="372" t="s">
        <v>247</v>
      </c>
      <c r="K43" s="312">
        <f>1-(F43/D43)^(1/(F$42-D$42))</f>
        <v>0.10857274120333937</v>
      </c>
      <c r="L43" s="95">
        <f>1-(I43/F43)^(1/(I$42-F$42))</f>
        <v>1.0685058080064036E-2</v>
      </c>
      <c r="M43" s="379" t="s">
        <v>257</v>
      </c>
      <c r="N43" s="379" t="s">
        <v>258</v>
      </c>
      <c r="O43" s="379"/>
      <c r="P43" s="379"/>
      <c r="Q43" s="379"/>
      <c r="R43" s="320"/>
      <c r="S43" s="320"/>
      <c r="T43" s="320"/>
      <c r="U43" s="320"/>
      <c r="V43" s="320"/>
      <c r="W43" s="320"/>
      <c r="X43" s="320"/>
      <c r="Y43" s="320"/>
      <c r="Z43" s="320"/>
      <c r="AA43" s="320"/>
      <c r="AB43" s="320"/>
    </row>
    <row r="44" spans="1:28" x14ac:dyDescent="0.2">
      <c r="B44" s="40" t="s">
        <v>3</v>
      </c>
      <c r="C44" s="328">
        <f>C5/'Overview 2016 (in)'!$O$7</f>
        <v>0</v>
      </c>
      <c r="D44" s="397">
        <v>160</v>
      </c>
      <c r="E44" s="123"/>
      <c r="F44" s="397">
        <v>72.5</v>
      </c>
      <c r="G44" s="123"/>
      <c r="H44" s="123"/>
      <c r="I44" s="397">
        <v>45</v>
      </c>
      <c r="J44" s="372" t="s">
        <v>248</v>
      </c>
      <c r="K44" s="312"/>
      <c r="L44" s="95"/>
      <c r="M44" s="379" t="s">
        <v>257</v>
      </c>
      <c r="N44" s="379"/>
      <c r="O44" s="379"/>
      <c r="P44" s="379"/>
      <c r="Q44" s="379"/>
      <c r="R44" s="320"/>
      <c r="S44" s="320"/>
      <c r="T44" s="320"/>
      <c r="U44" s="320"/>
      <c r="V44" s="320"/>
      <c r="W44" s="320"/>
      <c r="X44" s="320"/>
      <c r="Y44" s="320"/>
      <c r="Z44" s="320"/>
      <c r="AA44" s="320"/>
      <c r="AB44" s="320"/>
    </row>
    <row r="45" spans="1:28" x14ac:dyDescent="0.2">
      <c r="B45" s="37" t="s">
        <v>4</v>
      </c>
      <c r="C45" s="329">
        <f t="shared" ref="C45:C47" si="8">C6</f>
        <v>2500</v>
      </c>
      <c r="D45" s="362">
        <v>5000</v>
      </c>
      <c r="E45" s="111">
        <f>$D45*(1-$K45)^(E$42-$D$42)</f>
        <v>6327.9003196206622</v>
      </c>
      <c r="F45" s="386">
        <v>7000</v>
      </c>
      <c r="G45" s="111">
        <f t="shared" ref="G45:H47" si="9">$F45*(1-$L45)^(G$42-$F$42)</f>
        <v>7285.1338713304003</v>
      </c>
      <c r="H45" s="111">
        <f t="shared" si="9"/>
        <v>8049.8220257098674</v>
      </c>
      <c r="I45" s="403">
        <v>12000</v>
      </c>
      <c r="J45" s="320" t="s">
        <v>5</v>
      </c>
      <c r="K45" s="312">
        <f>1-(F45/D45)^(1/(F$42-D$42))</f>
        <v>-3.4219694129380196E-2</v>
      </c>
      <c r="L45" s="95">
        <f>1-(I45/F45)^(1/(I$42-F$42))</f>
        <v>-2.0163423275926462E-2</v>
      </c>
      <c r="M45" s="379" t="s">
        <v>257</v>
      </c>
      <c r="N45" s="379"/>
      <c r="O45" s="379"/>
      <c r="P45" s="379"/>
      <c r="Q45" s="379"/>
      <c r="R45" s="320"/>
      <c r="S45" s="320"/>
      <c r="T45" s="320"/>
      <c r="U45" s="320"/>
      <c r="V45" s="320"/>
      <c r="W45" s="320"/>
      <c r="X45" s="320"/>
      <c r="Y45" s="320"/>
      <c r="Z45" s="320"/>
      <c r="AA45" s="320"/>
      <c r="AB45" s="320"/>
    </row>
    <row r="46" spans="1:28" x14ac:dyDescent="0.2">
      <c r="B46" s="37" t="s">
        <v>6</v>
      </c>
      <c r="C46" s="329">
        <f t="shared" si="8"/>
        <v>12</v>
      </c>
      <c r="D46" s="362">
        <v>13</v>
      </c>
      <c r="E46" s="111">
        <f>$D46*(1-$K46)^(E$42-$D$42)</f>
        <v>15.685459678171382</v>
      </c>
      <c r="F46" s="405">
        <v>17</v>
      </c>
      <c r="G46" s="111">
        <f t="shared" si="9"/>
        <v>17.327793907858741</v>
      </c>
      <c r="H46" s="111">
        <f t="shared" si="9"/>
        <v>18.175198190909164</v>
      </c>
      <c r="I46" s="403">
        <v>22</v>
      </c>
      <c r="J46" s="320" t="s">
        <v>7</v>
      </c>
      <c r="K46" s="312">
        <f>1-(F46/D46)^(1/(F$42-D$42))</f>
        <v>-2.7189465815924629E-2</v>
      </c>
      <c r="L46" s="95">
        <f>1-(I46/F46)^(1/(I$42-F$42))</f>
        <v>-9.5949656074587608E-3</v>
      </c>
      <c r="M46" s="379" t="s">
        <v>257</v>
      </c>
      <c r="N46" s="379"/>
      <c r="O46" s="379"/>
      <c r="P46" s="379"/>
      <c r="Q46" s="379"/>
      <c r="R46" s="320"/>
      <c r="S46" s="320"/>
      <c r="T46" s="320"/>
      <c r="U46" s="320"/>
      <c r="V46" s="320"/>
      <c r="W46" s="320"/>
      <c r="X46" s="320"/>
      <c r="Y46" s="320"/>
      <c r="Z46" s="320"/>
      <c r="AA46" s="320"/>
      <c r="AB46" s="320"/>
    </row>
    <row r="47" spans="1:28" ht="16" thickBot="1" x14ac:dyDescent="0.25">
      <c r="B47" s="6" t="s">
        <v>8</v>
      </c>
      <c r="C47" s="336">
        <f t="shared" si="8"/>
        <v>92</v>
      </c>
      <c r="D47" s="400">
        <v>85.5</v>
      </c>
      <c r="E47" s="112">
        <f>$D47*(1-$K47)^(E$42-$D$42)</f>
        <v>86.547257639084734</v>
      </c>
      <c r="F47" s="404">
        <v>87</v>
      </c>
      <c r="G47" s="112">
        <f t="shared" si="9"/>
        <v>87.218751218274875</v>
      </c>
      <c r="H47" s="112">
        <f t="shared" si="9"/>
        <v>87.768038645537743</v>
      </c>
      <c r="I47" s="404">
        <v>90</v>
      </c>
      <c r="J47" s="7" t="s">
        <v>9</v>
      </c>
      <c r="K47" s="313">
        <f>1-(F47/D47)^(1/(F$42-D$42))</f>
        <v>-1.740687511895711E-3</v>
      </c>
      <c r="L47" s="309">
        <f>1-(I47/F47)^(1/(I$42-F$42))</f>
        <v>-1.2564016370888442E-3</v>
      </c>
      <c r="M47" s="379" t="s">
        <v>257</v>
      </c>
      <c r="N47" s="379" t="s">
        <v>259</v>
      </c>
      <c r="O47" s="379"/>
      <c r="P47" s="379"/>
      <c r="Q47" s="379"/>
      <c r="R47" s="320"/>
      <c r="S47" s="320"/>
      <c r="T47" s="320"/>
      <c r="U47" s="320"/>
      <c r="V47" s="320"/>
      <c r="W47" s="320"/>
      <c r="X47" s="320"/>
      <c r="Y47" s="320"/>
      <c r="Z47" s="320"/>
      <c r="AA47" s="320"/>
      <c r="AB47" s="320"/>
    </row>
    <row r="48" spans="1:28" ht="16" thickBot="1" x14ac:dyDescent="0.25">
      <c r="C48" s="213"/>
      <c r="D48" s="320"/>
      <c r="E48" s="320"/>
      <c r="F48" s="320"/>
      <c r="G48" s="320"/>
      <c r="H48" s="320"/>
      <c r="I48" s="320"/>
      <c r="J48" s="320"/>
      <c r="K48" s="312"/>
      <c r="L48" s="95"/>
      <c r="M48" s="379"/>
      <c r="N48" s="379"/>
      <c r="O48" s="379"/>
      <c r="P48" s="379"/>
      <c r="Q48" s="379"/>
      <c r="R48" s="320"/>
      <c r="S48" s="320"/>
      <c r="T48" s="320"/>
      <c r="U48" s="320"/>
      <c r="V48" s="320"/>
      <c r="W48" s="320"/>
      <c r="X48" s="320"/>
      <c r="Y48" s="320"/>
      <c r="Z48" s="320"/>
      <c r="AA48" s="320"/>
      <c r="AB48" s="320"/>
    </row>
    <row r="49" spans="1:28" x14ac:dyDescent="0.2">
      <c r="A49" s="65" t="s">
        <v>103</v>
      </c>
      <c r="B49" s="367"/>
      <c r="C49" s="49">
        <v>2016</v>
      </c>
      <c r="D49" s="360">
        <v>2014</v>
      </c>
      <c r="E49" s="38">
        <v>2017</v>
      </c>
      <c r="F49" s="62">
        <v>2020</v>
      </c>
      <c r="G49" s="62">
        <v>2025</v>
      </c>
      <c r="H49" s="62">
        <v>2030</v>
      </c>
      <c r="I49" s="38">
        <v>2050</v>
      </c>
      <c r="J49" s="38" t="s">
        <v>1</v>
      </c>
      <c r="K49" s="314"/>
      <c r="L49" s="310"/>
      <c r="M49" s="379"/>
      <c r="N49" s="379"/>
      <c r="O49" s="379"/>
      <c r="P49" s="379"/>
      <c r="Q49" s="379"/>
      <c r="R49" s="320"/>
      <c r="S49" s="320"/>
      <c r="T49" s="320"/>
      <c r="U49" s="320"/>
      <c r="V49" s="320"/>
      <c r="W49" s="320"/>
      <c r="X49" s="320"/>
      <c r="Y49" s="320"/>
      <c r="Z49" s="320"/>
      <c r="AA49" s="320"/>
      <c r="AB49" s="320"/>
    </row>
    <row r="50" spans="1:28" x14ac:dyDescent="0.2">
      <c r="A50" s="182"/>
      <c r="B50" s="37" t="s">
        <v>2</v>
      </c>
      <c r="C50" s="334">
        <f>C4</f>
        <v>577.5</v>
      </c>
      <c r="D50" s="388">
        <v>700</v>
      </c>
      <c r="E50" s="388">
        <v>430</v>
      </c>
      <c r="F50" s="389">
        <v>440</v>
      </c>
      <c r="G50" s="125">
        <f>$F50*(1-$L50)^(G$49-$F$49)</f>
        <v>298.82358627392756</v>
      </c>
      <c r="H50" s="125">
        <f>$F50*(1-$L50)^(H$49-$F$49)</f>
        <v>202.94439934911688</v>
      </c>
      <c r="I50" s="317"/>
      <c r="J50" s="320" t="s">
        <v>22</v>
      </c>
      <c r="K50" s="312">
        <f>1-(E50/D50)^(1/(E$49-D$49))</f>
        <v>0.14992585916110557</v>
      </c>
      <c r="L50" s="95">
        <f>1-(F50/D50)^(1/(F$49-D$49))</f>
        <v>7.4465867905422534E-2</v>
      </c>
      <c r="M50" s="379" t="s">
        <v>260</v>
      </c>
      <c r="N50" s="379"/>
      <c r="O50" s="379"/>
      <c r="P50" s="379"/>
      <c r="Q50" s="379"/>
      <c r="R50" s="320"/>
      <c r="S50" s="320"/>
      <c r="T50" s="320"/>
      <c r="U50" s="320"/>
      <c r="V50" s="320"/>
      <c r="W50" s="320"/>
      <c r="X50" s="320"/>
      <c r="Y50" s="320"/>
      <c r="Z50" s="320"/>
      <c r="AA50" s="320"/>
      <c r="AB50" s="320"/>
    </row>
    <row r="51" spans="1:28" x14ac:dyDescent="0.2">
      <c r="A51" s="182"/>
      <c r="B51" s="40" t="s">
        <v>3</v>
      </c>
      <c r="C51" s="334">
        <f t="shared" ref="C51:C54" si="10">C5</f>
        <v>0</v>
      </c>
      <c r="D51" s="160"/>
      <c r="E51" s="317"/>
      <c r="F51" s="392"/>
      <c r="G51" s="162"/>
      <c r="H51" s="162"/>
      <c r="I51" s="163"/>
      <c r="J51" s="320" t="s">
        <v>23</v>
      </c>
      <c r="K51" s="312"/>
      <c r="L51" s="95"/>
      <c r="M51" s="379"/>
      <c r="N51" s="379"/>
      <c r="O51" s="379"/>
      <c r="P51" s="379"/>
      <c r="Q51" s="379"/>
      <c r="R51" s="320"/>
      <c r="S51" s="320"/>
      <c r="T51" s="320"/>
      <c r="U51" s="320"/>
      <c r="V51" s="320"/>
      <c r="W51" s="320"/>
      <c r="X51" s="320"/>
      <c r="Y51" s="320"/>
      <c r="Z51" s="320"/>
      <c r="AA51" s="320"/>
      <c r="AB51" s="320"/>
    </row>
    <row r="52" spans="1:28" x14ac:dyDescent="0.2">
      <c r="A52" s="182"/>
      <c r="B52" s="37" t="s">
        <v>4</v>
      </c>
      <c r="C52" s="334">
        <f t="shared" si="10"/>
        <v>2500</v>
      </c>
      <c r="D52" s="160"/>
      <c r="E52" s="163"/>
      <c r="F52" s="124"/>
      <c r="G52" s="124"/>
      <c r="H52" s="124"/>
      <c r="I52" s="89"/>
      <c r="J52" s="320" t="s">
        <v>5</v>
      </c>
      <c r="K52" s="312"/>
      <c r="L52" s="95"/>
      <c r="M52" s="379"/>
      <c r="N52" s="379"/>
      <c r="O52" s="379"/>
      <c r="P52" s="379"/>
      <c r="Q52" s="379"/>
      <c r="R52" s="320"/>
      <c r="S52" s="320"/>
      <c r="T52" s="320"/>
      <c r="U52" s="320"/>
      <c r="V52" s="320"/>
      <c r="W52" s="320"/>
      <c r="X52" s="320"/>
      <c r="Y52" s="320"/>
      <c r="Z52" s="320"/>
      <c r="AA52" s="320"/>
      <c r="AB52" s="320"/>
    </row>
    <row r="53" spans="1:28" x14ac:dyDescent="0.2">
      <c r="A53" s="182"/>
      <c r="B53" s="37" t="s">
        <v>6</v>
      </c>
      <c r="C53" s="334">
        <f t="shared" si="10"/>
        <v>12</v>
      </c>
      <c r="D53" s="160"/>
      <c r="E53" s="163"/>
      <c r="F53" s="124"/>
      <c r="G53" s="124"/>
      <c r="H53" s="124"/>
      <c r="I53" s="88"/>
      <c r="J53" s="320" t="s">
        <v>7</v>
      </c>
      <c r="K53" s="312"/>
      <c r="L53" s="95"/>
      <c r="M53" s="379"/>
      <c r="N53" s="379"/>
      <c r="O53" s="379"/>
      <c r="P53" s="379"/>
      <c r="Q53" s="379"/>
      <c r="R53" s="320"/>
      <c r="S53" s="320"/>
      <c r="T53" s="320"/>
      <c r="U53" s="320"/>
      <c r="V53" s="320"/>
      <c r="W53" s="320"/>
      <c r="X53" s="320"/>
      <c r="Y53" s="320"/>
      <c r="Z53" s="320"/>
      <c r="AA53" s="320"/>
      <c r="AB53" s="320"/>
    </row>
    <row r="54" spans="1:28" ht="16" thickBot="1" x14ac:dyDescent="0.25">
      <c r="A54" s="182"/>
      <c r="B54" s="6" t="s">
        <v>8</v>
      </c>
      <c r="C54" s="335">
        <f t="shared" si="10"/>
        <v>92</v>
      </c>
      <c r="D54" s="183"/>
      <c r="E54" s="318"/>
      <c r="F54" s="130"/>
      <c r="G54" s="130"/>
      <c r="H54" s="130"/>
      <c r="I54" s="90"/>
      <c r="J54" s="7" t="s">
        <v>9</v>
      </c>
      <c r="K54" s="313"/>
      <c r="L54" s="309"/>
      <c r="M54" s="379"/>
      <c r="N54" s="379"/>
      <c r="O54" s="379"/>
      <c r="P54" s="379"/>
      <c r="Q54" s="379"/>
      <c r="R54" s="320"/>
      <c r="S54" s="320"/>
      <c r="T54" s="320"/>
      <c r="U54" s="320"/>
      <c r="V54" s="320"/>
      <c r="W54" s="320"/>
      <c r="X54" s="320"/>
      <c r="Y54" s="320"/>
      <c r="Z54" s="320"/>
      <c r="AA54" s="320"/>
      <c r="AB54" s="320"/>
    </row>
    <row r="55" spans="1:28" x14ac:dyDescent="0.2">
      <c r="D55" s="320"/>
      <c r="E55" s="320"/>
      <c r="F55" s="320"/>
      <c r="G55" s="320"/>
      <c r="H55" s="320"/>
      <c r="I55" s="320"/>
      <c r="J55" s="320"/>
      <c r="K55" s="320"/>
      <c r="L55" s="320"/>
      <c r="M55" s="320"/>
      <c r="N55" s="320"/>
      <c r="O55" s="320"/>
      <c r="P55" s="320"/>
      <c r="Q55" s="320"/>
      <c r="R55" s="320"/>
      <c r="S55" s="320"/>
      <c r="T55" s="320"/>
      <c r="U55" s="320"/>
      <c r="V55" s="320"/>
      <c r="W55" s="320"/>
      <c r="X55" s="320"/>
      <c r="Y55" s="320"/>
      <c r="Z55" s="320"/>
      <c r="AA55" s="320"/>
      <c r="AB55" s="320"/>
    </row>
    <row r="56" spans="1:28" x14ac:dyDescent="0.2">
      <c r="A56" s="308"/>
      <c r="B56" s="308"/>
      <c r="C56" s="308"/>
      <c r="D56" s="408" t="s">
        <v>262</v>
      </c>
      <c r="E56" s="408" t="s">
        <v>263</v>
      </c>
      <c r="F56" s="408" t="s">
        <v>264</v>
      </c>
      <c r="G56" s="408" t="s">
        <v>265</v>
      </c>
      <c r="H56" s="320"/>
      <c r="I56" s="320"/>
      <c r="J56" s="320"/>
      <c r="K56" s="320"/>
      <c r="L56" s="320"/>
      <c r="M56" s="320"/>
      <c r="N56" s="320"/>
      <c r="O56" s="320"/>
      <c r="P56" s="320"/>
      <c r="Q56" s="320"/>
      <c r="R56" s="320"/>
      <c r="S56" s="320"/>
      <c r="T56" s="320"/>
      <c r="U56" s="320"/>
      <c r="V56" s="320"/>
      <c r="W56" s="320"/>
      <c r="X56" s="320"/>
      <c r="Y56" s="320"/>
      <c r="Z56" s="320"/>
      <c r="AA56" s="320"/>
      <c r="AB56" s="320"/>
    </row>
    <row r="57" spans="1:28" x14ac:dyDescent="0.2">
      <c r="A57" s="308"/>
      <c r="B57" s="308"/>
      <c r="C57" s="308"/>
      <c r="D57" s="406">
        <f>H22/D22</f>
        <v>0.40909090909090912</v>
      </c>
      <c r="E57" s="406">
        <f>H24/D24</f>
        <v>2.1666666666666665</v>
      </c>
      <c r="F57" s="406">
        <f>H25/D25</f>
        <v>1.6</v>
      </c>
      <c r="G57" s="406">
        <f>H26/D26</f>
        <v>1.0473372781065089</v>
      </c>
      <c r="H57" s="320"/>
      <c r="I57" s="320"/>
      <c r="J57" s="320"/>
      <c r="K57" s="320"/>
      <c r="L57" s="320"/>
      <c r="M57" s="320"/>
      <c r="N57" s="320"/>
      <c r="O57" s="320"/>
      <c r="P57" s="320"/>
      <c r="Q57" s="320"/>
      <c r="R57" s="320"/>
      <c r="S57" s="320"/>
      <c r="T57" s="320"/>
      <c r="U57" s="320"/>
      <c r="V57" s="320"/>
      <c r="W57" s="320"/>
      <c r="X57" s="320"/>
      <c r="Y57" s="320"/>
      <c r="Z57" s="320"/>
      <c r="AA57" s="320"/>
      <c r="AB57" s="320"/>
    </row>
    <row r="58" spans="1:28" x14ac:dyDescent="0.2">
      <c r="A58" s="308"/>
      <c r="B58" s="308"/>
      <c r="C58" s="308"/>
      <c r="D58" s="406">
        <f>H29/D29</f>
        <v>0.53751502627270642</v>
      </c>
      <c r="E58" s="406">
        <f>H32/D32</f>
        <v>1.5288579244040035</v>
      </c>
      <c r="F58" s="406">
        <f>H32/D32</f>
        <v>1.5288579244040035</v>
      </c>
      <c r="G58" s="406">
        <f>H33/D33</f>
        <v>1</v>
      </c>
      <c r="H58" s="320"/>
      <c r="I58" s="320"/>
      <c r="J58" s="320"/>
      <c r="K58" s="320"/>
      <c r="L58" s="320"/>
      <c r="M58" s="320"/>
      <c r="N58" s="320"/>
      <c r="O58" s="320"/>
      <c r="P58" s="320"/>
      <c r="Q58" s="320"/>
      <c r="R58" s="320"/>
      <c r="S58" s="320"/>
      <c r="T58" s="320"/>
      <c r="U58" s="320"/>
      <c r="V58" s="320"/>
      <c r="W58" s="320"/>
      <c r="X58" s="320"/>
      <c r="Y58" s="320"/>
      <c r="Z58" s="320"/>
      <c r="AA58" s="320"/>
      <c r="AB58" s="320"/>
    </row>
    <row r="59" spans="1:28" x14ac:dyDescent="0.2">
      <c r="A59" s="308"/>
      <c r="B59" s="308"/>
      <c r="C59" s="308"/>
      <c r="D59" s="406">
        <f>H36/D36</f>
        <v>0.40984405458089662</v>
      </c>
      <c r="E59" s="406">
        <f>H38/D38</f>
        <v>2.3333333333333335</v>
      </c>
      <c r="F59" s="406">
        <f>H39/D39</f>
        <v>1.6</v>
      </c>
      <c r="G59" s="406">
        <f>H40/D40</f>
        <v>1</v>
      </c>
      <c r="H59" s="320"/>
      <c r="I59" s="320"/>
      <c r="J59" s="320"/>
      <c r="K59" s="320"/>
      <c r="L59" s="320"/>
      <c r="M59" s="320"/>
      <c r="N59" s="320"/>
      <c r="O59" s="320"/>
      <c r="P59" s="320"/>
      <c r="Q59" s="320"/>
      <c r="R59" s="320"/>
      <c r="S59" s="320"/>
      <c r="T59" s="320"/>
      <c r="U59" s="320"/>
      <c r="V59" s="320"/>
      <c r="W59" s="320"/>
      <c r="X59" s="320"/>
      <c r="Y59" s="320"/>
      <c r="Z59" s="320"/>
      <c r="AA59" s="320"/>
      <c r="AB59" s="320"/>
    </row>
    <row r="60" spans="1:28" x14ac:dyDescent="0.2">
      <c r="A60" s="308"/>
      <c r="B60" s="308"/>
      <c r="C60" s="308"/>
      <c r="D60" s="406">
        <f>H43/D43</f>
        <v>0.29390101133922181</v>
      </c>
      <c r="E60" s="406">
        <f>H45/D45</f>
        <v>1.6099644051419735</v>
      </c>
      <c r="F60" s="406">
        <f>H46/D46</f>
        <v>1.3980921685314742</v>
      </c>
      <c r="G60" s="406">
        <f>H47/D47</f>
        <v>1.0265267677840673</v>
      </c>
      <c r="H60" s="320"/>
      <c r="I60" s="320"/>
      <c r="J60" s="320"/>
      <c r="K60" s="320"/>
      <c r="L60" s="320"/>
      <c r="M60" s="320"/>
      <c r="N60" s="320"/>
      <c r="O60" s="320"/>
      <c r="P60" s="320"/>
      <c r="Q60" s="320"/>
      <c r="R60" s="320"/>
      <c r="S60" s="320"/>
      <c r="T60" s="320"/>
      <c r="U60" s="320"/>
      <c r="V60" s="320"/>
      <c r="W60" s="320"/>
      <c r="X60" s="320"/>
      <c r="Y60" s="320"/>
      <c r="Z60" s="320"/>
      <c r="AA60" s="320"/>
      <c r="AB60" s="320"/>
    </row>
    <row r="61" spans="1:28" x14ac:dyDescent="0.2">
      <c r="A61" s="308"/>
      <c r="B61" s="308"/>
      <c r="C61" s="308"/>
      <c r="D61" s="406">
        <f>H50/D50</f>
        <v>0.28992057049873837</v>
      </c>
      <c r="E61" s="406"/>
      <c r="F61" s="406"/>
      <c r="G61" s="406"/>
      <c r="H61" s="320"/>
      <c r="I61" s="320"/>
      <c r="J61" s="320"/>
      <c r="K61" s="320"/>
      <c r="L61" s="320"/>
      <c r="M61" s="320"/>
      <c r="N61" s="320"/>
      <c r="O61" s="320"/>
      <c r="P61" s="320"/>
      <c r="Q61" s="320"/>
      <c r="R61" s="320"/>
      <c r="S61" s="320"/>
      <c r="T61" s="320"/>
      <c r="U61" s="320"/>
      <c r="V61" s="320"/>
      <c r="W61" s="320"/>
      <c r="X61" s="320"/>
      <c r="Y61" s="320"/>
      <c r="Z61" s="320"/>
      <c r="AA61" s="320"/>
      <c r="AB61" s="320"/>
    </row>
    <row r="62" spans="1:28" x14ac:dyDescent="0.2">
      <c r="A62" s="308"/>
      <c r="B62" s="308"/>
      <c r="C62" s="308"/>
      <c r="D62" s="408" t="s">
        <v>261</v>
      </c>
      <c r="E62" s="408" t="s">
        <v>261</v>
      </c>
      <c r="F62" s="408" t="s">
        <v>261</v>
      </c>
      <c r="G62" s="408" t="s">
        <v>261</v>
      </c>
      <c r="H62" s="320"/>
      <c r="I62" s="320"/>
      <c r="J62" s="320"/>
      <c r="K62" s="320"/>
      <c r="L62" s="320"/>
      <c r="M62" s="320"/>
      <c r="N62" s="320"/>
      <c r="O62" s="320"/>
      <c r="P62" s="320"/>
      <c r="Q62" s="320"/>
      <c r="R62" s="320"/>
      <c r="S62" s="320"/>
      <c r="T62" s="320"/>
      <c r="U62" s="320"/>
      <c r="V62" s="320"/>
      <c r="W62" s="320"/>
      <c r="X62" s="320"/>
      <c r="Y62" s="320"/>
      <c r="Z62" s="320"/>
      <c r="AA62" s="320"/>
      <c r="AB62" s="320"/>
    </row>
    <row r="63" spans="1:28" x14ac:dyDescent="0.2">
      <c r="A63" s="308"/>
      <c r="B63" s="308"/>
      <c r="C63" s="308"/>
      <c r="D63" s="406">
        <f>AVERAGE(D57:D61)</f>
        <v>0.38805431435649446</v>
      </c>
      <c r="E63" s="406">
        <f t="shared" ref="E63:G63" si="11">AVERAGE(E57:E60)</f>
        <v>1.9097055823864943</v>
      </c>
      <c r="F63" s="406">
        <f t="shared" si="11"/>
        <v>1.5317375232338695</v>
      </c>
      <c r="G63" s="406">
        <f t="shared" si="11"/>
        <v>1.018466011472644</v>
      </c>
      <c r="H63" s="320"/>
      <c r="I63" s="320"/>
      <c r="J63" s="320"/>
      <c r="K63" s="320"/>
      <c r="L63" s="320"/>
      <c r="M63" s="320"/>
      <c r="N63" s="320"/>
      <c r="O63" s="320"/>
      <c r="P63" s="320"/>
      <c r="Q63" s="320"/>
      <c r="R63" s="320"/>
      <c r="S63" s="320"/>
      <c r="T63" s="320"/>
      <c r="U63" s="320"/>
      <c r="V63" s="320"/>
      <c r="W63" s="320"/>
      <c r="X63" s="320"/>
      <c r="Y63" s="320"/>
      <c r="Z63" s="320"/>
      <c r="AA63" s="320"/>
      <c r="AB63" s="320"/>
    </row>
    <row r="64" spans="1:28" x14ac:dyDescent="0.2">
      <c r="A64" s="308"/>
      <c r="B64" s="308"/>
      <c r="C64" s="308"/>
      <c r="D64" s="320"/>
      <c r="E64" s="320"/>
      <c r="F64" s="320"/>
      <c r="G64" s="320"/>
      <c r="H64" s="320"/>
      <c r="I64" s="320"/>
      <c r="J64" s="320"/>
      <c r="K64" s="320"/>
      <c r="L64" s="320"/>
      <c r="M64" s="320"/>
      <c r="N64" s="320"/>
      <c r="O64" s="320"/>
      <c r="P64" s="320"/>
      <c r="Q64" s="320"/>
      <c r="R64" s="320"/>
      <c r="S64" s="320"/>
      <c r="T64" s="320"/>
      <c r="U64" s="320"/>
      <c r="V64" s="320"/>
      <c r="W64" s="320"/>
      <c r="X64" s="320"/>
      <c r="Y64" s="320"/>
      <c r="Z64" s="320"/>
      <c r="AA64" s="320"/>
      <c r="AB64" s="320"/>
    </row>
    <row r="65" spans="1:28" x14ac:dyDescent="0.2">
      <c r="A65" s="308"/>
      <c r="B65" s="308"/>
      <c r="C65" s="308"/>
      <c r="D65" s="320"/>
      <c r="E65" s="320"/>
      <c r="F65" s="320"/>
      <c r="G65" s="320"/>
      <c r="H65" s="320"/>
      <c r="I65" s="320"/>
      <c r="J65" s="320"/>
      <c r="K65" s="320"/>
      <c r="L65" s="320"/>
      <c r="M65" s="320"/>
      <c r="N65" s="320"/>
      <c r="O65" s="320"/>
      <c r="P65" s="320"/>
      <c r="Q65" s="320"/>
      <c r="R65" s="320"/>
      <c r="S65" s="320"/>
      <c r="T65" s="320"/>
      <c r="U65" s="320"/>
      <c r="V65" s="320"/>
      <c r="W65" s="320"/>
      <c r="X65" s="320"/>
      <c r="Y65" s="320"/>
      <c r="Z65" s="320"/>
      <c r="AA65" s="320"/>
      <c r="AB65" s="320"/>
    </row>
    <row r="66" spans="1:28" x14ac:dyDescent="0.2">
      <c r="A66" s="308"/>
      <c r="B66" s="308"/>
      <c r="C66" s="308"/>
      <c r="D66" s="320"/>
      <c r="E66" s="320"/>
      <c r="F66" s="320"/>
      <c r="G66" s="320"/>
      <c r="H66" s="320"/>
      <c r="I66" s="320"/>
      <c r="J66" s="320"/>
      <c r="K66" s="320"/>
      <c r="L66" s="320"/>
      <c r="M66" s="320"/>
      <c r="N66" s="320"/>
      <c r="O66" s="320"/>
      <c r="P66" s="320"/>
      <c r="Q66" s="320"/>
      <c r="R66" s="320"/>
      <c r="S66" s="320"/>
      <c r="T66" s="320"/>
      <c r="U66" s="320"/>
      <c r="V66" s="320"/>
      <c r="W66" s="320"/>
      <c r="X66" s="320"/>
      <c r="Y66" s="320"/>
      <c r="Z66" s="320"/>
      <c r="AA66" s="320"/>
      <c r="AB66" s="320"/>
    </row>
    <row r="67" spans="1:28" x14ac:dyDescent="0.2">
      <c r="A67" s="308"/>
      <c r="B67" s="308"/>
      <c r="C67" s="308"/>
      <c r="D67" s="320"/>
      <c r="E67" s="320"/>
      <c r="F67" s="320"/>
      <c r="G67" s="320"/>
      <c r="H67" s="320"/>
      <c r="I67" s="320"/>
      <c r="J67" s="320"/>
      <c r="K67" s="320"/>
      <c r="L67" s="320"/>
      <c r="M67" s="320"/>
      <c r="N67" s="320"/>
      <c r="O67" s="320"/>
      <c r="P67" s="320"/>
      <c r="Q67" s="320"/>
      <c r="R67" s="320"/>
      <c r="S67" s="320"/>
      <c r="T67" s="320"/>
      <c r="U67" s="320"/>
      <c r="V67" s="320"/>
      <c r="W67" s="320"/>
      <c r="X67" s="320"/>
      <c r="Y67" s="320"/>
      <c r="Z67" s="320"/>
      <c r="AA67" s="320"/>
      <c r="AB67" s="320"/>
    </row>
    <row r="68" spans="1:28" x14ac:dyDescent="0.2">
      <c r="A68" s="308"/>
      <c r="B68" s="308"/>
      <c r="C68" s="308"/>
      <c r="D68" s="320"/>
      <c r="E68" s="320"/>
      <c r="F68" s="320"/>
      <c r="G68" s="320"/>
      <c r="H68" s="320"/>
      <c r="I68" s="320"/>
      <c r="J68" s="320"/>
      <c r="K68" s="320"/>
      <c r="L68" s="320"/>
      <c r="M68" s="320"/>
      <c r="N68" s="320"/>
      <c r="O68" s="320"/>
      <c r="P68" s="320"/>
      <c r="Q68" s="320"/>
      <c r="R68" s="320"/>
      <c r="S68" s="320"/>
      <c r="T68" s="320"/>
      <c r="U68" s="320"/>
      <c r="V68" s="320"/>
      <c r="W68" s="320"/>
      <c r="X68" s="320"/>
      <c r="Y68" s="320"/>
      <c r="Z68" s="320"/>
      <c r="AA68" s="320"/>
      <c r="AB68" s="320"/>
    </row>
    <row r="69" spans="1:28" x14ac:dyDescent="0.2">
      <c r="A69" s="308"/>
      <c r="B69" s="308"/>
      <c r="C69" s="308"/>
      <c r="D69" s="320"/>
      <c r="E69" s="320"/>
      <c r="F69" s="320"/>
      <c r="G69" s="320"/>
      <c r="H69" s="320"/>
      <c r="I69" s="320"/>
      <c r="J69" s="320"/>
      <c r="K69" s="320"/>
      <c r="L69" s="320"/>
      <c r="M69" s="320"/>
      <c r="N69" s="320"/>
      <c r="O69" s="320"/>
      <c r="P69" s="320"/>
      <c r="Q69" s="320"/>
      <c r="R69" s="320"/>
      <c r="S69" s="320"/>
      <c r="T69" s="320"/>
      <c r="U69" s="320"/>
      <c r="V69" s="320"/>
      <c r="W69" s="320"/>
      <c r="X69" s="320"/>
      <c r="Y69" s="320"/>
      <c r="Z69" s="320"/>
      <c r="AA69" s="320"/>
      <c r="AB69" s="320"/>
    </row>
    <row r="70" spans="1:28" x14ac:dyDescent="0.2">
      <c r="A70" s="308"/>
      <c r="B70" s="308"/>
      <c r="C70" s="308"/>
      <c r="D70" s="320"/>
      <c r="E70" s="320"/>
      <c r="F70" s="320"/>
      <c r="G70" s="320"/>
      <c r="H70" s="320"/>
      <c r="I70" s="320"/>
      <c r="J70" s="320"/>
      <c r="K70" s="320"/>
      <c r="L70" s="320"/>
      <c r="M70" s="320"/>
      <c r="N70" s="320"/>
      <c r="O70" s="320"/>
      <c r="P70" s="320"/>
      <c r="Q70" s="320"/>
      <c r="R70" s="320"/>
      <c r="S70" s="320"/>
      <c r="T70" s="320"/>
      <c r="U70" s="320"/>
      <c r="V70" s="320"/>
      <c r="W70" s="320"/>
      <c r="X70" s="320"/>
      <c r="Y70" s="320"/>
      <c r="Z70" s="320"/>
      <c r="AA70" s="320"/>
      <c r="AB70" s="320"/>
    </row>
    <row r="71" spans="1:28" x14ac:dyDescent="0.2">
      <c r="A71" s="308"/>
      <c r="B71" s="308"/>
      <c r="C71" s="308"/>
      <c r="D71" s="320"/>
      <c r="E71" s="320"/>
      <c r="F71" s="320"/>
      <c r="G71" s="320"/>
      <c r="H71" s="320"/>
      <c r="I71" s="320"/>
      <c r="J71" s="320"/>
      <c r="K71" s="320"/>
      <c r="L71" s="320"/>
      <c r="M71" s="320"/>
      <c r="N71" s="320"/>
      <c r="O71" s="320"/>
      <c r="P71" s="320"/>
      <c r="Q71" s="320"/>
      <c r="R71" s="320"/>
      <c r="S71" s="320"/>
      <c r="T71" s="320"/>
      <c r="U71" s="320"/>
      <c r="V71" s="320"/>
      <c r="W71" s="320"/>
      <c r="X71" s="320"/>
      <c r="Y71" s="320"/>
      <c r="Z71" s="320"/>
      <c r="AA71" s="320"/>
      <c r="AB71" s="320"/>
    </row>
    <row r="72" spans="1:28" x14ac:dyDescent="0.2">
      <c r="A72" s="308"/>
      <c r="B72" s="308"/>
      <c r="C72" s="308"/>
      <c r="D72" s="320"/>
      <c r="E72" s="320"/>
      <c r="F72" s="320"/>
      <c r="G72" s="320"/>
      <c r="H72" s="320"/>
      <c r="I72" s="320"/>
      <c r="J72" s="320"/>
      <c r="K72" s="320"/>
      <c r="L72" s="320"/>
      <c r="M72" s="320"/>
      <c r="N72" s="320"/>
      <c r="O72" s="320"/>
      <c r="P72" s="320"/>
      <c r="Q72" s="320"/>
      <c r="R72" s="320"/>
      <c r="S72" s="320"/>
      <c r="T72" s="320"/>
      <c r="U72" s="320"/>
      <c r="V72" s="320"/>
      <c r="W72" s="320"/>
      <c r="X72" s="320"/>
      <c r="Y72" s="320"/>
      <c r="Z72" s="320"/>
      <c r="AA72" s="320"/>
      <c r="AB72" s="320"/>
    </row>
    <row r="73" spans="1:28" x14ac:dyDescent="0.2">
      <c r="A73" s="308"/>
      <c r="B73" s="308"/>
      <c r="C73" s="308"/>
      <c r="D73" s="320"/>
      <c r="E73" s="320"/>
      <c r="F73" s="320"/>
      <c r="G73" s="320"/>
      <c r="H73" s="320"/>
      <c r="I73" s="320"/>
      <c r="J73" s="320"/>
      <c r="K73" s="320"/>
      <c r="L73" s="320"/>
      <c r="M73" s="320"/>
      <c r="N73" s="320"/>
      <c r="O73" s="320"/>
      <c r="P73" s="320"/>
      <c r="Q73" s="320"/>
      <c r="R73" s="320"/>
      <c r="S73" s="320"/>
      <c r="T73" s="320"/>
      <c r="U73" s="320"/>
      <c r="V73" s="320"/>
      <c r="W73" s="320"/>
      <c r="X73" s="320"/>
      <c r="Y73" s="320"/>
      <c r="Z73" s="320"/>
      <c r="AA73" s="320"/>
      <c r="AB73" s="320"/>
    </row>
    <row r="74" spans="1:28" x14ac:dyDescent="0.2">
      <c r="A74" s="308"/>
      <c r="B74" s="308"/>
      <c r="C74" s="308"/>
      <c r="D74" s="320"/>
      <c r="E74" s="320"/>
      <c r="F74" s="320"/>
      <c r="G74" s="320"/>
      <c r="H74" s="320"/>
      <c r="I74" s="320"/>
      <c r="J74" s="320"/>
      <c r="K74" s="320"/>
      <c r="L74" s="320"/>
      <c r="M74" s="320"/>
      <c r="N74" s="320"/>
      <c r="O74" s="320"/>
      <c r="P74" s="320"/>
      <c r="Q74" s="320"/>
      <c r="R74" s="320"/>
      <c r="S74" s="320"/>
      <c r="T74" s="320"/>
      <c r="U74" s="320"/>
      <c r="V74" s="320"/>
      <c r="W74" s="320"/>
      <c r="X74" s="320"/>
      <c r="Y74" s="320"/>
      <c r="Z74" s="320"/>
      <c r="AA74" s="320"/>
      <c r="AB74" s="320"/>
    </row>
    <row r="75" spans="1:28" x14ac:dyDescent="0.2">
      <c r="A75" s="308"/>
      <c r="B75" s="308"/>
      <c r="C75" s="308"/>
      <c r="D75" s="320"/>
      <c r="E75" s="320"/>
      <c r="F75" s="320"/>
      <c r="G75" s="320"/>
      <c r="H75" s="320"/>
      <c r="I75" s="320"/>
      <c r="J75" s="320"/>
      <c r="K75" s="320"/>
      <c r="L75" s="320"/>
      <c r="M75" s="320"/>
      <c r="N75" s="320"/>
      <c r="O75" s="320"/>
      <c r="P75" s="320"/>
      <c r="Q75" s="320"/>
      <c r="R75" s="320"/>
      <c r="S75" s="320"/>
      <c r="T75" s="320"/>
      <c r="U75" s="320"/>
      <c r="V75" s="320"/>
      <c r="W75" s="320"/>
      <c r="X75" s="320"/>
      <c r="Y75" s="320"/>
      <c r="Z75" s="320"/>
      <c r="AA75" s="320"/>
      <c r="AB75" s="320"/>
    </row>
    <row r="76" spans="1:28" x14ac:dyDescent="0.2">
      <c r="A76" s="308"/>
      <c r="B76" s="308"/>
      <c r="C76" s="308"/>
      <c r="D76" s="320"/>
      <c r="E76" s="320"/>
      <c r="F76" s="320"/>
      <c r="G76" s="320"/>
      <c r="H76" s="320"/>
      <c r="I76" s="320"/>
      <c r="J76" s="320"/>
      <c r="K76" s="320"/>
      <c r="L76" s="320"/>
      <c r="M76" s="320"/>
      <c r="N76" s="320"/>
      <c r="O76" s="320"/>
      <c r="P76" s="320"/>
      <c r="Q76" s="320"/>
      <c r="R76" s="320"/>
      <c r="S76" s="320"/>
      <c r="T76" s="320"/>
      <c r="U76" s="320"/>
      <c r="V76" s="320"/>
      <c r="W76" s="320"/>
      <c r="X76" s="320"/>
      <c r="Y76" s="320"/>
      <c r="Z76" s="320"/>
      <c r="AA76" s="320"/>
      <c r="AB76" s="320"/>
    </row>
    <row r="77" spans="1:28" x14ac:dyDescent="0.2">
      <c r="A77" s="308"/>
      <c r="B77" s="308"/>
      <c r="C77" s="308"/>
      <c r="D77" s="320"/>
      <c r="E77" s="320"/>
      <c r="F77" s="320"/>
      <c r="G77" s="320"/>
      <c r="H77" s="320"/>
      <c r="I77" s="320"/>
      <c r="J77" s="320"/>
      <c r="K77" s="320"/>
      <c r="L77" s="320"/>
      <c r="M77" s="320"/>
      <c r="N77" s="320"/>
      <c r="O77" s="320"/>
      <c r="P77" s="320"/>
      <c r="Q77" s="320"/>
      <c r="R77" s="320"/>
      <c r="S77" s="320"/>
      <c r="T77" s="320"/>
      <c r="U77" s="320"/>
      <c r="V77" s="320"/>
      <c r="W77" s="320"/>
      <c r="X77" s="320"/>
      <c r="Y77" s="320"/>
      <c r="Z77" s="320"/>
      <c r="AA77" s="320"/>
      <c r="AB77" s="320"/>
    </row>
    <row r="78" spans="1:28" x14ac:dyDescent="0.2">
      <c r="A78" s="308"/>
      <c r="B78" s="308"/>
      <c r="C78" s="308"/>
      <c r="D78" s="320"/>
      <c r="E78" s="320"/>
      <c r="F78" s="320"/>
      <c r="G78" s="320"/>
      <c r="H78" s="320"/>
      <c r="I78" s="320"/>
      <c r="J78" s="320"/>
      <c r="K78" s="320"/>
      <c r="L78" s="320"/>
      <c r="M78" s="320"/>
      <c r="N78" s="320"/>
      <c r="O78" s="320"/>
      <c r="P78" s="320"/>
      <c r="Q78" s="320"/>
      <c r="R78" s="320"/>
      <c r="S78" s="320"/>
      <c r="T78" s="320"/>
      <c r="U78" s="320"/>
      <c r="V78" s="320"/>
      <c r="W78" s="320"/>
      <c r="X78" s="320"/>
      <c r="Y78" s="320"/>
      <c r="Z78" s="320"/>
      <c r="AA78" s="320"/>
      <c r="AB78" s="320"/>
    </row>
    <row r="79" spans="1:28" x14ac:dyDescent="0.2">
      <c r="A79" s="308"/>
      <c r="B79" s="308"/>
      <c r="C79" s="308"/>
      <c r="D79" s="320"/>
      <c r="E79" s="320"/>
      <c r="F79" s="320"/>
      <c r="G79" s="320"/>
      <c r="H79" s="320"/>
      <c r="I79" s="320"/>
      <c r="J79" s="320"/>
      <c r="K79" s="320"/>
      <c r="L79" s="320"/>
      <c r="M79" s="320"/>
      <c r="N79" s="320"/>
      <c r="O79" s="320"/>
      <c r="P79" s="320"/>
      <c r="Q79" s="320"/>
      <c r="R79" s="320"/>
      <c r="S79" s="320"/>
      <c r="T79" s="320"/>
      <c r="U79" s="320"/>
      <c r="V79" s="320"/>
      <c r="W79" s="320"/>
      <c r="X79" s="320"/>
      <c r="Y79" s="320"/>
      <c r="Z79" s="320"/>
      <c r="AA79" s="320"/>
      <c r="AB79" s="320"/>
    </row>
    <row r="80" spans="1:28" x14ac:dyDescent="0.2">
      <c r="A80" s="308"/>
      <c r="B80" s="308"/>
      <c r="C80" s="308"/>
      <c r="D80" s="320"/>
      <c r="E80" s="320"/>
      <c r="F80" s="320"/>
      <c r="G80" s="320"/>
      <c r="H80" s="320"/>
      <c r="I80" s="320"/>
      <c r="J80" s="320"/>
      <c r="K80" s="320"/>
      <c r="L80" s="320"/>
      <c r="M80" s="320"/>
      <c r="N80" s="320"/>
      <c r="O80" s="320"/>
      <c r="P80" s="320"/>
      <c r="Q80" s="320"/>
      <c r="R80" s="320"/>
      <c r="S80" s="320"/>
      <c r="T80" s="320"/>
      <c r="U80" s="320"/>
      <c r="V80" s="320"/>
      <c r="W80" s="320"/>
      <c r="X80" s="320"/>
      <c r="Y80" s="320"/>
      <c r="Z80" s="320"/>
      <c r="AA80" s="320"/>
      <c r="AB80" s="320"/>
    </row>
    <row r="81" spans="1:28" x14ac:dyDescent="0.2">
      <c r="A81" s="308"/>
      <c r="B81" s="308"/>
      <c r="C81" s="308"/>
      <c r="D81" s="320"/>
      <c r="E81" s="320"/>
      <c r="F81" s="320"/>
      <c r="G81" s="320"/>
      <c r="H81" s="320"/>
      <c r="I81" s="320"/>
      <c r="J81" s="320"/>
      <c r="K81" s="320"/>
      <c r="L81" s="320"/>
      <c r="M81" s="320"/>
      <c r="N81" s="320"/>
      <c r="O81" s="320"/>
      <c r="P81" s="320"/>
      <c r="Q81" s="320"/>
      <c r="R81" s="320"/>
      <c r="S81" s="320"/>
      <c r="T81" s="320"/>
      <c r="U81" s="320"/>
      <c r="V81" s="320"/>
      <c r="W81" s="320"/>
      <c r="X81" s="320"/>
      <c r="Y81" s="320"/>
      <c r="Z81" s="320"/>
      <c r="AA81" s="320"/>
      <c r="AB81" s="320"/>
    </row>
    <row r="82" spans="1:28" x14ac:dyDescent="0.2">
      <c r="A82" s="308"/>
      <c r="B82" s="308"/>
      <c r="C82" s="308"/>
      <c r="D82" s="308"/>
      <c r="E82" s="308"/>
      <c r="F82" s="308"/>
      <c r="G82" s="308"/>
      <c r="H82" s="308"/>
      <c r="I82" s="308"/>
      <c r="J82" s="308"/>
      <c r="K82" s="308"/>
    </row>
  </sheetData>
  <hyperlinks>
    <hyperlink ref="E14" r:id="rId1" xr:uid="{00000000-0004-0000-1600-000000000000}"/>
    <hyperlink ref="E15" r:id="rId2" xr:uid="{00000000-0004-0000-1600-000001000000}"/>
    <hyperlink ref="E16" r:id="rId3" xr:uid="{00000000-0004-0000-1600-000002000000}"/>
    <hyperlink ref="E17" r:id="rId4" xr:uid="{00000000-0004-0000-1600-000003000000}"/>
    <hyperlink ref="E18" r:id="rId5" xr:uid="{00000000-0004-0000-1600-000004000000}"/>
  </hyperlinks>
  <pageMargins left="0.7" right="0.7" top="0.75" bottom="0.75" header="0.3" footer="0.3"/>
  <pageSetup paperSize="9" orientation="portrait" r:id="rId6"/>
  <drawing r:id="rId7"/>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C000"/>
  </sheetPr>
  <dimension ref="B2:O19"/>
  <sheetViews>
    <sheetView zoomScale="85" zoomScaleNormal="85" workbookViewId="0"/>
  </sheetViews>
  <sheetFormatPr baseColWidth="10" defaultColWidth="11.5" defaultRowHeight="15" x14ac:dyDescent="0.2"/>
  <cols>
    <col min="1" max="1" width="11.5" style="203"/>
    <col min="2" max="2" width="27.6640625" style="203" bestFit="1" customWidth="1"/>
    <col min="3" max="5" width="11.5" style="203"/>
    <col min="6" max="6" width="11.5" style="203" customWidth="1"/>
    <col min="7" max="14" width="11.5" style="203"/>
    <col min="15" max="15" width="20.1640625" style="203" bestFit="1" customWidth="1"/>
    <col min="16" max="16384" width="11.5" style="203"/>
  </cols>
  <sheetData>
    <row r="2" spans="2:15" x14ac:dyDescent="0.2">
      <c r="C2" s="39"/>
      <c r="D2" s="39"/>
      <c r="E2" s="39"/>
      <c r="F2" s="39"/>
      <c r="G2" s="39"/>
      <c r="H2" s="39"/>
      <c r="I2" s="39"/>
      <c r="J2" s="39"/>
      <c r="K2" s="39"/>
      <c r="L2" s="39"/>
    </row>
    <row r="3" spans="2:15" x14ac:dyDescent="0.2">
      <c r="C3" s="588">
        <v>2016</v>
      </c>
      <c r="D3" s="588"/>
      <c r="E3" s="588"/>
      <c r="F3" s="589">
        <v>2020</v>
      </c>
      <c r="G3" s="589"/>
      <c r="H3" s="589"/>
      <c r="I3" s="589">
        <v>2025</v>
      </c>
      <c r="J3" s="589"/>
      <c r="K3" s="589"/>
      <c r="L3" s="590">
        <v>2030</v>
      </c>
      <c r="M3" s="590"/>
      <c r="N3" s="590"/>
      <c r="O3" s="195"/>
    </row>
    <row r="4" spans="2:15" ht="20" thickBot="1" x14ac:dyDescent="0.3">
      <c r="B4" s="194" t="s">
        <v>203</v>
      </c>
      <c r="C4" s="196" t="s">
        <v>72</v>
      </c>
      <c r="D4" s="196" t="s">
        <v>73</v>
      </c>
      <c r="E4" s="196" t="s">
        <v>178</v>
      </c>
      <c r="F4" s="196" t="s">
        <v>72</v>
      </c>
      <c r="G4" s="196" t="s">
        <v>73</v>
      </c>
      <c r="H4" s="196" t="s">
        <v>178</v>
      </c>
      <c r="I4" s="196" t="s">
        <v>72</v>
      </c>
      <c r="J4" s="196" t="s">
        <v>73</v>
      </c>
      <c r="K4" s="196" t="s">
        <v>178</v>
      </c>
      <c r="L4" s="196" t="s">
        <v>72</v>
      </c>
      <c r="M4" s="196" t="s">
        <v>73</v>
      </c>
      <c r="N4" s="196" t="s">
        <v>178</v>
      </c>
      <c r="O4" s="196" t="s">
        <v>1</v>
      </c>
    </row>
    <row r="5" spans="2:15" x14ac:dyDescent="0.2">
      <c r="B5" s="51" t="s">
        <v>74</v>
      </c>
      <c r="C5" s="147">
        <f>'Overview 2016 (in)'!G38</f>
        <v>620</v>
      </c>
      <c r="D5" s="52">
        <f>'Overview 2016 (in)'!H38</f>
        <v>200</v>
      </c>
      <c r="E5" s="53">
        <f>'Overview 2016 (in)'!I38</f>
        <v>350</v>
      </c>
      <c r="F5" s="147">
        <f>IFERROR(C5*H5/E5,0)</f>
        <v>620</v>
      </c>
      <c r="G5" s="52">
        <f>IFERROR(D5*H5/E5, 0)</f>
        <v>200</v>
      </c>
      <c r="H5" s="53">
        <f>E5</f>
        <v>350</v>
      </c>
      <c r="I5" s="147">
        <f>IFERROR(F5*K5/H5,0)</f>
        <v>620</v>
      </c>
      <c r="J5" s="52">
        <f>IFERROR(G5*K5/H5, 0)</f>
        <v>200</v>
      </c>
      <c r="K5" s="53">
        <f>H5</f>
        <v>350</v>
      </c>
      <c r="L5" s="147">
        <f>IFERROR(I5*N5/K5,0)</f>
        <v>620</v>
      </c>
      <c r="M5" s="52">
        <f>IFERROR(J5*N5/K5, 0)</f>
        <v>200</v>
      </c>
      <c r="N5" s="53">
        <f>K5</f>
        <v>350</v>
      </c>
      <c r="O5" s="54" t="s">
        <v>75</v>
      </c>
    </row>
    <row r="6" spans="2:15" x14ac:dyDescent="0.2">
      <c r="B6" s="37" t="s">
        <v>76</v>
      </c>
      <c r="C6" s="148">
        <f>'Overview 2016 (in)'!G39</f>
        <v>10000</v>
      </c>
      <c r="D6" s="149">
        <f>'Overview 2016 (in)'!H39</f>
        <v>100</v>
      </c>
      <c r="E6" s="150">
        <f>'Overview 2016 (in)'!I39</f>
        <v>3500</v>
      </c>
      <c r="F6" s="148">
        <f t="shared" ref="F6:F15" si="0">IFERROR(C6*H6/E6,0)</f>
        <v>10000</v>
      </c>
      <c r="G6" s="149">
        <f t="shared" ref="G6:G13" si="1">IFERROR(D6*H6/E6, 0)</f>
        <v>100</v>
      </c>
      <c r="H6" s="150">
        <f>E6</f>
        <v>3500</v>
      </c>
      <c r="I6" s="148">
        <f t="shared" ref="I6:I15" si="2">IFERROR(F6*K6/H6,0)</f>
        <v>10000</v>
      </c>
      <c r="J6" s="149">
        <f t="shared" ref="J6:J13" si="3">IFERROR(G6*K6/H6, 0)</f>
        <v>100</v>
      </c>
      <c r="K6" s="150">
        <f>H6</f>
        <v>3500</v>
      </c>
      <c r="L6" s="148">
        <f t="shared" ref="L6:L15" si="4">IFERROR(I6*N6/K6,0)</f>
        <v>10000</v>
      </c>
      <c r="M6" s="149">
        <f t="shared" ref="M6:M13" si="5">IFERROR(J6*N6/K6, 0)</f>
        <v>100</v>
      </c>
      <c r="N6" s="150">
        <f>K6</f>
        <v>3500</v>
      </c>
      <c r="O6" s="55" t="s">
        <v>77</v>
      </c>
    </row>
    <row r="7" spans="2:15" x14ac:dyDescent="0.2">
      <c r="B7" s="51" t="s">
        <v>4</v>
      </c>
      <c r="C7" s="151">
        <f>'Overview 2016 (in)'!G40</f>
        <v>10000</v>
      </c>
      <c r="D7" s="56">
        <f>'Overview 2016 (in)'!H40</f>
        <v>1000</v>
      </c>
      <c r="E7" s="197">
        <f>'Overview 2016 (in)'!I40</f>
        <v>2500</v>
      </c>
      <c r="F7" s="151">
        <f t="shared" ca="1" si="0"/>
        <v>12030.290632347307</v>
      </c>
      <c r="G7" s="56">
        <f t="shared" ca="1" si="1"/>
        <v>1203.0290632347305</v>
      </c>
      <c r="H7" s="197">
        <f ca="1">INDIRECT(ADDRESS(ROW($B6),COLUMN(D$4),1,,$B$4))</f>
        <v>3007.5726580868268</v>
      </c>
      <c r="I7" s="151">
        <f t="shared" ca="1" si="2"/>
        <v>15157.279827965694</v>
      </c>
      <c r="J7" s="56">
        <f t="shared" ca="1" si="3"/>
        <v>1515.7279827965692</v>
      </c>
      <c r="K7" s="197">
        <f ca="1">INDIRECT(ADDRESS(ROW($B6),COLUMN(E$4),1,,$B$4))</f>
        <v>3789.3199569914236</v>
      </c>
      <c r="L7" s="151">
        <f t="shared" ca="1" si="4"/>
        <v>19097.055823864943</v>
      </c>
      <c r="M7" s="56">
        <f t="shared" ca="1" si="5"/>
        <v>1909.7055823864939</v>
      </c>
      <c r="N7" s="197">
        <f ca="1">INDIRECT(ADDRESS(ROW($B6),COLUMN(F$4),1,,$B$4))</f>
        <v>4774.2639559662357</v>
      </c>
      <c r="O7" s="54" t="s">
        <v>5</v>
      </c>
    </row>
    <row r="8" spans="2:15" x14ac:dyDescent="0.2">
      <c r="B8" s="37" t="s">
        <v>6</v>
      </c>
      <c r="C8" s="152">
        <f>'Overview 2016 (in)'!G41</f>
        <v>20</v>
      </c>
      <c r="D8" s="153">
        <f>'Overview 2016 (in)'!H41</f>
        <v>5</v>
      </c>
      <c r="E8" s="199">
        <f>'Overview 2016 (in)'!I41</f>
        <v>12</v>
      </c>
      <c r="F8" s="152">
        <f t="shared" ca="1" si="0"/>
        <v>22.591226527767983</v>
      </c>
      <c r="G8" s="153">
        <f t="shared" ca="1" si="1"/>
        <v>5.6478066319419957</v>
      </c>
      <c r="H8" s="199">
        <f ca="1">INDIRECT(ADDRESS(ROW($B7),COLUMN(D$4),1,,$B$4))</f>
        <v>13.554735916660789</v>
      </c>
      <c r="I8" s="152">
        <f t="shared" ca="1" si="2"/>
        <v>26.307348543119524</v>
      </c>
      <c r="J8" s="153">
        <f t="shared" ca="1" si="3"/>
        <v>6.5768371357798809</v>
      </c>
      <c r="K8" s="199">
        <f ca="1">INDIRECT(ADDRESS(ROW($B7),COLUMN(E$4),1,,$B$4))</f>
        <v>15.784409125871715</v>
      </c>
      <c r="L8" s="152">
        <f t="shared" ca="1" si="4"/>
        <v>30.634750464677392</v>
      </c>
      <c r="M8" s="153">
        <f t="shared" ca="1" si="5"/>
        <v>7.658687616169348</v>
      </c>
      <c r="N8" s="199">
        <f ca="1">INDIRECT(ADDRESS(ROW($B7),COLUMN(F$4),1,,$B$4))</f>
        <v>18.380850278806435</v>
      </c>
      <c r="O8" s="55" t="s">
        <v>7</v>
      </c>
    </row>
    <row r="9" spans="2:15" x14ac:dyDescent="0.2">
      <c r="B9" s="51" t="s">
        <v>78</v>
      </c>
      <c r="C9" s="151">
        <f>'Overview 2016 (in)'!G42</f>
        <v>100</v>
      </c>
      <c r="D9" s="56">
        <f>'Overview 2016 (in)'!H42</f>
        <v>84</v>
      </c>
      <c r="E9" s="57">
        <f>'Overview 2016 (in)'!I42</f>
        <v>90</v>
      </c>
      <c r="F9" s="151">
        <f t="shared" si="0"/>
        <v>100</v>
      </c>
      <c r="G9" s="56">
        <f t="shared" si="1"/>
        <v>84</v>
      </c>
      <c r="H9" s="57">
        <f>E9</f>
        <v>90</v>
      </c>
      <c r="I9" s="151">
        <f t="shared" si="2"/>
        <v>100</v>
      </c>
      <c r="J9" s="56">
        <f t="shared" si="3"/>
        <v>84</v>
      </c>
      <c r="K9" s="57">
        <f>H9</f>
        <v>90</v>
      </c>
      <c r="L9" s="151">
        <f t="shared" si="4"/>
        <v>100</v>
      </c>
      <c r="M9" s="56">
        <f t="shared" si="5"/>
        <v>84</v>
      </c>
      <c r="N9" s="57">
        <f>K9</f>
        <v>90</v>
      </c>
      <c r="O9" s="54" t="s">
        <v>9</v>
      </c>
    </row>
    <row r="10" spans="2:15" x14ac:dyDescent="0.2">
      <c r="B10" s="37" t="s">
        <v>8</v>
      </c>
      <c r="C10" s="152">
        <f>'Overview 2016 (in)'!G43</f>
        <v>94</v>
      </c>
      <c r="D10" s="153">
        <f>'Overview 2016 (in)'!H43</f>
        <v>81</v>
      </c>
      <c r="E10" s="199">
        <f>'Overview 2016 (in)'!I43</f>
        <v>92</v>
      </c>
      <c r="F10" s="152">
        <f t="shared" ca="1" si="0"/>
        <v>94.49270763978565</v>
      </c>
      <c r="G10" s="153">
        <f t="shared" ca="1" si="1"/>
        <v>81.424567221517421</v>
      </c>
      <c r="H10" s="199">
        <f ca="1">INDIRECT(ADDRESS(ROW($B8),COLUMN(D$4),1,,$B$4))</f>
        <v>92.482224498513617</v>
      </c>
      <c r="I10" s="152">
        <f t="shared" ca="1" si="2"/>
        <v>95.112225501958733</v>
      </c>
      <c r="J10" s="153">
        <f t="shared" ca="1" si="3"/>
        <v>81.958407081475073</v>
      </c>
      <c r="K10" s="199">
        <f ca="1">INDIRECT(ADDRESS(ROW($B8),COLUMN(E$4),1,,$B$4))</f>
        <v>93.088561129576632</v>
      </c>
      <c r="L10" s="152">
        <f t="shared" ca="1" si="4"/>
        <v>95.735805078428527</v>
      </c>
      <c r="M10" s="153">
        <f t="shared" ca="1" si="5"/>
        <v>82.495746929284167</v>
      </c>
      <c r="N10" s="199">
        <f ca="1">INDIRECT(ADDRESS(ROW($B8),COLUMN(F$4),1,,$B$4))</f>
        <v>93.698873055483247</v>
      </c>
      <c r="O10" s="55" t="s">
        <v>9</v>
      </c>
    </row>
    <row r="11" spans="2:15" x14ac:dyDescent="0.2">
      <c r="B11" s="51" t="s">
        <v>79</v>
      </c>
      <c r="C11" s="147">
        <f>'Overview 2016 (in)'!G44</f>
        <v>0.09</v>
      </c>
      <c r="D11" s="52">
        <f>'Overview 2016 (in)'!H44</f>
        <v>0.36</v>
      </c>
      <c r="E11" s="53">
        <f>'Overview 2016 (in)'!I44</f>
        <v>0.1</v>
      </c>
      <c r="F11" s="147">
        <f t="shared" si="0"/>
        <v>8.9999999999999983E-2</v>
      </c>
      <c r="G11" s="52">
        <f t="shared" si="1"/>
        <v>0.35999999999999993</v>
      </c>
      <c r="H11" s="53">
        <f>E11</f>
        <v>0.1</v>
      </c>
      <c r="I11" s="147">
        <f t="shared" si="2"/>
        <v>8.9999999999999983E-2</v>
      </c>
      <c r="J11" s="52">
        <f t="shared" si="3"/>
        <v>0.35999999999999993</v>
      </c>
      <c r="K11" s="53">
        <f>H11</f>
        <v>0.1</v>
      </c>
      <c r="L11" s="147">
        <f t="shared" si="4"/>
        <v>8.9999999999999983E-2</v>
      </c>
      <c r="M11" s="52">
        <f t="shared" si="5"/>
        <v>0.35999999999999993</v>
      </c>
      <c r="N11" s="53">
        <f>K11</f>
        <v>0.1</v>
      </c>
      <c r="O11" s="54" t="s">
        <v>80</v>
      </c>
    </row>
    <row r="12" spans="2:15" x14ac:dyDescent="0.2">
      <c r="B12" s="154" t="s">
        <v>81</v>
      </c>
      <c r="C12" s="148">
        <f>'Overview 2016 (in)'!G45</f>
        <v>3.0000000000000001E-3</v>
      </c>
      <c r="D12" s="149">
        <f>'Overview 2016 (in)'!H45</f>
        <v>1</v>
      </c>
      <c r="E12" s="150">
        <f>'Overview 2016 (in)'!I45</f>
        <v>0.01</v>
      </c>
      <c r="F12" s="148">
        <f t="shared" si="0"/>
        <v>3.0000000000000001E-3</v>
      </c>
      <c r="G12" s="149">
        <f t="shared" si="1"/>
        <v>1</v>
      </c>
      <c r="H12" s="150">
        <f>E12</f>
        <v>0.01</v>
      </c>
      <c r="I12" s="148">
        <f t="shared" si="2"/>
        <v>3.0000000000000001E-3</v>
      </c>
      <c r="J12" s="149">
        <f t="shared" si="3"/>
        <v>1</v>
      </c>
      <c r="K12" s="150">
        <f>H12</f>
        <v>0.01</v>
      </c>
      <c r="L12" s="148">
        <f t="shared" si="4"/>
        <v>3.0000000000000001E-3</v>
      </c>
      <c r="M12" s="149">
        <f t="shared" si="5"/>
        <v>1</v>
      </c>
      <c r="N12" s="150">
        <f>K12</f>
        <v>0.01</v>
      </c>
      <c r="O12" s="155" t="s">
        <v>82</v>
      </c>
    </row>
    <row r="13" spans="2:15" x14ac:dyDescent="0.2">
      <c r="B13" s="156" t="s">
        <v>83</v>
      </c>
      <c r="C13" s="157">
        <f>'Overview 2016 (in)'!G46</f>
        <v>0</v>
      </c>
      <c r="D13" s="58">
        <f>'Overview 2016 (in)'!H46</f>
        <v>0</v>
      </c>
      <c r="E13" s="59">
        <f>'Overview 2016 (in)'!I46</f>
        <v>0</v>
      </c>
      <c r="F13" s="157">
        <f t="shared" si="0"/>
        <v>0</v>
      </c>
      <c r="G13" s="58">
        <f t="shared" si="1"/>
        <v>0</v>
      </c>
      <c r="H13" s="59">
        <f>E13</f>
        <v>0</v>
      </c>
      <c r="I13" s="157">
        <f t="shared" si="2"/>
        <v>0</v>
      </c>
      <c r="J13" s="58">
        <f t="shared" si="3"/>
        <v>0</v>
      </c>
      <c r="K13" s="59">
        <f>H13</f>
        <v>0</v>
      </c>
      <c r="L13" s="157">
        <f t="shared" si="4"/>
        <v>0</v>
      </c>
      <c r="M13" s="58">
        <f t="shared" si="5"/>
        <v>0</v>
      </c>
      <c r="N13" s="59">
        <f>K13</f>
        <v>0</v>
      </c>
      <c r="O13" s="54" t="s">
        <v>7</v>
      </c>
    </row>
    <row r="14" spans="2:15" x14ac:dyDescent="0.2">
      <c r="B14" s="154" t="s">
        <v>2</v>
      </c>
      <c r="C14" s="152">
        <f>'Overview 2016 (in)'!G47</f>
        <v>199.5</v>
      </c>
      <c r="D14" s="153">
        <f>'Overview 2016 (in)'!H47</f>
        <v>840</v>
      </c>
      <c r="E14" s="198">
        <f>'Overview 2016 (in)'!I47</f>
        <v>577.5</v>
      </c>
      <c r="F14" s="152">
        <f t="shared" ca="1" si="0"/>
        <v>152.22417147300118</v>
      </c>
      <c r="G14" s="153">
        <f t="shared" ref="G14:G15" ca="1" si="6">IFERROR(D14*H14/E14,0)</f>
        <v>640.94387988632081</v>
      </c>
      <c r="H14" s="198">
        <f ca="1">IF(CELL("format",INDIRECT(ADDRESS(ROW($B4),COLUMN(D$4),1,,$B$4)))="W0-",INDIRECT(ADDRESS(ROW($B4),COLUMN(D$4),1,,$B$4))*'Overview 2016 (in)'!$O$7,INDIRECT(ADDRESS(ROW($B4),COLUMN(D$4),1,,$B$4)))</f>
        <v>440.64891742184551</v>
      </c>
      <c r="I14" s="152">
        <f t="shared" ca="1" si="2"/>
        <v>108.5574210942921</v>
      </c>
      <c r="J14" s="153">
        <f t="shared" ref="J14:J15" ca="1" si="7">IFERROR(G14*K14/H14,0)</f>
        <v>457.08387829175621</v>
      </c>
      <c r="K14" s="198">
        <f ca="1">IF(CELL("format",INDIRECT(ADDRESS(ROW($B4),COLUMN(E$4),1,,$B$4)))="W0-",INDIRECT(ADDRESS(ROW($B4),COLUMN(E$4),1,,$B$4))*'Overview 2016 (in)'!$O$7,INDIRECT(ADDRESS(ROW($B4),COLUMN(E$4),1,,$B$4)))</f>
        <v>314.24516632558237</v>
      </c>
      <c r="L14" s="152">
        <f t="shared" ca="1" si="4"/>
        <v>77.416835714120637</v>
      </c>
      <c r="M14" s="153">
        <f t="shared" ref="M14:M15" ca="1" si="8">IFERROR(J14*N14/K14,0)</f>
        <v>325.96562405945537</v>
      </c>
      <c r="N14" s="198">
        <f ca="1">IF(CELL("format",INDIRECT(ADDRESS(ROW($B4),COLUMN(F$4),1,,$B$4)))="W0-",INDIRECT(ADDRESS(ROW($B4),COLUMN(F$4),1,,$B$4))*'Overview 2016 (in)'!$O$7,INDIRECT(ADDRESS(ROW($B4),COLUMN(F$4),1,,$B$4)))</f>
        <v>224.10136654087555</v>
      </c>
      <c r="O14" s="155" t="s">
        <v>22</v>
      </c>
    </row>
    <row r="15" spans="2:15" ht="16" thickBot="1" x14ac:dyDescent="0.25">
      <c r="B15" s="158" t="s">
        <v>3</v>
      </c>
      <c r="C15" s="180">
        <f>'Overview 2016 (in)'!G48</f>
        <v>0</v>
      </c>
      <c r="D15" s="180">
        <f>'Overview 2016 (in)'!H48</f>
        <v>0</v>
      </c>
      <c r="E15" s="200">
        <f>'Overview 2016 (in)'!I48</f>
        <v>0</v>
      </c>
      <c r="F15" s="180">
        <f t="shared" ca="1" si="0"/>
        <v>0</v>
      </c>
      <c r="G15" s="180">
        <f t="shared" ca="1" si="6"/>
        <v>0</v>
      </c>
      <c r="H15" s="200">
        <f ca="1">IF(CELL("format",INDIRECT(ADDRESS(ROW($B5),COLUMN(D$4),1,,$B$4)))="W0-",INDIRECT(ADDRESS(ROW($B5),COLUMN(D$4),1,,$B$4))*'Overview 2016 (in)'!$O$7,INDIRECT(ADDRESS(ROW($B5),COLUMN(D$4),1,,$B$4)))</f>
        <v>0</v>
      </c>
      <c r="I15" s="180">
        <f t="shared" ca="1" si="2"/>
        <v>0</v>
      </c>
      <c r="J15" s="180">
        <f t="shared" ca="1" si="7"/>
        <v>0</v>
      </c>
      <c r="K15" s="200">
        <f ca="1">IF(CELL("format",INDIRECT(ADDRESS(ROW($B5),COLUMN(E$4),1,,$B$4)))="W0-",INDIRECT(ADDRESS(ROW($B5),COLUMN(E$4),1,,$B$4))*'Overview 2016 (in)'!$O$7,INDIRECT(ADDRESS(ROW($B5),COLUMN(E$4),1,,$B$4)))</f>
        <v>0</v>
      </c>
      <c r="L15" s="180">
        <f t="shared" ca="1" si="4"/>
        <v>0</v>
      </c>
      <c r="M15" s="180">
        <f t="shared" ca="1" si="8"/>
        <v>0</v>
      </c>
      <c r="N15" s="200">
        <f ca="1">IF(CELL("format",INDIRECT(ADDRESS(ROW($B5),COLUMN(F$4),1,,$B$4)))="W0-",INDIRECT(ADDRESS(ROW($B5),COLUMN(F$4),1,,$B$4))*'Overview 2016 (in)'!$O$7,INDIRECT(ADDRESS(ROW($B5),COLUMN(F$4),1,,$B$4)))</f>
        <v>0</v>
      </c>
      <c r="O15" s="60" t="s">
        <v>23</v>
      </c>
    </row>
    <row r="17" spans="2:3" x14ac:dyDescent="0.2">
      <c r="C17" s="202"/>
    </row>
    <row r="18" spans="2:3" ht="19" x14ac:dyDescent="0.25">
      <c r="B18" s="201"/>
    </row>
    <row r="19" spans="2:3" x14ac:dyDescent="0.2">
      <c r="B19" s="39"/>
    </row>
  </sheetData>
  <mergeCells count="4">
    <mergeCell ref="C3:E3"/>
    <mergeCell ref="F3:H3"/>
    <mergeCell ref="I3:K3"/>
    <mergeCell ref="L3:N3"/>
  </mergeCells>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C000"/>
  </sheetPr>
  <dimension ref="A2:Z81"/>
  <sheetViews>
    <sheetView zoomScale="85" zoomScaleNormal="85" workbookViewId="0"/>
  </sheetViews>
  <sheetFormatPr baseColWidth="10" defaultColWidth="9.1640625" defaultRowHeight="15" x14ac:dyDescent="0.2"/>
  <cols>
    <col min="1" max="1" width="9.1640625" style="97"/>
    <col min="2" max="2" width="26.5" style="97" customWidth="1"/>
    <col min="3" max="8" width="10.6640625" style="97" customWidth="1"/>
    <col min="9" max="9" width="20.33203125" style="97" customWidth="1"/>
    <col min="10" max="10" width="13.83203125" style="97" customWidth="1"/>
    <col min="11" max="16" width="12.6640625" style="97" customWidth="1"/>
    <col min="17" max="17" width="9.5" style="97" bestFit="1" customWidth="1"/>
    <col min="18" max="16384" width="9.1640625" style="97"/>
  </cols>
  <sheetData>
    <row r="2" spans="2:18" ht="20" thickBot="1" x14ac:dyDescent="0.3">
      <c r="B2" s="41" t="s">
        <v>86</v>
      </c>
      <c r="C2" s="13"/>
      <c r="K2" s="41" t="s">
        <v>0</v>
      </c>
    </row>
    <row r="3" spans="2:18" x14ac:dyDescent="0.2">
      <c r="B3" s="38"/>
      <c r="C3" s="38">
        <v>2016</v>
      </c>
      <c r="D3" s="367">
        <v>2020</v>
      </c>
      <c r="E3" s="367">
        <v>2025</v>
      </c>
      <c r="F3" s="367">
        <v>2030</v>
      </c>
      <c r="G3" s="38" t="s">
        <v>1</v>
      </c>
      <c r="H3" s="40"/>
      <c r="I3" s="38" t="s">
        <v>17</v>
      </c>
      <c r="J3" s="38" t="s">
        <v>18</v>
      </c>
      <c r="K3" s="38" t="s">
        <v>19</v>
      </c>
      <c r="L3" s="38" t="s">
        <v>20</v>
      </c>
      <c r="N3" s="407">
        <f>1-(F4/C4)^(1/(F$3-C$3))</f>
        <v>5.4665311669989003E-2</v>
      </c>
    </row>
    <row r="4" spans="2:18" x14ac:dyDescent="0.2">
      <c r="B4" s="37" t="s">
        <v>2</v>
      </c>
      <c r="C4" s="165">
        <f>'Overview 2016 (in)'!L47</f>
        <v>1050</v>
      </c>
      <c r="D4" s="68">
        <f>$C4*(1-$N3)^(D$3-$C$3)</f>
        <v>838.55523826229444</v>
      </c>
      <c r="E4" s="68">
        <f>$C4*(1-$N3)^(E$3-$C$3)</f>
        <v>633.08153640669855</v>
      </c>
      <c r="F4" s="68">
        <f>C4*D63</f>
        <v>477.95567119658381</v>
      </c>
      <c r="G4" s="97" t="s">
        <v>22</v>
      </c>
      <c r="I4" s="79" t="s">
        <v>52</v>
      </c>
      <c r="J4" s="42" t="s">
        <v>53</v>
      </c>
      <c r="K4" s="42" t="s">
        <v>53</v>
      </c>
      <c r="L4" s="42" t="s">
        <v>53</v>
      </c>
      <c r="N4" s="407"/>
    </row>
    <row r="5" spans="2:18" x14ac:dyDescent="0.2">
      <c r="B5" s="40" t="s">
        <v>3</v>
      </c>
      <c r="C5" s="165">
        <f>'Overview 2016 (in)'!L48</f>
        <v>0</v>
      </c>
      <c r="D5" s="68">
        <v>0</v>
      </c>
      <c r="E5" s="68">
        <v>0</v>
      </c>
      <c r="F5" s="68">
        <v>0</v>
      </c>
      <c r="G5" s="97" t="s">
        <v>23</v>
      </c>
      <c r="I5" s="79" t="s">
        <v>52</v>
      </c>
      <c r="J5" s="42">
        <v>1</v>
      </c>
      <c r="K5" s="42">
        <v>1</v>
      </c>
      <c r="L5" s="42">
        <v>1</v>
      </c>
      <c r="N5" s="407">
        <f t="shared" ref="N5:N7" si="0">1-(F6/C6)^(1/(F$3-C$3))</f>
        <v>-4.7294999279520633E-2</v>
      </c>
    </row>
    <row r="6" spans="2:18" x14ac:dyDescent="0.2">
      <c r="B6" s="37" t="s">
        <v>4</v>
      </c>
      <c r="C6" s="81">
        <f>'Overview 2016 (in)'!L40</f>
        <v>10000</v>
      </c>
      <c r="D6" s="73">
        <f t="shared" ref="D6:E8" si="1">$C6*(1-$N5)^(D$3-$C$3)</f>
        <v>12030.290632347307</v>
      </c>
      <c r="E6" s="73">
        <f t="shared" si="1"/>
        <v>15157.279827965694</v>
      </c>
      <c r="F6" s="69">
        <f>C6*E63</f>
        <v>19097.055823864943</v>
      </c>
      <c r="G6" s="97" t="s">
        <v>5</v>
      </c>
      <c r="I6" s="79" t="s">
        <v>52</v>
      </c>
      <c r="J6" s="42" t="s">
        <v>53</v>
      </c>
      <c r="K6" s="42" t="s">
        <v>53</v>
      </c>
      <c r="L6" s="42" t="s">
        <v>53</v>
      </c>
      <c r="N6" s="407">
        <f t="shared" si="0"/>
        <v>-3.0925907392973073E-2</v>
      </c>
    </row>
    <row r="7" spans="2:18" x14ac:dyDescent="0.2">
      <c r="B7" s="37" t="s">
        <v>6</v>
      </c>
      <c r="C7" s="81">
        <f>'Overview 2016 (in)'!L41</f>
        <v>15</v>
      </c>
      <c r="D7" s="85">
        <f t="shared" si="1"/>
        <v>16.943419895825986</v>
      </c>
      <c r="E7" s="85">
        <f t="shared" si="1"/>
        <v>19.730511407339645</v>
      </c>
      <c r="F7" s="127">
        <f>C7*F63</f>
        <v>22.976062848508043</v>
      </c>
      <c r="G7" s="97" t="s">
        <v>7</v>
      </c>
      <c r="I7" s="79" t="s">
        <v>52</v>
      </c>
      <c r="J7" s="42" t="s">
        <v>53</v>
      </c>
      <c r="K7" s="42" t="s">
        <v>53</v>
      </c>
      <c r="L7" s="42" t="s">
        <v>53</v>
      </c>
      <c r="N7" s="407">
        <f t="shared" si="0"/>
        <v>-1.3078248127507131E-3</v>
      </c>
    </row>
    <row r="8" spans="2:18" ht="16" thickBot="1" x14ac:dyDescent="0.25">
      <c r="B8" s="6" t="s">
        <v>8</v>
      </c>
      <c r="C8" s="82">
        <f>'Overview 2016 (in)'!L43</f>
        <v>96</v>
      </c>
      <c r="D8" s="78">
        <f t="shared" si="1"/>
        <v>96.503190781057697</v>
      </c>
      <c r="E8" s="78">
        <f t="shared" si="1"/>
        <v>97.135889874340847</v>
      </c>
      <c r="F8" s="78">
        <f>C8*G63</f>
        <v>97.772737101373821</v>
      </c>
      <c r="G8" s="7" t="s">
        <v>9</v>
      </c>
      <c r="H8" s="39"/>
      <c r="I8" s="80" t="s">
        <v>52</v>
      </c>
      <c r="J8" s="83" t="s">
        <v>53</v>
      </c>
      <c r="K8" s="83" t="s">
        <v>53</v>
      </c>
      <c r="L8" s="83" t="s">
        <v>53</v>
      </c>
      <c r="N8" s="320"/>
    </row>
    <row r="9" spans="2:18" x14ac:dyDescent="0.2">
      <c r="B9" s="37"/>
      <c r="C9" s="44"/>
      <c r="J9" s="39"/>
      <c r="K9" s="39"/>
      <c r="L9" s="39"/>
      <c r="M9" s="39"/>
      <c r="N9" s="320"/>
    </row>
    <row r="10" spans="2:18" x14ac:dyDescent="0.2">
      <c r="B10" s="262"/>
      <c r="C10" s="262"/>
      <c r="D10" s="262"/>
      <c r="E10" s="262"/>
      <c r="F10" s="262"/>
      <c r="G10" s="262"/>
      <c r="H10" s="39"/>
      <c r="I10" s="39"/>
      <c r="J10" s="39"/>
      <c r="K10" s="39"/>
      <c r="L10" s="39"/>
      <c r="M10" s="39"/>
      <c r="N10" s="39"/>
      <c r="O10" s="39"/>
      <c r="P10" s="39"/>
      <c r="Q10" s="39"/>
      <c r="R10" s="39"/>
    </row>
    <row r="11" spans="2:18" x14ac:dyDescent="0.2">
      <c r="B11" s="262"/>
      <c r="C11" s="262"/>
      <c r="D11" s="262"/>
      <c r="E11" s="262"/>
      <c r="F11" s="262"/>
      <c r="G11" s="262"/>
      <c r="H11" s="39"/>
      <c r="J11" s="43"/>
      <c r="K11" s="2" t="s">
        <v>68</v>
      </c>
      <c r="L11" s="43"/>
      <c r="M11" s="43"/>
      <c r="N11" s="43"/>
      <c r="O11" s="43"/>
      <c r="P11" s="43"/>
    </row>
    <row r="12" spans="2:18" ht="20" thickBot="1" x14ac:dyDescent="0.3">
      <c r="B12" s="41" t="s">
        <v>10</v>
      </c>
      <c r="J12" s="42"/>
      <c r="K12" s="18" t="s">
        <v>69</v>
      </c>
      <c r="L12" s="42"/>
      <c r="M12" s="42"/>
      <c r="N12" s="42"/>
      <c r="O12" s="42"/>
      <c r="P12" s="42"/>
    </row>
    <row r="13" spans="2:18" x14ac:dyDescent="0.2">
      <c r="B13" s="98" t="s">
        <v>11</v>
      </c>
      <c r="C13" s="98" t="s">
        <v>12</v>
      </c>
      <c r="D13" s="98" t="s">
        <v>13</v>
      </c>
      <c r="E13" s="98" t="s">
        <v>225</v>
      </c>
      <c r="F13" s="100" t="s">
        <v>60</v>
      </c>
      <c r="G13" s="98"/>
      <c r="H13" s="100" t="s">
        <v>105</v>
      </c>
      <c r="I13" s="302"/>
      <c r="J13" s="42"/>
      <c r="K13" s="93" t="s">
        <v>71</v>
      </c>
      <c r="L13" s="93"/>
      <c r="M13" s="42"/>
      <c r="N13" s="42"/>
      <c r="O13" s="42"/>
      <c r="P13" s="42"/>
    </row>
    <row r="14" spans="2:18" x14ac:dyDescent="0.2">
      <c r="B14" s="97">
        <v>1</v>
      </c>
      <c r="C14" s="97" t="s">
        <v>15</v>
      </c>
      <c r="D14" s="97" t="s">
        <v>16</v>
      </c>
      <c r="E14" s="303" t="s">
        <v>226</v>
      </c>
      <c r="F14" s="145" t="s">
        <v>61</v>
      </c>
      <c r="G14" s="302"/>
      <c r="H14" s="282" t="s">
        <v>115</v>
      </c>
      <c r="I14" s="302"/>
      <c r="J14" s="42"/>
      <c r="K14" s="42"/>
      <c r="L14" s="42"/>
      <c r="M14" s="42"/>
      <c r="N14" s="42"/>
      <c r="O14" s="42"/>
      <c r="P14" s="42"/>
    </row>
    <row r="15" spans="2:18" x14ac:dyDescent="0.2">
      <c r="B15" s="97">
        <v>2</v>
      </c>
      <c r="C15" s="97" t="s">
        <v>24</v>
      </c>
      <c r="D15" s="97" t="s">
        <v>25</v>
      </c>
      <c r="E15" s="303" t="s">
        <v>227</v>
      </c>
      <c r="F15" s="145" t="s">
        <v>62</v>
      </c>
      <c r="G15" s="302"/>
      <c r="H15" s="282" t="s">
        <v>115</v>
      </c>
      <c r="I15" s="302"/>
      <c r="J15" s="42"/>
      <c r="K15" s="42"/>
      <c r="L15" s="42"/>
      <c r="M15" s="42"/>
      <c r="N15" s="42"/>
      <c r="O15" s="42"/>
      <c r="P15" s="42"/>
    </row>
    <row r="16" spans="2:18" x14ac:dyDescent="0.2">
      <c r="B16" s="97">
        <v>3</v>
      </c>
      <c r="C16" s="97" t="s">
        <v>29</v>
      </c>
      <c r="D16" s="97" t="s">
        <v>30</v>
      </c>
      <c r="E16" s="303" t="s">
        <v>230</v>
      </c>
      <c r="F16" s="145" t="s">
        <v>65</v>
      </c>
      <c r="G16" s="302"/>
      <c r="H16" s="282" t="s">
        <v>115</v>
      </c>
      <c r="I16" s="302"/>
      <c r="J16" s="42"/>
      <c r="K16" s="42"/>
      <c r="L16" s="42"/>
      <c r="M16" s="42"/>
      <c r="N16" s="42"/>
      <c r="O16" s="42"/>
      <c r="P16" s="42"/>
    </row>
    <row r="17" spans="1:26" x14ac:dyDescent="0.2">
      <c r="B17" s="97">
        <v>4</v>
      </c>
      <c r="C17" s="97" t="s">
        <v>58</v>
      </c>
      <c r="D17" s="97" t="s">
        <v>59</v>
      </c>
      <c r="E17" s="303" t="s">
        <v>228</v>
      </c>
      <c r="F17" s="145" t="s">
        <v>63</v>
      </c>
      <c r="G17" s="302"/>
      <c r="H17" s="282" t="s">
        <v>115</v>
      </c>
      <c r="I17" s="302"/>
      <c r="J17" s="42"/>
      <c r="K17" s="42"/>
      <c r="L17" s="42"/>
      <c r="M17" s="42"/>
      <c r="N17" s="42"/>
      <c r="O17" s="42"/>
      <c r="P17" s="42"/>
    </row>
    <row r="18" spans="1:26" x14ac:dyDescent="0.2">
      <c r="B18" s="182">
        <v>5</v>
      </c>
      <c r="C18" s="182" t="s">
        <v>100</v>
      </c>
      <c r="D18" s="182" t="s">
        <v>101</v>
      </c>
      <c r="E18" s="303" t="s">
        <v>231</v>
      </c>
      <c r="F18" s="145" t="s">
        <v>102</v>
      </c>
      <c r="G18" s="302"/>
      <c r="H18" s="185" t="s">
        <v>40</v>
      </c>
      <c r="I18" s="302"/>
      <c r="J18" s="42"/>
      <c r="K18" s="42"/>
      <c r="L18" s="42"/>
      <c r="M18" s="42"/>
      <c r="N18" s="42"/>
      <c r="O18" s="42"/>
      <c r="P18" s="42"/>
    </row>
    <row r="19" spans="1:26" x14ac:dyDescent="0.2">
      <c r="A19" s="304" t="s">
        <v>232</v>
      </c>
      <c r="L19" s="42"/>
      <c r="M19" s="42"/>
      <c r="N19" s="42"/>
      <c r="O19" s="42"/>
      <c r="P19" s="42"/>
      <c r="Q19" s="42"/>
      <c r="R19" s="42"/>
    </row>
    <row r="20" spans="1:26" ht="16" thickBot="1" x14ac:dyDescent="0.25">
      <c r="A20" s="304" t="s">
        <v>47</v>
      </c>
      <c r="B20" s="42"/>
      <c r="C20" s="332" t="s">
        <v>183</v>
      </c>
      <c r="D20" s="333" t="s">
        <v>234</v>
      </c>
      <c r="E20" s="320"/>
      <c r="F20" s="320"/>
      <c r="G20" s="320"/>
      <c r="H20" s="320"/>
      <c r="I20" s="320"/>
      <c r="J20" s="320"/>
      <c r="K20" s="320"/>
      <c r="L20" s="320"/>
      <c r="M20" s="320"/>
      <c r="N20" s="320"/>
      <c r="O20" s="320"/>
      <c r="P20" s="320"/>
      <c r="Q20" s="320"/>
      <c r="R20" s="320"/>
      <c r="S20" s="320"/>
      <c r="T20" s="320"/>
      <c r="U20" s="320"/>
      <c r="V20" s="320"/>
      <c r="W20" s="320"/>
      <c r="X20" s="320"/>
      <c r="Y20" s="320"/>
      <c r="Z20" s="320"/>
    </row>
    <row r="21" spans="1:26" x14ac:dyDescent="0.2">
      <c r="A21" s="65" t="s">
        <v>49</v>
      </c>
      <c r="B21" s="38"/>
      <c r="C21" s="49">
        <v>2016</v>
      </c>
      <c r="D21" s="360">
        <v>2012</v>
      </c>
      <c r="E21" s="367">
        <v>2020</v>
      </c>
      <c r="F21" s="367">
        <v>2023</v>
      </c>
      <c r="G21" s="367">
        <v>2025</v>
      </c>
      <c r="H21" s="374">
        <v>2030</v>
      </c>
      <c r="I21" s="38">
        <v>2033</v>
      </c>
      <c r="J21" s="38" t="s">
        <v>1</v>
      </c>
      <c r="K21" s="48" t="s">
        <v>54</v>
      </c>
      <c r="L21" s="38" t="s">
        <v>55</v>
      </c>
      <c r="M21" s="50" t="s">
        <v>237</v>
      </c>
      <c r="N21" s="50" t="s">
        <v>253</v>
      </c>
      <c r="O21" s="320"/>
      <c r="P21" s="320"/>
      <c r="Q21" s="320"/>
      <c r="R21" s="320"/>
      <c r="S21" s="320"/>
      <c r="T21" s="320"/>
      <c r="U21" s="320"/>
      <c r="V21" s="320"/>
      <c r="W21" s="320"/>
      <c r="X21" s="320"/>
      <c r="Y21" s="320"/>
      <c r="Z21" s="320"/>
    </row>
    <row r="22" spans="1:26" x14ac:dyDescent="0.2">
      <c r="B22" s="37" t="s">
        <v>2</v>
      </c>
      <c r="C22" s="328">
        <f>C4/'Overview 2016 (in)'!$O$7</f>
        <v>1000</v>
      </c>
      <c r="D22" s="361">
        <v>550</v>
      </c>
      <c r="E22" s="110">
        <f>$D22*(1-$K22)^(E$21-$D$21)</f>
        <v>369.69039640594207</v>
      </c>
      <c r="F22" s="87"/>
      <c r="G22" s="110">
        <f>$D22*(1-$K22)^(G$21-$D$21)</f>
        <v>288.41001922841889</v>
      </c>
      <c r="H22" s="368">
        <v>225</v>
      </c>
      <c r="I22" s="87"/>
      <c r="J22" s="372" t="s">
        <v>247</v>
      </c>
      <c r="K22" s="312">
        <f>1-(H22/D22)^(1/(H$21-D$21))</f>
        <v>4.844381837693057E-2</v>
      </c>
      <c r="L22" s="95"/>
      <c r="M22" s="379" t="s">
        <v>252</v>
      </c>
      <c r="N22" s="379"/>
      <c r="O22" s="379"/>
      <c r="P22" s="379"/>
      <c r="Q22" s="379"/>
      <c r="R22" s="320"/>
      <c r="S22" s="320"/>
      <c r="T22" s="320"/>
      <c r="U22" s="320"/>
      <c r="V22" s="320"/>
      <c r="W22" s="320"/>
      <c r="X22" s="320"/>
      <c r="Y22" s="320"/>
      <c r="Z22" s="320"/>
    </row>
    <row r="23" spans="1:26" x14ac:dyDescent="0.2">
      <c r="B23" s="40" t="s">
        <v>3</v>
      </c>
      <c r="C23" s="328">
        <f>C5/'Overview 2016 (in)'!$O$7</f>
        <v>0</v>
      </c>
      <c r="D23" s="397">
        <v>175</v>
      </c>
      <c r="E23" s="123">
        <f t="shared" ref="E23:E26" si="2">$D23*(1-$K23)^(E$21-$D$21)</f>
        <v>100.28362609809263</v>
      </c>
      <c r="F23" s="87"/>
      <c r="G23" s="123">
        <f t="shared" ref="G23:G26" si="3">$D23*(1-$K23)^(G$21-$D$21)</f>
        <v>70.8108840850376</v>
      </c>
      <c r="H23" s="401">
        <v>50</v>
      </c>
      <c r="I23" s="87"/>
      <c r="J23" s="372" t="s">
        <v>248</v>
      </c>
      <c r="K23" s="312">
        <f t="shared" ref="K23:K26" si="4">1-(H23/D23)^(1/(H$21-D$21))</f>
        <v>6.7231228975996538E-2</v>
      </c>
      <c r="L23" s="95"/>
      <c r="M23" s="379" t="s">
        <v>252</v>
      </c>
      <c r="N23" s="379"/>
      <c r="O23" s="379"/>
      <c r="P23" s="379"/>
      <c r="Q23" s="379"/>
      <c r="R23" s="320"/>
      <c r="S23" s="320"/>
      <c r="T23" s="320"/>
      <c r="U23" s="320"/>
      <c r="V23" s="320"/>
      <c r="W23" s="320"/>
      <c r="X23" s="320"/>
      <c r="Y23" s="320"/>
      <c r="Z23" s="320"/>
    </row>
    <row r="24" spans="1:26" x14ac:dyDescent="0.2">
      <c r="B24" s="37" t="s">
        <v>4</v>
      </c>
      <c r="C24" s="329">
        <f>C6</f>
        <v>10000</v>
      </c>
      <c r="D24" s="362">
        <v>3000</v>
      </c>
      <c r="E24" s="111">
        <f t="shared" si="2"/>
        <v>4230.2125456486547</v>
      </c>
      <c r="F24" s="88"/>
      <c r="G24" s="111">
        <f t="shared" si="3"/>
        <v>5243.6992235173329</v>
      </c>
      <c r="H24" s="394">
        <v>6500</v>
      </c>
      <c r="I24" s="91"/>
      <c r="J24" s="372" t="s">
        <v>5</v>
      </c>
      <c r="K24" s="312">
        <f t="shared" si="4"/>
        <v>-4.3890912220534872E-2</v>
      </c>
      <c r="L24" s="95"/>
      <c r="M24" s="379" t="s">
        <v>252</v>
      </c>
      <c r="N24" s="379"/>
      <c r="O24" s="379"/>
      <c r="P24" s="379"/>
      <c r="Q24" s="379"/>
      <c r="R24" s="320"/>
      <c r="S24" s="320"/>
      <c r="T24" s="320"/>
      <c r="U24" s="320"/>
      <c r="V24" s="320"/>
      <c r="W24" s="320"/>
      <c r="X24" s="320"/>
      <c r="Y24" s="320"/>
      <c r="Z24" s="320"/>
    </row>
    <row r="25" spans="1:26" x14ac:dyDescent="0.2">
      <c r="B25" s="37" t="s">
        <v>6</v>
      </c>
      <c r="C25" s="329">
        <f>C7</f>
        <v>15</v>
      </c>
      <c r="D25" s="362">
        <v>12.5</v>
      </c>
      <c r="E25" s="111">
        <f t="shared" si="2"/>
        <v>15.403875693958369</v>
      </c>
      <c r="F25" s="88"/>
      <c r="G25" s="111">
        <f t="shared" si="3"/>
        <v>17.55213701744513</v>
      </c>
      <c r="H25" s="394">
        <v>20</v>
      </c>
      <c r="I25" s="91"/>
      <c r="J25" s="372" t="s">
        <v>7</v>
      </c>
      <c r="K25" s="312">
        <f t="shared" si="4"/>
        <v>-2.6455199651044037E-2</v>
      </c>
      <c r="L25" s="95"/>
      <c r="M25" s="379" t="s">
        <v>252</v>
      </c>
      <c r="N25" s="379"/>
      <c r="O25" s="379"/>
      <c r="P25" s="379"/>
      <c r="Q25" s="379"/>
      <c r="R25" s="320"/>
      <c r="S25" s="320"/>
      <c r="T25" s="320"/>
      <c r="U25" s="320"/>
      <c r="V25" s="320"/>
      <c r="W25" s="320"/>
      <c r="X25" s="320"/>
      <c r="Y25" s="320"/>
      <c r="Z25" s="320"/>
    </row>
    <row r="26" spans="1:26" ht="16" thickBot="1" x14ac:dyDescent="0.25">
      <c r="B26" s="6" t="s">
        <v>8</v>
      </c>
      <c r="C26" s="330">
        <f>C8</f>
        <v>96</v>
      </c>
      <c r="D26" s="363">
        <v>84.5</v>
      </c>
      <c r="E26" s="112">
        <f t="shared" si="2"/>
        <v>86.254958335584746</v>
      </c>
      <c r="F26" s="90"/>
      <c r="G26" s="112">
        <f t="shared" si="3"/>
        <v>87.370268471026563</v>
      </c>
      <c r="H26" s="395">
        <v>88.5</v>
      </c>
      <c r="I26" s="92"/>
      <c r="J26" s="373" t="s">
        <v>9</v>
      </c>
      <c r="K26" s="313">
        <f t="shared" si="4"/>
        <v>-2.5728049775106676E-3</v>
      </c>
      <c r="L26" s="309"/>
      <c r="M26" s="379" t="s">
        <v>252</v>
      </c>
      <c r="N26" s="379"/>
      <c r="O26" s="379"/>
      <c r="P26" s="379"/>
      <c r="Q26" s="379"/>
      <c r="R26" s="320"/>
      <c r="S26" s="320"/>
      <c r="T26" s="320"/>
      <c r="U26" s="320"/>
      <c r="V26" s="320"/>
      <c r="W26" s="320"/>
      <c r="X26" s="320"/>
      <c r="Y26" s="320"/>
      <c r="Z26" s="320"/>
    </row>
    <row r="27" spans="1:26" ht="16" thickBot="1" x14ac:dyDescent="0.25">
      <c r="C27" s="213"/>
      <c r="D27" s="320"/>
      <c r="E27" s="320"/>
      <c r="F27" s="320"/>
      <c r="G27" s="320"/>
      <c r="H27" s="320"/>
      <c r="I27" s="320"/>
      <c r="J27" s="320"/>
      <c r="K27" s="312"/>
      <c r="L27" s="95"/>
      <c r="M27" s="379"/>
      <c r="N27" s="379"/>
      <c r="O27" s="379"/>
      <c r="P27" s="379"/>
      <c r="Q27" s="379"/>
      <c r="R27" s="320"/>
      <c r="S27" s="320"/>
      <c r="T27" s="320"/>
      <c r="U27" s="320"/>
      <c r="V27" s="320"/>
      <c r="W27" s="320"/>
      <c r="X27" s="320"/>
      <c r="Y27" s="320"/>
      <c r="Z27" s="320"/>
    </row>
    <row r="28" spans="1:26" x14ac:dyDescent="0.2">
      <c r="A28" s="65" t="s">
        <v>56</v>
      </c>
      <c r="B28" s="38"/>
      <c r="C28" s="49">
        <v>2016</v>
      </c>
      <c r="D28" s="360">
        <v>2014</v>
      </c>
      <c r="E28" s="367">
        <v>2020</v>
      </c>
      <c r="F28" s="374">
        <v>2023</v>
      </c>
      <c r="G28" s="367">
        <v>2025</v>
      </c>
      <c r="H28" s="367">
        <v>2030</v>
      </c>
      <c r="I28" s="38">
        <v>2033</v>
      </c>
      <c r="J28" s="38" t="s">
        <v>1</v>
      </c>
      <c r="K28" s="314"/>
      <c r="L28" s="310"/>
      <c r="M28" s="379" t="s">
        <v>238</v>
      </c>
      <c r="N28" s="379"/>
      <c r="O28" s="379"/>
      <c r="P28" s="379"/>
      <c r="Q28" s="379"/>
      <c r="R28" s="320"/>
      <c r="S28" s="320"/>
      <c r="T28" s="320"/>
      <c r="U28" s="320"/>
      <c r="V28" s="320"/>
      <c r="W28" s="320"/>
      <c r="X28" s="320"/>
      <c r="Y28" s="320"/>
      <c r="Z28" s="320"/>
    </row>
    <row r="29" spans="1:26" x14ac:dyDescent="0.2">
      <c r="B29" s="37" t="s">
        <v>2</v>
      </c>
      <c r="C29" s="328">
        <f>C4/'Overview 2016 (in)'!$O$7</f>
        <v>1000</v>
      </c>
      <c r="D29" s="361">
        <v>550</v>
      </c>
      <c r="E29" s="110">
        <f>$D29*(1-$K29)^(E$28-$D$28)</f>
        <v>406.91115221988514</v>
      </c>
      <c r="F29" s="385">
        <v>350</v>
      </c>
      <c r="G29" s="110">
        <f>$F29*(1-$L29)^(G$28-$F$28)</f>
        <v>333.51930279302439</v>
      </c>
      <c r="H29" s="110">
        <f>$F29*(1-$L29)^(H$28-$F$28)</f>
        <v>295.63326444998853</v>
      </c>
      <c r="I29" s="361">
        <v>275</v>
      </c>
      <c r="J29" s="372" t="s">
        <v>247</v>
      </c>
      <c r="K29" s="312">
        <f>1-(F29/D29)^(1/(F$28-D$28))</f>
        <v>4.8980364374794583E-2</v>
      </c>
      <c r="L29" s="95">
        <f>1-(I29/F29)^(1/(I$28-F$28))</f>
        <v>2.3827733597007295E-2</v>
      </c>
      <c r="M29" s="379" t="s">
        <v>238</v>
      </c>
      <c r="N29" s="379"/>
      <c r="O29" s="379"/>
      <c r="P29" s="379"/>
      <c r="Q29" s="379"/>
      <c r="R29" s="320"/>
      <c r="S29" s="320"/>
      <c r="T29" s="320"/>
      <c r="U29" s="320"/>
      <c r="V29" s="320"/>
      <c r="W29" s="320"/>
      <c r="X29" s="320"/>
      <c r="Y29" s="320"/>
      <c r="Z29" s="320"/>
    </row>
    <row r="30" spans="1:26" x14ac:dyDescent="0.2">
      <c r="B30" s="40" t="s">
        <v>3</v>
      </c>
      <c r="C30" s="328">
        <f>C5/'Overview 2016 (in)'!$O$7</f>
        <v>0</v>
      </c>
      <c r="D30" s="397">
        <v>160</v>
      </c>
      <c r="E30" s="123"/>
      <c r="F30" s="397">
        <v>90</v>
      </c>
      <c r="G30" s="123"/>
      <c r="H30" s="123"/>
      <c r="I30" s="397">
        <v>40</v>
      </c>
      <c r="J30" s="372" t="s">
        <v>248</v>
      </c>
      <c r="K30" s="312"/>
      <c r="L30" s="95"/>
      <c r="M30" s="379" t="s">
        <v>238</v>
      </c>
      <c r="N30" s="379"/>
      <c r="O30" s="379"/>
      <c r="P30" s="379"/>
      <c r="Q30" s="379"/>
      <c r="R30" s="320"/>
      <c r="S30" s="320"/>
      <c r="T30" s="320"/>
      <c r="U30" s="320"/>
      <c r="V30" s="320"/>
      <c r="W30" s="320"/>
      <c r="X30" s="320"/>
      <c r="Y30" s="320"/>
      <c r="Z30" s="320"/>
    </row>
    <row r="31" spans="1:26" x14ac:dyDescent="0.2">
      <c r="B31" s="37" t="s">
        <v>4</v>
      </c>
      <c r="C31" s="329">
        <f t="shared" ref="C31:C33" si="5">C6</f>
        <v>10000</v>
      </c>
      <c r="D31" s="396"/>
      <c r="E31" s="124"/>
      <c r="F31" s="398"/>
      <c r="G31" s="124"/>
      <c r="H31" s="124"/>
      <c r="I31" s="399"/>
      <c r="J31" s="372" t="s">
        <v>5</v>
      </c>
      <c r="K31" s="312"/>
      <c r="L31" s="95"/>
      <c r="M31" s="379"/>
      <c r="N31" s="379"/>
      <c r="O31" s="379"/>
      <c r="P31" s="379"/>
      <c r="Q31" s="379"/>
      <c r="R31" s="320"/>
      <c r="S31" s="320"/>
      <c r="T31" s="320"/>
      <c r="U31" s="320"/>
      <c r="V31" s="320"/>
      <c r="W31" s="320"/>
      <c r="X31" s="320"/>
      <c r="Y31" s="320"/>
      <c r="Z31" s="320"/>
    </row>
    <row r="32" spans="1:26" x14ac:dyDescent="0.2">
      <c r="B32" s="37" t="s">
        <v>6</v>
      </c>
      <c r="C32" s="329">
        <f t="shared" si="5"/>
        <v>15</v>
      </c>
      <c r="D32" s="362">
        <v>12</v>
      </c>
      <c r="E32" s="111">
        <f>$D32*(1-$K32)^(E$28-$D$28)</f>
        <v>13.924766500838338</v>
      </c>
      <c r="F32" s="386">
        <v>15</v>
      </c>
      <c r="G32" s="111">
        <f>$F32*(1-$L32)^(G$28-$F$28)</f>
        <v>15.888357615732186</v>
      </c>
      <c r="H32" s="111">
        <f>$F32*(1-$L32)^(H$28-$F$28)</f>
        <v>18.346295092848042</v>
      </c>
      <c r="I32" s="362">
        <v>20</v>
      </c>
      <c r="J32" s="372" t="s">
        <v>7</v>
      </c>
      <c r="K32" s="312">
        <f>1-(F32/D32)^(1/(F$28-D$28))</f>
        <v>-2.5103648456901162E-2</v>
      </c>
      <c r="L32" s="95">
        <f>1-(I32/F32)^(1/(I$28-F$28))</f>
        <v>-2.9186008964760646E-2</v>
      </c>
      <c r="M32" s="379" t="s">
        <v>238</v>
      </c>
      <c r="N32" s="379"/>
      <c r="O32" s="379"/>
      <c r="P32" s="379"/>
      <c r="Q32" s="379"/>
      <c r="R32" s="320"/>
      <c r="S32" s="320"/>
      <c r="T32" s="320"/>
      <c r="U32" s="320"/>
      <c r="V32" s="320"/>
      <c r="W32" s="320"/>
      <c r="X32" s="320"/>
      <c r="Y32" s="320"/>
      <c r="Z32" s="320"/>
    </row>
    <row r="33" spans="1:26" ht="16" thickBot="1" x14ac:dyDescent="0.25">
      <c r="B33" s="6" t="s">
        <v>8</v>
      </c>
      <c r="C33" s="330">
        <f t="shared" si="5"/>
        <v>96</v>
      </c>
      <c r="D33" s="363">
        <v>90</v>
      </c>
      <c r="E33" s="112">
        <f>$D33*(1-$K33)^(E$28-$D$28)</f>
        <v>90</v>
      </c>
      <c r="F33" s="387">
        <v>90</v>
      </c>
      <c r="G33" s="112">
        <f>$F33*(1-$L33)^(G$28-$F$28)</f>
        <v>90</v>
      </c>
      <c r="H33" s="112">
        <f>$F33*(1-$L33)^(H$28-$F$28)</f>
        <v>90</v>
      </c>
      <c r="I33" s="363">
        <v>90</v>
      </c>
      <c r="J33" s="373" t="s">
        <v>9</v>
      </c>
      <c r="K33" s="313">
        <f>1-(F33/D33)^(1/(F$28-D$28))</f>
        <v>0</v>
      </c>
      <c r="L33" s="309">
        <f>1-(I33/F33)^(1/(I$28-F$28))</f>
        <v>0</v>
      </c>
      <c r="M33" s="379" t="s">
        <v>238</v>
      </c>
      <c r="N33" s="379"/>
      <c r="O33" s="379"/>
      <c r="P33" s="379"/>
      <c r="Q33" s="379"/>
      <c r="R33" s="320"/>
      <c r="S33" s="320"/>
      <c r="T33" s="320"/>
      <c r="U33" s="320"/>
      <c r="V33" s="320"/>
      <c r="W33" s="320"/>
      <c r="X33" s="320"/>
      <c r="Y33" s="320"/>
      <c r="Z33" s="320"/>
    </row>
    <row r="34" spans="1:26" ht="16" thickBot="1" x14ac:dyDescent="0.25">
      <c r="C34" s="213"/>
      <c r="D34" s="320"/>
      <c r="E34" s="320"/>
      <c r="F34" s="320"/>
      <c r="G34" s="320"/>
      <c r="H34" s="320"/>
      <c r="I34" s="320"/>
      <c r="J34" s="320"/>
      <c r="K34" s="312"/>
      <c r="L34" s="95"/>
      <c r="M34" s="379"/>
      <c r="N34" s="379"/>
      <c r="O34" s="379"/>
      <c r="P34" s="379"/>
      <c r="Q34" s="379"/>
      <c r="R34" s="320"/>
      <c r="S34" s="320"/>
      <c r="T34" s="320"/>
      <c r="U34" s="320"/>
      <c r="V34" s="320"/>
      <c r="W34" s="320"/>
      <c r="X34" s="320"/>
      <c r="Y34" s="320"/>
      <c r="Z34" s="320"/>
    </row>
    <row r="35" spans="1:26" x14ac:dyDescent="0.2">
      <c r="A35" s="65" t="s">
        <v>48</v>
      </c>
      <c r="B35" s="38"/>
      <c r="C35" s="49">
        <v>2016</v>
      </c>
      <c r="D35" s="360">
        <v>2015</v>
      </c>
      <c r="E35" s="367">
        <v>2020</v>
      </c>
      <c r="F35" s="367">
        <v>2023</v>
      </c>
      <c r="G35" s="367">
        <v>2025</v>
      </c>
      <c r="H35" s="367">
        <v>2030</v>
      </c>
      <c r="I35" s="38">
        <v>2033</v>
      </c>
      <c r="J35" s="38" t="s">
        <v>1</v>
      </c>
      <c r="K35" s="314"/>
      <c r="L35" s="310"/>
      <c r="M35" s="379"/>
      <c r="N35" s="379"/>
      <c r="O35" s="379"/>
      <c r="P35" s="379"/>
      <c r="Q35" s="379"/>
      <c r="R35" s="320"/>
      <c r="S35" s="320"/>
      <c r="T35" s="320"/>
      <c r="U35" s="320"/>
      <c r="V35" s="320"/>
      <c r="W35" s="320"/>
      <c r="X35" s="320"/>
      <c r="Y35" s="320"/>
      <c r="Z35" s="320"/>
    </row>
    <row r="36" spans="1:26" x14ac:dyDescent="0.2">
      <c r="B36" s="37" t="s">
        <v>2</v>
      </c>
      <c r="C36" s="328">
        <f>C4/'Overview 2016 (in)'!$O$7</f>
        <v>1000</v>
      </c>
      <c r="D36" s="361">
        <v>285</v>
      </c>
      <c r="E36" s="364">
        <v>180</v>
      </c>
      <c r="F36" s="87"/>
      <c r="G36" s="364">
        <v>145</v>
      </c>
      <c r="H36" s="181">
        <f>$E36*(1-$L36)^(H$35-$E$35)</f>
        <v>116.80555555555554</v>
      </c>
      <c r="I36" s="87"/>
      <c r="J36" s="372" t="s">
        <v>247</v>
      </c>
      <c r="K36" s="312">
        <f>1-(H36/D36)^(1/(H$35-D$35))</f>
        <v>5.7731710360176214E-2</v>
      </c>
      <c r="L36" s="95">
        <f>1-(G36/E36)^(1/(G$35-E$35))</f>
        <v>4.2322907181576386E-2</v>
      </c>
      <c r="M36" s="379" t="s">
        <v>254</v>
      </c>
      <c r="N36" s="379" t="s">
        <v>255</v>
      </c>
      <c r="O36" s="379"/>
      <c r="P36" s="379"/>
      <c r="Q36" s="379"/>
      <c r="R36" s="320"/>
      <c r="S36" s="320"/>
      <c r="T36" s="320"/>
      <c r="U36" s="320"/>
      <c r="V36" s="320"/>
      <c r="W36" s="320"/>
      <c r="X36" s="320"/>
      <c r="Y36" s="320"/>
      <c r="Z36" s="320"/>
    </row>
    <row r="37" spans="1:26" x14ac:dyDescent="0.2">
      <c r="B37" s="40" t="s">
        <v>3</v>
      </c>
      <c r="C37" s="328">
        <f>C5/'Overview 2016 (in)'!$O$7</f>
        <v>0</v>
      </c>
      <c r="D37" s="397">
        <v>125</v>
      </c>
      <c r="E37" s="401">
        <v>92.5</v>
      </c>
      <c r="F37" s="87"/>
      <c r="G37" s="402">
        <v>75</v>
      </c>
      <c r="H37" s="123"/>
      <c r="I37" s="87"/>
      <c r="J37" s="372" t="s">
        <v>248</v>
      </c>
      <c r="K37" s="312"/>
      <c r="L37" s="95"/>
      <c r="M37" s="379" t="s">
        <v>243</v>
      </c>
      <c r="N37" s="379"/>
      <c r="O37" s="379"/>
      <c r="P37" s="379"/>
      <c r="Q37" s="379"/>
      <c r="R37" s="320"/>
      <c r="S37" s="320"/>
      <c r="T37" s="320"/>
      <c r="U37" s="320"/>
      <c r="V37" s="320"/>
      <c r="W37" s="320"/>
      <c r="X37" s="320"/>
      <c r="Y37" s="320"/>
      <c r="Z37" s="320"/>
    </row>
    <row r="38" spans="1:26" x14ac:dyDescent="0.2">
      <c r="B38" s="37" t="s">
        <v>4</v>
      </c>
      <c r="C38" s="329">
        <f t="shared" ref="C38:C40" si="6">C6</f>
        <v>10000</v>
      </c>
      <c r="D38" s="362">
        <v>3000</v>
      </c>
      <c r="E38" s="380">
        <v>5000</v>
      </c>
      <c r="F38" s="88"/>
      <c r="G38" s="111">
        <f>$E38*(1-$L38)^(G$35-$E$35)</f>
        <v>5916.0797830996144</v>
      </c>
      <c r="H38" s="380">
        <v>7000</v>
      </c>
      <c r="I38" s="89"/>
      <c r="J38" s="320" t="s">
        <v>5</v>
      </c>
      <c r="K38" s="312">
        <f>1-(H38/D38)^(1/(H$35-D$35))</f>
        <v>-5.8112355609357458E-2</v>
      </c>
      <c r="L38" s="95">
        <f>1-(H38/E38)^(1/(H$35-E$35))</f>
        <v>-3.4219694129380196E-2</v>
      </c>
      <c r="M38" s="379" t="s">
        <v>256</v>
      </c>
      <c r="N38" s="379"/>
      <c r="O38" s="379"/>
      <c r="P38" s="379"/>
      <c r="Q38" s="379"/>
      <c r="R38" s="320"/>
      <c r="S38" s="320"/>
      <c r="T38" s="320"/>
      <c r="U38" s="320"/>
      <c r="V38" s="320"/>
      <c r="W38" s="320"/>
      <c r="X38" s="320"/>
      <c r="Y38" s="320"/>
      <c r="Z38" s="320"/>
    </row>
    <row r="39" spans="1:26" x14ac:dyDescent="0.2">
      <c r="B39" s="37" t="s">
        <v>6</v>
      </c>
      <c r="C39" s="329">
        <f t="shared" si="6"/>
        <v>15</v>
      </c>
      <c r="D39" s="362">
        <v>12.5</v>
      </c>
      <c r="E39" s="380">
        <v>20</v>
      </c>
      <c r="F39" s="88"/>
      <c r="G39" s="111">
        <f>$E39*(1-$L39)^(G$21-$E$21)</f>
        <v>20</v>
      </c>
      <c r="H39" s="380">
        <v>20</v>
      </c>
      <c r="I39" s="391"/>
      <c r="J39" s="320" t="s">
        <v>7</v>
      </c>
      <c r="K39" s="312">
        <f t="shared" ref="K39:K40" si="7">1-(H39/D39)^(1/(H$35-D$35))</f>
        <v>-3.1829639349793881E-2</v>
      </c>
      <c r="L39" s="95">
        <f>1-(H39/E39)^(1/(H$21-E$21))</f>
        <v>0</v>
      </c>
      <c r="M39" s="379" t="s">
        <v>256</v>
      </c>
      <c r="N39" s="379"/>
      <c r="O39" s="379"/>
      <c r="P39" s="379"/>
      <c r="Q39" s="379"/>
      <c r="R39" s="320"/>
      <c r="S39" s="320"/>
      <c r="T39" s="320"/>
      <c r="U39" s="320"/>
      <c r="V39" s="320"/>
      <c r="W39" s="320"/>
      <c r="X39" s="320"/>
      <c r="Y39" s="320"/>
      <c r="Z39" s="320"/>
    </row>
    <row r="40" spans="1:26" ht="16" thickBot="1" x14ac:dyDescent="0.25">
      <c r="B40" s="6" t="s">
        <v>8</v>
      </c>
      <c r="C40" s="336">
        <f t="shared" si="6"/>
        <v>96</v>
      </c>
      <c r="D40" s="400">
        <v>97</v>
      </c>
      <c r="E40" s="400">
        <v>97</v>
      </c>
      <c r="F40" s="94"/>
      <c r="G40" s="121">
        <f>$E40*(1-$L40)^(G$21-$E$21)</f>
        <v>97</v>
      </c>
      <c r="H40" s="400">
        <v>97</v>
      </c>
      <c r="I40" s="94"/>
      <c r="J40" s="7" t="s">
        <v>9</v>
      </c>
      <c r="K40" s="313">
        <f t="shared" si="7"/>
        <v>0</v>
      </c>
      <c r="L40" s="309">
        <f>1-(H40/E40)^(1/(H$21-E$21))</f>
        <v>0</v>
      </c>
      <c r="M40" s="379" t="s">
        <v>256</v>
      </c>
      <c r="N40" s="379"/>
      <c r="O40" s="379"/>
      <c r="P40" s="379"/>
      <c r="Q40" s="379"/>
      <c r="R40" s="320"/>
      <c r="S40" s="320"/>
      <c r="T40" s="320"/>
      <c r="U40" s="320"/>
      <c r="V40" s="320"/>
      <c r="W40" s="320"/>
      <c r="X40" s="320"/>
      <c r="Y40" s="320"/>
      <c r="Z40" s="320"/>
    </row>
    <row r="41" spans="1:26" ht="16" thickBot="1" x14ac:dyDescent="0.25">
      <c r="B41" s="40"/>
      <c r="C41" s="337"/>
      <c r="D41" s="84"/>
      <c r="E41" s="73"/>
      <c r="F41" s="73"/>
      <c r="G41" s="85"/>
      <c r="H41" s="85"/>
      <c r="I41" s="86"/>
      <c r="J41" s="39"/>
      <c r="K41" s="320"/>
      <c r="L41" s="320"/>
      <c r="M41" s="379"/>
      <c r="N41" s="379"/>
      <c r="O41" s="379"/>
      <c r="P41" s="379"/>
      <c r="Q41" s="379"/>
      <c r="R41" s="320"/>
      <c r="S41" s="320"/>
      <c r="T41" s="320"/>
      <c r="U41" s="320"/>
      <c r="V41" s="320"/>
      <c r="W41" s="320"/>
      <c r="X41" s="320"/>
      <c r="Y41" s="320"/>
      <c r="Z41" s="320"/>
    </row>
    <row r="42" spans="1:26" x14ac:dyDescent="0.2">
      <c r="A42" s="65" t="s">
        <v>229</v>
      </c>
      <c r="B42" s="38"/>
      <c r="C42" s="49">
        <v>2016</v>
      </c>
      <c r="D42" s="360">
        <v>2013</v>
      </c>
      <c r="E42" s="367">
        <v>2020</v>
      </c>
      <c r="F42" s="367">
        <v>2023</v>
      </c>
      <c r="G42" s="367">
        <v>2025</v>
      </c>
      <c r="H42" s="367">
        <v>2030</v>
      </c>
      <c r="I42" s="38">
        <v>2050</v>
      </c>
      <c r="J42" s="38" t="s">
        <v>1</v>
      </c>
      <c r="K42" s="314"/>
      <c r="L42" s="310"/>
      <c r="M42" s="379"/>
      <c r="N42" s="379"/>
      <c r="O42" s="379"/>
      <c r="P42" s="379"/>
      <c r="Q42" s="379"/>
      <c r="R42" s="320"/>
      <c r="S42" s="320"/>
      <c r="T42" s="320"/>
      <c r="U42" s="320"/>
      <c r="V42" s="320"/>
      <c r="W42" s="320"/>
      <c r="X42" s="320"/>
      <c r="Y42" s="320"/>
      <c r="Z42" s="320"/>
    </row>
    <row r="43" spans="1:26" x14ac:dyDescent="0.2">
      <c r="B43" s="37" t="s">
        <v>2</v>
      </c>
      <c r="C43" s="328">
        <f>C4/'Overview 2016 (in)'!$O$7</f>
        <v>1000</v>
      </c>
      <c r="D43" s="361">
        <v>445</v>
      </c>
      <c r="E43" s="110">
        <f>$D43*(1-$K43)^(E$42-$D$42)</f>
        <v>199.04963344344532</v>
      </c>
      <c r="F43" s="385">
        <v>141</v>
      </c>
      <c r="G43" s="110">
        <f>$F43*(1-$L43)^(G$42-$F$42)</f>
        <v>138.00291165715254</v>
      </c>
      <c r="H43" s="110">
        <f>$F43*(1-$L43)^(H$42-$F$42)</f>
        <v>130.78595004595371</v>
      </c>
      <c r="I43" s="385">
        <v>105.5</v>
      </c>
      <c r="J43" s="372" t="s">
        <v>247</v>
      </c>
      <c r="K43" s="312">
        <f>1-(F43/D43)^(1/(F$42-D$42))</f>
        <v>0.10857274120333937</v>
      </c>
      <c r="L43" s="95">
        <f>1-(I43/F43)^(1/(I$42-F$42))</f>
        <v>1.0685058080064036E-2</v>
      </c>
      <c r="M43" s="379" t="s">
        <v>257</v>
      </c>
      <c r="N43" s="379" t="s">
        <v>258</v>
      </c>
      <c r="O43" s="379"/>
      <c r="P43" s="379"/>
      <c r="Q43" s="379"/>
      <c r="R43" s="320"/>
      <c r="S43" s="320"/>
      <c r="T43" s="320"/>
      <c r="U43" s="320"/>
      <c r="V43" s="320"/>
      <c r="W43" s="320"/>
      <c r="X43" s="320"/>
      <c r="Y43" s="320"/>
      <c r="Z43" s="320"/>
    </row>
    <row r="44" spans="1:26" x14ac:dyDescent="0.2">
      <c r="B44" s="40" t="s">
        <v>3</v>
      </c>
      <c r="C44" s="328">
        <f>C5/'Overview 2016 (in)'!$O$7</f>
        <v>0</v>
      </c>
      <c r="D44" s="397">
        <v>160</v>
      </c>
      <c r="E44" s="123"/>
      <c r="F44" s="397">
        <v>72.5</v>
      </c>
      <c r="G44" s="123"/>
      <c r="H44" s="123"/>
      <c r="I44" s="397">
        <v>45</v>
      </c>
      <c r="J44" s="372" t="s">
        <v>248</v>
      </c>
      <c r="K44" s="312"/>
      <c r="L44" s="95"/>
      <c r="M44" s="379" t="s">
        <v>257</v>
      </c>
      <c r="N44" s="379"/>
      <c r="O44" s="379"/>
      <c r="P44" s="379"/>
      <c r="Q44" s="379"/>
      <c r="R44" s="320"/>
      <c r="S44" s="320"/>
      <c r="T44" s="320"/>
      <c r="U44" s="320"/>
      <c r="V44" s="320"/>
      <c r="W44" s="320"/>
      <c r="X44" s="320"/>
      <c r="Y44" s="320"/>
      <c r="Z44" s="320"/>
    </row>
    <row r="45" spans="1:26" x14ac:dyDescent="0.2">
      <c r="B45" s="37" t="s">
        <v>4</v>
      </c>
      <c r="C45" s="329">
        <f t="shared" ref="C45:C47" si="8">C6</f>
        <v>10000</v>
      </c>
      <c r="D45" s="362">
        <v>5000</v>
      </c>
      <c r="E45" s="111">
        <f>$D45*(1-$K45)^(E$42-$D$42)</f>
        <v>6327.9003196206622</v>
      </c>
      <c r="F45" s="386">
        <v>7000</v>
      </c>
      <c r="G45" s="111">
        <f t="shared" ref="G45:H47" si="9">$F45*(1-$L45)^(G$42-$F$42)</f>
        <v>7285.1338713304003</v>
      </c>
      <c r="H45" s="111">
        <f t="shared" si="9"/>
        <v>8049.8220257098674</v>
      </c>
      <c r="I45" s="403">
        <v>12000</v>
      </c>
      <c r="J45" s="320" t="s">
        <v>5</v>
      </c>
      <c r="K45" s="312">
        <f>1-(F45/D45)^(1/(F$42-D$42))</f>
        <v>-3.4219694129380196E-2</v>
      </c>
      <c r="L45" s="95">
        <f>1-(I45/F45)^(1/(I$42-F$42))</f>
        <v>-2.0163423275926462E-2</v>
      </c>
      <c r="M45" s="379" t="s">
        <v>257</v>
      </c>
      <c r="N45" s="379"/>
      <c r="O45" s="379"/>
      <c r="P45" s="379"/>
      <c r="Q45" s="379"/>
      <c r="R45" s="320"/>
      <c r="S45" s="320"/>
      <c r="T45" s="320"/>
      <c r="U45" s="320"/>
      <c r="V45" s="320"/>
      <c r="W45" s="320"/>
      <c r="X45" s="320"/>
      <c r="Y45" s="320"/>
      <c r="Z45" s="320"/>
    </row>
    <row r="46" spans="1:26" x14ac:dyDescent="0.2">
      <c r="B46" s="37" t="s">
        <v>6</v>
      </c>
      <c r="C46" s="329">
        <f t="shared" si="8"/>
        <v>15</v>
      </c>
      <c r="D46" s="362">
        <v>13</v>
      </c>
      <c r="E46" s="111">
        <f>$D46*(1-$K46)^(E$42-$D$42)</f>
        <v>15.685459678171382</v>
      </c>
      <c r="F46" s="405">
        <v>17</v>
      </c>
      <c r="G46" s="111">
        <f t="shared" si="9"/>
        <v>17.327793907858741</v>
      </c>
      <c r="H46" s="111">
        <f t="shared" si="9"/>
        <v>18.175198190909164</v>
      </c>
      <c r="I46" s="403">
        <v>22</v>
      </c>
      <c r="J46" s="320" t="s">
        <v>7</v>
      </c>
      <c r="K46" s="312">
        <f>1-(F46/D46)^(1/(F$42-D$42))</f>
        <v>-2.7189465815924629E-2</v>
      </c>
      <c r="L46" s="95">
        <f>1-(I46/F46)^(1/(I$42-F$42))</f>
        <v>-9.5949656074587608E-3</v>
      </c>
      <c r="M46" s="379" t="s">
        <v>257</v>
      </c>
      <c r="N46" s="379"/>
      <c r="O46" s="379"/>
      <c r="P46" s="379"/>
      <c r="Q46" s="379"/>
      <c r="R46" s="320"/>
      <c r="S46" s="320"/>
      <c r="T46" s="320"/>
      <c r="U46" s="320"/>
      <c r="V46" s="320"/>
      <c r="W46" s="320"/>
      <c r="X46" s="320"/>
      <c r="Y46" s="320"/>
      <c r="Z46" s="320"/>
    </row>
    <row r="47" spans="1:26" ht="16" thickBot="1" x14ac:dyDescent="0.25">
      <c r="B47" s="6" t="s">
        <v>8</v>
      </c>
      <c r="C47" s="336">
        <f t="shared" si="8"/>
        <v>96</v>
      </c>
      <c r="D47" s="400">
        <v>85.5</v>
      </c>
      <c r="E47" s="112">
        <f>$D47*(1-$K47)^(E$42-$D$42)</f>
        <v>86.547257639084734</v>
      </c>
      <c r="F47" s="404">
        <v>87</v>
      </c>
      <c r="G47" s="112">
        <f t="shared" si="9"/>
        <v>87.218751218274875</v>
      </c>
      <c r="H47" s="112">
        <f t="shared" si="9"/>
        <v>87.768038645537743</v>
      </c>
      <c r="I47" s="404">
        <v>90</v>
      </c>
      <c r="J47" s="7" t="s">
        <v>9</v>
      </c>
      <c r="K47" s="313">
        <f>1-(F47/D47)^(1/(F$42-D$42))</f>
        <v>-1.740687511895711E-3</v>
      </c>
      <c r="L47" s="309">
        <f>1-(I47/F47)^(1/(I$42-F$42))</f>
        <v>-1.2564016370888442E-3</v>
      </c>
      <c r="M47" s="379" t="s">
        <v>257</v>
      </c>
      <c r="N47" s="379" t="s">
        <v>259</v>
      </c>
      <c r="O47" s="379"/>
      <c r="P47" s="379"/>
      <c r="Q47" s="379"/>
      <c r="R47" s="320"/>
      <c r="S47" s="320"/>
      <c r="T47" s="320"/>
      <c r="U47" s="320"/>
      <c r="V47" s="320"/>
      <c r="W47" s="320"/>
      <c r="X47" s="320"/>
      <c r="Y47" s="320"/>
      <c r="Z47" s="320"/>
    </row>
    <row r="48" spans="1:26" ht="16" thickBot="1" x14ac:dyDescent="0.25">
      <c r="C48" s="213"/>
      <c r="D48" s="320"/>
      <c r="E48" s="320"/>
      <c r="F48" s="320"/>
      <c r="G48" s="320"/>
      <c r="H48" s="320"/>
      <c r="I48" s="320"/>
      <c r="J48" s="320"/>
      <c r="K48" s="312"/>
      <c r="L48" s="95"/>
      <c r="M48" s="379"/>
      <c r="N48" s="379"/>
      <c r="O48" s="379"/>
      <c r="P48" s="379"/>
      <c r="Q48" s="379"/>
      <c r="R48" s="320"/>
      <c r="S48" s="320"/>
      <c r="T48" s="320"/>
      <c r="U48" s="320"/>
      <c r="V48" s="320"/>
      <c r="W48" s="320"/>
      <c r="X48" s="320"/>
      <c r="Y48" s="320"/>
      <c r="Z48" s="320"/>
    </row>
    <row r="49" spans="1:26" x14ac:dyDescent="0.2">
      <c r="A49" s="65" t="s">
        <v>103</v>
      </c>
      <c r="B49" s="62"/>
      <c r="C49" s="49">
        <v>2016</v>
      </c>
      <c r="D49" s="360">
        <v>2014</v>
      </c>
      <c r="E49" s="38">
        <v>2017</v>
      </c>
      <c r="F49" s="62">
        <v>2020</v>
      </c>
      <c r="G49" s="62">
        <v>2025</v>
      </c>
      <c r="H49" s="62">
        <v>2030</v>
      </c>
      <c r="I49" s="38">
        <v>2050</v>
      </c>
      <c r="J49" s="38" t="s">
        <v>1</v>
      </c>
      <c r="K49" s="314"/>
      <c r="L49" s="310"/>
      <c r="M49" s="379"/>
      <c r="N49" s="379"/>
      <c r="O49" s="379"/>
      <c r="P49" s="379"/>
      <c r="Q49" s="379"/>
      <c r="R49" s="320"/>
      <c r="S49" s="320"/>
      <c r="T49" s="320"/>
      <c r="U49" s="320"/>
      <c r="V49" s="320"/>
      <c r="W49" s="320"/>
      <c r="X49" s="320"/>
      <c r="Y49" s="320"/>
      <c r="Z49" s="320"/>
    </row>
    <row r="50" spans="1:26" x14ac:dyDescent="0.2">
      <c r="A50" s="182"/>
      <c r="B50" s="37" t="s">
        <v>2</v>
      </c>
      <c r="C50" s="334">
        <f>C4</f>
        <v>1050</v>
      </c>
      <c r="D50" s="388">
        <v>800</v>
      </c>
      <c r="E50" s="388">
        <v>650</v>
      </c>
      <c r="F50" s="389">
        <v>600</v>
      </c>
      <c r="G50" s="125">
        <f>$F50*(1-$L50)^(G$49-$F$49)</f>
        <v>472.10177853974187</v>
      </c>
      <c r="H50" s="125">
        <f>$F50*(1-$L50)^(H$49-$F$49)</f>
        <v>371.46681550064579</v>
      </c>
      <c r="I50" s="317"/>
      <c r="J50" s="320" t="s">
        <v>22</v>
      </c>
      <c r="K50" s="312">
        <f>1-(E50/D50)^(1/(E$49-D$49))</f>
        <v>6.6872210795687947E-2</v>
      </c>
      <c r="L50" s="95">
        <f>1-(F50/D50)^(1/(F$49-D$49))</f>
        <v>4.6815707003063367E-2</v>
      </c>
      <c r="M50" s="379" t="s">
        <v>260</v>
      </c>
      <c r="N50" s="379"/>
      <c r="O50" s="379"/>
      <c r="P50" s="379"/>
      <c r="Q50" s="379"/>
      <c r="R50" s="320"/>
      <c r="S50" s="320"/>
      <c r="T50" s="320"/>
      <c r="U50" s="320"/>
      <c r="V50" s="320"/>
      <c r="W50" s="320"/>
      <c r="X50" s="320"/>
      <c r="Y50" s="320"/>
      <c r="Z50" s="320"/>
    </row>
    <row r="51" spans="1:26" x14ac:dyDescent="0.2">
      <c r="A51" s="182"/>
      <c r="B51" s="40" t="s">
        <v>3</v>
      </c>
      <c r="C51" s="334">
        <f t="shared" ref="C51:C54" si="10">C5</f>
        <v>0</v>
      </c>
      <c r="D51" s="160"/>
      <c r="E51" s="317"/>
      <c r="F51" s="392"/>
      <c r="G51" s="162"/>
      <c r="H51" s="162"/>
      <c r="I51" s="163"/>
      <c r="J51" s="320" t="s">
        <v>23</v>
      </c>
      <c r="K51" s="312"/>
      <c r="L51" s="95"/>
      <c r="M51" s="379"/>
      <c r="N51" s="379"/>
      <c r="O51" s="379"/>
      <c r="P51" s="379"/>
      <c r="Q51" s="379"/>
      <c r="R51" s="320"/>
      <c r="S51" s="320"/>
      <c r="T51" s="320"/>
      <c r="U51" s="320"/>
      <c r="V51" s="320"/>
      <c r="W51" s="320"/>
      <c r="X51" s="320"/>
      <c r="Y51" s="320"/>
      <c r="Z51" s="320"/>
    </row>
    <row r="52" spans="1:26" x14ac:dyDescent="0.2">
      <c r="A52" s="182"/>
      <c r="B52" s="37" t="s">
        <v>4</v>
      </c>
      <c r="C52" s="334">
        <f t="shared" si="10"/>
        <v>10000</v>
      </c>
      <c r="D52" s="160"/>
      <c r="E52" s="163"/>
      <c r="F52" s="124"/>
      <c r="G52" s="124"/>
      <c r="H52" s="124"/>
      <c r="I52" s="89"/>
      <c r="J52" s="320" t="s">
        <v>5</v>
      </c>
      <c r="K52" s="312"/>
      <c r="L52" s="95"/>
      <c r="M52" s="379"/>
      <c r="N52" s="379"/>
      <c r="O52" s="379"/>
      <c r="P52" s="379"/>
      <c r="Q52" s="379"/>
      <c r="R52" s="320"/>
      <c r="S52" s="320"/>
      <c r="T52" s="320"/>
      <c r="U52" s="320"/>
      <c r="V52" s="320"/>
      <c r="W52" s="320"/>
      <c r="X52" s="320"/>
      <c r="Y52" s="320"/>
      <c r="Z52" s="320"/>
    </row>
    <row r="53" spans="1:26" x14ac:dyDescent="0.2">
      <c r="A53" s="182"/>
      <c r="B53" s="37" t="s">
        <v>6</v>
      </c>
      <c r="C53" s="334">
        <f t="shared" si="10"/>
        <v>15</v>
      </c>
      <c r="D53" s="160"/>
      <c r="E53" s="163"/>
      <c r="F53" s="124"/>
      <c r="G53" s="124"/>
      <c r="H53" s="124"/>
      <c r="I53" s="88"/>
      <c r="J53" s="320" t="s">
        <v>7</v>
      </c>
      <c r="K53" s="312"/>
      <c r="L53" s="95"/>
      <c r="M53" s="379"/>
      <c r="N53" s="379"/>
      <c r="O53" s="379"/>
      <c r="P53" s="379"/>
      <c r="Q53" s="379"/>
      <c r="R53" s="320"/>
      <c r="S53" s="320"/>
      <c r="T53" s="320"/>
      <c r="U53" s="320"/>
      <c r="V53" s="320"/>
      <c r="W53" s="320"/>
      <c r="X53" s="320"/>
      <c r="Y53" s="320"/>
      <c r="Z53" s="320"/>
    </row>
    <row r="54" spans="1:26" ht="16" thickBot="1" x14ac:dyDescent="0.25">
      <c r="A54" s="182"/>
      <c r="B54" s="6" t="s">
        <v>8</v>
      </c>
      <c r="C54" s="335">
        <f t="shared" si="10"/>
        <v>96</v>
      </c>
      <c r="D54" s="183"/>
      <c r="E54" s="318"/>
      <c r="F54" s="130"/>
      <c r="G54" s="130"/>
      <c r="H54" s="130"/>
      <c r="I54" s="90"/>
      <c r="J54" s="7" t="s">
        <v>9</v>
      </c>
      <c r="K54" s="313"/>
      <c r="L54" s="309"/>
      <c r="M54" s="379"/>
      <c r="N54" s="379"/>
      <c r="O54" s="379"/>
      <c r="P54" s="379"/>
      <c r="Q54" s="379"/>
      <c r="R54" s="320"/>
      <c r="S54" s="320"/>
      <c r="T54" s="320"/>
      <c r="U54" s="320"/>
      <c r="V54" s="320"/>
      <c r="W54" s="320"/>
      <c r="X54" s="320"/>
      <c r="Y54" s="320"/>
      <c r="Z54" s="320"/>
    </row>
    <row r="55" spans="1:26" x14ac:dyDescent="0.2">
      <c r="D55" s="320"/>
      <c r="E55" s="320"/>
      <c r="F55" s="320"/>
      <c r="G55" s="320"/>
      <c r="H55" s="320"/>
      <c r="I55" s="320"/>
      <c r="J55" s="320"/>
      <c r="K55" s="320"/>
      <c r="L55" s="320"/>
      <c r="M55" s="320"/>
      <c r="N55" s="320"/>
      <c r="O55" s="320"/>
      <c r="P55" s="320"/>
      <c r="Q55" s="320"/>
      <c r="R55" s="320"/>
      <c r="S55" s="320"/>
      <c r="T55" s="320"/>
      <c r="U55" s="320"/>
      <c r="V55" s="320"/>
      <c r="W55" s="320"/>
      <c r="X55" s="320"/>
      <c r="Y55" s="320"/>
      <c r="Z55" s="320"/>
    </row>
    <row r="56" spans="1:26" x14ac:dyDescent="0.2">
      <c r="A56" s="308"/>
      <c r="B56" s="308"/>
      <c r="C56" s="308"/>
      <c r="D56" s="408" t="s">
        <v>262</v>
      </c>
      <c r="E56" s="408" t="s">
        <v>263</v>
      </c>
      <c r="F56" s="408" t="s">
        <v>264</v>
      </c>
      <c r="G56" s="408" t="s">
        <v>265</v>
      </c>
      <c r="H56" s="320"/>
      <c r="I56" s="320"/>
      <c r="J56" s="320"/>
      <c r="K56" s="320"/>
      <c r="L56" s="320"/>
      <c r="M56" s="320"/>
      <c r="N56" s="320"/>
      <c r="O56" s="320"/>
      <c r="P56" s="320"/>
      <c r="Q56" s="320"/>
      <c r="R56" s="320"/>
      <c r="S56" s="320"/>
      <c r="T56" s="320"/>
      <c r="U56" s="320"/>
      <c r="V56" s="320"/>
      <c r="W56" s="320"/>
      <c r="X56" s="320"/>
      <c r="Y56" s="320"/>
      <c r="Z56" s="320"/>
    </row>
    <row r="57" spans="1:26" x14ac:dyDescent="0.2">
      <c r="A57" s="308"/>
      <c r="B57" s="308"/>
      <c r="C57" s="308"/>
      <c r="D57" s="406">
        <f>H22/D22</f>
        <v>0.40909090909090912</v>
      </c>
      <c r="E57" s="406">
        <f>H24/D24</f>
        <v>2.1666666666666665</v>
      </c>
      <c r="F57" s="406">
        <f>H25/D25</f>
        <v>1.6</v>
      </c>
      <c r="G57" s="406">
        <f>H26/D26</f>
        <v>1.0473372781065089</v>
      </c>
      <c r="H57" s="320"/>
      <c r="I57" s="320"/>
      <c r="J57" s="320"/>
      <c r="K57" s="320"/>
      <c r="L57" s="320"/>
      <c r="M57" s="320"/>
      <c r="N57" s="320"/>
      <c r="O57" s="320"/>
      <c r="P57" s="320"/>
      <c r="Q57" s="320"/>
      <c r="R57" s="320"/>
      <c r="S57" s="320"/>
      <c r="T57" s="320"/>
      <c r="U57" s="320"/>
      <c r="V57" s="320"/>
      <c r="W57" s="320"/>
      <c r="X57" s="320"/>
      <c r="Y57" s="320"/>
      <c r="Z57" s="320"/>
    </row>
    <row r="58" spans="1:26" x14ac:dyDescent="0.2">
      <c r="A58" s="308"/>
      <c r="B58" s="308"/>
      <c r="C58" s="308"/>
      <c r="D58" s="406">
        <f>H29/D29</f>
        <v>0.53751502627270642</v>
      </c>
      <c r="E58" s="406">
        <f>H32/D32</f>
        <v>1.5288579244040035</v>
      </c>
      <c r="F58" s="406">
        <f>H32/D32</f>
        <v>1.5288579244040035</v>
      </c>
      <c r="G58" s="406">
        <f>H33/D33</f>
        <v>1</v>
      </c>
      <c r="H58" s="320"/>
      <c r="I58" s="320"/>
      <c r="J58" s="320"/>
      <c r="K58" s="320"/>
      <c r="L58" s="320"/>
      <c r="M58" s="320"/>
      <c r="N58" s="320"/>
      <c r="O58" s="320"/>
      <c r="P58" s="320"/>
      <c r="Q58" s="320"/>
      <c r="R58" s="320"/>
      <c r="S58" s="320"/>
      <c r="T58" s="320"/>
      <c r="U58" s="320"/>
      <c r="V58" s="320"/>
      <c r="W58" s="320"/>
      <c r="X58" s="320"/>
      <c r="Y58" s="320"/>
      <c r="Z58" s="320"/>
    </row>
    <row r="59" spans="1:26" x14ac:dyDescent="0.2">
      <c r="A59" s="308"/>
      <c r="B59" s="308"/>
      <c r="C59" s="308"/>
      <c r="D59" s="406">
        <f>H36/D36</f>
        <v>0.40984405458089662</v>
      </c>
      <c r="E59" s="406">
        <f>H38/D38</f>
        <v>2.3333333333333335</v>
      </c>
      <c r="F59" s="406">
        <f>H39/D39</f>
        <v>1.6</v>
      </c>
      <c r="G59" s="406">
        <f>H40/D40</f>
        <v>1</v>
      </c>
      <c r="H59" s="320"/>
      <c r="I59" s="320"/>
      <c r="J59" s="320"/>
      <c r="K59" s="320"/>
      <c r="L59" s="320"/>
      <c r="M59" s="320"/>
      <c r="N59" s="320"/>
      <c r="O59" s="320"/>
      <c r="P59" s="320"/>
      <c r="Q59" s="320"/>
      <c r="R59" s="320"/>
      <c r="S59" s="320"/>
      <c r="T59" s="320"/>
      <c r="U59" s="320"/>
      <c r="V59" s="320"/>
      <c r="W59" s="320"/>
      <c r="X59" s="320"/>
      <c r="Y59" s="320"/>
      <c r="Z59" s="320"/>
    </row>
    <row r="60" spans="1:26" x14ac:dyDescent="0.2">
      <c r="A60" s="308"/>
      <c r="B60" s="308"/>
      <c r="C60" s="308"/>
      <c r="D60" s="406">
        <f>H43/D43</f>
        <v>0.29390101133922181</v>
      </c>
      <c r="E60" s="406">
        <f>H45/D45</f>
        <v>1.6099644051419735</v>
      </c>
      <c r="F60" s="406">
        <f>H46/D46</f>
        <v>1.3980921685314742</v>
      </c>
      <c r="G60" s="406">
        <f>H47/D47</f>
        <v>1.0265267677840673</v>
      </c>
      <c r="H60" s="320"/>
      <c r="I60" s="320"/>
      <c r="J60" s="320"/>
      <c r="K60" s="320"/>
      <c r="L60" s="320"/>
      <c r="M60" s="320"/>
      <c r="N60" s="320"/>
      <c r="O60" s="320"/>
      <c r="P60" s="320"/>
      <c r="Q60" s="320"/>
      <c r="R60" s="320"/>
      <c r="S60" s="320"/>
      <c r="T60" s="320"/>
      <c r="U60" s="320"/>
      <c r="V60" s="320"/>
      <c r="W60" s="320"/>
      <c r="X60" s="320"/>
      <c r="Y60" s="320"/>
      <c r="Z60" s="320"/>
    </row>
    <row r="61" spans="1:26" x14ac:dyDescent="0.2">
      <c r="A61" s="308"/>
      <c r="B61" s="308"/>
      <c r="C61" s="308"/>
      <c r="D61" s="406">
        <f>H50/D50</f>
        <v>0.46433351937580725</v>
      </c>
      <c r="E61" s="406"/>
      <c r="F61" s="406"/>
      <c r="G61" s="406"/>
      <c r="H61" s="320"/>
      <c r="I61" s="320"/>
      <c r="J61" s="320"/>
      <c r="K61" s="320"/>
      <c r="L61" s="320"/>
      <c r="M61" s="320"/>
      <c r="N61" s="320"/>
      <c r="O61" s="320"/>
      <c r="P61" s="320"/>
      <c r="Q61" s="320"/>
      <c r="R61" s="320"/>
      <c r="S61" s="320"/>
      <c r="T61" s="320"/>
      <c r="U61" s="320"/>
      <c r="V61" s="320"/>
      <c r="W61" s="320"/>
      <c r="X61" s="320"/>
      <c r="Y61" s="320"/>
      <c r="Z61" s="320"/>
    </row>
    <row r="62" spans="1:26" x14ac:dyDescent="0.2">
      <c r="A62" s="308"/>
      <c r="B62" s="308"/>
      <c r="C62" s="308"/>
      <c r="D62" s="408" t="s">
        <v>261</v>
      </c>
      <c r="E62" s="408" t="s">
        <v>261</v>
      </c>
      <c r="F62" s="408" t="s">
        <v>261</v>
      </c>
      <c r="G62" s="408" t="s">
        <v>261</v>
      </c>
      <c r="H62" s="320"/>
      <c r="I62" s="320"/>
      <c r="J62" s="320"/>
      <c r="K62" s="320"/>
      <c r="L62" s="320"/>
      <c r="M62" s="320"/>
      <c r="N62" s="320"/>
      <c r="O62" s="320"/>
      <c r="P62" s="320"/>
      <c r="Q62" s="320"/>
      <c r="R62" s="320"/>
      <c r="S62" s="320"/>
      <c r="T62" s="320"/>
      <c r="U62" s="320"/>
      <c r="V62" s="320"/>
      <c r="W62" s="320"/>
      <c r="X62" s="320"/>
      <c r="Y62" s="320"/>
      <c r="Z62" s="320"/>
    </row>
    <row r="63" spans="1:26" x14ac:dyDescent="0.2">
      <c r="A63" s="308"/>
      <c r="B63" s="308"/>
      <c r="C63" s="308"/>
      <c r="D63" s="406">
        <f>(SUM(D57:D59)+D61)/4</f>
        <v>0.45519587733007982</v>
      </c>
      <c r="E63" s="406">
        <f t="shared" ref="E63:G63" si="11">AVERAGE(E57:E60)</f>
        <v>1.9097055823864943</v>
      </c>
      <c r="F63" s="406">
        <f t="shared" si="11"/>
        <v>1.5317375232338695</v>
      </c>
      <c r="G63" s="406">
        <f t="shared" si="11"/>
        <v>1.018466011472644</v>
      </c>
      <c r="H63" s="320"/>
      <c r="I63" s="320"/>
      <c r="J63" s="320"/>
      <c r="K63" s="320"/>
      <c r="L63" s="320"/>
      <c r="M63" s="320"/>
      <c r="N63" s="320"/>
      <c r="O63" s="320"/>
      <c r="P63" s="320"/>
      <c r="Q63" s="320"/>
      <c r="R63" s="320"/>
      <c r="S63" s="320"/>
      <c r="T63" s="320"/>
      <c r="U63" s="320"/>
      <c r="V63" s="320"/>
      <c r="W63" s="320"/>
      <c r="X63" s="320"/>
      <c r="Y63" s="320"/>
      <c r="Z63" s="320"/>
    </row>
    <row r="64" spans="1:26" x14ac:dyDescent="0.2">
      <c r="A64" s="308"/>
      <c r="B64" s="308"/>
      <c r="C64" s="308"/>
      <c r="D64" s="320"/>
      <c r="E64" s="320"/>
      <c r="F64" s="320"/>
      <c r="G64" s="320"/>
      <c r="H64" s="320"/>
      <c r="I64" s="320"/>
      <c r="J64" s="320"/>
      <c r="K64" s="320"/>
      <c r="L64" s="320"/>
      <c r="M64" s="320"/>
      <c r="N64" s="320"/>
      <c r="O64" s="320"/>
      <c r="P64" s="320"/>
      <c r="Q64" s="320"/>
      <c r="R64" s="320"/>
      <c r="S64" s="320"/>
      <c r="T64" s="320"/>
      <c r="U64" s="320"/>
      <c r="V64" s="320"/>
      <c r="W64" s="320"/>
      <c r="X64" s="320"/>
      <c r="Y64" s="320"/>
      <c r="Z64" s="320"/>
    </row>
    <row r="65" spans="1:26" x14ac:dyDescent="0.2">
      <c r="A65" s="308"/>
      <c r="B65" s="308"/>
      <c r="C65" s="308"/>
      <c r="D65" s="320"/>
      <c r="E65" s="320"/>
      <c r="F65" s="320"/>
      <c r="G65" s="320"/>
      <c r="H65" s="320"/>
      <c r="I65" s="320"/>
      <c r="J65" s="320"/>
      <c r="K65" s="320"/>
      <c r="L65" s="320"/>
      <c r="M65" s="320"/>
      <c r="N65" s="320"/>
      <c r="O65" s="320"/>
      <c r="P65" s="320"/>
      <c r="Q65" s="320"/>
      <c r="R65" s="320"/>
      <c r="S65" s="320"/>
      <c r="T65" s="320"/>
      <c r="U65" s="320"/>
      <c r="V65" s="320"/>
      <c r="W65" s="320"/>
      <c r="X65" s="320"/>
      <c r="Y65" s="320"/>
      <c r="Z65" s="320"/>
    </row>
    <row r="66" spans="1:26" x14ac:dyDescent="0.2">
      <c r="A66" s="308"/>
      <c r="B66" s="308"/>
      <c r="C66" s="308"/>
      <c r="D66" s="320"/>
      <c r="E66" s="320"/>
      <c r="F66" s="320"/>
      <c r="G66" s="320"/>
      <c r="H66" s="320"/>
      <c r="I66" s="320"/>
      <c r="J66" s="320"/>
      <c r="K66" s="320"/>
      <c r="L66" s="320"/>
      <c r="M66" s="320"/>
      <c r="N66" s="320"/>
      <c r="O66" s="320"/>
      <c r="P66" s="320"/>
      <c r="Q66" s="320"/>
      <c r="R66" s="320"/>
      <c r="S66" s="320"/>
      <c r="T66" s="320"/>
      <c r="U66" s="320"/>
      <c r="V66" s="320"/>
      <c r="W66" s="320"/>
      <c r="X66" s="320"/>
      <c r="Y66" s="320"/>
      <c r="Z66" s="320"/>
    </row>
    <row r="67" spans="1:26" x14ac:dyDescent="0.2">
      <c r="A67" s="308"/>
      <c r="B67" s="308"/>
      <c r="C67" s="308"/>
      <c r="D67" s="320"/>
      <c r="E67" s="320"/>
      <c r="F67" s="320"/>
      <c r="G67" s="320"/>
      <c r="H67" s="320"/>
      <c r="I67" s="320"/>
      <c r="J67" s="320"/>
      <c r="K67" s="320"/>
      <c r="L67" s="320"/>
      <c r="M67" s="320"/>
      <c r="N67" s="320"/>
      <c r="O67" s="320"/>
      <c r="P67" s="320"/>
      <c r="Q67" s="320"/>
      <c r="R67" s="320"/>
      <c r="S67" s="320"/>
      <c r="T67" s="320"/>
      <c r="U67" s="320"/>
      <c r="V67" s="320"/>
      <c r="W67" s="320"/>
      <c r="X67" s="320"/>
      <c r="Y67" s="320"/>
      <c r="Z67" s="320"/>
    </row>
    <row r="68" spans="1:26" x14ac:dyDescent="0.2">
      <c r="A68" s="308"/>
      <c r="B68" s="308"/>
      <c r="C68" s="308"/>
      <c r="D68" s="320"/>
      <c r="E68" s="320"/>
      <c r="F68" s="320"/>
      <c r="G68" s="320"/>
      <c r="H68" s="320"/>
      <c r="I68" s="320"/>
      <c r="J68" s="320"/>
      <c r="K68" s="320"/>
      <c r="L68" s="320"/>
      <c r="M68" s="320"/>
      <c r="N68" s="320"/>
      <c r="O68" s="320"/>
      <c r="P68" s="320"/>
      <c r="Q68" s="320"/>
      <c r="R68" s="320"/>
      <c r="S68" s="320"/>
      <c r="T68" s="320"/>
      <c r="U68" s="320"/>
      <c r="V68" s="320"/>
      <c r="W68" s="320"/>
      <c r="X68" s="320"/>
      <c r="Y68" s="320"/>
      <c r="Z68" s="320"/>
    </row>
    <row r="69" spans="1:26" x14ac:dyDescent="0.2">
      <c r="A69" s="308"/>
      <c r="B69" s="308"/>
      <c r="C69" s="308"/>
      <c r="D69" s="320"/>
      <c r="E69" s="320"/>
      <c r="F69" s="320"/>
      <c r="G69" s="320"/>
      <c r="H69" s="320"/>
      <c r="I69" s="320"/>
      <c r="J69" s="320"/>
      <c r="K69" s="320"/>
      <c r="L69" s="320"/>
      <c r="M69" s="320"/>
      <c r="N69" s="320"/>
      <c r="O69" s="320"/>
      <c r="P69" s="320"/>
      <c r="Q69" s="320"/>
      <c r="R69" s="320"/>
      <c r="S69" s="320"/>
      <c r="T69" s="320"/>
      <c r="U69" s="320"/>
      <c r="V69" s="320"/>
      <c r="W69" s="320"/>
      <c r="X69" s="320"/>
      <c r="Y69" s="320"/>
      <c r="Z69" s="320"/>
    </row>
    <row r="70" spans="1:26" x14ac:dyDescent="0.2">
      <c r="A70" s="308"/>
      <c r="B70" s="308"/>
      <c r="C70" s="308"/>
      <c r="D70" s="320"/>
      <c r="E70" s="320"/>
      <c r="F70" s="320"/>
      <c r="G70" s="320"/>
      <c r="H70" s="320"/>
      <c r="I70" s="320"/>
      <c r="J70" s="320"/>
      <c r="K70" s="320"/>
      <c r="L70" s="320"/>
      <c r="M70" s="320"/>
      <c r="N70" s="320"/>
      <c r="O70" s="320"/>
      <c r="P70" s="320"/>
      <c r="Q70" s="320"/>
      <c r="R70" s="320"/>
      <c r="S70" s="320"/>
      <c r="T70" s="320"/>
      <c r="U70" s="320"/>
      <c r="V70" s="320"/>
      <c r="W70" s="320"/>
      <c r="X70" s="320"/>
      <c r="Y70" s="320"/>
      <c r="Z70" s="320"/>
    </row>
    <row r="71" spans="1:26" x14ac:dyDescent="0.2">
      <c r="A71" s="308"/>
      <c r="B71" s="308"/>
      <c r="C71" s="308"/>
      <c r="D71" s="320"/>
      <c r="E71" s="320"/>
      <c r="F71" s="320"/>
      <c r="G71" s="320"/>
      <c r="H71" s="320"/>
      <c r="I71" s="320"/>
      <c r="J71" s="320"/>
      <c r="K71" s="320"/>
      <c r="L71" s="320"/>
      <c r="M71" s="320"/>
      <c r="N71" s="320"/>
      <c r="O71" s="320"/>
      <c r="P71" s="320"/>
      <c r="Q71" s="320"/>
      <c r="R71" s="320"/>
      <c r="S71" s="320"/>
      <c r="T71" s="320"/>
      <c r="U71" s="320"/>
      <c r="V71" s="320"/>
      <c r="W71" s="320"/>
      <c r="X71" s="320"/>
      <c r="Y71" s="320"/>
      <c r="Z71" s="320"/>
    </row>
    <row r="72" spans="1:26" x14ac:dyDescent="0.2">
      <c r="A72" s="308"/>
      <c r="B72" s="308"/>
      <c r="C72" s="308"/>
      <c r="D72" s="320"/>
      <c r="E72" s="320"/>
      <c r="F72" s="320"/>
      <c r="G72" s="320"/>
      <c r="H72" s="320"/>
      <c r="I72" s="320"/>
      <c r="J72" s="320"/>
      <c r="K72" s="320"/>
      <c r="L72" s="320"/>
      <c r="M72" s="320"/>
      <c r="N72" s="320"/>
      <c r="O72" s="320"/>
      <c r="P72" s="320"/>
      <c r="Q72" s="320"/>
      <c r="R72" s="320"/>
      <c r="S72" s="320"/>
      <c r="T72" s="320"/>
      <c r="U72" s="320"/>
      <c r="V72" s="320"/>
      <c r="W72" s="320"/>
      <c r="X72" s="320"/>
      <c r="Y72" s="320"/>
      <c r="Z72" s="320"/>
    </row>
    <row r="73" spans="1:26" x14ac:dyDescent="0.2">
      <c r="A73" s="308"/>
      <c r="B73" s="308"/>
      <c r="C73" s="308"/>
      <c r="D73" s="320"/>
      <c r="E73" s="320"/>
      <c r="F73" s="320"/>
      <c r="G73" s="320"/>
      <c r="H73" s="320"/>
      <c r="I73" s="320"/>
      <c r="J73" s="320"/>
      <c r="K73" s="320"/>
      <c r="L73" s="320"/>
      <c r="M73" s="320"/>
      <c r="N73" s="320"/>
      <c r="O73" s="320"/>
      <c r="P73" s="320"/>
      <c r="Q73" s="320"/>
      <c r="R73" s="320"/>
      <c r="S73" s="320"/>
      <c r="T73" s="320"/>
      <c r="U73" s="320"/>
      <c r="V73" s="320"/>
      <c r="W73" s="320"/>
      <c r="X73" s="320"/>
      <c r="Y73" s="320"/>
      <c r="Z73" s="320"/>
    </row>
    <row r="74" spans="1:26" x14ac:dyDescent="0.2">
      <c r="A74" s="308"/>
      <c r="B74" s="308"/>
      <c r="C74" s="308"/>
      <c r="D74" s="320"/>
      <c r="E74" s="320"/>
      <c r="F74" s="320"/>
      <c r="G74" s="320"/>
      <c r="H74" s="320"/>
      <c r="I74" s="320"/>
      <c r="J74" s="320"/>
      <c r="K74" s="320"/>
      <c r="L74" s="320"/>
      <c r="M74" s="320"/>
      <c r="N74" s="320"/>
      <c r="O74" s="320"/>
      <c r="P74" s="320"/>
      <c r="Q74" s="320"/>
      <c r="R74" s="320"/>
      <c r="S74" s="320"/>
      <c r="T74" s="320"/>
      <c r="U74" s="320"/>
      <c r="V74" s="320"/>
      <c r="W74" s="320"/>
      <c r="X74" s="320"/>
      <c r="Y74" s="320"/>
      <c r="Z74" s="320"/>
    </row>
    <row r="75" spans="1:26" x14ac:dyDescent="0.2">
      <c r="A75" s="308"/>
      <c r="B75" s="308"/>
      <c r="C75" s="308"/>
      <c r="D75" s="308"/>
      <c r="E75" s="308"/>
      <c r="F75" s="308"/>
      <c r="G75" s="308"/>
      <c r="H75" s="308"/>
      <c r="I75" s="308"/>
      <c r="J75" s="308"/>
      <c r="K75" s="308"/>
      <c r="L75" s="308"/>
      <c r="M75" s="308"/>
    </row>
    <row r="76" spans="1:26" x14ac:dyDescent="0.2">
      <c r="A76" s="308"/>
      <c r="B76" s="308"/>
      <c r="C76" s="308"/>
      <c r="D76" s="308"/>
      <c r="E76" s="308"/>
      <c r="F76" s="308"/>
      <c r="G76" s="308"/>
      <c r="H76" s="308"/>
      <c r="I76" s="308"/>
      <c r="J76" s="308"/>
      <c r="K76" s="308"/>
      <c r="L76" s="308"/>
      <c r="M76" s="308"/>
    </row>
    <row r="77" spans="1:26" x14ac:dyDescent="0.2">
      <c r="A77" s="308"/>
      <c r="B77" s="308"/>
      <c r="C77" s="308"/>
      <c r="D77" s="308"/>
      <c r="E77" s="308"/>
      <c r="F77" s="308"/>
      <c r="G77" s="308"/>
      <c r="H77" s="308"/>
      <c r="I77" s="308"/>
      <c r="J77" s="308"/>
      <c r="K77" s="308"/>
      <c r="L77" s="308"/>
      <c r="M77" s="308"/>
    </row>
    <row r="78" spans="1:26" x14ac:dyDescent="0.2">
      <c r="A78" s="308"/>
      <c r="B78" s="308"/>
      <c r="C78" s="308"/>
      <c r="D78" s="308"/>
      <c r="E78" s="308"/>
      <c r="F78" s="308"/>
      <c r="G78" s="308"/>
      <c r="H78" s="308"/>
      <c r="I78" s="308"/>
      <c r="J78" s="308"/>
      <c r="K78" s="308"/>
      <c r="L78" s="308"/>
      <c r="M78" s="308"/>
    </row>
    <row r="79" spans="1:26" x14ac:dyDescent="0.2">
      <c r="A79" s="308"/>
      <c r="B79" s="308"/>
      <c r="C79" s="308"/>
      <c r="D79" s="308"/>
      <c r="E79" s="308"/>
      <c r="F79" s="308"/>
      <c r="G79" s="308"/>
      <c r="H79" s="308"/>
      <c r="I79" s="308"/>
      <c r="J79" s="308"/>
      <c r="K79" s="308"/>
      <c r="L79" s="308"/>
      <c r="M79" s="308"/>
    </row>
    <row r="80" spans="1:26" x14ac:dyDescent="0.2">
      <c r="A80" s="308"/>
      <c r="B80" s="308"/>
      <c r="C80" s="308"/>
      <c r="D80" s="308"/>
      <c r="E80" s="308"/>
      <c r="F80" s="308"/>
      <c r="G80" s="308"/>
      <c r="H80" s="308"/>
      <c r="I80" s="308"/>
      <c r="J80" s="308"/>
      <c r="K80" s="308"/>
      <c r="L80" s="308"/>
      <c r="M80" s="308"/>
    </row>
    <row r="81" spans="1:13" x14ac:dyDescent="0.2">
      <c r="A81" s="308"/>
      <c r="B81" s="308"/>
      <c r="C81" s="308"/>
      <c r="D81" s="308"/>
      <c r="E81" s="308"/>
      <c r="F81" s="308"/>
      <c r="G81" s="308"/>
      <c r="H81" s="308"/>
      <c r="I81" s="308"/>
      <c r="J81" s="308"/>
      <c r="K81" s="308"/>
      <c r="L81" s="308"/>
      <c r="M81" s="308"/>
    </row>
  </sheetData>
  <hyperlinks>
    <hyperlink ref="E14" r:id="rId1" xr:uid="{00000000-0004-0000-1800-000000000000}"/>
    <hyperlink ref="E15" r:id="rId2" xr:uid="{00000000-0004-0000-1800-000001000000}"/>
    <hyperlink ref="E16" r:id="rId3" xr:uid="{00000000-0004-0000-1800-000002000000}"/>
    <hyperlink ref="E17" r:id="rId4" xr:uid="{00000000-0004-0000-1800-000003000000}"/>
    <hyperlink ref="E18" r:id="rId5" xr:uid="{00000000-0004-0000-1800-000004000000}"/>
  </hyperlinks>
  <pageMargins left="0.7" right="0.7" top="0.75" bottom="0.75" header="0.3" footer="0.3"/>
  <pageSetup paperSize="9" orientation="portrait" r:id="rId6"/>
  <drawing r:id="rId7"/>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C000"/>
  </sheetPr>
  <dimension ref="B2:O19"/>
  <sheetViews>
    <sheetView zoomScale="85" zoomScaleNormal="85" workbookViewId="0"/>
  </sheetViews>
  <sheetFormatPr baseColWidth="10" defaultColWidth="11.5" defaultRowHeight="15" x14ac:dyDescent="0.2"/>
  <cols>
    <col min="1" max="1" width="11.5" style="203"/>
    <col min="2" max="2" width="27.6640625" style="203" bestFit="1" customWidth="1"/>
    <col min="3" max="5" width="11.5" style="203"/>
    <col min="6" max="6" width="11.5" style="203" customWidth="1"/>
    <col min="7" max="14" width="11.5" style="203"/>
    <col min="15" max="15" width="20.1640625" style="203" bestFit="1" customWidth="1"/>
    <col min="16" max="16384" width="11.5" style="203"/>
  </cols>
  <sheetData>
    <row r="2" spans="2:15" x14ac:dyDescent="0.2">
      <c r="C2" s="39"/>
      <c r="D2" s="39"/>
      <c r="E2" s="39"/>
      <c r="F2" s="39"/>
      <c r="G2" s="39"/>
      <c r="H2" s="39"/>
      <c r="I2" s="39"/>
      <c r="J2" s="39"/>
      <c r="K2" s="39"/>
      <c r="L2" s="39"/>
    </row>
    <row r="3" spans="2:15" x14ac:dyDescent="0.2">
      <c r="C3" s="588">
        <v>2016</v>
      </c>
      <c r="D3" s="588"/>
      <c r="E3" s="588"/>
      <c r="F3" s="589">
        <v>2020</v>
      </c>
      <c r="G3" s="589"/>
      <c r="H3" s="589"/>
      <c r="I3" s="589">
        <v>2025</v>
      </c>
      <c r="J3" s="589"/>
      <c r="K3" s="589"/>
      <c r="L3" s="590">
        <v>2030</v>
      </c>
      <c r="M3" s="590"/>
      <c r="N3" s="590"/>
      <c r="O3" s="195"/>
    </row>
    <row r="4" spans="2:15" ht="20" thickBot="1" x14ac:dyDescent="0.3">
      <c r="B4" s="194" t="s">
        <v>204</v>
      </c>
      <c r="C4" s="196" t="s">
        <v>72</v>
      </c>
      <c r="D4" s="196" t="s">
        <v>73</v>
      </c>
      <c r="E4" s="196" t="s">
        <v>178</v>
      </c>
      <c r="F4" s="196" t="s">
        <v>72</v>
      </c>
      <c r="G4" s="196" t="s">
        <v>73</v>
      </c>
      <c r="H4" s="196" t="s">
        <v>178</v>
      </c>
      <c r="I4" s="196" t="s">
        <v>72</v>
      </c>
      <c r="J4" s="196" t="s">
        <v>73</v>
      </c>
      <c r="K4" s="196" t="s">
        <v>178</v>
      </c>
      <c r="L4" s="196" t="s">
        <v>72</v>
      </c>
      <c r="M4" s="196" t="s">
        <v>73</v>
      </c>
      <c r="N4" s="196" t="s">
        <v>178</v>
      </c>
      <c r="O4" s="196" t="s">
        <v>1</v>
      </c>
    </row>
    <row r="5" spans="2:15" x14ac:dyDescent="0.2">
      <c r="B5" s="51" t="s">
        <v>74</v>
      </c>
      <c r="C5" s="147">
        <f>'Overview 2016 (in)'!J38</f>
        <v>620</v>
      </c>
      <c r="D5" s="52">
        <f>'Overview 2016 (in)'!K38</f>
        <v>200</v>
      </c>
      <c r="E5" s="53">
        <f>'Overview 2016 (in)'!L38</f>
        <v>350</v>
      </c>
      <c r="F5" s="147">
        <f>IFERROR(C5*H5/E5,0)</f>
        <v>620</v>
      </c>
      <c r="G5" s="52">
        <f>IFERROR(D5*H5/E5, 0)</f>
        <v>200</v>
      </c>
      <c r="H5" s="53">
        <f>E5</f>
        <v>350</v>
      </c>
      <c r="I5" s="147">
        <f>IFERROR(F5*K5/H5,0)</f>
        <v>620</v>
      </c>
      <c r="J5" s="52">
        <f>IFERROR(G5*K5/H5, 0)</f>
        <v>200</v>
      </c>
      <c r="K5" s="53">
        <f>H5</f>
        <v>350</v>
      </c>
      <c r="L5" s="147">
        <f>IFERROR(I5*N5/K5,0)</f>
        <v>620</v>
      </c>
      <c r="M5" s="52">
        <f>IFERROR(J5*N5/K5, 0)</f>
        <v>200</v>
      </c>
      <c r="N5" s="53">
        <f>K5</f>
        <v>350</v>
      </c>
      <c r="O5" s="54" t="s">
        <v>75</v>
      </c>
    </row>
    <row r="6" spans="2:15" x14ac:dyDescent="0.2">
      <c r="B6" s="37" t="s">
        <v>76</v>
      </c>
      <c r="C6" s="148">
        <f>'Overview 2016 (in)'!J39</f>
        <v>10000</v>
      </c>
      <c r="D6" s="149">
        <f>'Overview 2016 (in)'!K39</f>
        <v>100</v>
      </c>
      <c r="E6" s="150">
        <f>'Overview 2016 (in)'!L39</f>
        <v>3500</v>
      </c>
      <c r="F6" s="148">
        <f t="shared" ref="F6:F15" si="0">IFERROR(C6*H6/E6,0)</f>
        <v>10000</v>
      </c>
      <c r="G6" s="149">
        <f t="shared" ref="G6:G13" si="1">IFERROR(D6*H6/E6, 0)</f>
        <v>100</v>
      </c>
      <c r="H6" s="150">
        <f>E6</f>
        <v>3500</v>
      </c>
      <c r="I6" s="148">
        <f t="shared" ref="I6:I15" si="2">IFERROR(F6*K6/H6,0)</f>
        <v>10000</v>
      </c>
      <c r="J6" s="149">
        <f t="shared" ref="J6:J13" si="3">IFERROR(G6*K6/H6, 0)</f>
        <v>100</v>
      </c>
      <c r="K6" s="150">
        <f>H6</f>
        <v>3500</v>
      </c>
      <c r="L6" s="148">
        <f t="shared" ref="L6:L15" si="4">IFERROR(I6*N6/K6,0)</f>
        <v>10000</v>
      </c>
      <c r="M6" s="149">
        <f t="shared" ref="M6:M13" si="5">IFERROR(J6*N6/K6, 0)</f>
        <v>100</v>
      </c>
      <c r="N6" s="150">
        <f>K6</f>
        <v>3500</v>
      </c>
      <c r="O6" s="55" t="s">
        <v>77</v>
      </c>
    </row>
    <row r="7" spans="2:15" x14ac:dyDescent="0.2">
      <c r="B7" s="51" t="s">
        <v>4</v>
      </c>
      <c r="C7" s="151">
        <f>'Overview 2016 (in)'!J40</f>
        <v>20000</v>
      </c>
      <c r="D7" s="56">
        <f>'Overview 2016 (in)'!K40</f>
        <v>5000</v>
      </c>
      <c r="E7" s="197">
        <f>'Overview 2016 (in)'!L40</f>
        <v>10000</v>
      </c>
      <c r="F7" s="151">
        <f t="shared" ca="1" si="0"/>
        <v>24060.581264694614</v>
      </c>
      <c r="G7" s="56">
        <f t="shared" ca="1" si="1"/>
        <v>6015.1453161736536</v>
      </c>
      <c r="H7" s="197">
        <f ca="1">INDIRECT(ADDRESS(ROW($B6),COLUMN(D$4),1,,$B$4))</f>
        <v>12030.290632347307</v>
      </c>
      <c r="I7" s="151">
        <f t="shared" ca="1" si="2"/>
        <v>30314.559655931389</v>
      </c>
      <c r="J7" s="56">
        <f t="shared" ca="1" si="3"/>
        <v>7578.6399139828472</v>
      </c>
      <c r="K7" s="197">
        <f ca="1">INDIRECT(ADDRESS(ROW($B6),COLUMN(E$4),1,,$B$4))</f>
        <v>15157.279827965694</v>
      </c>
      <c r="L7" s="151">
        <f t="shared" ca="1" si="4"/>
        <v>38194.111647729886</v>
      </c>
      <c r="M7" s="56">
        <f t="shared" ca="1" si="5"/>
        <v>9548.5279119324714</v>
      </c>
      <c r="N7" s="197">
        <f ca="1">INDIRECT(ADDRESS(ROW($B6),COLUMN(F$4),1,,$B$4))</f>
        <v>19097.055823864943</v>
      </c>
      <c r="O7" s="54" t="s">
        <v>5</v>
      </c>
    </row>
    <row r="8" spans="2:15" x14ac:dyDescent="0.2">
      <c r="B8" s="37" t="s">
        <v>6</v>
      </c>
      <c r="C8" s="152">
        <f>'Overview 2016 (in)'!J41</f>
        <v>20</v>
      </c>
      <c r="D8" s="153">
        <f>'Overview 2016 (in)'!K41</f>
        <v>10</v>
      </c>
      <c r="E8" s="199">
        <f>'Overview 2016 (in)'!L41</f>
        <v>15</v>
      </c>
      <c r="F8" s="152">
        <f t="shared" ca="1" si="0"/>
        <v>22.591226527767979</v>
      </c>
      <c r="G8" s="153">
        <f t="shared" ca="1" si="1"/>
        <v>11.29561326388399</v>
      </c>
      <c r="H8" s="199">
        <f ca="1">INDIRECT(ADDRESS(ROW($B7),COLUMN(D$4),1,,$B$4))</f>
        <v>16.943419895825986</v>
      </c>
      <c r="I8" s="152">
        <f t="shared" ca="1" si="2"/>
        <v>26.307348543119524</v>
      </c>
      <c r="J8" s="153">
        <f t="shared" ca="1" si="3"/>
        <v>13.153674271559762</v>
      </c>
      <c r="K8" s="199">
        <f ca="1">INDIRECT(ADDRESS(ROW($B7),COLUMN(E$4),1,,$B$4))</f>
        <v>19.730511407339645</v>
      </c>
      <c r="L8" s="152">
        <f t="shared" ca="1" si="4"/>
        <v>30.634750464677385</v>
      </c>
      <c r="M8" s="153">
        <f t="shared" ca="1" si="5"/>
        <v>15.317375232338692</v>
      </c>
      <c r="N8" s="199">
        <f ca="1">INDIRECT(ADDRESS(ROW($B7),COLUMN(F$4),1,,$B$4))</f>
        <v>22.976062848508043</v>
      </c>
      <c r="O8" s="55" t="s">
        <v>7</v>
      </c>
    </row>
    <row r="9" spans="2:15" x14ac:dyDescent="0.2">
      <c r="B9" s="51" t="s">
        <v>78</v>
      </c>
      <c r="C9" s="151">
        <f>'Overview 2016 (in)'!J42</f>
        <v>100</v>
      </c>
      <c r="D9" s="56">
        <f>'Overview 2016 (in)'!K42</f>
        <v>84</v>
      </c>
      <c r="E9" s="57">
        <f>'Overview 2016 (in)'!L42</f>
        <v>95</v>
      </c>
      <c r="F9" s="151">
        <f t="shared" si="0"/>
        <v>100</v>
      </c>
      <c r="G9" s="56">
        <f t="shared" si="1"/>
        <v>84</v>
      </c>
      <c r="H9" s="57">
        <f>E9</f>
        <v>95</v>
      </c>
      <c r="I9" s="151">
        <f t="shared" si="2"/>
        <v>100</v>
      </c>
      <c r="J9" s="56">
        <f t="shared" si="3"/>
        <v>84</v>
      </c>
      <c r="K9" s="57">
        <f>H9</f>
        <v>95</v>
      </c>
      <c r="L9" s="151">
        <f t="shared" si="4"/>
        <v>100</v>
      </c>
      <c r="M9" s="56">
        <f t="shared" si="5"/>
        <v>84</v>
      </c>
      <c r="N9" s="57">
        <f>K9</f>
        <v>95</v>
      </c>
      <c r="O9" s="54" t="s">
        <v>9</v>
      </c>
    </row>
    <row r="10" spans="2:15" x14ac:dyDescent="0.2">
      <c r="B10" s="37" t="s">
        <v>8</v>
      </c>
      <c r="C10" s="152">
        <f>'Overview 2016 (in)'!J43</f>
        <v>98</v>
      </c>
      <c r="D10" s="153">
        <f>'Overview 2016 (in)'!K43</f>
        <v>81</v>
      </c>
      <c r="E10" s="199">
        <f>'Overview 2016 (in)'!L43</f>
        <v>96</v>
      </c>
      <c r="F10" s="152">
        <v>99</v>
      </c>
      <c r="G10" s="153">
        <f t="shared" ca="1" si="1"/>
        <v>81.424567221517435</v>
      </c>
      <c r="H10" s="199">
        <f ca="1">INDIRECT(ADDRESS(ROW($B8),COLUMN(D$4),1,,$B$4))</f>
        <v>96.503190781057697</v>
      </c>
      <c r="I10" s="152">
        <v>99</v>
      </c>
      <c r="J10" s="153">
        <f t="shared" ca="1" si="3"/>
        <v>81.958407081475102</v>
      </c>
      <c r="K10" s="199">
        <f ca="1">INDIRECT(ADDRESS(ROW($B8),COLUMN(E$4),1,,$B$4))</f>
        <v>97.135889874340847</v>
      </c>
      <c r="L10" s="152">
        <v>99</v>
      </c>
      <c r="M10" s="153">
        <f t="shared" ca="1" si="5"/>
        <v>82.495746929284167</v>
      </c>
      <c r="N10" s="199">
        <f ca="1">INDIRECT(ADDRESS(ROW($B8),COLUMN(F$4),1,,$B$4))</f>
        <v>97.772737101373821</v>
      </c>
      <c r="O10" s="55" t="s">
        <v>9</v>
      </c>
    </row>
    <row r="11" spans="2:15" x14ac:dyDescent="0.2">
      <c r="B11" s="51" t="s">
        <v>79</v>
      </c>
      <c r="C11" s="147">
        <f>'Overview 2016 (in)'!J44</f>
        <v>0.09</v>
      </c>
      <c r="D11" s="52">
        <f>'Overview 2016 (in)'!K44</f>
        <v>0.36</v>
      </c>
      <c r="E11" s="53">
        <f>'Overview 2016 (in)'!L44</f>
        <v>0.05</v>
      </c>
      <c r="F11" s="147">
        <f t="shared" si="0"/>
        <v>8.9999999999999983E-2</v>
      </c>
      <c r="G11" s="52">
        <f t="shared" si="1"/>
        <v>0.35999999999999993</v>
      </c>
      <c r="H11" s="53">
        <f>E11</f>
        <v>0.05</v>
      </c>
      <c r="I11" s="147">
        <f t="shared" si="2"/>
        <v>8.9999999999999983E-2</v>
      </c>
      <c r="J11" s="52">
        <f t="shared" si="3"/>
        <v>0.35999999999999993</v>
      </c>
      <c r="K11" s="53">
        <f>H11</f>
        <v>0.05</v>
      </c>
      <c r="L11" s="147">
        <f t="shared" si="4"/>
        <v>8.9999999999999983E-2</v>
      </c>
      <c r="M11" s="52">
        <f t="shared" si="5"/>
        <v>0.35999999999999993</v>
      </c>
      <c r="N11" s="53">
        <f>K11</f>
        <v>0.05</v>
      </c>
      <c r="O11" s="54" t="s">
        <v>80</v>
      </c>
    </row>
    <row r="12" spans="2:15" x14ac:dyDescent="0.2">
      <c r="B12" s="154" t="s">
        <v>81</v>
      </c>
      <c r="C12" s="148">
        <f>'Overview 2016 (in)'!J45</f>
        <v>3.0000000000000001E-3</v>
      </c>
      <c r="D12" s="149">
        <f>'Overview 2016 (in)'!K45</f>
        <v>1</v>
      </c>
      <c r="E12" s="150">
        <f>'Overview 2016 (in)'!L45</f>
        <v>0.01</v>
      </c>
      <c r="F12" s="148">
        <f t="shared" si="0"/>
        <v>3.0000000000000001E-3</v>
      </c>
      <c r="G12" s="149">
        <f t="shared" si="1"/>
        <v>1</v>
      </c>
      <c r="H12" s="150">
        <f>E12</f>
        <v>0.01</v>
      </c>
      <c r="I12" s="148">
        <f t="shared" si="2"/>
        <v>3.0000000000000001E-3</v>
      </c>
      <c r="J12" s="149">
        <f t="shared" si="3"/>
        <v>1</v>
      </c>
      <c r="K12" s="150">
        <f>H12</f>
        <v>0.01</v>
      </c>
      <c r="L12" s="148">
        <f t="shared" si="4"/>
        <v>3.0000000000000001E-3</v>
      </c>
      <c r="M12" s="149">
        <f t="shared" si="5"/>
        <v>1</v>
      </c>
      <c r="N12" s="150">
        <f>K12</f>
        <v>0.01</v>
      </c>
      <c r="O12" s="155" t="s">
        <v>82</v>
      </c>
    </row>
    <row r="13" spans="2:15" x14ac:dyDescent="0.2">
      <c r="B13" s="156" t="s">
        <v>83</v>
      </c>
      <c r="C13" s="157">
        <f>'Overview 2016 (in)'!J46</f>
        <v>0</v>
      </c>
      <c r="D13" s="58">
        <f>'Overview 2016 (in)'!K46</f>
        <v>0</v>
      </c>
      <c r="E13" s="59">
        <f>'Overview 2016 (in)'!L46</f>
        <v>0</v>
      </c>
      <c r="F13" s="157">
        <f t="shared" si="0"/>
        <v>0</v>
      </c>
      <c r="G13" s="58">
        <f t="shared" si="1"/>
        <v>0</v>
      </c>
      <c r="H13" s="59">
        <f>E13</f>
        <v>0</v>
      </c>
      <c r="I13" s="157">
        <f t="shared" si="2"/>
        <v>0</v>
      </c>
      <c r="J13" s="58">
        <f t="shared" si="3"/>
        <v>0</v>
      </c>
      <c r="K13" s="59">
        <f>H13</f>
        <v>0</v>
      </c>
      <c r="L13" s="157">
        <f t="shared" si="4"/>
        <v>0</v>
      </c>
      <c r="M13" s="58">
        <f t="shared" si="5"/>
        <v>0</v>
      </c>
      <c r="N13" s="59">
        <f>K13</f>
        <v>0</v>
      </c>
      <c r="O13" s="54" t="s">
        <v>7</v>
      </c>
    </row>
    <row r="14" spans="2:15" x14ac:dyDescent="0.2">
      <c r="B14" s="154" t="s">
        <v>2</v>
      </c>
      <c r="C14" s="152">
        <f>'Overview 2016 (in)'!J47</f>
        <v>472.5</v>
      </c>
      <c r="D14" s="153">
        <f>'Overview 2016 (in)'!K47</f>
        <v>1260</v>
      </c>
      <c r="E14" s="198">
        <f>'Overview 2016 (in)'!L47</f>
        <v>1050</v>
      </c>
      <c r="F14" s="152">
        <f t="shared" ca="1" si="0"/>
        <v>377.34985721803247</v>
      </c>
      <c r="G14" s="153">
        <f t="shared" ref="G14:G15" ca="1" si="6">IFERROR(D14*H14/E14,0)</f>
        <v>1006.2662859147534</v>
      </c>
      <c r="H14" s="198">
        <f ca="1">IF(CELL("format",INDIRECT(ADDRESS(ROW($B4),COLUMN(D$4),1,,$B$4)))="W0-",INDIRECT(ADDRESS(ROW($B4),COLUMN(D$4),1,,$B$4))*'Overview 2016 (in)'!$O$7,INDIRECT(ADDRESS(ROW($B4),COLUMN(D$4),1,,$B$4)))</f>
        <v>838.55523826229444</v>
      </c>
      <c r="I14" s="152">
        <f t="shared" ca="1" si="2"/>
        <v>284.88669138301435</v>
      </c>
      <c r="J14" s="153">
        <f t="shared" ref="J14:J15" ca="1" si="7">IFERROR(G14*K14/H14,0)</f>
        <v>759.69784368803835</v>
      </c>
      <c r="K14" s="198">
        <f ca="1">IF(CELL("format",INDIRECT(ADDRESS(ROW($B4),COLUMN(E$4),1,,$B$4)))="W0-",INDIRECT(ADDRESS(ROW($B4),COLUMN(E$4),1,,$B$4))*'Overview 2016 (in)'!$O$7,INDIRECT(ADDRESS(ROW($B4),COLUMN(E$4),1,,$B$4)))</f>
        <v>633.08153640669855</v>
      </c>
      <c r="L14" s="152">
        <f t="shared" ca="1" si="4"/>
        <v>215.0800520384627</v>
      </c>
      <c r="M14" s="153">
        <f t="shared" ref="M14:M15" ca="1" si="8">IFERROR(J14*N14/K14,0)</f>
        <v>573.54680543590064</v>
      </c>
      <c r="N14" s="198">
        <f ca="1">IF(CELL("format",INDIRECT(ADDRESS(ROW($B4),COLUMN(F$4),1,,$B$4)))="W0-",INDIRECT(ADDRESS(ROW($B4),COLUMN(F$4),1,,$B$4))*'Overview 2016 (in)'!$O$7,INDIRECT(ADDRESS(ROW($B4),COLUMN(F$4),1,,$B$4)))</f>
        <v>477.95567119658381</v>
      </c>
      <c r="O14" s="155" t="s">
        <v>22</v>
      </c>
    </row>
    <row r="15" spans="2:15" ht="16" thickBot="1" x14ac:dyDescent="0.25">
      <c r="B15" s="158" t="s">
        <v>3</v>
      </c>
      <c r="C15" s="180">
        <f>'Overview 2016 (in)'!J48</f>
        <v>0</v>
      </c>
      <c r="D15" s="180">
        <f>'Overview 2016 (in)'!K48</f>
        <v>0</v>
      </c>
      <c r="E15" s="200">
        <f>'Overview 2016 (in)'!L48</f>
        <v>0</v>
      </c>
      <c r="F15" s="180">
        <f t="shared" ca="1" si="0"/>
        <v>0</v>
      </c>
      <c r="G15" s="180">
        <f t="shared" ca="1" si="6"/>
        <v>0</v>
      </c>
      <c r="H15" s="200">
        <f ca="1">IF(CELL("format",INDIRECT(ADDRESS(ROW($B5),COLUMN(D$4),1,,$B$4)))="W0-",INDIRECT(ADDRESS(ROW($B5),COLUMN(D$4),1,,$B$4))*'Overview 2016 (in)'!$O$7,INDIRECT(ADDRESS(ROW($B5),COLUMN(D$4),1,,$B$4)))</f>
        <v>0</v>
      </c>
      <c r="I15" s="180">
        <f t="shared" ca="1" si="2"/>
        <v>0</v>
      </c>
      <c r="J15" s="180">
        <f t="shared" ca="1" si="7"/>
        <v>0</v>
      </c>
      <c r="K15" s="200">
        <f ca="1">IF(CELL("format",INDIRECT(ADDRESS(ROW($B5),COLUMN(E$4),1,,$B$4)))="W0-",INDIRECT(ADDRESS(ROW($B5),COLUMN(E$4),1,,$B$4))*'Overview 2016 (in)'!$O$7,INDIRECT(ADDRESS(ROW($B5),COLUMN(E$4),1,,$B$4)))</f>
        <v>0</v>
      </c>
      <c r="L15" s="180">
        <f t="shared" ca="1" si="4"/>
        <v>0</v>
      </c>
      <c r="M15" s="180">
        <f t="shared" ca="1" si="8"/>
        <v>0</v>
      </c>
      <c r="N15" s="200">
        <f ca="1">IF(CELL("format",INDIRECT(ADDRESS(ROW($B5),COLUMN(F$4),1,,$B$4)))="W0-",INDIRECT(ADDRESS(ROW($B5),COLUMN(F$4),1,,$B$4))*'Overview 2016 (in)'!$O$7,INDIRECT(ADDRESS(ROW($B5),COLUMN(F$4),1,,$B$4)))</f>
        <v>0</v>
      </c>
      <c r="O15" s="60" t="s">
        <v>23</v>
      </c>
    </row>
    <row r="17" spans="2:3" x14ac:dyDescent="0.2">
      <c r="C17" s="202"/>
    </row>
    <row r="18" spans="2:3" ht="19" x14ac:dyDescent="0.25">
      <c r="B18" s="201"/>
    </row>
    <row r="19" spans="2:3" x14ac:dyDescent="0.2">
      <c r="B19" s="39"/>
    </row>
  </sheetData>
  <mergeCells count="4">
    <mergeCell ref="C3:E3"/>
    <mergeCell ref="F3:H3"/>
    <mergeCell ref="I3:K3"/>
    <mergeCell ref="L3:N3"/>
  </mergeCells>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5" tint="0.39997558519241921"/>
  </sheetPr>
  <dimension ref="A1:AI49"/>
  <sheetViews>
    <sheetView zoomScale="85" zoomScaleNormal="85" workbookViewId="0"/>
  </sheetViews>
  <sheetFormatPr baseColWidth="10" defaultColWidth="9.1640625" defaultRowHeight="15" x14ac:dyDescent="0.2"/>
  <cols>
    <col min="1" max="1" width="9.1640625" style="3"/>
    <col min="2" max="2" width="26.5" style="3" customWidth="1"/>
    <col min="3" max="8" width="10.6640625" style="3" customWidth="1"/>
    <col min="9" max="9" width="20.33203125" style="3" customWidth="1"/>
    <col min="10" max="12" width="12.6640625" style="3" customWidth="1"/>
    <col min="13" max="16384" width="9.1640625" style="3"/>
  </cols>
  <sheetData>
    <row r="1" spans="1:35" x14ac:dyDescent="0.2">
      <c r="A1" s="97"/>
      <c r="B1" s="97"/>
      <c r="C1" s="97"/>
      <c r="D1" s="97"/>
      <c r="E1" s="97"/>
      <c r="F1" s="97"/>
      <c r="G1" s="97"/>
      <c r="H1" s="97"/>
      <c r="I1" s="97"/>
      <c r="J1" s="97"/>
      <c r="K1" s="97"/>
      <c r="L1" s="97"/>
      <c r="M1" s="97"/>
      <c r="N1" s="39"/>
      <c r="O1" s="39"/>
      <c r="P1" s="39"/>
      <c r="Q1" s="39"/>
    </row>
    <row r="2" spans="1:35" ht="20" thickBot="1" x14ac:dyDescent="0.3">
      <c r="A2" s="97"/>
      <c r="B2" s="41" t="s">
        <v>43</v>
      </c>
      <c r="C2" s="13"/>
      <c r="D2" s="97"/>
      <c r="E2" s="97"/>
      <c r="F2" s="97"/>
      <c r="G2" s="97"/>
      <c r="H2" s="97"/>
      <c r="I2" s="97"/>
      <c r="J2" s="97"/>
      <c r="K2" s="41" t="s">
        <v>0</v>
      </c>
      <c r="L2" s="97"/>
      <c r="M2" s="97"/>
      <c r="N2" s="39"/>
      <c r="O2" s="39"/>
      <c r="P2" s="39"/>
      <c r="Q2" s="39"/>
    </row>
    <row r="3" spans="1:35" x14ac:dyDescent="0.2">
      <c r="A3" s="97"/>
      <c r="B3" s="38"/>
      <c r="C3" s="38">
        <v>2016</v>
      </c>
      <c r="D3" s="367">
        <v>2020</v>
      </c>
      <c r="E3" s="367">
        <v>2025</v>
      </c>
      <c r="F3" s="367">
        <v>2030</v>
      </c>
      <c r="G3" s="38" t="s">
        <v>1</v>
      </c>
      <c r="H3" s="40"/>
      <c r="I3" s="38" t="s">
        <v>17</v>
      </c>
      <c r="J3" s="38" t="s">
        <v>18</v>
      </c>
      <c r="K3" s="38" t="s">
        <v>19</v>
      </c>
      <c r="L3" s="38" t="s">
        <v>20</v>
      </c>
      <c r="M3" s="97"/>
      <c r="N3" s="407">
        <f>1-(F4/C4)^(1/(F$3-C$3))</f>
        <v>6.2628926597421475E-2</v>
      </c>
      <c r="O3" s="40"/>
      <c r="P3" s="40"/>
      <c r="Q3" s="39"/>
    </row>
    <row r="4" spans="1:35" x14ac:dyDescent="0.2">
      <c r="A4" s="97"/>
      <c r="B4" s="37" t="s">
        <v>2</v>
      </c>
      <c r="C4" s="165">
        <f>'Overview 2016 (in)'!F63</f>
        <v>399</v>
      </c>
      <c r="D4" s="68">
        <f>$C4*(1-$N3)^(D$3-$C$3)</f>
        <v>308.04849063122134</v>
      </c>
      <c r="E4" s="68">
        <f>$C4*(1-$N3)^(E$3-$C$3)</f>
        <v>222.93426365865892</v>
      </c>
      <c r="F4" s="68">
        <f>C4*D40</f>
        <v>161.33721613499517</v>
      </c>
      <c r="G4" s="97" t="s">
        <v>22</v>
      </c>
      <c r="H4" s="97"/>
      <c r="I4" s="79" t="s">
        <v>52</v>
      </c>
      <c r="J4" s="42" t="s">
        <v>53</v>
      </c>
      <c r="K4" s="42" t="s">
        <v>53</v>
      </c>
      <c r="L4" s="42" t="s">
        <v>53</v>
      </c>
      <c r="M4" s="97"/>
      <c r="N4" s="39"/>
      <c r="O4" s="39"/>
      <c r="P4" s="39"/>
      <c r="Q4" s="39"/>
    </row>
    <row r="5" spans="1:35" x14ac:dyDescent="0.2">
      <c r="A5" s="97"/>
      <c r="B5" s="40" t="s">
        <v>3</v>
      </c>
      <c r="C5" s="165">
        <f>'Overview 2016 (in)'!F64</f>
        <v>0</v>
      </c>
      <c r="D5" s="68">
        <v>0</v>
      </c>
      <c r="E5" s="68">
        <v>0</v>
      </c>
      <c r="F5" s="68">
        <v>0</v>
      </c>
      <c r="G5" s="97" t="s">
        <v>23</v>
      </c>
      <c r="H5" s="97"/>
      <c r="I5" s="79" t="s">
        <v>52</v>
      </c>
      <c r="J5" s="42"/>
      <c r="K5" s="42"/>
      <c r="L5" s="42"/>
      <c r="M5" s="97"/>
      <c r="N5" s="39"/>
      <c r="O5" s="39"/>
      <c r="P5" s="39"/>
      <c r="Q5" s="39"/>
    </row>
    <row r="6" spans="1:35" x14ac:dyDescent="0.2">
      <c r="A6" s="97"/>
      <c r="B6" s="37" t="s">
        <v>4</v>
      </c>
      <c r="C6" s="81">
        <f>'Overview 2016 (in)'!F56</f>
        <v>3000</v>
      </c>
      <c r="D6" s="99">
        <f>C6*(1.03)^4</f>
        <v>3376.5264299999999</v>
      </c>
      <c r="E6" s="99">
        <f>D6*(1.03)^5</f>
        <v>3914.319551487733</v>
      </c>
      <c r="F6" s="99">
        <f>E6*(1.03)^5</f>
        <v>4537.7691745653319</v>
      </c>
      <c r="G6" s="97" t="s">
        <v>5</v>
      </c>
      <c r="H6" s="97"/>
      <c r="I6" s="79" t="s">
        <v>52</v>
      </c>
      <c r="J6" s="42"/>
      <c r="K6" s="42"/>
      <c r="L6" s="42"/>
      <c r="M6" s="97"/>
      <c r="N6" s="39"/>
      <c r="O6" s="39"/>
      <c r="P6" s="39"/>
      <c r="Q6" s="39"/>
    </row>
    <row r="7" spans="1:35" x14ac:dyDescent="0.2">
      <c r="A7" s="97"/>
      <c r="B7" s="37" t="s">
        <v>6</v>
      </c>
      <c r="C7" s="81">
        <f>'Overview 2016 (in)'!F57</f>
        <v>15</v>
      </c>
      <c r="D7" s="99">
        <f>C7*(1.03)^4</f>
        <v>16.882632149999999</v>
      </c>
      <c r="E7" s="99">
        <f>D7*(1.03)^5</f>
        <v>19.571597757438663</v>
      </c>
      <c r="F7" s="99">
        <f>E7*(1.03)^5</f>
        <v>22.688845872826658</v>
      </c>
      <c r="G7" s="97" t="s">
        <v>7</v>
      </c>
      <c r="H7" s="97"/>
      <c r="I7" s="79" t="s">
        <v>52</v>
      </c>
      <c r="J7" s="42"/>
      <c r="K7" s="42"/>
      <c r="L7" s="42"/>
      <c r="M7" s="97"/>
      <c r="N7" s="39"/>
      <c r="O7" s="39"/>
      <c r="P7" s="39"/>
      <c r="Q7" s="39"/>
    </row>
    <row r="8" spans="1:35" ht="16" thickBot="1" x14ac:dyDescent="0.25">
      <c r="A8" s="97"/>
      <c r="B8" s="6" t="s">
        <v>8</v>
      </c>
      <c r="C8" s="82">
        <f>'Overview 2016 (in)'!F59</f>
        <v>84</v>
      </c>
      <c r="D8" s="19">
        <v>85</v>
      </c>
      <c r="E8" s="19">
        <v>86</v>
      </c>
      <c r="F8" s="19">
        <v>87</v>
      </c>
      <c r="G8" s="7" t="s">
        <v>9</v>
      </c>
      <c r="H8" s="39"/>
      <c r="I8" s="80" t="s">
        <v>52</v>
      </c>
      <c r="J8" s="83"/>
      <c r="K8" s="83"/>
      <c r="L8" s="83"/>
      <c r="M8" s="97"/>
      <c r="N8" s="39"/>
      <c r="O8" s="39"/>
      <c r="P8" s="39"/>
      <c r="Q8" s="39"/>
    </row>
    <row r="9" spans="1:35" x14ac:dyDescent="0.2">
      <c r="A9" s="97"/>
      <c r="B9" s="37"/>
      <c r="C9" s="44"/>
      <c r="D9" s="97"/>
      <c r="E9" s="97"/>
      <c r="F9" s="97"/>
      <c r="G9" s="97"/>
      <c r="H9" s="97"/>
      <c r="I9" s="97"/>
      <c r="J9" s="39"/>
      <c r="K9" s="39"/>
      <c r="L9" s="39"/>
      <c r="M9" s="39"/>
      <c r="N9" s="39"/>
      <c r="O9" s="39"/>
      <c r="P9" s="39"/>
      <c r="Q9" s="39"/>
    </row>
    <row r="10" spans="1:35" x14ac:dyDescent="0.2">
      <c r="A10" s="42"/>
      <c r="B10" s="591" t="s">
        <v>220</v>
      </c>
      <c r="C10" s="591"/>
      <c r="D10" s="591"/>
      <c r="E10" s="591"/>
      <c r="F10" s="591"/>
      <c r="G10" s="591"/>
      <c r="H10" s="591"/>
      <c r="I10" s="591"/>
      <c r="J10" s="591"/>
      <c r="K10" s="39"/>
      <c r="L10" s="39"/>
      <c r="M10" s="39"/>
      <c r="N10" s="39"/>
      <c r="O10" s="39"/>
      <c r="P10" s="39"/>
      <c r="Q10" s="39"/>
    </row>
    <row r="11" spans="1:35" x14ac:dyDescent="0.2">
      <c r="A11" s="97"/>
      <c r="B11" s="591"/>
      <c r="C11" s="591"/>
      <c r="D11" s="591"/>
      <c r="E11" s="591"/>
      <c r="F11" s="591"/>
      <c r="G11" s="591"/>
      <c r="H11" s="591"/>
      <c r="I11" s="591"/>
      <c r="J11" s="591"/>
      <c r="L11" s="43"/>
      <c r="M11" s="43"/>
      <c r="N11" s="43"/>
      <c r="O11" s="39"/>
      <c r="P11" s="39"/>
      <c r="Q11" s="39"/>
    </row>
    <row r="12" spans="1:35" s="300" customFormat="1" ht="16" x14ac:dyDescent="0.2">
      <c r="B12" s="301"/>
      <c r="C12" s="301"/>
      <c r="D12" s="301"/>
      <c r="E12" s="301"/>
      <c r="F12" s="301"/>
      <c r="G12" s="301"/>
      <c r="H12" s="301"/>
      <c r="I12" s="301"/>
      <c r="J12" s="301"/>
      <c r="K12" s="2" t="s">
        <v>68</v>
      </c>
      <c r="L12" s="43"/>
      <c r="M12" s="43"/>
      <c r="N12" s="43"/>
      <c r="O12" s="39"/>
      <c r="P12" s="39"/>
      <c r="Q12" s="39"/>
    </row>
    <row r="13" spans="1:35" ht="20" thickBot="1" x14ac:dyDescent="0.3">
      <c r="A13" s="320"/>
      <c r="B13" s="41" t="s">
        <v>10</v>
      </c>
      <c r="C13" s="320"/>
      <c r="D13" s="320"/>
      <c r="E13" s="320"/>
      <c r="F13" s="320"/>
      <c r="G13" s="320"/>
      <c r="H13" s="320"/>
      <c r="I13" s="320"/>
      <c r="J13" s="42"/>
      <c r="K13" s="18" t="s">
        <v>69</v>
      </c>
      <c r="L13" s="42"/>
      <c r="M13" s="42"/>
      <c r="N13" s="43"/>
      <c r="O13" s="39"/>
      <c r="P13" s="39"/>
      <c r="Q13" s="39"/>
      <c r="R13" s="320"/>
      <c r="S13" s="320"/>
      <c r="T13" s="320"/>
      <c r="U13" s="320"/>
      <c r="V13" s="320"/>
      <c r="W13" s="320"/>
      <c r="X13" s="320"/>
      <c r="Y13" s="320"/>
      <c r="Z13" s="320"/>
      <c r="AA13" s="320"/>
      <c r="AB13" s="320"/>
      <c r="AC13" s="320"/>
      <c r="AD13" s="320"/>
      <c r="AE13" s="320"/>
      <c r="AF13" s="320"/>
      <c r="AG13" s="320"/>
      <c r="AH13" s="320"/>
      <c r="AI13" s="320"/>
    </row>
    <row r="14" spans="1:35" x14ac:dyDescent="0.2">
      <c r="A14" s="320"/>
      <c r="B14" s="98" t="s">
        <v>11</v>
      </c>
      <c r="C14" s="98" t="s">
        <v>12</v>
      </c>
      <c r="D14" s="98" t="s">
        <v>13</v>
      </c>
      <c r="E14" s="98" t="s">
        <v>225</v>
      </c>
      <c r="F14" s="100" t="s">
        <v>64</v>
      </c>
      <c r="G14" s="98"/>
      <c r="H14" s="100" t="s">
        <v>105</v>
      </c>
      <c r="I14" s="320"/>
      <c r="J14" s="42"/>
      <c r="K14" s="93" t="s">
        <v>71</v>
      </c>
      <c r="L14" s="93"/>
      <c r="M14" s="42"/>
      <c r="N14" s="42"/>
      <c r="O14" s="320"/>
      <c r="P14" s="320"/>
      <c r="Q14" s="320"/>
      <c r="R14" s="320"/>
      <c r="S14" s="320"/>
      <c r="T14" s="320"/>
      <c r="U14" s="320"/>
      <c r="V14" s="320"/>
      <c r="W14" s="320"/>
      <c r="X14" s="320"/>
      <c r="Y14" s="320"/>
      <c r="Z14" s="320"/>
      <c r="AA14" s="320"/>
      <c r="AB14" s="320"/>
      <c r="AC14" s="320"/>
      <c r="AD14" s="320"/>
      <c r="AE14" s="320"/>
      <c r="AF14" s="320"/>
      <c r="AG14" s="320"/>
      <c r="AH14" s="320"/>
      <c r="AI14" s="320"/>
    </row>
    <row r="15" spans="1:35" x14ac:dyDescent="0.2">
      <c r="A15" s="320"/>
      <c r="B15" s="320">
        <v>1</v>
      </c>
      <c r="C15" s="320" t="s">
        <v>24</v>
      </c>
      <c r="D15" s="320" t="s">
        <v>25</v>
      </c>
      <c r="E15" s="303" t="s">
        <v>227</v>
      </c>
      <c r="F15" s="145" t="s">
        <v>62</v>
      </c>
      <c r="G15" s="320"/>
      <c r="H15" s="169" t="s">
        <v>112</v>
      </c>
      <c r="I15" s="320"/>
      <c r="J15" s="42"/>
      <c r="K15" s="42"/>
      <c r="L15" s="42"/>
      <c r="M15" s="42"/>
      <c r="N15" s="42"/>
      <c r="O15" s="320"/>
      <c r="P15" s="320"/>
      <c r="Q15" s="320"/>
      <c r="R15" s="320"/>
      <c r="S15" s="320"/>
      <c r="T15" s="320"/>
      <c r="U15" s="320"/>
      <c r="V15" s="320"/>
      <c r="W15" s="320"/>
      <c r="X15" s="320"/>
      <c r="Y15" s="320"/>
      <c r="Z15" s="320"/>
      <c r="AA15" s="320"/>
      <c r="AB15" s="320"/>
      <c r="AC15" s="320"/>
      <c r="AD15" s="320"/>
      <c r="AE15" s="320"/>
      <c r="AF15" s="320"/>
      <c r="AG15" s="320"/>
      <c r="AH15" s="320"/>
      <c r="AI15" s="320"/>
    </row>
    <row r="16" spans="1:35" x14ac:dyDescent="0.2">
      <c r="A16" s="320"/>
      <c r="B16" s="320">
        <v>2</v>
      </c>
      <c r="C16" s="320" t="s">
        <v>100</v>
      </c>
      <c r="D16" s="320" t="s">
        <v>101</v>
      </c>
      <c r="E16" s="303" t="s">
        <v>231</v>
      </c>
      <c r="F16" s="145" t="s">
        <v>102</v>
      </c>
      <c r="G16" s="320"/>
      <c r="H16" s="186" t="s">
        <v>113</v>
      </c>
      <c r="I16" s="320"/>
      <c r="J16" s="42"/>
      <c r="K16" s="42"/>
      <c r="L16" s="42"/>
      <c r="M16" s="42"/>
      <c r="N16" s="42"/>
      <c r="O16" s="320"/>
      <c r="P16" s="320"/>
      <c r="Q16" s="320"/>
      <c r="R16" s="320"/>
      <c r="S16" s="320"/>
      <c r="T16" s="320"/>
      <c r="U16" s="320"/>
      <c r="V16" s="320"/>
      <c r="W16" s="320"/>
      <c r="X16" s="320"/>
      <c r="Y16" s="320"/>
      <c r="Z16" s="320"/>
      <c r="AA16" s="320"/>
      <c r="AB16" s="320"/>
      <c r="AC16" s="320"/>
      <c r="AD16" s="320"/>
      <c r="AE16" s="320"/>
      <c r="AF16" s="320"/>
      <c r="AG16" s="320"/>
      <c r="AH16" s="320"/>
      <c r="AI16" s="320"/>
    </row>
    <row r="17" spans="1:35" x14ac:dyDescent="0.2">
      <c r="A17" s="320"/>
      <c r="B17" s="320"/>
      <c r="C17" s="320"/>
      <c r="D17" s="320"/>
      <c r="E17" s="320"/>
      <c r="F17" s="307"/>
      <c r="G17" s="39"/>
      <c r="H17" s="306"/>
      <c r="I17" s="320"/>
      <c r="J17" s="42"/>
      <c r="K17" s="42"/>
      <c r="L17" s="42"/>
      <c r="M17" s="42"/>
      <c r="N17" s="42"/>
      <c r="O17" s="320"/>
      <c r="P17" s="320"/>
      <c r="Q17" s="320"/>
      <c r="R17" s="320"/>
      <c r="S17" s="320"/>
      <c r="T17" s="320"/>
      <c r="U17" s="320"/>
      <c r="V17" s="320"/>
      <c r="W17" s="320"/>
      <c r="X17" s="320"/>
      <c r="Y17" s="320"/>
      <c r="Z17" s="320"/>
      <c r="AA17" s="320"/>
      <c r="AB17" s="320"/>
      <c r="AC17" s="320"/>
      <c r="AD17" s="320"/>
      <c r="AE17" s="320"/>
      <c r="AF17" s="320"/>
      <c r="AG17" s="320"/>
      <c r="AH17" s="320"/>
      <c r="AI17" s="320"/>
    </row>
    <row r="18" spans="1:35" x14ac:dyDescent="0.2">
      <c r="A18" s="320"/>
      <c r="B18" s="320"/>
      <c r="C18" s="320"/>
      <c r="D18" s="320"/>
      <c r="E18" s="320"/>
      <c r="F18" s="307"/>
      <c r="G18" s="39"/>
      <c r="H18" s="168"/>
      <c r="I18" s="320"/>
      <c r="J18" s="42"/>
      <c r="K18" s="42"/>
      <c r="L18" s="42"/>
      <c r="M18" s="42"/>
      <c r="N18" s="42"/>
      <c r="O18" s="320"/>
      <c r="P18" s="320"/>
      <c r="Q18" s="320"/>
      <c r="R18" s="320"/>
      <c r="S18" s="320"/>
      <c r="T18" s="320"/>
      <c r="U18" s="320"/>
      <c r="V18" s="320"/>
      <c r="W18" s="320"/>
      <c r="X18" s="320"/>
      <c r="Y18" s="320"/>
      <c r="Z18" s="320"/>
      <c r="AA18" s="320"/>
      <c r="AB18" s="320"/>
      <c r="AC18" s="320"/>
      <c r="AD18" s="320"/>
      <c r="AE18" s="320"/>
      <c r="AF18" s="320"/>
      <c r="AG18" s="320"/>
      <c r="AH18" s="320"/>
      <c r="AI18" s="320"/>
    </row>
    <row r="19" spans="1:35" x14ac:dyDescent="0.2">
      <c r="A19" s="320"/>
      <c r="B19" s="320"/>
      <c r="D19" s="320"/>
      <c r="E19" s="320"/>
      <c r="F19" s="320"/>
      <c r="G19" s="320"/>
      <c r="H19" s="320"/>
      <c r="I19" s="39"/>
      <c r="J19" s="320"/>
      <c r="K19" s="42"/>
      <c r="L19" s="42"/>
      <c r="M19" s="42"/>
      <c r="N19" s="42"/>
      <c r="O19" s="42"/>
      <c r="P19" s="320"/>
      <c r="Q19" s="320"/>
      <c r="R19" s="320"/>
      <c r="S19" s="320"/>
      <c r="T19" s="320"/>
      <c r="U19" s="320"/>
      <c r="V19" s="320"/>
      <c r="W19" s="320"/>
      <c r="X19" s="320"/>
      <c r="Y19" s="320"/>
      <c r="Z19" s="320"/>
      <c r="AA19" s="320"/>
      <c r="AB19" s="320"/>
      <c r="AC19" s="320"/>
      <c r="AD19" s="320"/>
      <c r="AE19" s="320"/>
      <c r="AF19" s="320"/>
      <c r="AG19" s="320"/>
      <c r="AH19" s="320"/>
      <c r="AI19" s="320"/>
    </row>
    <row r="20" spans="1:35" x14ac:dyDescent="0.2">
      <c r="A20" s="304" t="s">
        <v>232</v>
      </c>
      <c r="B20" s="320"/>
      <c r="D20" s="320"/>
      <c r="E20" s="320"/>
      <c r="F20" s="320"/>
      <c r="G20" s="320"/>
      <c r="H20" s="320"/>
      <c r="I20" s="320"/>
      <c r="J20" s="320"/>
      <c r="K20" s="320"/>
      <c r="L20" s="320"/>
      <c r="M20" s="42"/>
      <c r="N20" s="42"/>
      <c r="O20" s="42"/>
      <c r="P20" s="39"/>
      <c r="Q20" s="39"/>
      <c r="R20" s="39"/>
      <c r="S20" s="39"/>
      <c r="T20" s="39"/>
      <c r="U20" s="39"/>
      <c r="V20" s="320"/>
      <c r="W20" s="320"/>
      <c r="X20" s="320"/>
      <c r="Y20" s="320"/>
      <c r="Z20" s="320"/>
      <c r="AA20" s="320"/>
      <c r="AB20" s="320"/>
      <c r="AC20" s="320"/>
      <c r="AD20" s="320"/>
      <c r="AE20" s="320"/>
      <c r="AF20" s="320"/>
      <c r="AG20" s="320"/>
      <c r="AH20" s="320"/>
      <c r="AI20" s="320"/>
    </row>
    <row r="21" spans="1:35" ht="16" thickBot="1" x14ac:dyDescent="0.25">
      <c r="A21" s="304" t="s">
        <v>47</v>
      </c>
      <c r="B21" s="42"/>
      <c r="C21" s="412" t="s">
        <v>183</v>
      </c>
      <c r="D21" s="333" t="s">
        <v>234</v>
      </c>
      <c r="E21" s="42"/>
      <c r="F21" s="320"/>
      <c r="G21" s="320"/>
      <c r="H21" s="320"/>
      <c r="I21" s="320"/>
      <c r="J21" s="320"/>
      <c r="K21" s="320"/>
      <c r="L21" s="320"/>
      <c r="M21" s="320"/>
      <c r="N21" s="320"/>
      <c r="O21" s="320"/>
      <c r="P21" s="43"/>
      <c r="Q21" s="43"/>
      <c r="R21" s="43"/>
      <c r="S21" s="43"/>
      <c r="T21" s="43"/>
      <c r="U21" s="39"/>
      <c r="V21" s="320"/>
      <c r="W21" s="320"/>
      <c r="X21" s="320"/>
      <c r="Y21" s="320"/>
      <c r="Z21" s="320"/>
      <c r="AA21" s="320"/>
      <c r="AB21" s="320"/>
      <c r="AC21" s="320"/>
      <c r="AD21" s="320"/>
      <c r="AE21" s="320"/>
      <c r="AF21" s="320"/>
      <c r="AG21" s="320"/>
      <c r="AH21" s="320"/>
      <c r="AI21" s="320"/>
    </row>
    <row r="22" spans="1:35" x14ac:dyDescent="0.2">
      <c r="A22" s="65" t="s">
        <v>49</v>
      </c>
      <c r="B22" s="38"/>
      <c r="C22" s="49">
        <v>2016</v>
      </c>
      <c r="D22" s="360">
        <v>2014</v>
      </c>
      <c r="E22" s="62">
        <v>2020</v>
      </c>
      <c r="F22" s="360">
        <v>2023</v>
      </c>
      <c r="G22" s="62">
        <v>2025</v>
      </c>
      <c r="H22" s="62">
        <v>2030</v>
      </c>
      <c r="I22" s="360">
        <v>2033</v>
      </c>
      <c r="J22" s="360" t="s">
        <v>1</v>
      </c>
      <c r="K22" s="48" t="s">
        <v>54</v>
      </c>
      <c r="L22" s="38" t="s">
        <v>55</v>
      </c>
      <c r="M22" s="320"/>
      <c r="N22" s="320"/>
      <c r="O22" s="320"/>
      <c r="P22" s="50"/>
      <c r="Q22" s="50"/>
      <c r="R22" s="50"/>
      <c r="S22" s="50"/>
      <c r="T22" s="50"/>
      <c r="U22" s="39"/>
      <c r="V22" s="320"/>
      <c r="W22" s="320"/>
      <c r="X22" s="320"/>
      <c r="Y22" s="320"/>
      <c r="Z22" s="320"/>
      <c r="AA22" s="320"/>
      <c r="AB22" s="320"/>
      <c r="AC22" s="320"/>
      <c r="AD22" s="320"/>
      <c r="AE22" s="320"/>
      <c r="AF22" s="320"/>
      <c r="AG22" s="320"/>
      <c r="AH22" s="320"/>
      <c r="AI22" s="320"/>
    </row>
    <row r="23" spans="1:35" x14ac:dyDescent="0.2">
      <c r="A23" s="320"/>
      <c r="B23" s="37" t="s">
        <v>2</v>
      </c>
      <c r="C23" s="413"/>
      <c r="D23" s="361">
        <v>400</v>
      </c>
      <c r="E23" s="110">
        <f>$D23*(1-$K23)^(E$22-$D$22)</f>
        <v>258.60013630631016</v>
      </c>
      <c r="F23" s="385">
        <v>250</v>
      </c>
      <c r="G23" s="110">
        <f>$D23*(1-$K23)^(G$22-$D$22)</f>
        <v>179.79159334709937</v>
      </c>
      <c r="H23" s="110">
        <f>$D23*(1-$K23)^(H$22-$D$22)</f>
        <v>124.99999999999991</v>
      </c>
      <c r="I23" s="368">
        <v>125</v>
      </c>
      <c r="J23" s="372" t="s">
        <v>247</v>
      </c>
      <c r="K23" s="312">
        <f>1-(I23/D23)^(1/(H$22-D$22))</f>
        <v>7.0117389074227932E-2</v>
      </c>
      <c r="L23" s="95"/>
      <c r="M23" s="354" t="s">
        <v>238</v>
      </c>
      <c r="N23" s="320"/>
      <c r="O23" s="320"/>
      <c r="P23" s="72"/>
      <c r="Q23" s="72"/>
      <c r="R23" s="72"/>
      <c r="S23" s="72"/>
      <c r="T23" s="43"/>
      <c r="U23" s="39"/>
      <c r="V23" s="320"/>
      <c r="W23" s="320"/>
      <c r="X23" s="320"/>
      <c r="Y23" s="320"/>
      <c r="Z23" s="320"/>
      <c r="AA23" s="320"/>
      <c r="AB23" s="320"/>
      <c r="AC23" s="320"/>
      <c r="AD23" s="320"/>
      <c r="AE23" s="320"/>
      <c r="AF23" s="320"/>
      <c r="AG23" s="320"/>
      <c r="AH23" s="320"/>
      <c r="AI23" s="320"/>
    </row>
    <row r="24" spans="1:35" x14ac:dyDescent="0.2">
      <c r="A24" s="320"/>
      <c r="B24" s="40" t="s">
        <v>3</v>
      </c>
      <c r="C24" s="413"/>
      <c r="D24" s="361">
        <v>160</v>
      </c>
      <c r="E24" s="390"/>
      <c r="F24" s="397">
        <v>90</v>
      </c>
      <c r="G24" s="390"/>
      <c r="H24" s="320"/>
      <c r="I24" s="401">
        <v>40</v>
      </c>
      <c r="J24" s="372" t="s">
        <v>248</v>
      </c>
      <c r="K24" s="312"/>
      <c r="L24" s="95"/>
      <c r="M24" s="354" t="s">
        <v>238</v>
      </c>
      <c r="N24" s="320"/>
      <c r="O24" s="320"/>
      <c r="P24" s="72"/>
      <c r="Q24" s="72"/>
      <c r="R24" s="72"/>
      <c r="S24" s="72"/>
      <c r="T24" s="43"/>
      <c r="U24" s="39"/>
      <c r="V24" s="320"/>
      <c r="W24" s="320"/>
      <c r="X24" s="320"/>
      <c r="Y24" s="320"/>
      <c r="Z24" s="320"/>
      <c r="AA24" s="320"/>
      <c r="AB24" s="320"/>
      <c r="AC24" s="320"/>
      <c r="AD24" s="320"/>
      <c r="AE24" s="320"/>
      <c r="AF24" s="320"/>
      <c r="AG24" s="320"/>
      <c r="AH24" s="320"/>
      <c r="AI24" s="320"/>
    </row>
    <row r="25" spans="1:35" x14ac:dyDescent="0.2">
      <c r="A25" s="320"/>
      <c r="B25" s="37" t="s">
        <v>4</v>
      </c>
      <c r="C25" s="413"/>
      <c r="D25" s="396"/>
      <c r="E25" s="124"/>
      <c r="F25" s="398"/>
      <c r="G25" s="124"/>
      <c r="H25" s="124"/>
      <c r="I25" s="410"/>
      <c r="J25" s="372" t="s">
        <v>5</v>
      </c>
      <c r="K25" s="312"/>
      <c r="L25" s="95"/>
      <c r="M25" s="354"/>
      <c r="N25" s="320"/>
      <c r="O25" s="320"/>
      <c r="P25" s="73"/>
      <c r="Q25" s="73"/>
      <c r="R25" s="73"/>
      <c r="S25" s="74"/>
      <c r="T25" s="43"/>
      <c r="U25" s="39"/>
      <c r="V25" s="320"/>
      <c r="W25" s="320"/>
      <c r="X25" s="320"/>
      <c r="Y25" s="320"/>
      <c r="Z25" s="320"/>
      <c r="AA25" s="320"/>
      <c r="AB25" s="320"/>
      <c r="AC25" s="320"/>
      <c r="AD25" s="320"/>
      <c r="AE25" s="320"/>
      <c r="AF25" s="320"/>
      <c r="AG25" s="320"/>
      <c r="AH25" s="320"/>
      <c r="AI25" s="320"/>
    </row>
    <row r="26" spans="1:35" x14ac:dyDescent="0.2">
      <c r="A26" s="320"/>
      <c r="B26" s="37" t="s">
        <v>6</v>
      </c>
      <c r="C26" s="413"/>
      <c r="D26" s="396"/>
      <c r="E26" s="124"/>
      <c r="F26" s="398"/>
      <c r="G26" s="124"/>
      <c r="H26" s="124"/>
      <c r="I26" s="410"/>
      <c r="J26" s="372" t="s">
        <v>7</v>
      </c>
      <c r="K26" s="312"/>
      <c r="L26" s="95"/>
      <c r="M26" s="354"/>
      <c r="N26" s="320"/>
      <c r="O26" s="320"/>
      <c r="P26" s="73"/>
      <c r="Q26" s="73"/>
      <c r="R26" s="73"/>
      <c r="S26" s="74"/>
      <c r="T26" s="43"/>
      <c r="U26" s="39"/>
      <c r="V26" s="320"/>
      <c r="W26" s="320"/>
      <c r="X26" s="320"/>
      <c r="Y26" s="320"/>
      <c r="Z26" s="320"/>
      <c r="AA26" s="320"/>
      <c r="AB26" s="320"/>
      <c r="AC26" s="320"/>
      <c r="AD26" s="320"/>
      <c r="AE26" s="320"/>
      <c r="AF26" s="320"/>
      <c r="AG26" s="320"/>
      <c r="AH26" s="320"/>
      <c r="AI26" s="320"/>
    </row>
    <row r="27" spans="1:35" ht="16" thickBot="1" x14ac:dyDescent="0.25">
      <c r="A27" s="320"/>
      <c r="B27" s="6" t="s">
        <v>8</v>
      </c>
      <c r="C27" s="414"/>
      <c r="D27" s="363">
        <v>75</v>
      </c>
      <c r="E27" s="130"/>
      <c r="F27" s="409">
        <v>75</v>
      </c>
      <c r="G27" s="130"/>
      <c r="H27" s="130"/>
      <c r="I27" s="411">
        <v>75</v>
      </c>
      <c r="J27" s="373" t="s">
        <v>9</v>
      </c>
      <c r="K27" s="313"/>
      <c r="L27" s="309"/>
      <c r="M27" s="354" t="s">
        <v>238</v>
      </c>
      <c r="N27" s="320"/>
      <c r="O27" s="320"/>
      <c r="P27" s="73"/>
      <c r="Q27" s="73"/>
      <c r="R27" s="73"/>
      <c r="S27" s="74"/>
      <c r="T27" s="43"/>
      <c r="U27" s="39"/>
      <c r="V27" s="320"/>
      <c r="W27" s="320"/>
      <c r="X27" s="320"/>
      <c r="Y27" s="320"/>
      <c r="Z27" s="320"/>
      <c r="AA27" s="320"/>
      <c r="AB27" s="320"/>
      <c r="AC27" s="320"/>
      <c r="AD27" s="320"/>
      <c r="AE27" s="320"/>
      <c r="AF27" s="320"/>
      <c r="AG27" s="320"/>
      <c r="AH27" s="320"/>
      <c r="AI27" s="320"/>
    </row>
    <row r="28" spans="1:35" ht="16" thickBot="1" x14ac:dyDescent="0.25">
      <c r="A28" s="320"/>
      <c r="B28" s="320"/>
      <c r="C28" s="213"/>
      <c r="D28" s="320"/>
      <c r="E28" s="320"/>
      <c r="F28" s="320"/>
      <c r="G28" s="320"/>
      <c r="H28" s="320"/>
      <c r="I28" s="320"/>
      <c r="J28" s="320"/>
      <c r="K28" s="312"/>
      <c r="L28" s="95"/>
      <c r="M28" s="354"/>
      <c r="N28" s="320"/>
      <c r="O28" s="320"/>
      <c r="P28" s="43"/>
      <c r="Q28" s="43"/>
      <c r="R28" s="43"/>
      <c r="S28" s="43"/>
      <c r="T28" s="43"/>
      <c r="U28" s="39"/>
      <c r="V28" s="320"/>
      <c r="W28" s="320"/>
      <c r="X28" s="320"/>
      <c r="Y28" s="320"/>
      <c r="Z28" s="320"/>
      <c r="AA28" s="320"/>
      <c r="AB28" s="320"/>
      <c r="AC28" s="320"/>
      <c r="AD28" s="320"/>
      <c r="AE28" s="320"/>
      <c r="AF28" s="320"/>
      <c r="AG28" s="320"/>
      <c r="AH28" s="320"/>
      <c r="AI28" s="320"/>
    </row>
    <row r="29" spans="1:35" x14ac:dyDescent="0.2">
      <c r="A29" s="65" t="s">
        <v>51</v>
      </c>
      <c r="B29" s="38"/>
      <c r="C29" s="49">
        <v>2016</v>
      </c>
      <c r="D29" s="360">
        <v>2014</v>
      </c>
      <c r="E29" s="38">
        <v>2017</v>
      </c>
      <c r="F29" s="62">
        <v>2020</v>
      </c>
      <c r="G29" s="62">
        <v>2025</v>
      </c>
      <c r="H29" s="62">
        <v>2030</v>
      </c>
      <c r="I29" s="38">
        <v>2050</v>
      </c>
      <c r="J29" s="38" t="s">
        <v>1</v>
      </c>
      <c r="K29" s="314"/>
      <c r="L29" s="310"/>
      <c r="M29" s="354"/>
      <c r="N29" s="320"/>
      <c r="O29" s="320"/>
      <c r="P29" s="50"/>
      <c r="Q29" s="50"/>
      <c r="R29" s="50"/>
      <c r="S29" s="50"/>
      <c r="T29" s="50"/>
      <c r="U29" s="39"/>
      <c r="V29" s="320"/>
      <c r="W29" s="320"/>
      <c r="X29" s="320"/>
      <c r="Y29" s="320"/>
      <c r="Z29" s="320"/>
      <c r="AA29" s="320"/>
      <c r="AB29" s="320"/>
      <c r="AC29" s="320"/>
      <c r="AD29" s="320"/>
      <c r="AE29" s="320"/>
      <c r="AF29" s="320"/>
      <c r="AG29" s="320"/>
      <c r="AH29" s="320"/>
      <c r="AI29" s="320"/>
    </row>
    <row r="30" spans="1:35" x14ac:dyDescent="0.2">
      <c r="A30" s="320"/>
      <c r="B30" s="37" t="s">
        <v>2</v>
      </c>
      <c r="C30" s="413"/>
      <c r="D30" s="388">
        <v>488</v>
      </c>
      <c r="E30" s="388">
        <v>465</v>
      </c>
      <c r="F30" s="389">
        <v>400</v>
      </c>
      <c r="G30" s="125">
        <f>$F30*(1-$L30)^(G$29-$F$29)</f>
        <v>311.22302674882866</v>
      </c>
      <c r="H30" s="125">
        <f>$F30*(1-$L30)^(H$29-$F$29)</f>
        <v>242.14943094675525</v>
      </c>
      <c r="I30" s="317"/>
      <c r="J30" s="320" t="s">
        <v>22</v>
      </c>
      <c r="K30" s="312">
        <f>1-(E30/D30)^(1/(E$29-D$29))</f>
        <v>1.5963871604947832E-2</v>
      </c>
      <c r="L30" s="95">
        <f>1-(F30/E30)^(1/(F$29-E$29))</f>
        <v>4.8952198105277622E-2</v>
      </c>
      <c r="M30" s="354" t="s">
        <v>249</v>
      </c>
      <c r="N30" s="320"/>
      <c r="O30" s="320"/>
      <c r="P30" s="72"/>
      <c r="Q30" s="72"/>
      <c r="R30" s="72"/>
      <c r="S30" s="72"/>
      <c r="T30" s="43"/>
      <c r="U30" s="39"/>
      <c r="V30" s="320"/>
      <c r="W30" s="320"/>
      <c r="X30" s="320"/>
      <c r="Y30" s="320"/>
      <c r="Z30" s="320"/>
      <c r="AA30" s="320"/>
      <c r="AB30" s="320"/>
      <c r="AC30" s="320"/>
      <c r="AD30" s="320"/>
      <c r="AE30" s="320"/>
      <c r="AF30" s="320"/>
      <c r="AG30" s="320"/>
      <c r="AH30" s="320"/>
      <c r="AI30" s="320"/>
    </row>
    <row r="31" spans="1:35" x14ac:dyDescent="0.2">
      <c r="A31" s="320"/>
      <c r="B31" s="40" t="s">
        <v>3</v>
      </c>
      <c r="C31" s="413"/>
      <c r="D31" s="388">
        <f>C5</f>
        <v>0</v>
      </c>
      <c r="E31" s="317"/>
      <c r="F31" s="162"/>
      <c r="G31" s="162"/>
      <c r="H31" s="162"/>
      <c r="I31" s="163"/>
      <c r="J31" s="320" t="s">
        <v>23</v>
      </c>
      <c r="K31" s="312"/>
      <c r="L31" s="95"/>
      <c r="M31" s="320"/>
      <c r="N31" s="320"/>
      <c r="O31" s="320"/>
      <c r="P31" s="72"/>
      <c r="Q31" s="72"/>
      <c r="R31" s="72"/>
      <c r="S31" s="72"/>
      <c r="T31" s="43"/>
      <c r="U31" s="39"/>
      <c r="V31" s="320"/>
      <c r="W31" s="320"/>
      <c r="X31" s="320"/>
      <c r="Y31" s="320"/>
      <c r="Z31" s="320"/>
      <c r="AA31" s="320"/>
      <c r="AB31" s="320"/>
      <c r="AC31" s="320"/>
      <c r="AD31" s="320"/>
      <c r="AE31" s="320"/>
      <c r="AF31" s="320"/>
      <c r="AG31" s="320"/>
      <c r="AH31" s="320"/>
      <c r="AI31" s="320"/>
    </row>
    <row r="32" spans="1:35" x14ac:dyDescent="0.2">
      <c r="A32" s="320"/>
      <c r="B32" s="37" t="s">
        <v>4</v>
      </c>
      <c r="C32" s="413"/>
      <c r="D32" s="388">
        <v>2250</v>
      </c>
      <c r="E32" s="163"/>
      <c r="F32" s="124"/>
      <c r="G32" s="124"/>
      <c r="H32" s="124"/>
      <c r="I32" s="89"/>
      <c r="J32" s="320" t="s">
        <v>5</v>
      </c>
      <c r="K32" s="312"/>
      <c r="L32" s="95"/>
      <c r="M32" s="354" t="s">
        <v>266</v>
      </c>
      <c r="N32" s="320"/>
      <c r="O32" s="320"/>
      <c r="P32" s="73"/>
      <c r="Q32" s="73"/>
      <c r="R32" s="73"/>
      <c r="S32" s="74"/>
      <c r="T32" s="43"/>
      <c r="U32" s="39"/>
      <c r="V32" s="320"/>
      <c r="W32" s="320"/>
      <c r="X32" s="320"/>
      <c r="Y32" s="320"/>
      <c r="Z32" s="320"/>
      <c r="AA32" s="320"/>
      <c r="AB32" s="320"/>
      <c r="AC32" s="320"/>
      <c r="AD32" s="320"/>
      <c r="AE32" s="320"/>
      <c r="AF32" s="320"/>
      <c r="AG32" s="320"/>
      <c r="AH32" s="320"/>
      <c r="AI32" s="320"/>
    </row>
    <row r="33" spans="1:35" x14ac:dyDescent="0.2">
      <c r="A33" s="320"/>
      <c r="B33" s="37" t="s">
        <v>6</v>
      </c>
      <c r="C33" s="413"/>
      <c r="D33" s="388">
        <f>C7</f>
        <v>15</v>
      </c>
      <c r="E33" s="163"/>
      <c r="F33" s="124"/>
      <c r="G33" s="124"/>
      <c r="H33" s="124"/>
      <c r="I33" s="88"/>
      <c r="J33" s="320" t="s">
        <v>7</v>
      </c>
      <c r="K33" s="312"/>
      <c r="L33" s="95"/>
      <c r="M33" s="320"/>
      <c r="N33" s="320"/>
      <c r="O33" s="320"/>
      <c r="P33" s="73"/>
      <c r="Q33" s="73"/>
      <c r="R33" s="73"/>
      <c r="S33" s="74"/>
      <c r="T33" s="43"/>
      <c r="U33" s="39"/>
      <c r="V33" s="320"/>
      <c r="W33" s="320"/>
      <c r="X33" s="320"/>
      <c r="Y33" s="320"/>
      <c r="Z33" s="320"/>
      <c r="AA33" s="320"/>
      <c r="AB33" s="320"/>
      <c r="AC33" s="320"/>
      <c r="AD33" s="320"/>
      <c r="AE33" s="320"/>
      <c r="AF33" s="320"/>
      <c r="AG33" s="320"/>
      <c r="AH33" s="320"/>
      <c r="AI33" s="320"/>
    </row>
    <row r="34" spans="1:35" ht="16" thickBot="1" x14ac:dyDescent="0.25">
      <c r="A34" s="320"/>
      <c r="B34" s="6" t="s">
        <v>8</v>
      </c>
      <c r="C34" s="414"/>
      <c r="D34" s="415">
        <f>C8</f>
        <v>84</v>
      </c>
      <c r="E34" s="318"/>
      <c r="F34" s="130"/>
      <c r="G34" s="130"/>
      <c r="H34" s="130"/>
      <c r="I34" s="90"/>
      <c r="J34" s="7" t="s">
        <v>9</v>
      </c>
      <c r="K34" s="313"/>
      <c r="L34" s="309"/>
      <c r="M34" s="320"/>
      <c r="N34" s="320"/>
      <c r="O34" s="320"/>
      <c r="P34" s="73"/>
      <c r="Q34" s="73"/>
      <c r="R34" s="73"/>
      <c r="S34" s="74"/>
      <c r="T34" s="43"/>
      <c r="U34" s="39"/>
      <c r="V34" s="320"/>
      <c r="W34" s="320"/>
      <c r="X34" s="320"/>
      <c r="Y34" s="320"/>
      <c r="Z34" s="320"/>
      <c r="AA34" s="320"/>
      <c r="AB34" s="320"/>
      <c r="AC34" s="320"/>
      <c r="AD34" s="320"/>
      <c r="AE34" s="320"/>
      <c r="AF34" s="320"/>
      <c r="AG34" s="320"/>
      <c r="AH34" s="320"/>
      <c r="AI34" s="320"/>
    </row>
    <row r="35" spans="1:35" x14ac:dyDescent="0.2">
      <c r="A35" s="136"/>
      <c r="B35" s="136"/>
      <c r="D35" s="136"/>
      <c r="E35" s="136"/>
      <c r="F35" s="136"/>
      <c r="G35" s="136"/>
      <c r="H35" s="136"/>
      <c r="I35" s="136"/>
      <c r="J35" s="136"/>
      <c r="K35" s="137"/>
      <c r="L35" s="137"/>
      <c r="M35" s="320"/>
      <c r="N35" s="320"/>
      <c r="O35" s="320"/>
      <c r="P35" s="39"/>
      <c r="Q35" s="39"/>
      <c r="R35" s="39"/>
      <c r="S35" s="39"/>
      <c r="T35" s="39"/>
      <c r="U35" s="39"/>
      <c r="V35" s="320"/>
      <c r="W35" s="320"/>
      <c r="X35" s="320"/>
      <c r="Y35" s="320"/>
      <c r="Z35" s="320"/>
      <c r="AA35" s="320"/>
      <c r="AB35" s="320"/>
      <c r="AC35" s="320"/>
      <c r="AD35" s="320"/>
      <c r="AE35" s="320"/>
      <c r="AF35" s="320"/>
      <c r="AG35" s="320"/>
      <c r="AH35" s="320"/>
      <c r="AI35" s="320"/>
    </row>
    <row r="36" spans="1:35" x14ac:dyDescent="0.2">
      <c r="A36" s="134"/>
      <c r="B36" s="134"/>
      <c r="D36" s="408" t="s">
        <v>262</v>
      </c>
      <c r="E36" s="408" t="s">
        <v>263</v>
      </c>
      <c r="F36" s="408" t="s">
        <v>264</v>
      </c>
      <c r="G36" s="408" t="s">
        <v>265</v>
      </c>
      <c r="H36" s="134"/>
      <c r="I36" s="134"/>
      <c r="J36" s="134"/>
      <c r="K36" s="137"/>
      <c r="L36" s="137"/>
      <c r="M36" s="320"/>
      <c r="N36" s="320"/>
      <c r="O36" s="320"/>
      <c r="P36" s="320"/>
      <c r="Q36" s="320"/>
      <c r="R36" s="320"/>
      <c r="S36" s="320"/>
      <c r="T36" s="320"/>
      <c r="U36" s="320"/>
      <c r="V36" s="320"/>
      <c r="W36" s="320"/>
      <c r="X36" s="320"/>
      <c r="Y36" s="320"/>
      <c r="Z36" s="320"/>
      <c r="AA36" s="320"/>
      <c r="AB36" s="320"/>
      <c r="AC36" s="320"/>
      <c r="AD36" s="320"/>
      <c r="AE36" s="320"/>
      <c r="AF36" s="320"/>
      <c r="AG36" s="320"/>
      <c r="AH36" s="320"/>
      <c r="AI36" s="320"/>
    </row>
    <row r="37" spans="1:35" x14ac:dyDescent="0.2">
      <c r="A37" s="136"/>
      <c r="B37" s="134"/>
      <c r="D37" s="406">
        <f>H23/D23</f>
        <v>0.31249999999999978</v>
      </c>
      <c r="E37" s="406"/>
      <c r="F37" s="406"/>
      <c r="G37" s="406"/>
      <c r="I37" s="138"/>
      <c r="J37" s="136"/>
      <c r="K37" s="137"/>
      <c r="L37" s="137"/>
      <c r="M37" s="320"/>
      <c r="N37" s="320"/>
      <c r="O37" s="320"/>
      <c r="P37" s="320"/>
      <c r="Q37" s="320"/>
      <c r="R37" s="320"/>
      <c r="S37" s="320"/>
      <c r="T37" s="320"/>
      <c r="U37" s="320"/>
      <c r="V37" s="320"/>
      <c r="W37" s="320"/>
      <c r="X37" s="320"/>
      <c r="Y37" s="320"/>
      <c r="Z37" s="320"/>
      <c r="AA37" s="320"/>
      <c r="AB37" s="320"/>
      <c r="AC37" s="320"/>
      <c r="AD37" s="320"/>
      <c r="AE37" s="320"/>
      <c r="AF37" s="320"/>
      <c r="AG37" s="320"/>
      <c r="AH37" s="320"/>
      <c r="AI37" s="320"/>
    </row>
    <row r="38" spans="1:35" x14ac:dyDescent="0.2">
      <c r="A38" s="136"/>
      <c r="B38" s="134"/>
      <c r="D38" s="406">
        <f>H30/D30</f>
        <v>0.49620785030072795</v>
      </c>
      <c r="E38" s="406"/>
      <c r="F38" s="406"/>
      <c r="G38" s="406"/>
      <c r="I38" s="138"/>
      <c r="J38" s="136"/>
      <c r="K38" s="137"/>
      <c r="L38" s="137"/>
      <c r="M38" s="320"/>
      <c r="N38" s="320"/>
      <c r="O38" s="320"/>
      <c r="P38" s="320"/>
      <c r="Q38" s="320"/>
      <c r="R38" s="320"/>
      <c r="S38" s="320"/>
      <c r="T38" s="320"/>
      <c r="U38" s="320"/>
      <c r="V38" s="320"/>
      <c r="W38" s="320"/>
      <c r="X38" s="320"/>
      <c r="Y38" s="320"/>
      <c r="Z38" s="320"/>
      <c r="AA38" s="320"/>
      <c r="AB38" s="320"/>
      <c r="AC38" s="320"/>
      <c r="AD38" s="320"/>
      <c r="AE38" s="320"/>
      <c r="AF38" s="320"/>
      <c r="AG38" s="320"/>
      <c r="AH38" s="320"/>
      <c r="AI38" s="320"/>
    </row>
    <row r="39" spans="1:35" x14ac:dyDescent="0.2">
      <c r="A39" s="136"/>
      <c r="B39" s="134"/>
      <c r="D39" s="408" t="s">
        <v>261</v>
      </c>
      <c r="E39" s="408" t="s">
        <v>261</v>
      </c>
      <c r="F39" s="408" t="s">
        <v>261</v>
      </c>
      <c r="G39" s="408" t="s">
        <v>261</v>
      </c>
      <c r="I39" s="135"/>
      <c r="J39" s="136"/>
      <c r="K39" s="137"/>
      <c r="L39" s="137"/>
      <c r="M39" s="320"/>
      <c r="N39" s="320"/>
      <c r="O39" s="320"/>
      <c r="P39" s="320"/>
      <c r="Q39" s="320"/>
      <c r="R39" s="320"/>
      <c r="S39" s="320"/>
      <c r="T39" s="320"/>
      <c r="U39" s="320"/>
      <c r="V39" s="320"/>
      <c r="W39" s="320"/>
      <c r="X39" s="320"/>
      <c r="Y39" s="320"/>
      <c r="Z39" s="320"/>
      <c r="AA39" s="320"/>
      <c r="AB39" s="320"/>
      <c r="AC39" s="320"/>
      <c r="AD39" s="320"/>
      <c r="AE39" s="320"/>
      <c r="AF39" s="320"/>
      <c r="AG39" s="320"/>
      <c r="AH39" s="320"/>
      <c r="AI39" s="320"/>
    </row>
    <row r="40" spans="1:35" x14ac:dyDescent="0.2">
      <c r="A40" s="136"/>
      <c r="B40" s="134"/>
      <c r="D40" s="406">
        <f>AVERAGE(D37:D38)</f>
        <v>0.40435392515036384</v>
      </c>
      <c r="E40" s="406"/>
      <c r="F40" s="406"/>
      <c r="G40" s="406"/>
      <c r="I40" s="135"/>
      <c r="J40" s="136"/>
      <c r="K40" s="137"/>
      <c r="L40" s="137"/>
      <c r="M40" s="320"/>
      <c r="N40" s="320"/>
      <c r="O40" s="320"/>
      <c r="P40" s="320"/>
      <c r="Q40" s="320"/>
      <c r="R40" s="320"/>
      <c r="S40" s="320"/>
      <c r="T40" s="320"/>
      <c r="U40" s="320"/>
      <c r="V40" s="320"/>
      <c r="W40" s="320"/>
      <c r="X40" s="320"/>
      <c r="Y40" s="320"/>
      <c r="Z40" s="320"/>
      <c r="AA40" s="320"/>
      <c r="AB40" s="320"/>
      <c r="AC40" s="320"/>
      <c r="AD40" s="320"/>
      <c r="AE40" s="320"/>
      <c r="AF40" s="320"/>
      <c r="AG40" s="320"/>
      <c r="AH40" s="320"/>
      <c r="AI40" s="320"/>
    </row>
    <row r="41" spans="1:35" x14ac:dyDescent="0.2">
      <c r="A41" s="136"/>
      <c r="B41" s="134"/>
      <c r="D41" s="406"/>
      <c r="E41" s="406"/>
      <c r="F41" s="406"/>
      <c r="G41" s="406"/>
      <c r="I41" s="133"/>
      <c r="J41" s="136"/>
      <c r="K41" s="137"/>
      <c r="L41" s="137"/>
      <c r="M41" s="320"/>
      <c r="N41" s="320"/>
      <c r="O41" s="320"/>
      <c r="P41" s="320"/>
      <c r="Q41" s="320"/>
      <c r="R41" s="320"/>
      <c r="S41" s="320"/>
      <c r="T41" s="320"/>
      <c r="U41" s="320"/>
      <c r="V41" s="320"/>
      <c r="W41" s="320"/>
      <c r="X41" s="320"/>
      <c r="Y41" s="320"/>
      <c r="Z41" s="320"/>
      <c r="AA41" s="320"/>
      <c r="AB41" s="320"/>
      <c r="AC41" s="320"/>
      <c r="AD41" s="320"/>
      <c r="AE41" s="320"/>
      <c r="AF41" s="320"/>
      <c r="AG41" s="320"/>
      <c r="AH41" s="320"/>
      <c r="AI41" s="320"/>
    </row>
    <row r="42" spans="1:35" x14ac:dyDescent="0.2">
      <c r="A42" s="136"/>
      <c r="B42" s="134"/>
      <c r="I42" s="135"/>
      <c r="J42" s="136"/>
      <c r="K42" s="136"/>
      <c r="L42" s="136"/>
      <c r="M42" s="320"/>
      <c r="N42" s="320"/>
      <c r="O42" s="320"/>
      <c r="P42" s="320"/>
      <c r="Q42" s="320"/>
      <c r="R42" s="320"/>
      <c r="S42" s="320"/>
      <c r="T42" s="320"/>
      <c r="U42" s="320"/>
      <c r="V42" s="320"/>
      <c r="W42" s="320"/>
      <c r="X42" s="320"/>
      <c r="Y42" s="320"/>
      <c r="Z42" s="320"/>
      <c r="AA42" s="320"/>
      <c r="AB42" s="320"/>
      <c r="AC42" s="320"/>
      <c r="AD42" s="320"/>
      <c r="AE42" s="320"/>
      <c r="AF42" s="320"/>
      <c r="AG42" s="320"/>
      <c r="AH42" s="320"/>
      <c r="AI42" s="320"/>
    </row>
    <row r="43" spans="1:35" x14ac:dyDescent="0.2">
      <c r="A43" s="134"/>
      <c r="B43" s="134"/>
      <c r="D43" s="406"/>
      <c r="E43" s="406"/>
      <c r="F43" s="406"/>
      <c r="G43" s="406"/>
      <c r="I43" s="134"/>
      <c r="J43" s="134"/>
      <c r="K43" s="137"/>
      <c r="L43" s="137"/>
      <c r="M43" s="320"/>
      <c r="N43" s="320"/>
      <c r="O43" s="320"/>
      <c r="P43" s="320"/>
      <c r="Q43" s="320"/>
      <c r="R43" s="320"/>
      <c r="S43" s="320"/>
      <c r="T43" s="320"/>
      <c r="U43" s="320"/>
      <c r="V43" s="320"/>
      <c r="W43" s="320"/>
      <c r="X43" s="320"/>
      <c r="Y43" s="320"/>
      <c r="Z43" s="320"/>
      <c r="AA43" s="320"/>
      <c r="AB43" s="320"/>
      <c r="AC43" s="320"/>
      <c r="AD43" s="320"/>
      <c r="AE43" s="320"/>
      <c r="AF43" s="320"/>
      <c r="AG43" s="320"/>
      <c r="AH43" s="320"/>
      <c r="AI43" s="320"/>
    </row>
    <row r="44" spans="1:35" x14ac:dyDescent="0.2">
      <c r="A44" s="136"/>
      <c r="B44" s="134"/>
      <c r="D44" s="406"/>
      <c r="E44" s="406"/>
      <c r="F44" s="406"/>
      <c r="G44" s="406"/>
      <c r="I44" s="138"/>
      <c r="J44" s="136"/>
      <c r="K44" s="137"/>
      <c r="L44" s="137"/>
      <c r="M44" s="320"/>
      <c r="N44" s="320"/>
      <c r="O44" s="320"/>
      <c r="P44" s="320"/>
      <c r="Q44" s="320"/>
      <c r="R44" s="320"/>
      <c r="S44" s="320"/>
      <c r="T44" s="320"/>
      <c r="U44" s="320"/>
      <c r="V44" s="320"/>
      <c r="W44" s="320"/>
      <c r="X44" s="320"/>
      <c r="Y44" s="320"/>
      <c r="Z44" s="320"/>
      <c r="AA44" s="320"/>
      <c r="AB44" s="320"/>
      <c r="AC44" s="320"/>
      <c r="AD44" s="320"/>
      <c r="AE44" s="320"/>
      <c r="AF44" s="320"/>
      <c r="AG44" s="320"/>
      <c r="AH44" s="320"/>
      <c r="AI44" s="320"/>
    </row>
    <row r="45" spans="1:35" x14ac:dyDescent="0.2">
      <c r="A45" s="136"/>
      <c r="B45" s="134"/>
      <c r="D45" s="138"/>
      <c r="E45" s="139"/>
      <c r="F45" s="138"/>
      <c r="G45" s="139"/>
      <c r="H45" s="139"/>
      <c r="I45" s="138"/>
      <c r="J45" s="136"/>
      <c r="K45" s="137"/>
      <c r="L45" s="137"/>
      <c r="M45" s="320"/>
      <c r="N45" s="320"/>
      <c r="O45" s="320"/>
      <c r="P45" s="320"/>
      <c r="Q45" s="320"/>
      <c r="R45" s="320"/>
      <c r="S45" s="320"/>
      <c r="T45" s="320"/>
      <c r="U45" s="320"/>
      <c r="V45" s="320"/>
      <c r="W45" s="320"/>
      <c r="X45" s="320"/>
      <c r="Y45" s="320"/>
      <c r="Z45" s="320"/>
      <c r="AA45" s="320"/>
      <c r="AB45" s="320"/>
      <c r="AC45" s="320"/>
      <c r="AD45" s="320"/>
      <c r="AE45" s="320"/>
      <c r="AF45" s="320"/>
      <c r="AG45" s="320"/>
      <c r="AH45" s="320"/>
      <c r="AI45" s="320"/>
    </row>
    <row r="46" spans="1:35" x14ac:dyDescent="0.2">
      <c r="A46" s="136"/>
      <c r="B46" s="134"/>
      <c r="D46" s="135"/>
      <c r="E46" s="140"/>
      <c r="F46" s="132"/>
      <c r="G46" s="140"/>
      <c r="H46" s="140"/>
      <c r="I46" s="135"/>
      <c r="J46" s="136"/>
      <c r="K46" s="137"/>
      <c r="L46" s="137"/>
      <c r="M46" s="320"/>
      <c r="N46" s="320"/>
      <c r="O46" s="320"/>
      <c r="P46" s="320"/>
      <c r="Q46" s="320"/>
      <c r="R46" s="320"/>
      <c r="S46" s="320"/>
      <c r="T46" s="320"/>
      <c r="U46" s="320"/>
      <c r="V46" s="320"/>
      <c r="W46" s="320"/>
      <c r="X46" s="320"/>
      <c r="Y46" s="320"/>
      <c r="Z46" s="320"/>
      <c r="AA46" s="320"/>
      <c r="AB46" s="320"/>
      <c r="AC46" s="320"/>
      <c r="AD46" s="320"/>
      <c r="AE46" s="320"/>
      <c r="AF46" s="320"/>
      <c r="AG46" s="320"/>
      <c r="AH46" s="320"/>
      <c r="AI46" s="320"/>
    </row>
    <row r="47" spans="1:35" x14ac:dyDescent="0.2">
      <c r="A47" s="136"/>
      <c r="B47" s="134"/>
      <c r="D47" s="135"/>
      <c r="E47" s="140"/>
      <c r="F47" s="133"/>
      <c r="G47" s="140"/>
      <c r="H47" s="140"/>
      <c r="I47" s="135"/>
      <c r="J47" s="136"/>
      <c r="K47" s="137"/>
      <c r="L47" s="137"/>
      <c r="M47" s="320"/>
      <c r="N47" s="320"/>
      <c r="O47" s="320"/>
      <c r="P47" s="320"/>
      <c r="Q47" s="320"/>
      <c r="R47" s="320"/>
      <c r="S47" s="320"/>
      <c r="T47" s="320"/>
      <c r="U47" s="320"/>
      <c r="V47" s="320"/>
      <c r="W47" s="320"/>
      <c r="X47" s="320"/>
      <c r="Y47" s="320"/>
      <c r="Z47" s="320"/>
      <c r="AA47" s="320"/>
      <c r="AB47" s="320"/>
      <c r="AC47" s="320"/>
      <c r="AD47" s="320"/>
      <c r="AE47" s="320"/>
      <c r="AF47" s="320"/>
      <c r="AG47" s="320"/>
      <c r="AH47" s="320"/>
      <c r="AI47" s="320"/>
    </row>
    <row r="48" spans="1:35" x14ac:dyDescent="0.2">
      <c r="A48" s="136"/>
      <c r="B48" s="134"/>
      <c r="C48" s="133"/>
      <c r="D48" s="140"/>
      <c r="E48" s="133"/>
      <c r="F48" s="140"/>
      <c r="G48" s="140"/>
      <c r="H48" s="133"/>
      <c r="I48" s="136"/>
      <c r="J48" s="137"/>
      <c r="K48" s="137"/>
      <c r="L48" s="320"/>
      <c r="M48" s="320"/>
      <c r="N48" s="320"/>
      <c r="O48" s="320"/>
      <c r="P48" s="320"/>
      <c r="Q48" s="320"/>
      <c r="R48" s="320"/>
      <c r="S48" s="320"/>
      <c r="T48" s="320"/>
      <c r="U48" s="320"/>
      <c r="V48" s="320"/>
      <c r="W48" s="320"/>
      <c r="X48" s="320"/>
      <c r="Y48" s="320"/>
      <c r="Z48" s="320"/>
      <c r="AA48" s="320"/>
      <c r="AB48" s="320"/>
      <c r="AC48" s="320"/>
      <c r="AD48" s="320"/>
      <c r="AE48" s="320"/>
      <c r="AF48" s="320"/>
      <c r="AG48" s="320"/>
      <c r="AH48" s="320"/>
      <c r="AI48" s="320"/>
    </row>
    <row r="49" spans="1:14" x14ac:dyDescent="0.2">
      <c r="A49" s="136"/>
      <c r="B49" s="136"/>
      <c r="C49" s="136"/>
      <c r="D49" s="136"/>
      <c r="E49" s="136"/>
      <c r="F49" s="136"/>
      <c r="G49" s="136"/>
      <c r="H49" s="136"/>
      <c r="I49" s="136"/>
      <c r="J49" s="136"/>
      <c r="K49" s="136"/>
      <c r="L49" s="97"/>
      <c r="M49" s="97"/>
      <c r="N49" s="97"/>
    </row>
  </sheetData>
  <mergeCells count="1">
    <mergeCell ref="B10:J11"/>
  </mergeCells>
  <hyperlinks>
    <hyperlink ref="E15" r:id="rId1" xr:uid="{00000000-0004-0000-1A00-000000000000}"/>
    <hyperlink ref="E16" r:id="rId2" xr:uid="{00000000-0004-0000-1A00-000001000000}"/>
  </hyperlinks>
  <pageMargins left="0.7" right="0.7" top="0.75" bottom="0.75" header="0.3" footer="0.3"/>
  <pageSetup paperSize="9" orientation="portrait" r:id="rId3"/>
  <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5" tint="0.39997558519241921"/>
  </sheetPr>
  <dimension ref="B2:O19"/>
  <sheetViews>
    <sheetView zoomScale="85" zoomScaleNormal="85" workbookViewId="0"/>
  </sheetViews>
  <sheetFormatPr baseColWidth="10" defaultColWidth="11.5" defaultRowHeight="15" x14ac:dyDescent="0.2"/>
  <cols>
    <col min="1" max="1" width="11.5" style="203"/>
    <col min="2" max="2" width="27.6640625" style="203" bestFit="1" customWidth="1"/>
    <col min="3" max="5" width="11.5" style="203"/>
    <col min="6" max="6" width="11.5" style="203" customWidth="1"/>
    <col min="7" max="14" width="11.5" style="203"/>
    <col min="15" max="15" width="20.1640625" style="203" bestFit="1" customWidth="1"/>
    <col min="16" max="16384" width="11.5" style="203"/>
  </cols>
  <sheetData>
    <row r="2" spans="2:15" x14ac:dyDescent="0.2">
      <c r="C2" s="39"/>
      <c r="D2" s="39"/>
      <c r="E2" s="39"/>
      <c r="F2" s="39"/>
      <c r="G2" s="39"/>
      <c r="H2" s="39"/>
      <c r="I2" s="39"/>
      <c r="J2" s="39"/>
      <c r="K2" s="39"/>
      <c r="L2" s="39"/>
    </row>
    <row r="3" spans="2:15" x14ac:dyDescent="0.2">
      <c r="C3" s="588">
        <v>2016</v>
      </c>
      <c r="D3" s="588"/>
      <c r="E3" s="588"/>
      <c r="F3" s="589">
        <v>2020</v>
      </c>
      <c r="G3" s="589"/>
      <c r="H3" s="589"/>
      <c r="I3" s="589">
        <v>2025</v>
      </c>
      <c r="J3" s="589"/>
      <c r="K3" s="589"/>
      <c r="L3" s="590">
        <v>2030</v>
      </c>
      <c r="M3" s="590"/>
      <c r="N3" s="590"/>
      <c r="O3" s="195"/>
    </row>
    <row r="4" spans="2:15" ht="20" thickBot="1" x14ac:dyDescent="0.3">
      <c r="B4" s="194" t="s">
        <v>205</v>
      </c>
      <c r="C4" s="196" t="s">
        <v>72</v>
      </c>
      <c r="D4" s="196" t="s">
        <v>73</v>
      </c>
      <c r="E4" s="196" t="s">
        <v>178</v>
      </c>
      <c r="F4" s="196" t="s">
        <v>72</v>
      </c>
      <c r="G4" s="196" t="s">
        <v>73</v>
      </c>
      <c r="H4" s="196" t="s">
        <v>178</v>
      </c>
      <c r="I4" s="196" t="s">
        <v>72</v>
      </c>
      <c r="J4" s="196" t="s">
        <v>73</v>
      </c>
      <c r="K4" s="196" t="s">
        <v>178</v>
      </c>
      <c r="L4" s="196" t="s">
        <v>72</v>
      </c>
      <c r="M4" s="196" t="s">
        <v>73</v>
      </c>
      <c r="N4" s="196" t="s">
        <v>178</v>
      </c>
      <c r="O4" s="196" t="s">
        <v>1</v>
      </c>
    </row>
    <row r="5" spans="2:15" x14ac:dyDescent="0.2">
      <c r="B5" s="51" t="s">
        <v>74</v>
      </c>
      <c r="C5" s="147">
        <f>'Overview 2016 (in)'!D54</f>
        <v>280</v>
      </c>
      <c r="D5" s="52">
        <f>'Overview 2016 (in)'!E54</f>
        <v>150</v>
      </c>
      <c r="E5" s="53">
        <f>'Overview 2016 (in)'!F54</f>
        <v>215</v>
      </c>
      <c r="F5" s="147">
        <f>IFERROR(C5*H5/E5,0)</f>
        <v>280</v>
      </c>
      <c r="G5" s="52">
        <f>IFERROR(D5*H5/E5, 0)</f>
        <v>150</v>
      </c>
      <c r="H5" s="53">
        <f>E5</f>
        <v>215</v>
      </c>
      <c r="I5" s="147">
        <f>IFERROR(F5*K5/H5,0)</f>
        <v>280</v>
      </c>
      <c r="J5" s="52">
        <f>IFERROR(G5*K5/H5, 0)</f>
        <v>150</v>
      </c>
      <c r="K5" s="53">
        <f>H5</f>
        <v>215</v>
      </c>
      <c r="L5" s="147">
        <f>IFERROR(I5*N5/K5,0)</f>
        <v>280</v>
      </c>
      <c r="M5" s="52">
        <f>IFERROR(J5*N5/K5, 0)</f>
        <v>150</v>
      </c>
      <c r="N5" s="53">
        <f>K5</f>
        <v>215</v>
      </c>
      <c r="O5" s="54" t="s">
        <v>75</v>
      </c>
    </row>
    <row r="6" spans="2:15" x14ac:dyDescent="0.2">
      <c r="B6" s="37" t="s">
        <v>76</v>
      </c>
      <c r="C6" s="148">
        <f>'Overview 2016 (in)'!D55</f>
        <v>270</v>
      </c>
      <c r="D6" s="149">
        <f>'Overview 2016 (in)'!E55</f>
        <v>150</v>
      </c>
      <c r="E6" s="150">
        <f>'Overview 2016 (in)'!F55</f>
        <v>210</v>
      </c>
      <c r="F6" s="148">
        <f t="shared" ref="F6:F15" si="0">IFERROR(C6*H6/E6,0)</f>
        <v>270</v>
      </c>
      <c r="G6" s="149">
        <f t="shared" ref="G6:G13" si="1">IFERROR(D6*H6/E6, 0)</f>
        <v>150</v>
      </c>
      <c r="H6" s="150">
        <f>E6</f>
        <v>210</v>
      </c>
      <c r="I6" s="148">
        <f t="shared" ref="I6:I15" si="2">IFERROR(F6*K6/H6,0)</f>
        <v>270</v>
      </c>
      <c r="J6" s="149">
        <f t="shared" ref="J6:J13" si="3">IFERROR(G6*K6/H6, 0)</f>
        <v>150</v>
      </c>
      <c r="K6" s="150">
        <f>H6</f>
        <v>210</v>
      </c>
      <c r="L6" s="148">
        <f t="shared" ref="L6:L15" si="4">IFERROR(I6*N6/K6,0)</f>
        <v>270</v>
      </c>
      <c r="M6" s="149">
        <f t="shared" ref="M6:M13" si="5">IFERROR(J6*N6/K6, 0)</f>
        <v>150</v>
      </c>
      <c r="N6" s="150">
        <f>K6</f>
        <v>210</v>
      </c>
      <c r="O6" s="55" t="s">
        <v>77</v>
      </c>
    </row>
    <row r="7" spans="2:15" x14ac:dyDescent="0.2">
      <c r="B7" s="51" t="s">
        <v>4</v>
      </c>
      <c r="C7" s="151">
        <f>'Overview 2016 (in)'!D56</f>
        <v>7500</v>
      </c>
      <c r="D7" s="56">
        <f>'Overview 2016 (in)'!E56</f>
        <v>1000</v>
      </c>
      <c r="E7" s="197">
        <f>'Overview 2016 (in)'!F56</f>
        <v>3000</v>
      </c>
      <c r="F7" s="151">
        <f t="shared" ca="1" si="0"/>
        <v>8441.3160749999988</v>
      </c>
      <c r="G7" s="56">
        <f t="shared" ca="1" si="1"/>
        <v>1125.5088099999998</v>
      </c>
      <c r="H7" s="197">
        <f ca="1">INDIRECT(ADDRESS(ROW($B6),COLUMN(D$4),1,,$B$4))</f>
        <v>3376.5264299999999</v>
      </c>
      <c r="I7" s="151">
        <f t="shared" ca="1" si="2"/>
        <v>9785.7988787193317</v>
      </c>
      <c r="J7" s="56">
        <f t="shared" ca="1" si="3"/>
        <v>1304.7731838292441</v>
      </c>
      <c r="K7" s="197">
        <f ca="1">INDIRECT(ADDRESS(ROW($B6),COLUMN(E$4),1,,$B$4))</f>
        <v>3914.319551487733</v>
      </c>
      <c r="L7" s="151">
        <f t="shared" ca="1" si="4"/>
        <v>11344.42293641333</v>
      </c>
      <c r="M7" s="56">
        <f t="shared" ca="1" si="5"/>
        <v>1512.5897248551103</v>
      </c>
      <c r="N7" s="197">
        <f ca="1">INDIRECT(ADDRESS(ROW($B6),COLUMN(F$4),1,,$B$4))</f>
        <v>4537.7691745653319</v>
      </c>
      <c r="O7" s="54" t="s">
        <v>5</v>
      </c>
    </row>
    <row r="8" spans="2:15" x14ac:dyDescent="0.2">
      <c r="B8" s="37" t="s">
        <v>6</v>
      </c>
      <c r="C8" s="152">
        <f>'Overview 2016 (in)'!D57</f>
        <v>22</v>
      </c>
      <c r="D8" s="153">
        <f>'Overview 2016 (in)'!E57</f>
        <v>8</v>
      </c>
      <c r="E8" s="199">
        <f>'Overview 2016 (in)'!F57</f>
        <v>15</v>
      </c>
      <c r="F8" s="152">
        <f t="shared" ca="1" si="0"/>
        <v>24.761193819999999</v>
      </c>
      <c r="G8" s="153">
        <f t="shared" ca="1" si="1"/>
        <v>9.0040704799999993</v>
      </c>
      <c r="H8" s="199">
        <f ca="1">INDIRECT(ADDRESS(ROW($B7),COLUMN(D$4),1,,$B$4))</f>
        <v>16.882632149999999</v>
      </c>
      <c r="I8" s="152">
        <f t="shared" ca="1" si="2"/>
        <v>28.705010044243373</v>
      </c>
      <c r="J8" s="153">
        <f t="shared" ca="1" si="3"/>
        <v>10.438185470633952</v>
      </c>
      <c r="K8" s="199">
        <f ca="1">INDIRECT(ADDRESS(ROW($B7),COLUMN(E$4),1,,$B$4))</f>
        <v>19.571597757438663</v>
      </c>
      <c r="L8" s="152">
        <f t="shared" ca="1" si="4"/>
        <v>33.276973946812433</v>
      </c>
      <c r="M8" s="153">
        <f t="shared" ca="1" si="5"/>
        <v>12.100717798840883</v>
      </c>
      <c r="N8" s="199">
        <f ca="1">INDIRECT(ADDRESS(ROW($B7),COLUMN(F$4),1,,$B$4))</f>
        <v>22.688845872826658</v>
      </c>
      <c r="O8" s="55" t="s">
        <v>7</v>
      </c>
    </row>
    <row r="9" spans="2:15" x14ac:dyDescent="0.2">
      <c r="B9" s="51" t="s">
        <v>78</v>
      </c>
      <c r="C9" s="151">
        <f>'Overview 2016 (in)'!D58</f>
        <v>100</v>
      </c>
      <c r="D9" s="56">
        <f>'Overview 2016 (in)'!E58</f>
        <v>100</v>
      </c>
      <c r="E9" s="57">
        <f>'Overview 2016 (in)'!F58</f>
        <v>100</v>
      </c>
      <c r="F9" s="151">
        <f t="shared" si="0"/>
        <v>100</v>
      </c>
      <c r="G9" s="56">
        <f t="shared" si="1"/>
        <v>100</v>
      </c>
      <c r="H9" s="57">
        <f>E9</f>
        <v>100</v>
      </c>
      <c r="I9" s="151">
        <f t="shared" si="2"/>
        <v>100</v>
      </c>
      <c r="J9" s="56">
        <f t="shared" si="3"/>
        <v>100</v>
      </c>
      <c r="K9" s="57">
        <f>H9</f>
        <v>100</v>
      </c>
      <c r="L9" s="151">
        <f t="shared" si="4"/>
        <v>100</v>
      </c>
      <c r="M9" s="56">
        <f t="shared" si="5"/>
        <v>100</v>
      </c>
      <c r="N9" s="57">
        <f>K9</f>
        <v>100</v>
      </c>
      <c r="O9" s="54" t="s">
        <v>9</v>
      </c>
    </row>
    <row r="10" spans="2:15" x14ac:dyDescent="0.2">
      <c r="B10" s="37" t="s">
        <v>8</v>
      </c>
      <c r="C10" s="152">
        <f>'Overview 2016 (in)'!D59</f>
        <v>92</v>
      </c>
      <c r="D10" s="153">
        <f>'Overview 2016 (in)'!E59</f>
        <v>80</v>
      </c>
      <c r="E10" s="199">
        <f>'Overview 2016 (in)'!F59</f>
        <v>84</v>
      </c>
      <c r="F10" s="152">
        <f t="shared" ca="1" si="0"/>
        <v>93.095238095238102</v>
      </c>
      <c r="G10" s="153">
        <f t="shared" ca="1" si="1"/>
        <v>80.952380952380949</v>
      </c>
      <c r="H10" s="199">
        <f ca="1">INDIRECT(ADDRESS(ROW($B8),COLUMN(D$4),1,,$B$4))</f>
        <v>85</v>
      </c>
      <c r="I10" s="152">
        <f t="shared" ca="1" si="2"/>
        <v>94.190476190476204</v>
      </c>
      <c r="J10" s="153">
        <f t="shared" ca="1" si="3"/>
        <v>81.904761904761898</v>
      </c>
      <c r="K10" s="199">
        <f ca="1">INDIRECT(ADDRESS(ROW($B8),COLUMN(E$4),1,,$B$4))</f>
        <v>86</v>
      </c>
      <c r="L10" s="152">
        <f t="shared" ca="1" si="4"/>
        <v>95.285714285714292</v>
      </c>
      <c r="M10" s="153">
        <f t="shared" ca="1" si="5"/>
        <v>82.857142857142847</v>
      </c>
      <c r="N10" s="199">
        <f ca="1">INDIRECT(ADDRESS(ROW($B8),COLUMN(F$4),1,,$B$4))</f>
        <v>87</v>
      </c>
      <c r="O10" s="55" t="s">
        <v>9</v>
      </c>
    </row>
    <row r="11" spans="2:15" x14ac:dyDescent="0.2">
      <c r="B11" s="51" t="s">
        <v>79</v>
      </c>
      <c r="C11" s="147">
        <f>'Overview 2016 (in)'!D60</f>
        <v>0.05</v>
      </c>
      <c r="D11" s="52">
        <f>'Overview 2016 (in)'!E60</f>
        <v>15</v>
      </c>
      <c r="E11" s="53">
        <f>'Overview 2016 (in)'!F60</f>
        <v>5</v>
      </c>
      <c r="F11" s="147">
        <f t="shared" si="0"/>
        <v>0.05</v>
      </c>
      <c r="G11" s="52">
        <f t="shared" si="1"/>
        <v>15</v>
      </c>
      <c r="H11" s="53">
        <f>E11</f>
        <v>5</v>
      </c>
      <c r="I11" s="147">
        <f t="shared" si="2"/>
        <v>0.05</v>
      </c>
      <c r="J11" s="52">
        <f t="shared" si="3"/>
        <v>15</v>
      </c>
      <c r="K11" s="53">
        <f>H11</f>
        <v>5</v>
      </c>
      <c r="L11" s="147">
        <f t="shared" si="4"/>
        <v>0.05</v>
      </c>
      <c r="M11" s="52">
        <f t="shared" si="5"/>
        <v>15</v>
      </c>
      <c r="N11" s="53">
        <f>K11</f>
        <v>5</v>
      </c>
      <c r="O11" s="54" t="s">
        <v>80</v>
      </c>
    </row>
    <row r="12" spans="2:15" x14ac:dyDescent="0.2">
      <c r="B12" s="154" t="s">
        <v>81</v>
      </c>
      <c r="C12" s="148">
        <f>'Overview 2016 (in)'!D61</f>
        <v>0.1</v>
      </c>
      <c r="D12" s="149" t="str">
        <f>'Overview 2016 (in)'!E61</f>
        <v>&lt; 1</v>
      </c>
      <c r="E12" s="150">
        <f>'Overview 2016 (in)'!F61</f>
        <v>0.5</v>
      </c>
      <c r="F12" s="148">
        <f t="shared" si="0"/>
        <v>0.1</v>
      </c>
      <c r="G12" s="149">
        <f t="shared" si="1"/>
        <v>0</v>
      </c>
      <c r="H12" s="150">
        <f>E12</f>
        <v>0.5</v>
      </c>
      <c r="I12" s="148">
        <f t="shared" si="2"/>
        <v>0.1</v>
      </c>
      <c r="J12" s="149">
        <f t="shared" si="3"/>
        <v>0</v>
      </c>
      <c r="K12" s="150">
        <f>H12</f>
        <v>0.5</v>
      </c>
      <c r="L12" s="148">
        <f t="shared" si="4"/>
        <v>0.1</v>
      </c>
      <c r="M12" s="149">
        <f t="shared" si="5"/>
        <v>0</v>
      </c>
      <c r="N12" s="150">
        <f>K12</f>
        <v>0.5</v>
      </c>
      <c r="O12" s="155" t="s">
        <v>82</v>
      </c>
    </row>
    <row r="13" spans="2:15" x14ac:dyDescent="0.2">
      <c r="B13" s="156" t="s">
        <v>83</v>
      </c>
      <c r="C13" s="157">
        <f>'Overview 2016 (in)'!D62</f>
        <v>0</v>
      </c>
      <c r="D13" s="58">
        <f>'Overview 2016 (in)'!E62</f>
        <v>0</v>
      </c>
      <c r="E13" s="59">
        <f>'Overview 2016 (in)'!F62</f>
        <v>0</v>
      </c>
      <c r="F13" s="157">
        <f t="shared" si="0"/>
        <v>0</v>
      </c>
      <c r="G13" s="58">
        <f t="shared" si="1"/>
        <v>0</v>
      </c>
      <c r="H13" s="59">
        <f>E13</f>
        <v>0</v>
      </c>
      <c r="I13" s="157">
        <f t="shared" si="2"/>
        <v>0</v>
      </c>
      <c r="J13" s="58">
        <f t="shared" si="3"/>
        <v>0</v>
      </c>
      <c r="K13" s="59">
        <f>H13</f>
        <v>0</v>
      </c>
      <c r="L13" s="157">
        <f t="shared" si="4"/>
        <v>0</v>
      </c>
      <c r="M13" s="58">
        <f t="shared" si="5"/>
        <v>0</v>
      </c>
      <c r="N13" s="59">
        <f>K13</f>
        <v>0</v>
      </c>
      <c r="O13" s="54" t="s">
        <v>7</v>
      </c>
    </row>
    <row r="14" spans="2:15" x14ac:dyDescent="0.2">
      <c r="B14" s="154" t="s">
        <v>2</v>
      </c>
      <c r="C14" s="152">
        <f>'Overview 2016 (in)'!D63</f>
        <v>315</v>
      </c>
      <c r="D14" s="153">
        <f>'Overview 2016 (in)'!E63</f>
        <v>488</v>
      </c>
      <c r="E14" s="198">
        <f>'Overview 2016 (in)'!F63</f>
        <v>399</v>
      </c>
      <c r="F14" s="152">
        <f t="shared" ca="1" si="0"/>
        <v>243.19617681412214</v>
      </c>
      <c r="G14" s="153">
        <f t="shared" ref="G14:G15" ca="1" si="6">IFERROR(D14*H14/E14,0)</f>
        <v>376.76106122314786</v>
      </c>
      <c r="H14" s="198">
        <f ca="1">IF(CELL("format",INDIRECT(ADDRESS(ROW($B4),COLUMN(D$4),1,,$B$4)))="W0-",INDIRECT(ADDRESS(ROW($B4),COLUMN(D$4),1,,$B$4))*'Overview 2016 (in)'!$O$7,INDIRECT(ADDRESS(ROW($B4),COLUMN(D$4),1,,$B$4)))</f>
        <v>308.04849063122134</v>
      </c>
      <c r="I14" s="152">
        <f t="shared" ca="1" si="2"/>
        <v>176.00073446736232</v>
      </c>
      <c r="J14" s="153">
        <f t="shared" ref="J14:J15" ca="1" si="7">IFERROR(G14*K14/H14,0)</f>
        <v>272.66145530181836</v>
      </c>
      <c r="K14" s="198">
        <f ca="1">IF(CELL("format",INDIRECT(ADDRESS(ROW($B4),COLUMN(E$4),1,,$B$4)))="W0-",INDIRECT(ADDRESS(ROW($B4),COLUMN(E$4),1,,$B$4))*'Overview 2016 (in)'!$O$7,INDIRECT(ADDRESS(ROW($B4),COLUMN(E$4),1,,$B$4)))</f>
        <v>222.93426365865892</v>
      </c>
      <c r="L14" s="152">
        <f t="shared" ca="1" si="4"/>
        <v>127.37148642236463</v>
      </c>
      <c r="M14" s="153">
        <f t="shared" ref="M14:M15" ca="1" si="8">IFERROR(J14*N14/K14,0)</f>
        <v>197.32471547337749</v>
      </c>
      <c r="N14" s="198">
        <f ca="1">IF(CELL("format",INDIRECT(ADDRESS(ROW($B4),COLUMN(F$4),1,,$B$4)))="W0-",INDIRECT(ADDRESS(ROW($B4),COLUMN(F$4),1,,$B$4))*'Overview 2016 (in)'!$O$7,INDIRECT(ADDRESS(ROW($B4),COLUMN(F$4),1,,$B$4)))</f>
        <v>161.33721613499517</v>
      </c>
      <c r="O14" s="155" t="s">
        <v>22</v>
      </c>
    </row>
    <row r="15" spans="2:15" ht="16" thickBot="1" x14ac:dyDescent="0.25">
      <c r="B15" s="158" t="s">
        <v>3</v>
      </c>
      <c r="C15" s="180">
        <f>'Overview 2016 (in)'!D64</f>
        <v>0</v>
      </c>
      <c r="D15" s="180">
        <f>'Overview 2016 (in)'!E64</f>
        <v>0</v>
      </c>
      <c r="E15" s="200">
        <f>'Overview 2016 (in)'!F64</f>
        <v>0</v>
      </c>
      <c r="F15" s="180">
        <f t="shared" ca="1" si="0"/>
        <v>0</v>
      </c>
      <c r="G15" s="180">
        <f t="shared" ca="1" si="6"/>
        <v>0</v>
      </c>
      <c r="H15" s="200">
        <f ca="1">IF(CELL("format",INDIRECT(ADDRESS(ROW($B5),COLUMN(D$4),1,,$B$4)))="W0-",INDIRECT(ADDRESS(ROW($B5),COLUMN(D$4),1,,$B$4))*'Overview 2016 (in)'!$O$7,INDIRECT(ADDRESS(ROW($B5),COLUMN(D$4),1,,$B$4)))</f>
        <v>0</v>
      </c>
      <c r="I15" s="180">
        <f t="shared" ca="1" si="2"/>
        <v>0</v>
      </c>
      <c r="J15" s="180">
        <f t="shared" ca="1" si="7"/>
        <v>0</v>
      </c>
      <c r="K15" s="200">
        <f ca="1">IF(CELL("format",INDIRECT(ADDRESS(ROW($B5),COLUMN(E$4),1,,$B$4)))="W0-",INDIRECT(ADDRESS(ROW($B5),COLUMN(E$4),1,,$B$4))*'Overview 2016 (in)'!$O$7,INDIRECT(ADDRESS(ROW($B5),COLUMN(E$4),1,,$B$4)))</f>
        <v>0</v>
      </c>
      <c r="L15" s="180">
        <f t="shared" ca="1" si="4"/>
        <v>0</v>
      </c>
      <c r="M15" s="180">
        <f t="shared" ca="1" si="8"/>
        <v>0</v>
      </c>
      <c r="N15" s="200">
        <f ca="1">IF(CELL("format",INDIRECT(ADDRESS(ROW($B5),COLUMN(F$4),1,,$B$4)))="W0-",INDIRECT(ADDRESS(ROW($B5),COLUMN(F$4),1,,$B$4))*'Overview 2016 (in)'!$O$7,INDIRECT(ADDRESS(ROW($B5),COLUMN(F$4),1,,$B$4)))</f>
        <v>0</v>
      </c>
      <c r="O15" s="60" t="s">
        <v>23</v>
      </c>
    </row>
    <row r="17" spans="2:3" x14ac:dyDescent="0.2">
      <c r="C17" s="202"/>
    </row>
    <row r="18" spans="2:3" ht="19" x14ac:dyDescent="0.25">
      <c r="B18" s="201"/>
    </row>
    <row r="19" spans="2:3" x14ac:dyDescent="0.2">
      <c r="B19" s="39"/>
    </row>
  </sheetData>
  <mergeCells count="4">
    <mergeCell ref="C3:E3"/>
    <mergeCell ref="F3:H3"/>
    <mergeCell ref="I3:K3"/>
    <mergeCell ref="L3:N3"/>
  </mergeCells>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5" tint="0.39997558519241921"/>
  </sheetPr>
  <dimension ref="A1:V54"/>
  <sheetViews>
    <sheetView zoomScale="85" zoomScaleNormal="85" workbookViewId="0"/>
  </sheetViews>
  <sheetFormatPr baseColWidth="10" defaultColWidth="9.1640625" defaultRowHeight="15" x14ac:dyDescent="0.2"/>
  <cols>
    <col min="1" max="1" width="9.1640625" style="3"/>
    <col min="2" max="2" width="26.5" style="3" customWidth="1"/>
    <col min="3" max="4" width="10.6640625" style="3" customWidth="1"/>
    <col min="5" max="5" width="10.6640625" style="31" customWidth="1"/>
    <col min="6" max="7" width="10.6640625" style="3" customWidth="1"/>
    <col min="8" max="8" width="14.1640625" style="31" customWidth="1"/>
    <col min="9" max="9" width="20.33203125" style="3" customWidth="1"/>
    <col min="10" max="10" width="13.83203125" style="3" customWidth="1"/>
    <col min="11" max="12" width="12.6640625" style="3" customWidth="1"/>
    <col min="13" max="13" width="12.6640625" style="31" customWidth="1"/>
    <col min="14" max="14" width="12.6640625" style="3" customWidth="1"/>
    <col min="15" max="15" width="12.6640625" style="31" customWidth="1"/>
    <col min="16" max="16" width="12.6640625" style="3" customWidth="1"/>
    <col min="17" max="16384" width="9.1640625" style="3"/>
  </cols>
  <sheetData>
    <row r="1" spans="1:22" x14ac:dyDescent="0.2">
      <c r="A1" s="97"/>
      <c r="B1" s="97"/>
      <c r="C1" s="97"/>
      <c r="D1" s="97"/>
      <c r="E1" s="97"/>
      <c r="F1" s="97"/>
      <c r="G1" s="97"/>
      <c r="H1" s="97"/>
      <c r="I1" s="97"/>
      <c r="J1" s="97"/>
      <c r="K1" s="97"/>
      <c r="L1" s="97"/>
      <c r="M1" s="97"/>
      <c r="N1" s="97"/>
    </row>
    <row r="2" spans="1:22" ht="20" thickBot="1" x14ac:dyDescent="0.3">
      <c r="A2" s="97"/>
      <c r="B2" s="41" t="s">
        <v>44</v>
      </c>
      <c r="C2" s="13"/>
      <c r="D2" s="97"/>
      <c r="E2" s="97"/>
      <c r="F2" s="97"/>
      <c r="G2" s="97"/>
      <c r="H2" s="97"/>
      <c r="I2" s="97"/>
      <c r="J2" s="97"/>
      <c r="K2" s="41" t="s">
        <v>0</v>
      </c>
      <c r="L2" s="97"/>
      <c r="M2" s="97"/>
      <c r="N2" s="39"/>
      <c r="O2" s="39"/>
      <c r="P2" s="39"/>
      <c r="Q2" s="39"/>
      <c r="R2" s="39"/>
    </row>
    <row r="3" spans="1:22" x14ac:dyDescent="0.2">
      <c r="A3" s="97"/>
      <c r="B3" s="38"/>
      <c r="C3" s="38">
        <v>2016</v>
      </c>
      <c r="D3" s="367">
        <v>2020</v>
      </c>
      <c r="E3" s="367">
        <v>2025</v>
      </c>
      <c r="F3" s="367">
        <v>2030</v>
      </c>
      <c r="G3" s="38" t="s">
        <v>1</v>
      </c>
      <c r="H3" s="40"/>
      <c r="I3" s="38" t="s">
        <v>17</v>
      </c>
      <c r="J3" s="38" t="s">
        <v>18</v>
      </c>
      <c r="K3" s="38" t="s">
        <v>19</v>
      </c>
      <c r="L3" s="38" t="s">
        <v>20</v>
      </c>
      <c r="M3" s="97"/>
      <c r="N3" s="407">
        <f>1-(F4/C4)^(1/(F$3-C$3))</f>
        <v>5.683884232450398E-2</v>
      </c>
      <c r="O3" s="40"/>
      <c r="P3" s="40"/>
      <c r="Q3" s="39"/>
      <c r="R3" s="39"/>
    </row>
    <row r="4" spans="1:22" x14ac:dyDescent="0.2">
      <c r="A4" s="97"/>
      <c r="B4" s="37" t="s">
        <v>2</v>
      </c>
      <c r="C4" s="20">
        <f>'Overview 2016 (in)'!I63</f>
        <v>367.5</v>
      </c>
      <c r="D4" s="68">
        <f>$C4*(1-$N3)^(D$3-$C$3)</f>
        <v>290.80439833872998</v>
      </c>
      <c r="E4" s="68">
        <f>$C4*(1-$N3)^(E$3-$C$3)</f>
        <v>217.03536450315386</v>
      </c>
      <c r="F4" s="68">
        <f>C4*D54</f>
        <v>161.97949451283597</v>
      </c>
      <c r="G4" s="97" t="s">
        <v>22</v>
      </c>
      <c r="H4" s="97"/>
      <c r="I4" s="79" t="s">
        <v>52</v>
      </c>
      <c r="J4" s="42" t="s">
        <v>53</v>
      </c>
      <c r="K4" s="42" t="s">
        <v>53</v>
      </c>
      <c r="L4" s="42" t="s">
        <v>53</v>
      </c>
      <c r="M4" s="97"/>
      <c r="N4" s="407"/>
      <c r="O4" s="39"/>
      <c r="P4" s="39"/>
      <c r="Q4" s="39"/>
      <c r="R4" s="39"/>
    </row>
    <row r="5" spans="1:22" x14ac:dyDescent="0.2">
      <c r="A5" s="97"/>
      <c r="B5" s="40" t="s">
        <v>3</v>
      </c>
      <c r="C5" s="20">
        <f>'Overview 2016 (in)'!I64</f>
        <v>0</v>
      </c>
      <c r="D5" s="68">
        <v>0</v>
      </c>
      <c r="E5" s="68">
        <v>0</v>
      </c>
      <c r="F5" s="68">
        <v>0</v>
      </c>
      <c r="G5" s="97" t="s">
        <v>23</v>
      </c>
      <c r="H5" s="97"/>
      <c r="I5" s="79" t="s">
        <v>52</v>
      </c>
      <c r="J5" s="42">
        <v>1</v>
      </c>
      <c r="K5" s="42">
        <v>1</v>
      </c>
      <c r="L5" s="42">
        <v>1</v>
      </c>
      <c r="M5" s="97"/>
      <c r="N5" s="407">
        <f t="shared" ref="N5:N7" si="0">1-(F6/C6)^(1/(F$3-C$3))</f>
        <v>-2.9385264450122461E-2</v>
      </c>
      <c r="O5" s="39"/>
      <c r="P5" s="39"/>
      <c r="Q5" s="39"/>
      <c r="R5" s="39"/>
    </row>
    <row r="6" spans="1:22" x14ac:dyDescent="0.2">
      <c r="A6" s="97"/>
      <c r="B6" s="37" t="s">
        <v>4</v>
      </c>
      <c r="C6" s="81">
        <f>'Overview 2016 (in)'!I56</f>
        <v>5000</v>
      </c>
      <c r="D6" s="73">
        <f t="shared" ref="D6:E8" si="1">$C6*(1-$N5)^(D$3-$C$3)</f>
        <v>5614.121309967757</v>
      </c>
      <c r="E6" s="73">
        <f t="shared" si="1"/>
        <v>6488.906674067538</v>
      </c>
      <c r="F6" s="81">
        <v>7500</v>
      </c>
      <c r="G6" s="97" t="s">
        <v>5</v>
      </c>
      <c r="H6" s="97"/>
      <c r="I6" s="79" t="s">
        <v>52</v>
      </c>
      <c r="J6" s="42" t="s">
        <v>53</v>
      </c>
      <c r="K6" s="42" t="s">
        <v>53</v>
      </c>
      <c r="L6" s="42" t="s">
        <v>53</v>
      </c>
      <c r="M6" s="97"/>
      <c r="N6" s="407">
        <f t="shared" si="0"/>
        <v>-2.5804088577037865E-2</v>
      </c>
      <c r="O6" s="39"/>
      <c r="P6" s="39"/>
      <c r="Q6" s="39"/>
      <c r="R6" s="39"/>
    </row>
    <row r="7" spans="1:22" x14ac:dyDescent="0.2">
      <c r="A7" s="97"/>
      <c r="B7" s="37" t="s">
        <v>6</v>
      </c>
      <c r="C7" s="81">
        <f>'Overview 2016 (in)'!I57</f>
        <v>17</v>
      </c>
      <c r="D7" s="85">
        <f t="shared" si="1"/>
        <v>18.823770715114609</v>
      </c>
      <c r="E7" s="85">
        <f t="shared" si="1"/>
        <v>21.381036395999825</v>
      </c>
      <c r="F7" s="127">
        <f>C7*F54</f>
        <v>24.285714285714285</v>
      </c>
      <c r="G7" s="97" t="s">
        <v>7</v>
      </c>
      <c r="H7" s="97"/>
      <c r="I7" s="79" t="s">
        <v>52</v>
      </c>
      <c r="J7" s="42" t="s">
        <v>53</v>
      </c>
      <c r="K7" s="42" t="s">
        <v>53</v>
      </c>
      <c r="L7" s="42" t="s">
        <v>53</v>
      </c>
      <c r="M7" s="97"/>
      <c r="N7" s="407">
        <f t="shared" si="0"/>
        <v>-4.3397195574768066E-3</v>
      </c>
      <c r="O7" s="39"/>
      <c r="P7" s="39"/>
      <c r="Q7" s="39"/>
      <c r="R7" s="39"/>
    </row>
    <row r="8" spans="1:22" ht="16" thickBot="1" x14ac:dyDescent="0.25">
      <c r="A8" s="97"/>
      <c r="B8" s="6" t="s">
        <v>8</v>
      </c>
      <c r="C8" s="82">
        <f>'Overview 2016 (in)'!I59</f>
        <v>80</v>
      </c>
      <c r="D8" s="78">
        <f t="shared" si="1"/>
        <v>81.397776360180245</v>
      </c>
      <c r="E8" s="78">
        <f t="shared" si="1"/>
        <v>83.179390419834945</v>
      </c>
      <c r="F8" s="82">
        <v>85</v>
      </c>
      <c r="G8" s="7" t="s">
        <v>9</v>
      </c>
      <c r="H8" s="39"/>
      <c r="I8" s="80" t="s">
        <v>52</v>
      </c>
      <c r="J8" s="83" t="s">
        <v>53</v>
      </c>
      <c r="K8" s="83" t="s">
        <v>53</v>
      </c>
      <c r="L8" s="83" t="s">
        <v>53</v>
      </c>
      <c r="M8" s="97"/>
      <c r="N8" s="39"/>
      <c r="O8" s="39"/>
      <c r="P8" s="39"/>
      <c r="Q8" s="39"/>
      <c r="R8" s="39"/>
    </row>
    <row r="9" spans="1:22" x14ac:dyDescent="0.2">
      <c r="A9" s="97"/>
      <c r="B9" s="37"/>
      <c r="C9" s="44"/>
      <c r="D9" s="97"/>
      <c r="E9" s="97"/>
      <c r="F9" s="97"/>
      <c r="G9" s="97"/>
      <c r="H9" s="97"/>
      <c r="I9" s="97"/>
      <c r="J9" s="39"/>
      <c r="K9" s="39"/>
      <c r="L9" s="39"/>
      <c r="M9" s="39"/>
      <c r="N9" s="39"/>
      <c r="O9" s="39"/>
      <c r="P9" s="39"/>
      <c r="Q9" s="39"/>
      <c r="R9" s="39"/>
    </row>
    <row r="10" spans="1:22" ht="15" customHeight="1" x14ac:dyDescent="0.2">
      <c r="A10" s="42"/>
      <c r="B10" s="141"/>
      <c r="C10" s="142"/>
      <c r="D10" s="39"/>
      <c r="E10" s="39"/>
      <c r="F10" s="39"/>
      <c r="G10" s="39"/>
      <c r="H10" s="39"/>
      <c r="I10" s="39"/>
      <c r="J10" s="39"/>
      <c r="K10" s="39"/>
      <c r="L10" s="43"/>
      <c r="M10" s="43"/>
      <c r="N10" s="43"/>
      <c r="O10" s="39"/>
      <c r="P10" s="39"/>
      <c r="Q10" s="39"/>
      <c r="R10" s="39"/>
    </row>
    <row r="11" spans="1:22" ht="15" customHeight="1" x14ac:dyDescent="0.2">
      <c r="A11" s="42"/>
      <c r="B11" s="43"/>
      <c r="C11" s="43"/>
      <c r="D11" s="39"/>
      <c r="E11" s="39"/>
      <c r="F11" s="39"/>
      <c r="G11" s="39"/>
      <c r="H11" s="39"/>
      <c r="I11" s="97"/>
      <c r="J11" s="43"/>
      <c r="K11" s="2" t="s">
        <v>68</v>
      </c>
      <c r="L11" s="43"/>
      <c r="M11" s="43"/>
      <c r="N11" s="43"/>
      <c r="O11" s="35"/>
      <c r="P11" s="17"/>
      <c r="Q11" s="17"/>
      <c r="R11" s="17"/>
    </row>
    <row r="12" spans="1:22" ht="20" thickBot="1" x14ac:dyDescent="0.3">
      <c r="A12" s="97"/>
      <c r="B12" s="41" t="s">
        <v>10</v>
      </c>
      <c r="C12" s="97"/>
      <c r="D12" s="97"/>
      <c r="E12" s="97"/>
      <c r="F12" s="97"/>
      <c r="G12" s="97"/>
      <c r="H12" s="97"/>
      <c r="J12" s="42"/>
      <c r="K12" s="18" t="s">
        <v>69</v>
      </c>
      <c r="L12" s="42"/>
      <c r="M12" s="42"/>
      <c r="N12" s="42"/>
      <c r="O12" s="34"/>
      <c r="P12" s="16"/>
      <c r="Q12" s="16"/>
      <c r="R12" s="16"/>
    </row>
    <row r="13" spans="1:22" x14ac:dyDescent="0.2">
      <c r="A13" s="97"/>
      <c r="B13" s="98" t="s">
        <v>11</v>
      </c>
      <c r="C13" s="98" t="s">
        <v>12</v>
      </c>
      <c r="D13" s="98" t="s">
        <v>13</v>
      </c>
      <c r="E13" s="98" t="s">
        <v>225</v>
      </c>
      <c r="F13" s="100" t="s">
        <v>64</v>
      </c>
      <c r="G13" s="98"/>
      <c r="H13" s="100" t="s">
        <v>105</v>
      </c>
      <c r="J13" s="42"/>
      <c r="K13" s="93" t="s">
        <v>71</v>
      </c>
      <c r="L13" s="93"/>
      <c r="M13" s="42"/>
      <c r="N13" s="42"/>
      <c r="O13" s="34"/>
      <c r="P13" s="16"/>
      <c r="Q13" s="16"/>
      <c r="R13" s="16"/>
    </row>
    <row r="14" spans="1:22" x14ac:dyDescent="0.2">
      <c r="A14" s="97"/>
      <c r="B14" s="97">
        <v>1</v>
      </c>
      <c r="C14" s="97" t="s">
        <v>15</v>
      </c>
      <c r="D14" s="97" t="s">
        <v>16</v>
      </c>
      <c r="E14" s="303" t="s">
        <v>226</v>
      </c>
      <c r="F14" s="96" t="s">
        <v>61</v>
      </c>
      <c r="G14" s="101"/>
      <c r="H14" s="169" t="s">
        <v>110</v>
      </c>
      <c r="J14" s="42"/>
      <c r="K14" s="42"/>
      <c r="L14" s="42"/>
      <c r="M14" s="42"/>
      <c r="N14" s="42"/>
      <c r="O14" s="34"/>
      <c r="P14" s="16"/>
      <c r="Q14" s="16"/>
      <c r="R14" s="16"/>
    </row>
    <row r="15" spans="1:22" x14ac:dyDescent="0.2">
      <c r="A15" s="97"/>
      <c r="B15" s="97">
        <v>2</v>
      </c>
      <c r="C15" s="97" t="s">
        <v>24</v>
      </c>
      <c r="D15" s="97" t="s">
        <v>25</v>
      </c>
      <c r="E15" s="303" t="s">
        <v>227</v>
      </c>
      <c r="F15" s="96" t="s">
        <v>62</v>
      </c>
      <c r="G15" s="101"/>
      <c r="H15" s="169" t="s">
        <v>112</v>
      </c>
      <c r="J15" s="42"/>
      <c r="K15" s="42"/>
      <c r="L15" s="42"/>
      <c r="M15" s="42"/>
      <c r="N15" s="42"/>
      <c r="O15" s="34"/>
      <c r="P15" s="16"/>
      <c r="Q15" s="16"/>
      <c r="R15" s="16"/>
    </row>
    <row r="16" spans="1:22" x14ac:dyDescent="0.2">
      <c r="A16" s="97"/>
      <c r="B16" s="97">
        <v>3</v>
      </c>
      <c r="C16" s="97" t="s">
        <v>58</v>
      </c>
      <c r="D16" s="97" t="s">
        <v>59</v>
      </c>
      <c r="E16" s="303" t="s">
        <v>230</v>
      </c>
      <c r="F16" s="145" t="s">
        <v>63</v>
      </c>
      <c r="G16" s="101"/>
      <c r="H16" s="186" t="s">
        <v>111</v>
      </c>
      <c r="J16" s="42"/>
      <c r="K16" s="42"/>
      <c r="L16" s="42"/>
      <c r="M16" s="42"/>
      <c r="N16" s="136"/>
      <c r="O16" s="136"/>
      <c r="P16" s="136"/>
      <c r="Q16" s="136"/>
      <c r="R16" s="136"/>
      <c r="S16" s="136"/>
      <c r="T16" s="136"/>
      <c r="U16" s="136"/>
      <c r="V16" s="136"/>
    </row>
    <row r="17" spans="1:22" x14ac:dyDescent="0.2">
      <c r="A17" s="97"/>
      <c r="B17" s="182">
        <v>4</v>
      </c>
      <c r="C17" s="182" t="s">
        <v>100</v>
      </c>
      <c r="D17" s="182" t="s">
        <v>101</v>
      </c>
      <c r="E17" s="303" t="s">
        <v>231</v>
      </c>
      <c r="F17" s="145" t="s">
        <v>102</v>
      </c>
      <c r="G17" s="182"/>
      <c r="H17" s="169" t="s">
        <v>109</v>
      </c>
      <c r="J17" s="42"/>
      <c r="K17" s="42"/>
      <c r="L17" s="42"/>
      <c r="M17" s="42"/>
      <c r="N17" s="136"/>
      <c r="O17" s="136"/>
      <c r="P17" s="136"/>
      <c r="Q17" s="136"/>
      <c r="R17" s="136"/>
      <c r="S17" s="136"/>
      <c r="T17" s="136"/>
      <c r="U17" s="136"/>
      <c r="V17" s="136"/>
    </row>
    <row r="18" spans="1:22" x14ac:dyDescent="0.2">
      <c r="A18" s="97"/>
      <c r="B18" s="97"/>
      <c r="C18" s="97"/>
      <c r="D18" s="97"/>
      <c r="F18" s="97"/>
      <c r="G18" s="97"/>
      <c r="H18" s="39"/>
      <c r="I18" s="97"/>
      <c r="J18" s="42"/>
      <c r="K18" s="42"/>
      <c r="L18" s="42"/>
      <c r="M18" s="42"/>
      <c r="N18" s="42"/>
      <c r="O18" s="101"/>
      <c r="P18" s="136"/>
      <c r="Q18" s="136"/>
      <c r="R18" s="136"/>
      <c r="S18" s="136"/>
      <c r="T18" s="136"/>
      <c r="U18" s="136"/>
      <c r="V18" s="136"/>
    </row>
    <row r="19" spans="1:22" x14ac:dyDescent="0.2">
      <c r="A19" s="304" t="s">
        <v>232</v>
      </c>
      <c r="B19" s="97"/>
      <c r="C19" s="97"/>
      <c r="D19" s="97"/>
      <c r="E19" s="97"/>
      <c r="F19" s="97"/>
      <c r="G19" s="97"/>
      <c r="H19" s="97"/>
      <c r="I19" s="97"/>
      <c r="J19" s="97"/>
      <c r="K19" s="97"/>
      <c r="L19" s="42"/>
      <c r="M19" s="42"/>
      <c r="N19" s="42"/>
      <c r="O19" s="39"/>
      <c r="P19" s="136"/>
      <c r="Q19" s="136"/>
      <c r="R19" s="136"/>
      <c r="S19" s="136"/>
      <c r="T19" s="136"/>
      <c r="U19" s="136"/>
      <c r="V19" s="136"/>
    </row>
    <row r="20" spans="1:22" ht="16" thickBot="1" x14ac:dyDescent="0.25">
      <c r="A20" s="304" t="s">
        <v>47</v>
      </c>
      <c r="B20" s="42"/>
      <c r="C20" s="332" t="s">
        <v>183</v>
      </c>
      <c r="D20" s="333" t="s">
        <v>234</v>
      </c>
      <c r="E20" s="320"/>
      <c r="F20" s="320"/>
      <c r="G20" s="320"/>
      <c r="H20" s="320"/>
      <c r="I20" s="320"/>
      <c r="J20" s="320"/>
      <c r="K20" s="320"/>
      <c r="L20" s="320"/>
      <c r="M20" s="320"/>
      <c r="N20" s="136"/>
      <c r="O20" s="136"/>
      <c r="P20" s="136"/>
      <c r="Q20" s="136"/>
      <c r="R20" s="136"/>
      <c r="S20" s="136"/>
      <c r="T20" s="136"/>
      <c r="U20" s="136"/>
      <c r="V20" s="136"/>
    </row>
    <row r="21" spans="1:22" x14ac:dyDescent="0.2">
      <c r="A21" s="65" t="s">
        <v>49</v>
      </c>
      <c r="B21" s="38"/>
      <c r="C21" s="49">
        <v>2016</v>
      </c>
      <c r="D21" s="360">
        <v>2012</v>
      </c>
      <c r="E21" s="62">
        <v>2020</v>
      </c>
      <c r="F21" s="38">
        <v>2023</v>
      </c>
      <c r="G21" s="62">
        <v>2025</v>
      </c>
      <c r="H21" s="393">
        <v>2030</v>
      </c>
      <c r="I21" s="38">
        <v>2033</v>
      </c>
      <c r="J21" s="38" t="s">
        <v>1</v>
      </c>
      <c r="K21" s="48" t="s">
        <v>54</v>
      </c>
      <c r="L21" s="38" t="s">
        <v>55</v>
      </c>
      <c r="M21" s="134" t="s">
        <v>237</v>
      </c>
      <c r="N21" s="136" t="s">
        <v>253</v>
      </c>
      <c r="O21" s="134" t="s">
        <v>267</v>
      </c>
      <c r="P21" s="134"/>
      <c r="Q21" s="134"/>
      <c r="R21" s="134"/>
      <c r="S21" s="134"/>
      <c r="T21" s="136"/>
      <c r="U21" s="136"/>
      <c r="V21" s="136"/>
    </row>
    <row r="22" spans="1:22" x14ac:dyDescent="0.2">
      <c r="A22" s="97"/>
      <c r="B22" s="37" t="s">
        <v>2</v>
      </c>
      <c r="C22" s="328">
        <f>C4/'Overview 2016 (in)'!$O$7</f>
        <v>350</v>
      </c>
      <c r="D22" s="361">
        <v>600</v>
      </c>
      <c r="E22" s="110">
        <f>$D22*(1-$K22)^(E$21-$D$21)</f>
        <v>287.9274481259593</v>
      </c>
      <c r="F22" s="87"/>
      <c r="G22" s="110">
        <f>$D22*(1-$K22)^(G$21-$D$21)</f>
        <v>181.96608622071676</v>
      </c>
      <c r="H22" s="368">
        <v>115</v>
      </c>
      <c r="I22" s="87"/>
      <c r="J22" s="320" t="s">
        <v>247</v>
      </c>
      <c r="K22" s="312">
        <f>1-(H22/D22)^(1/(H$21-D$21))</f>
        <v>8.7692012550466325E-2</v>
      </c>
      <c r="L22" s="95"/>
      <c r="M22" s="379" t="s">
        <v>268</v>
      </c>
      <c r="N22" s="136"/>
      <c r="O22" s="138"/>
      <c r="P22" s="138"/>
      <c r="Q22" s="138"/>
      <c r="R22" s="138"/>
      <c r="S22" s="136"/>
      <c r="T22" s="136"/>
      <c r="U22" s="136"/>
      <c r="V22" s="136"/>
    </row>
    <row r="23" spans="1:22" x14ac:dyDescent="0.2">
      <c r="A23" s="97"/>
      <c r="B23" s="40" t="s">
        <v>3</v>
      </c>
      <c r="C23" s="328">
        <f>C5/'Overview 2016 (in)'!$O$7</f>
        <v>0</v>
      </c>
      <c r="D23" s="361">
        <v>175</v>
      </c>
      <c r="E23" s="110">
        <f t="shared" ref="E23:E26" si="2">$D23*(1-$K23)^(E$21-$D$21)</f>
        <v>100.28362609809263</v>
      </c>
      <c r="F23" s="87"/>
      <c r="G23" s="110">
        <f t="shared" ref="G23:G26" si="3">$D23*(1-$K23)^(G$21-$D$21)</f>
        <v>70.8108840850376</v>
      </c>
      <c r="H23" s="368">
        <v>50</v>
      </c>
      <c r="I23" s="87"/>
      <c r="J23" s="320" t="s">
        <v>248</v>
      </c>
      <c r="K23" s="312">
        <f t="shared" ref="K23:K25" si="4">1-(H23/D23)^(1/(H$21-D$21))</f>
        <v>6.7231228975996538E-2</v>
      </c>
      <c r="L23" s="95"/>
      <c r="M23" s="379" t="s">
        <v>268</v>
      </c>
      <c r="N23" s="136"/>
      <c r="O23" s="138"/>
      <c r="P23" s="138"/>
      <c r="Q23" s="138"/>
      <c r="R23" s="138"/>
      <c r="S23" s="136"/>
      <c r="T23" s="136"/>
      <c r="U23" s="136"/>
      <c r="V23" s="136"/>
    </row>
    <row r="24" spans="1:22" x14ac:dyDescent="0.2">
      <c r="A24" s="97"/>
      <c r="B24" s="37" t="s">
        <v>4</v>
      </c>
      <c r="C24" s="329">
        <f>C6</f>
        <v>5000</v>
      </c>
      <c r="D24" s="362">
        <v>7500</v>
      </c>
      <c r="E24" s="111">
        <f t="shared" si="2"/>
        <v>7500</v>
      </c>
      <c r="F24" s="88"/>
      <c r="G24" s="111">
        <f t="shared" si="3"/>
        <v>7500</v>
      </c>
      <c r="H24" s="394">
        <v>7500</v>
      </c>
      <c r="I24" s="91"/>
      <c r="J24" s="320" t="s">
        <v>5</v>
      </c>
      <c r="K24" s="312">
        <f t="shared" si="4"/>
        <v>0</v>
      </c>
      <c r="L24" s="95"/>
      <c r="M24" s="379" t="s">
        <v>268</v>
      </c>
      <c r="N24" s="136"/>
      <c r="O24" s="132"/>
      <c r="P24" s="132"/>
      <c r="Q24" s="132"/>
      <c r="R24" s="136"/>
      <c r="S24" s="136"/>
      <c r="T24" s="136"/>
      <c r="U24" s="136"/>
      <c r="V24" s="136"/>
    </row>
    <row r="25" spans="1:22" x14ac:dyDescent="0.2">
      <c r="A25" s="97"/>
      <c r="B25" s="37" t="s">
        <v>6</v>
      </c>
      <c r="C25" s="329">
        <f>C7</f>
        <v>17</v>
      </c>
      <c r="D25" s="362">
        <v>17.5</v>
      </c>
      <c r="E25" s="111">
        <f t="shared" si="2"/>
        <v>20.50611384937525</v>
      </c>
      <c r="F25" s="88"/>
      <c r="G25" s="111">
        <f t="shared" si="3"/>
        <v>22.64183840226719</v>
      </c>
      <c r="H25" s="394">
        <v>25</v>
      </c>
      <c r="I25" s="91"/>
      <c r="J25" s="320" t="s">
        <v>7</v>
      </c>
      <c r="K25" s="312">
        <f t="shared" si="4"/>
        <v>-2.0012900396002786E-2</v>
      </c>
      <c r="L25" s="95"/>
      <c r="M25" s="379" t="s">
        <v>268</v>
      </c>
      <c r="N25" s="136"/>
      <c r="O25" s="132"/>
      <c r="P25" s="132"/>
      <c r="Q25" s="132"/>
      <c r="R25" s="136"/>
      <c r="S25" s="136"/>
      <c r="T25" s="136"/>
      <c r="U25" s="136"/>
      <c r="V25" s="136"/>
    </row>
    <row r="26" spans="1:22" ht="16" thickBot="1" x14ac:dyDescent="0.25">
      <c r="A26" s="97"/>
      <c r="B26" s="6" t="s">
        <v>8</v>
      </c>
      <c r="C26" s="330">
        <f>C8</f>
        <v>80</v>
      </c>
      <c r="D26" s="363">
        <v>77.5</v>
      </c>
      <c r="E26" s="112">
        <f t="shared" si="2"/>
        <v>80.747963769368738</v>
      </c>
      <c r="F26" s="90"/>
      <c r="G26" s="112">
        <f t="shared" si="3"/>
        <v>82.846707360017319</v>
      </c>
      <c r="H26" s="395">
        <v>85</v>
      </c>
      <c r="I26" s="92"/>
      <c r="J26" s="7" t="s">
        <v>9</v>
      </c>
      <c r="K26" s="313">
        <f>1-(H26/D26)^(1/(H$21-D$21))</f>
        <v>-5.1450416205853777E-3</v>
      </c>
      <c r="L26" s="309"/>
      <c r="M26" s="379" t="s">
        <v>268</v>
      </c>
      <c r="N26" s="136"/>
      <c r="O26" s="132"/>
      <c r="P26" s="132"/>
      <c r="Q26" s="132"/>
      <c r="R26" s="136"/>
      <c r="S26" s="136"/>
      <c r="T26" s="136"/>
      <c r="U26" s="136"/>
      <c r="V26" s="136"/>
    </row>
    <row r="27" spans="1:22" ht="16" thickBot="1" x14ac:dyDescent="0.25">
      <c r="A27" s="97"/>
      <c r="B27" s="97"/>
      <c r="C27" s="213"/>
      <c r="D27" s="320"/>
      <c r="E27" s="320"/>
      <c r="F27" s="372"/>
      <c r="G27" s="320"/>
      <c r="H27" s="320"/>
      <c r="I27" s="320"/>
      <c r="J27" s="320"/>
      <c r="K27" s="312"/>
      <c r="L27" s="95"/>
      <c r="M27" s="379"/>
      <c r="N27" s="136"/>
      <c r="O27" s="136"/>
      <c r="P27" s="136"/>
      <c r="Q27" s="136"/>
      <c r="R27" s="136"/>
      <c r="S27" s="136"/>
      <c r="T27" s="136"/>
      <c r="U27" s="136"/>
      <c r="V27" s="136"/>
    </row>
    <row r="28" spans="1:22" x14ac:dyDescent="0.2">
      <c r="A28" s="65" t="s">
        <v>56</v>
      </c>
      <c r="B28" s="38"/>
      <c r="C28" s="49">
        <v>2016</v>
      </c>
      <c r="D28" s="360">
        <v>2014</v>
      </c>
      <c r="E28" s="62">
        <v>2020</v>
      </c>
      <c r="F28" s="360">
        <v>2023</v>
      </c>
      <c r="G28" s="62">
        <v>2025</v>
      </c>
      <c r="H28" s="62">
        <v>2030</v>
      </c>
      <c r="I28" s="38">
        <v>2033</v>
      </c>
      <c r="J28" s="38" t="s">
        <v>1</v>
      </c>
      <c r="K28" s="314"/>
      <c r="L28" s="310"/>
      <c r="M28" s="379"/>
      <c r="N28" s="136"/>
      <c r="O28" s="134"/>
      <c r="P28" s="134"/>
      <c r="Q28" s="134"/>
      <c r="R28" s="134"/>
      <c r="S28" s="134"/>
      <c r="T28" s="136"/>
      <c r="U28" s="136"/>
      <c r="V28" s="136"/>
    </row>
    <row r="29" spans="1:22" x14ac:dyDescent="0.2">
      <c r="A29" s="97"/>
      <c r="B29" s="37" t="s">
        <v>2</v>
      </c>
      <c r="C29" s="328">
        <f>C4/'Overview 2016 (in)'!$O$7</f>
        <v>350</v>
      </c>
      <c r="D29" s="361">
        <v>400</v>
      </c>
      <c r="E29" s="110">
        <f>$D29*(1-$K29)^(E$21-$D$28)</f>
        <v>292.40177382128667</v>
      </c>
      <c r="F29" s="385">
        <v>250</v>
      </c>
      <c r="G29" s="110">
        <f>$F29*(1-$L29)^(G$28-$F$28)</f>
        <v>217.63764082403102</v>
      </c>
      <c r="H29" s="110">
        <f>$F29*(1-$L29)^(H$28-$F$28)</f>
        <v>153.89305166811451</v>
      </c>
      <c r="I29" s="368">
        <v>125</v>
      </c>
      <c r="J29" s="320" t="s">
        <v>22</v>
      </c>
      <c r="K29" s="312">
        <f>1-(F29/D29)^(1/(F$21-D$28))</f>
        <v>5.0882454420314915E-2</v>
      </c>
      <c r="L29" s="95">
        <f>1-(I29/F29)^(1/(I$21-F$21))</f>
        <v>6.696700846319259E-2</v>
      </c>
      <c r="M29" s="379" t="s">
        <v>238</v>
      </c>
      <c r="N29" s="136"/>
      <c r="O29" s="138"/>
      <c r="P29" s="138"/>
      <c r="Q29" s="138"/>
      <c r="R29" s="138"/>
      <c r="S29" s="136"/>
      <c r="T29" s="136"/>
      <c r="U29" s="136"/>
      <c r="V29" s="136"/>
    </row>
    <row r="30" spans="1:22" x14ac:dyDescent="0.2">
      <c r="A30" s="97"/>
      <c r="B30" s="40" t="s">
        <v>3</v>
      </c>
      <c r="C30" s="328">
        <f>C5/'Overview 2016 (in)'!$O$7</f>
        <v>0</v>
      </c>
      <c r="D30" s="361">
        <v>160</v>
      </c>
      <c r="E30" s="123"/>
      <c r="F30" s="397">
        <v>90</v>
      </c>
      <c r="G30" s="123"/>
      <c r="H30" s="123"/>
      <c r="I30" s="401">
        <v>40</v>
      </c>
      <c r="J30" s="320" t="s">
        <v>23</v>
      </c>
      <c r="K30" s="312"/>
      <c r="L30" s="95"/>
      <c r="M30" s="379" t="s">
        <v>238</v>
      </c>
      <c r="N30" s="136"/>
      <c r="O30" s="138"/>
      <c r="P30" s="138"/>
      <c r="Q30" s="138"/>
      <c r="R30" s="138"/>
      <c r="S30" s="136"/>
      <c r="T30" s="136"/>
      <c r="U30" s="136"/>
      <c r="V30" s="136"/>
    </row>
    <row r="31" spans="1:22" x14ac:dyDescent="0.2">
      <c r="A31" s="97"/>
      <c r="B31" s="37" t="s">
        <v>4</v>
      </c>
      <c r="C31" s="329">
        <f>C6</f>
        <v>5000</v>
      </c>
      <c r="D31" s="396"/>
      <c r="E31" s="124"/>
      <c r="F31" s="398"/>
      <c r="G31" s="124"/>
      <c r="H31" s="124"/>
      <c r="I31" s="410"/>
      <c r="J31" s="320" t="s">
        <v>5</v>
      </c>
      <c r="K31" s="312"/>
      <c r="L31" s="95"/>
      <c r="M31" s="379"/>
      <c r="N31" s="136"/>
      <c r="O31" s="132"/>
      <c r="P31" s="132"/>
      <c r="Q31" s="132"/>
      <c r="R31" s="136"/>
      <c r="S31" s="136"/>
      <c r="T31" s="136"/>
      <c r="U31" s="136"/>
      <c r="V31" s="136"/>
    </row>
    <row r="32" spans="1:22" x14ac:dyDescent="0.2">
      <c r="A32" s="97"/>
      <c r="B32" s="37" t="s">
        <v>6</v>
      </c>
      <c r="C32" s="329">
        <f>C7</f>
        <v>17</v>
      </c>
      <c r="D32" s="396"/>
      <c r="E32" s="124"/>
      <c r="F32" s="398"/>
      <c r="G32" s="124"/>
      <c r="H32" s="124"/>
      <c r="I32" s="410"/>
      <c r="J32" s="320" t="s">
        <v>7</v>
      </c>
      <c r="K32" s="312"/>
      <c r="L32" s="95"/>
      <c r="M32" s="379"/>
      <c r="N32" s="136"/>
      <c r="O32" s="132"/>
      <c r="P32" s="132"/>
      <c r="Q32" s="132"/>
      <c r="R32" s="136"/>
      <c r="S32" s="136"/>
      <c r="T32" s="136"/>
      <c r="U32" s="136"/>
      <c r="V32" s="136"/>
    </row>
    <row r="33" spans="1:22" ht="16" thickBot="1" x14ac:dyDescent="0.25">
      <c r="A33" s="97"/>
      <c r="B33" s="6" t="s">
        <v>8</v>
      </c>
      <c r="C33" s="330">
        <f>C8</f>
        <v>80</v>
      </c>
      <c r="D33" s="363">
        <v>75</v>
      </c>
      <c r="E33" s="112">
        <f>$D33*(1-$K33)^(E$21-$D$28)</f>
        <v>75</v>
      </c>
      <c r="F33" s="409">
        <v>75</v>
      </c>
      <c r="G33" s="112">
        <f>$F33*(1-$L33)^(G$28-$F$28)</f>
        <v>75</v>
      </c>
      <c r="H33" s="112">
        <f>$F33*(1-$L33)^(H$28-$F$28)</f>
        <v>75</v>
      </c>
      <c r="I33" s="411">
        <v>75</v>
      </c>
      <c r="J33" s="7" t="s">
        <v>9</v>
      </c>
      <c r="K33" s="313">
        <f>1-(F33/D33)^(1/(F$21-D$28))</f>
        <v>0</v>
      </c>
      <c r="L33" s="309">
        <f>1-(I33/F33)^(1/(I$21-F$21))</f>
        <v>0</v>
      </c>
      <c r="M33" s="379" t="s">
        <v>238</v>
      </c>
      <c r="N33" s="136"/>
      <c r="O33" s="132"/>
      <c r="P33" s="132"/>
      <c r="Q33" s="132"/>
      <c r="R33" s="136"/>
      <c r="S33" s="136"/>
      <c r="T33" s="136"/>
      <c r="U33" s="136"/>
      <c r="V33" s="136"/>
    </row>
    <row r="34" spans="1:22" ht="16" thickBot="1" x14ac:dyDescent="0.25">
      <c r="A34" s="97"/>
      <c r="B34" s="97"/>
      <c r="C34" s="213"/>
      <c r="D34" s="372"/>
      <c r="E34" s="320"/>
      <c r="F34" s="372"/>
      <c r="G34" s="320"/>
      <c r="H34" s="320"/>
      <c r="I34" s="320"/>
      <c r="J34" s="320"/>
      <c r="K34" s="312"/>
      <c r="L34" s="95"/>
      <c r="M34" s="379"/>
      <c r="N34" s="136"/>
      <c r="O34" s="136"/>
      <c r="P34" s="136"/>
      <c r="Q34" s="136"/>
      <c r="R34" s="136"/>
      <c r="S34" s="136"/>
      <c r="T34" s="136"/>
      <c r="U34" s="136"/>
      <c r="V34" s="136"/>
    </row>
    <row r="35" spans="1:22" x14ac:dyDescent="0.2">
      <c r="A35" s="65" t="s">
        <v>48</v>
      </c>
      <c r="B35" s="38"/>
      <c r="C35" s="49">
        <v>2016</v>
      </c>
      <c r="D35" s="38"/>
      <c r="E35" s="367">
        <v>2020</v>
      </c>
      <c r="F35" s="374">
        <v>2023</v>
      </c>
      <c r="G35" s="367">
        <v>2025</v>
      </c>
      <c r="H35" s="367">
        <v>2030</v>
      </c>
      <c r="I35" s="38">
        <v>2050</v>
      </c>
      <c r="J35" s="38" t="s">
        <v>1</v>
      </c>
      <c r="K35" s="314"/>
      <c r="L35" s="310"/>
      <c r="M35" s="379"/>
      <c r="N35" s="136"/>
      <c r="O35" s="136"/>
      <c r="P35" s="136"/>
      <c r="Q35" s="136"/>
      <c r="R35" s="136"/>
      <c r="S35" s="136"/>
      <c r="T35" s="136"/>
      <c r="U35" s="136"/>
      <c r="V35" s="136"/>
    </row>
    <row r="36" spans="1:22" x14ac:dyDescent="0.2">
      <c r="A36" s="97"/>
      <c r="B36" s="37"/>
      <c r="C36" s="328"/>
      <c r="D36" s="20"/>
      <c r="E36" s="113"/>
      <c r="F36" s="68"/>
      <c r="G36" s="113"/>
      <c r="H36" s="113"/>
      <c r="I36" s="68"/>
      <c r="J36" s="320"/>
      <c r="K36" s="312"/>
      <c r="L36" s="95"/>
      <c r="M36" s="379"/>
      <c r="N36" s="372"/>
      <c r="O36" s="372"/>
      <c r="P36" s="320"/>
      <c r="Q36" s="320"/>
      <c r="R36" s="320"/>
      <c r="S36" s="320"/>
      <c r="T36" s="320"/>
      <c r="U36" s="320"/>
    </row>
    <row r="37" spans="1:22" x14ac:dyDescent="0.2">
      <c r="A37" s="97"/>
      <c r="B37" s="40"/>
      <c r="C37" s="328"/>
      <c r="D37" s="20"/>
      <c r="E37" s="113"/>
      <c r="F37" s="68"/>
      <c r="G37" s="113"/>
      <c r="H37" s="113"/>
      <c r="I37" s="87"/>
      <c r="J37" s="320"/>
      <c r="K37" s="312"/>
      <c r="L37" s="95"/>
      <c r="M37" s="379"/>
      <c r="N37" s="372"/>
      <c r="O37" s="372"/>
      <c r="P37" s="320"/>
      <c r="Q37" s="320"/>
      <c r="R37" s="320"/>
      <c r="S37" s="320"/>
      <c r="T37" s="320"/>
      <c r="U37" s="320"/>
    </row>
    <row r="38" spans="1:22" x14ac:dyDescent="0.2">
      <c r="A38" s="97"/>
      <c r="B38" s="37"/>
      <c r="C38" s="329"/>
      <c r="D38" s="76"/>
      <c r="E38" s="118"/>
      <c r="F38" s="69"/>
      <c r="G38" s="118"/>
      <c r="H38" s="118"/>
      <c r="I38" s="75"/>
      <c r="J38" s="320"/>
      <c r="K38" s="312"/>
      <c r="L38" s="95"/>
      <c r="M38" s="379"/>
      <c r="N38" s="372"/>
      <c r="O38" s="372"/>
      <c r="P38" s="320"/>
      <c r="Q38" s="320"/>
      <c r="R38" s="320"/>
      <c r="S38" s="320"/>
      <c r="T38" s="320"/>
      <c r="U38" s="320"/>
    </row>
    <row r="39" spans="1:22" x14ac:dyDescent="0.2">
      <c r="A39" s="97"/>
      <c r="B39" s="37"/>
      <c r="C39" s="337"/>
      <c r="D39" s="66"/>
      <c r="E39" s="118"/>
      <c r="F39" s="69"/>
      <c r="G39" s="118"/>
      <c r="H39" s="118"/>
      <c r="I39" s="69"/>
      <c r="J39" s="320"/>
      <c r="K39" s="312"/>
      <c r="L39" s="95"/>
      <c r="M39" s="379"/>
      <c r="N39" s="372"/>
      <c r="O39" s="372"/>
      <c r="P39" s="320"/>
      <c r="Q39" s="320"/>
      <c r="R39" s="320"/>
      <c r="S39" s="320"/>
      <c r="T39" s="320"/>
      <c r="U39" s="320"/>
    </row>
    <row r="40" spans="1:22" ht="16" thickBot="1" x14ac:dyDescent="0.25">
      <c r="A40" s="97"/>
      <c r="B40" s="6"/>
      <c r="C40" s="331"/>
      <c r="D40" s="67"/>
      <c r="E40" s="119"/>
      <c r="F40" s="70"/>
      <c r="G40" s="119"/>
      <c r="H40" s="119"/>
      <c r="I40" s="70"/>
      <c r="J40" s="7"/>
      <c r="K40" s="313"/>
      <c r="L40" s="309"/>
      <c r="M40" s="379"/>
      <c r="N40" s="372"/>
      <c r="O40" s="372"/>
      <c r="P40" s="320"/>
      <c r="Q40" s="320"/>
      <c r="R40" s="320"/>
      <c r="S40" s="320"/>
      <c r="T40" s="320"/>
      <c r="U40" s="320"/>
    </row>
    <row r="41" spans="1:22" ht="16" thickBot="1" x14ac:dyDescent="0.25">
      <c r="A41" s="97"/>
      <c r="B41" s="40"/>
      <c r="C41" s="337"/>
      <c r="D41" s="84"/>
      <c r="E41" s="73"/>
      <c r="F41" s="73"/>
      <c r="G41" s="85"/>
      <c r="H41" s="85"/>
      <c r="I41" s="86"/>
      <c r="J41" s="39"/>
      <c r="K41" s="312"/>
      <c r="L41" s="311"/>
      <c r="M41" s="379"/>
      <c r="N41" s="372"/>
      <c r="O41" s="372"/>
      <c r="P41" s="320"/>
      <c r="Q41" s="320"/>
      <c r="R41" s="320"/>
      <c r="S41" s="320"/>
      <c r="T41" s="320"/>
      <c r="U41" s="320"/>
    </row>
    <row r="42" spans="1:22" x14ac:dyDescent="0.2">
      <c r="A42" s="65" t="s">
        <v>51</v>
      </c>
      <c r="B42" s="38"/>
      <c r="C42" s="49">
        <v>2016</v>
      </c>
      <c r="D42" s="360">
        <v>2014</v>
      </c>
      <c r="E42" s="38">
        <v>2017</v>
      </c>
      <c r="F42" s="62">
        <v>2020</v>
      </c>
      <c r="G42" s="62">
        <v>2025</v>
      </c>
      <c r="H42" s="62">
        <v>2030</v>
      </c>
      <c r="I42" s="38">
        <v>2050</v>
      </c>
      <c r="J42" s="38" t="s">
        <v>1</v>
      </c>
      <c r="K42" s="314"/>
      <c r="L42" s="310"/>
      <c r="M42" s="379"/>
      <c r="N42" s="372"/>
      <c r="O42" s="372"/>
      <c r="P42" s="320"/>
      <c r="Q42" s="320"/>
      <c r="R42" s="320"/>
      <c r="S42" s="320"/>
      <c r="T42" s="320"/>
      <c r="U42" s="320"/>
    </row>
    <row r="43" spans="1:22" x14ac:dyDescent="0.2">
      <c r="A43" s="182"/>
      <c r="B43" s="37" t="s">
        <v>2</v>
      </c>
      <c r="C43" s="334">
        <f>C4</f>
        <v>367.5</v>
      </c>
      <c r="D43" s="388">
        <v>535</v>
      </c>
      <c r="E43" s="388">
        <v>535</v>
      </c>
      <c r="F43" s="389">
        <v>500</v>
      </c>
      <c r="G43" s="125">
        <f>$F43*(1-$L43)^(G$42-$F$42)</f>
        <v>446.68054929237127</v>
      </c>
      <c r="H43" s="125">
        <f>$F43*(1-$L43)^(H$42-$F$42)</f>
        <v>399.04702623226899</v>
      </c>
      <c r="I43" s="317"/>
      <c r="J43" s="320" t="s">
        <v>22</v>
      </c>
      <c r="K43" s="312">
        <f>1-(E43/D43)^(1/(E$42-D$42))</f>
        <v>0</v>
      </c>
      <c r="L43" s="95">
        <f>1-(F43/E43)^(1/(F$42-E$42))</f>
        <v>2.2300467686685255E-2</v>
      </c>
      <c r="M43" s="379" t="s">
        <v>249</v>
      </c>
      <c r="N43" s="372"/>
      <c r="O43" s="372"/>
      <c r="P43" s="320"/>
      <c r="Q43" s="320"/>
      <c r="R43" s="320"/>
      <c r="S43" s="320"/>
      <c r="T43" s="320"/>
      <c r="U43" s="320"/>
    </row>
    <row r="44" spans="1:22" x14ac:dyDescent="0.2">
      <c r="A44" s="182"/>
      <c r="B44" s="40" t="s">
        <v>3</v>
      </c>
      <c r="C44" s="334">
        <f>C5</f>
        <v>0</v>
      </c>
      <c r="D44" s="160"/>
      <c r="E44" s="317"/>
      <c r="F44" s="162"/>
      <c r="G44" s="162"/>
      <c r="H44" s="162"/>
      <c r="I44" s="163"/>
      <c r="J44" s="320" t="s">
        <v>23</v>
      </c>
      <c r="K44" s="312"/>
      <c r="L44" s="95"/>
      <c r="M44" s="379"/>
      <c r="N44" s="372"/>
      <c r="O44" s="372"/>
      <c r="P44" s="320"/>
      <c r="Q44" s="320"/>
      <c r="R44" s="320"/>
      <c r="S44" s="320"/>
      <c r="T44" s="320"/>
      <c r="U44" s="320"/>
    </row>
    <row r="45" spans="1:22" x14ac:dyDescent="0.2">
      <c r="A45" s="182"/>
      <c r="B45" s="37" t="s">
        <v>4</v>
      </c>
      <c r="C45" s="334">
        <f>C6</f>
        <v>5000</v>
      </c>
      <c r="D45" s="388">
        <v>2250</v>
      </c>
      <c r="E45" s="163"/>
      <c r="F45" s="124"/>
      <c r="G45" s="124"/>
      <c r="H45" s="124"/>
      <c r="I45" s="89"/>
      <c r="J45" s="320" t="s">
        <v>5</v>
      </c>
      <c r="K45" s="312"/>
      <c r="L45" s="95"/>
      <c r="M45" s="379" t="s">
        <v>266</v>
      </c>
      <c r="N45" s="372"/>
      <c r="O45" s="372"/>
      <c r="P45" s="320"/>
      <c r="Q45" s="320"/>
      <c r="R45" s="320"/>
      <c r="S45" s="320"/>
      <c r="T45" s="320"/>
      <c r="U45" s="320"/>
    </row>
    <row r="46" spans="1:22" x14ac:dyDescent="0.2">
      <c r="A46" s="182"/>
      <c r="B46" s="37" t="s">
        <v>6</v>
      </c>
      <c r="C46" s="334">
        <f>C7</f>
        <v>17</v>
      </c>
      <c r="D46" s="160"/>
      <c r="E46" s="163"/>
      <c r="F46" s="124"/>
      <c r="G46" s="124"/>
      <c r="H46" s="124"/>
      <c r="I46" s="88"/>
      <c r="J46" s="320" t="s">
        <v>7</v>
      </c>
      <c r="K46" s="312"/>
      <c r="L46" s="95"/>
      <c r="M46" s="379"/>
      <c r="N46" s="372"/>
      <c r="O46" s="372"/>
      <c r="P46" s="320"/>
      <c r="Q46" s="320"/>
      <c r="R46" s="320"/>
      <c r="S46" s="320"/>
      <c r="T46" s="320"/>
      <c r="U46" s="320"/>
    </row>
    <row r="47" spans="1:22" ht="16" thickBot="1" x14ac:dyDescent="0.25">
      <c r="A47" s="182"/>
      <c r="B47" s="6" t="s">
        <v>8</v>
      </c>
      <c r="C47" s="335">
        <f>C8</f>
        <v>80</v>
      </c>
      <c r="D47" s="183"/>
      <c r="E47" s="318"/>
      <c r="F47" s="130"/>
      <c r="G47" s="130"/>
      <c r="H47" s="130"/>
      <c r="I47" s="90"/>
      <c r="J47" s="7" t="s">
        <v>9</v>
      </c>
      <c r="K47" s="313"/>
      <c r="L47" s="309"/>
      <c r="M47" s="372"/>
      <c r="N47" s="372"/>
      <c r="O47" s="372"/>
      <c r="P47" s="320"/>
      <c r="Q47" s="320"/>
      <c r="R47" s="320"/>
      <c r="S47" s="320"/>
      <c r="T47" s="320"/>
      <c r="U47" s="320"/>
    </row>
    <row r="48" spans="1:22" x14ac:dyDescent="0.2">
      <c r="A48" s="97"/>
      <c r="B48" s="97"/>
      <c r="C48" s="97"/>
      <c r="D48" s="320"/>
      <c r="E48" s="320"/>
      <c r="F48" s="320"/>
      <c r="G48" s="320"/>
      <c r="H48" s="320"/>
      <c r="I48" s="320"/>
      <c r="J48" s="320"/>
      <c r="K48" s="320"/>
      <c r="L48" s="320"/>
      <c r="M48" s="372"/>
      <c r="N48" s="372"/>
      <c r="O48" s="372"/>
      <c r="P48" s="320"/>
      <c r="Q48" s="320"/>
      <c r="R48" s="320"/>
      <c r="S48" s="320"/>
      <c r="T48" s="320"/>
      <c r="U48" s="320"/>
    </row>
    <row r="49" spans="4:21" x14ac:dyDescent="0.2">
      <c r="D49" s="408" t="s">
        <v>262</v>
      </c>
      <c r="E49" s="408" t="s">
        <v>263</v>
      </c>
      <c r="F49" s="408" t="s">
        <v>264</v>
      </c>
      <c r="G49" s="408" t="s">
        <v>265</v>
      </c>
      <c r="H49" s="320"/>
      <c r="I49" s="320"/>
      <c r="J49" s="320"/>
      <c r="K49" s="320"/>
      <c r="L49" s="320"/>
      <c r="M49" s="372"/>
      <c r="N49" s="372"/>
      <c r="O49" s="372"/>
      <c r="P49" s="320"/>
      <c r="Q49" s="320"/>
      <c r="R49" s="320"/>
      <c r="S49" s="320"/>
      <c r="T49" s="320"/>
      <c r="U49" s="320"/>
    </row>
    <row r="50" spans="4:21" x14ac:dyDescent="0.2">
      <c r="D50" s="406">
        <f>H22/D22</f>
        <v>0.19166666666666668</v>
      </c>
      <c r="E50" s="406">
        <f>H24/D24</f>
        <v>1</v>
      </c>
      <c r="F50" s="406">
        <f>H25/D25</f>
        <v>1.4285714285714286</v>
      </c>
      <c r="G50" s="406">
        <f>H26/D26</f>
        <v>1.096774193548387</v>
      </c>
      <c r="H50" s="320"/>
      <c r="I50" s="320"/>
      <c r="J50" s="320"/>
      <c r="K50" s="320"/>
      <c r="L50" s="320"/>
      <c r="M50" s="320"/>
      <c r="N50" s="320"/>
      <c r="O50" s="320"/>
      <c r="P50" s="320"/>
      <c r="Q50" s="320"/>
      <c r="R50" s="320"/>
      <c r="S50" s="320"/>
      <c r="T50" s="320"/>
      <c r="U50" s="320"/>
    </row>
    <row r="51" spans="4:21" x14ac:dyDescent="0.2">
      <c r="D51" s="406">
        <f>H29/D29</f>
        <v>0.38473262917028628</v>
      </c>
      <c r="E51" s="406"/>
      <c r="G51" s="406">
        <f>H33/D33</f>
        <v>1</v>
      </c>
      <c r="H51" s="320"/>
      <c r="I51" s="320"/>
      <c r="J51" s="320"/>
      <c r="K51" s="320"/>
      <c r="L51" s="320"/>
      <c r="M51" s="320"/>
      <c r="N51" s="320"/>
      <c r="O51" s="320"/>
      <c r="P51" s="320"/>
      <c r="Q51" s="320"/>
      <c r="R51" s="320"/>
      <c r="S51" s="320"/>
      <c r="T51" s="320"/>
      <c r="U51" s="320"/>
    </row>
    <row r="52" spans="4:21" x14ac:dyDescent="0.2">
      <c r="D52" s="406">
        <f>H43/D43</f>
        <v>0.74588229202293266</v>
      </c>
      <c r="E52" s="406"/>
      <c r="F52" s="406"/>
      <c r="G52" s="406"/>
      <c r="H52" s="320"/>
      <c r="I52" s="320"/>
      <c r="J52" s="320"/>
      <c r="K52" s="320"/>
      <c r="L52" s="320"/>
      <c r="M52" s="320"/>
      <c r="N52" s="320"/>
      <c r="O52" s="320"/>
      <c r="P52" s="320"/>
      <c r="Q52" s="320"/>
      <c r="R52" s="320"/>
      <c r="S52" s="320"/>
      <c r="T52" s="320"/>
      <c r="U52" s="320"/>
    </row>
    <row r="53" spans="4:21" x14ac:dyDescent="0.2">
      <c r="D53" s="408" t="s">
        <v>261</v>
      </c>
      <c r="E53" s="408" t="s">
        <v>261</v>
      </c>
      <c r="F53" s="408" t="s">
        <v>261</v>
      </c>
      <c r="G53" s="408" t="s">
        <v>261</v>
      </c>
    </row>
    <row r="54" spans="4:21" x14ac:dyDescent="0.2">
      <c r="D54" s="406">
        <f>AVERAGE(D50:D52)</f>
        <v>0.44076052928662851</v>
      </c>
      <c r="E54" s="406">
        <f t="shared" ref="E54:G54" si="5">AVERAGE(E50:E52)</f>
        <v>1</v>
      </c>
      <c r="F54" s="406">
        <f>AVERAGE(F50:F52)</f>
        <v>1.4285714285714286</v>
      </c>
      <c r="G54" s="406">
        <f t="shared" si="5"/>
        <v>1.0483870967741935</v>
      </c>
    </row>
  </sheetData>
  <hyperlinks>
    <hyperlink ref="E14" r:id="rId1" xr:uid="{00000000-0004-0000-1C00-000000000000}"/>
    <hyperlink ref="E15" r:id="rId2" xr:uid="{00000000-0004-0000-1C00-000001000000}"/>
    <hyperlink ref="E16" r:id="rId3" xr:uid="{00000000-0004-0000-1C00-000002000000}"/>
    <hyperlink ref="E17" r:id="rId4" xr:uid="{00000000-0004-0000-1C00-000003000000}"/>
  </hyperlinks>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80"/>
  <sheetViews>
    <sheetView showGridLines="0" tabSelected="1" zoomScale="85" zoomScaleNormal="85" workbookViewId="0">
      <selection activeCell="B4" sqref="B4"/>
    </sheetView>
  </sheetViews>
  <sheetFormatPr baseColWidth="10" defaultColWidth="11.5" defaultRowHeight="15" x14ac:dyDescent="0.2"/>
  <cols>
    <col min="1" max="1" width="9.33203125" style="239" customWidth="1"/>
    <col min="2" max="2" width="38.33203125" style="236" customWidth="1"/>
    <col min="3" max="14" width="13.83203125" style="236" customWidth="1"/>
    <col min="15" max="15" width="20.1640625" style="236" bestFit="1" customWidth="1"/>
    <col min="16" max="16384" width="11.5" style="236"/>
  </cols>
  <sheetData>
    <row r="1" spans="1:23" x14ac:dyDescent="0.2">
      <c r="B1" s="239"/>
      <c r="C1" s="239"/>
      <c r="D1" s="239"/>
      <c r="E1" s="239"/>
      <c r="F1" s="239"/>
      <c r="G1" s="239"/>
      <c r="H1" s="239"/>
      <c r="I1" s="239"/>
      <c r="J1" s="239"/>
      <c r="K1" s="239"/>
      <c r="L1" s="239"/>
      <c r="M1" s="239"/>
      <c r="N1" s="239"/>
      <c r="O1" s="239"/>
      <c r="P1" s="239"/>
      <c r="Q1" s="239"/>
      <c r="R1" s="239"/>
      <c r="S1" s="239"/>
      <c r="T1" s="239"/>
      <c r="U1" s="239"/>
      <c r="V1" s="239"/>
      <c r="W1" s="239"/>
    </row>
    <row r="2" spans="1:23" ht="19" hidden="1" x14ac:dyDescent="0.25">
      <c r="B2" s="240" t="s">
        <v>141</v>
      </c>
      <c r="C2" s="239"/>
      <c r="D2" s="239"/>
      <c r="E2" s="239"/>
      <c r="F2" s="239"/>
      <c r="G2" s="239"/>
      <c r="H2" s="239"/>
      <c r="I2" s="239"/>
      <c r="J2" s="239"/>
      <c r="K2" s="239"/>
      <c r="L2" s="239"/>
      <c r="M2" s="239"/>
      <c r="N2" s="239"/>
      <c r="O2" s="239"/>
      <c r="P2" s="239"/>
      <c r="Q2" s="239"/>
      <c r="R2" s="239"/>
      <c r="S2" s="239"/>
      <c r="T2" s="239"/>
      <c r="U2" s="239"/>
      <c r="V2" s="239"/>
      <c r="W2" s="239"/>
    </row>
    <row r="3" spans="1:23" x14ac:dyDescent="0.2">
      <c r="B3" s="538" t="s">
        <v>141</v>
      </c>
      <c r="C3" s="573">
        <f ca="1">INDIRECT(ADDRESS(ROW(B3),COLUMN(C1),1,,$B$4))</f>
        <v>2016</v>
      </c>
      <c r="D3" s="573"/>
      <c r="E3" s="573"/>
      <c r="F3" s="574">
        <f t="shared" ref="F3:F15" ca="1" si="0">INDIRECT(ADDRESS(ROW(E3),COLUMN(F1),1,,$B$4))</f>
        <v>2020</v>
      </c>
      <c r="G3" s="574"/>
      <c r="H3" s="574"/>
      <c r="I3" s="575">
        <f t="shared" ref="I3:I15" ca="1" si="1">INDIRECT(ADDRESS(ROW(H3),COLUMN(I1),1,,$B$4))</f>
        <v>2025</v>
      </c>
      <c r="J3" s="575"/>
      <c r="K3" s="575"/>
      <c r="L3" s="576">
        <f t="shared" ref="L3:L15" ca="1" si="2">INDIRECT(ADDRESS(ROW(K3),COLUMN(L1),1,,$B$4))</f>
        <v>2030</v>
      </c>
      <c r="M3" s="576"/>
      <c r="N3" s="576"/>
      <c r="P3" s="239"/>
      <c r="Q3" s="239"/>
      <c r="R3" s="239"/>
      <c r="S3" s="239"/>
      <c r="T3" s="239"/>
      <c r="U3" s="239"/>
      <c r="V3" s="239"/>
      <c r="W3" s="239"/>
    </row>
    <row r="4" spans="1:23" ht="16" thickBot="1" x14ac:dyDescent="0.25">
      <c r="A4" s="250" t="s">
        <v>118</v>
      </c>
      <c r="B4" s="242" t="s">
        <v>44</v>
      </c>
      <c r="C4" s="487" t="str">
        <f t="shared" ref="C4:C15" ca="1" si="3">INDIRECT(ADDRESS(ROW(B4),COLUMN(C2),1,,$B$4))</f>
        <v>best</v>
      </c>
      <c r="D4" s="487" t="str">
        <f t="shared" ref="D4:E15" ca="1" si="4">INDIRECT(ADDRESS(ROW(C4),COLUMN(D2),1,,$B$4))</f>
        <v>worst</v>
      </c>
      <c r="E4" s="487" t="str">
        <f t="shared" ca="1" si="4"/>
        <v>reference</v>
      </c>
      <c r="F4" s="495" t="str">
        <f t="shared" ca="1" si="0"/>
        <v>best</v>
      </c>
      <c r="G4" s="495" t="str">
        <f t="shared" ref="G4:H15" ca="1" si="5">INDIRECT(ADDRESS(ROW(F4),COLUMN(G2),1,,$B$4))</f>
        <v>worst</v>
      </c>
      <c r="H4" s="495" t="str">
        <f t="shared" ca="1" si="5"/>
        <v>reference</v>
      </c>
      <c r="I4" s="469" t="str">
        <f t="shared" ca="1" si="1"/>
        <v>best</v>
      </c>
      <c r="J4" s="469" t="str">
        <f t="shared" ref="J4:K15" ca="1" si="6">INDIRECT(ADDRESS(ROW(I4),COLUMN(J2),1,,$B$4))</f>
        <v>worst</v>
      </c>
      <c r="K4" s="469" t="str">
        <f t="shared" ca="1" si="6"/>
        <v>reference</v>
      </c>
      <c r="L4" s="470" t="str">
        <f t="shared" ca="1" si="2"/>
        <v>best</v>
      </c>
      <c r="M4" s="470" t="str">
        <f t="shared" ref="M4:O15" ca="1" si="7">INDIRECT(ADDRESS(ROW(L4),COLUMN(M2),1,,$B$4))</f>
        <v>worst</v>
      </c>
      <c r="N4" s="470" t="str">
        <f t="shared" ca="1" si="7"/>
        <v>reference</v>
      </c>
      <c r="O4" s="502" t="str">
        <f t="shared" ca="1" si="7"/>
        <v>unit</v>
      </c>
      <c r="P4" s="239"/>
      <c r="Q4" s="239"/>
      <c r="R4" s="239"/>
      <c r="S4" s="239"/>
      <c r="T4" s="239"/>
      <c r="U4" s="239"/>
      <c r="V4" s="239"/>
      <c r="W4" s="239"/>
    </row>
    <row r="5" spans="1:23" hidden="1" x14ac:dyDescent="0.2">
      <c r="A5" s="239" t="s">
        <v>275</v>
      </c>
      <c r="B5" s="472" t="str">
        <f ca="1">INDIRECT(ADDRESS(ROW(A5),COLUMN(B2),1,,$B$4))</f>
        <v>Energy density</v>
      </c>
      <c r="C5" s="488">
        <f t="shared" ca="1" si="3"/>
        <v>300</v>
      </c>
      <c r="D5" s="488">
        <f t="shared" ca="1" si="4"/>
        <v>140</v>
      </c>
      <c r="E5" s="488">
        <f t="shared" ca="1" si="4"/>
        <v>250</v>
      </c>
      <c r="F5" s="496">
        <f t="shared" ca="1" si="0"/>
        <v>300</v>
      </c>
      <c r="G5" s="496">
        <f t="shared" ca="1" si="5"/>
        <v>140</v>
      </c>
      <c r="H5" s="496">
        <f t="shared" ca="1" si="5"/>
        <v>250</v>
      </c>
      <c r="I5" s="473">
        <f t="shared" ca="1" si="1"/>
        <v>300</v>
      </c>
      <c r="J5" s="473">
        <f t="shared" ca="1" si="6"/>
        <v>140</v>
      </c>
      <c r="K5" s="473">
        <f t="shared" ca="1" si="6"/>
        <v>250</v>
      </c>
      <c r="L5" s="474">
        <f t="shared" ca="1" si="2"/>
        <v>300</v>
      </c>
      <c r="M5" s="474">
        <f t="shared" ca="1" si="7"/>
        <v>140</v>
      </c>
      <c r="N5" s="474">
        <f t="shared" ca="1" si="7"/>
        <v>250</v>
      </c>
      <c r="O5" s="475" t="str">
        <f t="shared" ca="1" si="7"/>
        <v>Wh/l</v>
      </c>
      <c r="P5" s="239"/>
      <c r="Q5" s="239"/>
      <c r="R5" s="416"/>
      <c r="S5" s="416"/>
      <c r="T5" s="416"/>
      <c r="U5" s="416"/>
      <c r="V5" s="322"/>
      <c r="W5" s="239"/>
    </row>
    <row r="6" spans="1:23" hidden="1" x14ac:dyDescent="0.2">
      <c r="A6" s="239" t="s">
        <v>275</v>
      </c>
      <c r="B6" s="472" t="str">
        <f t="shared" ref="B6:B15" ca="1" si="8">INDIRECT(ADDRESS(ROW(A6),COLUMN(B4),1,,$B$4))</f>
        <v>Power density</v>
      </c>
      <c r="C6" s="488">
        <f t="shared" ca="1" si="3"/>
        <v>160</v>
      </c>
      <c r="D6" s="488">
        <f t="shared" ca="1" si="4"/>
        <v>120</v>
      </c>
      <c r="E6" s="488">
        <f t="shared" ca="1" si="4"/>
        <v>140</v>
      </c>
      <c r="F6" s="496">
        <f t="shared" ca="1" si="0"/>
        <v>160</v>
      </c>
      <c r="G6" s="496">
        <f t="shared" ca="1" si="5"/>
        <v>120</v>
      </c>
      <c r="H6" s="496">
        <f t="shared" ca="1" si="5"/>
        <v>140</v>
      </c>
      <c r="I6" s="473">
        <f t="shared" ca="1" si="1"/>
        <v>160</v>
      </c>
      <c r="J6" s="473">
        <f t="shared" ca="1" si="6"/>
        <v>120</v>
      </c>
      <c r="K6" s="473">
        <f t="shared" ca="1" si="6"/>
        <v>140</v>
      </c>
      <c r="L6" s="474">
        <f t="shared" ca="1" si="2"/>
        <v>160</v>
      </c>
      <c r="M6" s="474">
        <f t="shared" ca="1" si="7"/>
        <v>120</v>
      </c>
      <c r="N6" s="474">
        <f t="shared" ca="1" si="7"/>
        <v>140</v>
      </c>
      <c r="O6" s="475" t="str">
        <f t="shared" ca="1" si="7"/>
        <v>W/l</v>
      </c>
      <c r="P6" s="239"/>
      <c r="Q6" s="239"/>
      <c r="R6" s="321"/>
      <c r="S6" s="321"/>
      <c r="T6" s="321"/>
      <c r="U6" s="321"/>
      <c r="V6" s="322"/>
      <c r="W6" s="239"/>
    </row>
    <row r="7" spans="1:23" x14ac:dyDescent="0.2">
      <c r="B7" s="472" t="str">
        <f t="shared" ca="1" si="8"/>
        <v>Cycle life</v>
      </c>
      <c r="C7" s="488">
        <f t="shared" ca="1" si="3"/>
        <v>10000</v>
      </c>
      <c r="D7" s="488">
        <f t="shared" ca="1" si="4"/>
        <v>1000</v>
      </c>
      <c r="E7" s="488">
        <f t="shared" ca="1" si="4"/>
        <v>5000</v>
      </c>
      <c r="F7" s="496">
        <f t="shared" ca="1" si="0"/>
        <v>11228.242619935514</v>
      </c>
      <c r="G7" s="496">
        <f t="shared" ca="1" si="5"/>
        <v>1122.8242619935515</v>
      </c>
      <c r="H7" s="496">
        <f t="shared" ca="1" si="5"/>
        <v>5614.121309967757</v>
      </c>
      <c r="I7" s="473">
        <f t="shared" ca="1" si="1"/>
        <v>12977.813348135074</v>
      </c>
      <c r="J7" s="473">
        <f t="shared" ca="1" si="6"/>
        <v>1297.7813348135078</v>
      </c>
      <c r="K7" s="473">
        <f t="shared" ca="1" si="6"/>
        <v>6488.906674067538</v>
      </c>
      <c r="L7" s="474">
        <f t="shared" ca="1" si="2"/>
        <v>14999.999999999998</v>
      </c>
      <c r="M7" s="474">
        <f t="shared" ca="1" si="7"/>
        <v>1500.0000000000002</v>
      </c>
      <c r="N7" s="474">
        <f t="shared" ca="1" si="7"/>
        <v>7500</v>
      </c>
      <c r="O7" s="475" t="str">
        <f t="shared" ca="1" si="7"/>
        <v>equivalent full-cycles</v>
      </c>
      <c r="P7" s="239"/>
      <c r="Q7" s="239"/>
      <c r="R7" s="321"/>
      <c r="S7" s="321"/>
      <c r="T7" s="321"/>
      <c r="U7" s="321"/>
      <c r="V7" s="322"/>
      <c r="W7" s="239"/>
    </row>
    <row r="8" spans="1:23" x14ac:dyDescent="0.2">
      <c r="B8" s="472" t="str">
        <f t="shared" ca="1" si="8"/>
        <v>Calendar life</v>
      </c>
      <c r="C8" s="488">
        <f t="shared" ca="1" si="3"/>
        <v>25</v>
      </c>
      <c r="D8" s="488">
        <f t="shared" ca="1" si="4"/>
        <v>10</v>
      </c>
      <c r="E8" s="488">
        <f t="shared" ca="1" si="4"/>
        <v>17</v>
      </c>
      <c r="F8" s="496">
        <f t="shared" ca="1" si="0"/>
        <v>27.682015757521484</v>
      </c>
      <c r="G8" s="496">
        <f t="shared" ca="1" si="5"/>
        <v>11.072806303008592</v>
      </c>
      <c r="H8" s="496">
        <f t="shared" ca="1" si="5"/>
        <v>18.823770715114609</v>
      </c>
      <c r="I8" s="473">
        <f t="shared" ca="1" si="1"/>
        <v>31.442700582352686</v>
      </c>
      <c r="J8" s="473">
        <f t="shared" ca="1" si="6"/>
        <v>12.577080232941071</v>
      </c>
      <c r="K8" s="473">
        <f t="shared" ca="1" si="6"/>
        <v>21.381036395999825</v>
      </c>
      <c r="L8" s="474">
        <f t="shared" ca="1" si="2"/>
        <v>35.714285714285715</v>
      </c>
      <c r="M8" s="474">
        <f t="shared" ca="1" si="7"/>
        <v>14.285714285714285</v>
      </c>
      <c r="N8" s="474">
        <f t="shared" ca="1" si="7"/>
        <v>24.285714285714285</v>
      </c>
      <c r="O8" s="475" t="str">
        <f t="shared" ca="1" si="7"/>
        <v>a</v>
      </c>
      <c r="P8" s="239"/>
      <c r="Q8" s="239"/>
      <c r="R8" s="321"/>
      <c r="S8" s="321"/>
      <c r="T8" s="321"/>
      <c r="U8" s="321"/>
      <c r="V8" s="322"/>
      <c r="W8" s="239"/>
    </row>
    <row r="9" spans="1:23" x14ac:dyDescent="0.2">
      <c r="B9" s="472" t="str">
        <f t="shared" ca="1" si="8"/>
        <v>Depth of discharge</v>
      </c>
      <c r="C9" s="488">
        <f t="shared" ca="1" si="3"/>
        <v>100</v>
      </c>
      <c r="D9" s="488">
        <f t="shared" ca="1" si="4"/>
        <v>100</v>
      </c>
      <c r="E9" s="488">
        <f t="shared" ca="1" si="4"/>
        <v>100</v>
      </c>
      <c r="F9" s="496">
        <f t="shared" ca="1" si="0"/>
        <v>100</v>
      </c>
      <c r="G9" s="496">
        <f t="shared" ca="1" si="5"/>
        <v>100</v>
      </c>
      <c r="H9" s="496">
        <f t="shared" ca="1" si="5"/>
        <v>100</v>
      </c>
      <c r="I9" s="473">
        <f t="shared" ca="1" si="1"/>
        <v>100</v>
      </c>
      <c r="J9" s="473">
        <f t="shared" ca="1" si="6"/>
        <v>100</v>
      </c>
      <c r="K9" s="473">
        <f t="shared" ca="1" si="6"/>
        <v>100</v>
      </c>
      <c r="L9" s="474">
        <f t="shared" ca="1" si="2"/>
        <v>100</v>
      </c>
      <c r="M9" s="474">
        <f t="shared" ca="1" si="7"/>
        <v>100</v>
      </c>
      <c r="N9" s="474">
        <f t="shared" ca="1" si="7"/>
        <v>100</v>
      </c>
      <c r="O9" s="475" t="str">
        <f t="shared" ca="1" si="7"/>
        <v>%</v>
      </c>
      <c r="P9" s="239"/>
      <c r="Q9" s="239"/>
      <c r="R9" s="416"/>
      <c r="S9" s="416"/>
      <c r="T9" s="416"/>
      <c r="U9" s="416"/>
      <c r="V9" s="322"/>
      <c r="W9" s="239"/>
    </row>
    <row r="10" spans="1:23" x14ac:dyDescent="0.2">
      <c r="B10" s="472" t="str">
        <f t="shared" ca="1" si="8"/>
        <v>Round-trip efficiency</v>
      </c>
      <c r="C10" s="488">
        <f t="shared" ca="1" si="3"/>
        <v>90</v>
      </c>
      <c r="D10" s="488">
        <f t="shared" ca="1" si="4"/>
        <v>70</v>
      </c>
      <c r="E10" s="488">
        <f t="shared" ca="1" si="4"/>
        <v>80</v>
      </c>
      <c r="F10" s="496">
        <f t="shared" ca="1" si="0"/>
        <v>91.572498405202765</v>
      </c>
      <c r="G10" s="496">
        <f t="shared" ca="1" si="5"/>
        <v>71.223054315157725</v>
      </c>
      <c r="H10" s="496">
        <f t="shared" ca="1" si="5"/>
        <v>81.397776360180245</v>
      </c>
      <c r="I10" s="473">
        <f t="shared" ca="1" si="1"/>
        <v>93.576814222314297</v>
      </c>
      <c r="J10" s="473">
        <f t="shared" ca="1" si="6"/>
        <v>72.781966617355579</v>
      </c>
      <c r="K10" s="473">
        <f t="shared" ca="1" si="6"/>
        <v>83.179390419834945</v>
      </c>
      <c r="L10" s="474">
        <f t="shared" ca="1" si="2"/>
        <v>95.624999999999986</v>
      </c>
      <c r="M10" s="474">
        <f t="shared" ca="1" si="7"/>
        <v>74.375</v>
      </c>
      <c r="N10" s="474">
        <f t="shared" ca="1" si="7"/>
        <v>85</v>
      </c>
      <c r="O10" s="475" t="str">
        <f t="shared" ca="1" si="7"/>
        <v>%</v>
      </c>
      <c r="P10" s="239"/>
      <c r="Q10" s="239"/>
      <c r="R10" s="321"/>
      <c r="S10" s="321"/>
      <c r="T10" s="321"/>
      <c r="U10" s="321"/>
      <c r="V10" s="322"/>
      <c r="W10" s="239"/>
    </row>
    <row r="11" spans="1:23" x14ac:dyDescent="0.2">
      <c r="B11" s="472" t="str">
        <f t="shared" ca="1" si="8"/>
        <v>Self-discharge</v>
      </c>
      <c r="C11" s="488">
        <f t="shared" ca="1" si="3"/>
        <v>0.05</v>
      </c>
      <c r="D11" s="488">
        <f t="shared" ca="1" si="4"/>
        <v>1</v>
      </c>
      <c r="E11" s="488">
        <f t="shared" ca="1" si="4"/>
        <v>0.05</v>
      </c>
      <c r="F11" s="496">
        <f t="shared" ca="1" si="0"/>
        <v>5.000000000000001E-2</v>
      </c>
      <c r="G11" s="496">
        <f t="shared" ca="1" si="5"/>
        <v>1</v>
      </c>
      <c r="H11" s="496">
        <f t="shared" ca="1" si="5"/>
        <v>0.05</v>
      </c>
      <c r="I11" s="473">
        <f t="shared" ca="1" si="1"/>
        <v>5.000000000000001E-2</v>
      </c>
      <c r="J11" s="473">
        <f t="shared" ca="1" si="6"/>
        <v>1</v>
      </c>
      <c r="K11" s="473">
        <f t="shared" ca="1" si="6"/>
        <v>0.05</v>
      </c>
      <c r="L11" s="474">
        <f t="shared" ca="1" si="2"/>
        <v>5.000000000000001E-2</v>
      </c>
      <c r="M11" s="474">
        <f t="shared" ca="1" si="7"/>
        <v>1</v>
      </c>
      <c r="N11" s="474">
        <f t="shared" ca="1" si="7"/>
        <v>0.05</v>
      </c>
      <c r="O11" s="475" t="str">
        <f t="shared" ca="1" si="7"/>
        <v>% per day</v>
      </c>
      <c r="P11" s="239"/>
      <c r="Q11" s="239"/>
      <c r="R11" s="239"/>
      <c r="S11" s="239"/>
      <c r="T11" s="239"/>
      <c r="U11" s="239"/>
      <c r="V11" s="239"/>
      <c r="W11" s="239"/>
    </row>
    <row r="12" spans="1:23" hidden="1" x14ac:dyDescent="0.2">
      <c r="A12" s="239" t="s">
        <v>275</v>
      </c>
      <c r="B12" s="472" t="str">
        <f t="shared" ca="1" si="8"/>
        <v>Power dynamic</v>
      </c>
      <c r="C12" s="489">
        <f t="shared" ca="1" si="3"/>
        <v>3</v>
      </c>
      <c r="D12" s="489">
        <f t="shared" ca="1" si="4"/>
        <v>20</v>
      </c>
      <c r="E12" s="488">
        <f t="shared" ca="1" si="4"/>
        <v>10</v>
      </c>
      <c r="F12" s="496">
        <f t="shared" ca="1" si="0"/>
        <v>3</v>
      </c>
      <c r="G12" s="496">
        <f t="shared" ca="1" si="5"/>
        <v>20</v>
      </c>
      <c r="H12" s="496">
        <f t="shared" ca="1" si="5"/>
        <v>10</v>
      </c>
      <c r="I12" s="473">
        <f t="shared" ca="1" si="1"/>
        <v>3</v>
      </c>
      <c r="J12" s="473">
        <f t="shared" ca="1" si="6"/>
        <v>20</v>
      </c>
      <c r="K12" s="473">
        <f t="shared" ca="1" si="6"/>
        <v>10</v>
      </c>
      <c r="L12" s="474">
        <f t="shared" ca="1" si="2"/>
        <v>3</v>
      </c>
      <c r="M12" s="474">
        <f t="shared" ca="1" si="7"/>
        <v>20</v>
      </c>
      <c r="N12" s="474">
        <f t="shared" ca="1" si="7"/>
        <v>10</v>
      </c>
      <c r="O12" s="475" t="str">
        <f t="shared" ca="1" si="7"/>
        <v>s to rated power</v>
      </c>
      <c r="P12" s="239"/>
      <c r="Q12" s="239"/>
      <c r="R12" s="239"/>
      <c r="S12" s="239"/>
      <c r="T12" s="239"/>
      <c r="U12" s="239"/>
      <c r="V12" s="239"/>
      <c r="W12" s="239"/>
    </row>
    <row r="13" spans="1:23" hidden="1" x14ac:dyDescent="0.2">
      <c r="A13" s="239" t="s">
        <v>275</v>
      </c>
      <c r="B13" s="472" t="str">
        <f t="shared" ca="1" si="8"/>
        <v>Planning &amp; Construction Time</v>
      </c>
      <c r="C13" s="488">
        <f t="shared" ca="1" si="3"/>
        <v>0</v>
      </c>
      <c r="D13" s="488">
        <f t="shared" ca="1" si="4"/>
        <v>0</v>
      </c>
      <c r="E13" s="488">
        <f t="shared" ca="1" si="4"/>
        <v>0</v>
      </c>
      <c r="F13" s="496">
        <f t="shared" ca="1" si="0"/>
        <v>0</v>
      </c>
      <c r="G13" s="496">
        <f t="shared" ca="1" si="5"/>
        <v>0</v>
      </c>
      <c r="H13" s="496">
        <f t="shared" ca="1" si="5"/>
        <v>0</v>
      </c>
      <c r="I13" s="473">
        <f t="shared" ca="1" si="1"/>
        <v>0</v>
      </c>
      <c r="J13" s="473">
        <f t="shared" ca="1" si="6"/>
        <v>0</v>
      </c>
      <c r="K13" s="473">
        <f t="shared" ca="1" si="6"/>
        <v>0</v>
      </c>
      <c r="L13" s="474">
        <f t="shared" ca="1" si="2"/>
        <v>0</v>
      </c>
      <c r="M13" s="474">
        <f t="shared" ca="1" si="7"/>
        <v>0</v>
      </c>
      <c r="N13" s="474">
        <f t="shared" ca="1" si="7"/>
        <v>0</v>
      </c>
      <c r="O13" s="475" t="str">
        <f t="shared" ca="1" si="7"/>
        <v>a</v>
      </c>
      <c r="P13" s="239"/>
      <c r="Q13" s="239"/>
      <c r="R13" s="239"/>
      <c r="S13" s="239"/>
      <c r="T13" s="239"/>
      <c r="U13" s="239"/>
      <c r="V13" s="239"/>
      <c r="W13" s="239"/>
    </row>
    <row r="14" spans="1:23" x14ac:dyDescent="0.2">
      <c r="B14" s="472" t="str">
        <f t="shared" ca="1" si="8"/>
        <v>Energy installation cost</v>
      </c>
      <c r="C14" s="488">
        <f t="shared" ca="1" si="3"/>
        <v>262.5</v>
      </c>
      <c r="D14" s="488">
        <f t="shared" ca="1" si="4"/>
        <v>735</v>
      </c>
      <c r="E14" s="488">
        <f t="shared" ca="1" si="4"/>
        <v>367.5</v>
      </c>
      <c r="F14" s="496">
        <f t="shared" ca="1" si="0"/>
        <v>207.71742738480711</v>
      </c>
      <c r="G14" s="496">
        <f t="shared" ca="1" si="5"/>
        <v>581.60879667745996</v>
      </c>
      <c r="H14" s="496">
        <f t="shared" ca="1" si="5"/>
        <v>290.80439833872998</v>
      </c>
      <c r="I14" s="473">
        <f t="shared" ca="1" si="1"/>
        <v>155.02526035939559</v>
      </c>
      <c r="J14" s="473">
        <f t="shared" ca="1" si="6"/>
        <v>434.07072900630772</v>
      </c>
      <c r="K14" s="473">
        <f t="shared" ca="1" si="6"/>
        <v>217.03536450315386</v>
      </c>
      <c r="L14" s="474">
        <f t="shared" ca="1" si="2"/>
        <v>115.69963893773996</v>
      </c>
      <c r="M14" s="474">
        <f t="shared" ca="1" si="7"/>
        <v>323.95898902567188</v>
      </c>
      <c r="N14" s="474">
        <f t="shared" ca="1" si="7"/>
        <v>161.97949451283597</v>
      </c>
      <c r="O14" s="475" t="str">
        <f t="shared" ca="1" si="7"/>
        <v>USD / kWh</v>
      </c>
      <c r="P14" s="239"/>
      <c r="Q14" s="239"/>
      <c r="R14" s="239"/>
      <c r="S14" s="239"/>
      <c r="T14" s="239"/>
      <c r="U14" s="239"/>
      <c r="V14" s="239"/>
      <c r="W14" s="239"/>
    </row>
    <row r="15" spans="1:23" x14ac:dyDescent="0.2">
      <c r="B15" s="472" t="str">
        <f t="shared" ca="1" si="8"/>
        <v>Power installation cost</v>
      </c>
      <c r="C15" s="488">
        <f t="shared" ca="1" si="3"/>
        <v>0</v>
      </c>
      <c r="D15" s="488">
        <f t="shared" ca="1" si="4"/>
        <v>0</v>
      </c>
      <c r="E15" s="488">
        <f t="shared" ca="1" si="4"/>
        <v>0</v>
      </c>
      <c r="F15" s="496">
        <f t="shared" ca="1" si="0"/>
        <v>0</v>
      </c>
      <c r="G15" s="496">
        <f t="shared" ca="1" si="5"/>
        <v>0</v>
      </c>
      <c r="H15" s="496">
        <f t="shared" ca="1" si="5"/>
        <v>0</v>
      </c>
      <c r="I15" s="473">
        <f t="shared" ca="1" si="1"/>
        <v>0</v>
      </c>
      <c r="J15" s="473">
        <f t="shared" ca="1" si="6"/>
        <v>0</v>
      </c>
      <c r="K15" s="473">
        <f t="shared" ca="1" si="6"/>
        <v>0</v>
      </c>
      <c r="L15" s="474">
        <f t="shared" ca="1" si="2"/>
        <v>0</v>
      </c>
      <c r="M15" s="474">
        <f t="shared" ca="1" si="7"/>
        <v>0</v>
      </c>
      <c r="N15" s="474">
        <f t="shared" ca="1" si="7"/>
        <v>0</v>
      </c>
      <c r="O15" s="475" t="str">
        <f t="shared" ca="1" si="7"/>
        <v>USD / kW</v>
      </c>
      <c r="P15" s="239"/>
      <c r="Q15" s="239"/>
      <c r="R15" s="239"/>
      <c r="S15" s="239"/>
      <c r="T15" s="239"/>
      <c r="U15" s="239"/>
      <c r="V15" s="239"/>
      <c r="W15" s="239"/>
    </row>
    <row r="16" spans="1:23" x14ac:dyDescent="0.2">
      <c r="B16" s="239"/>
      <c r="C16" s="239"/>
      <c r="D16" s="239"/>
      <c r="E16" s="239"/>
      <c r="F16" s="239"/>
      <c r="G16" s="239"/>
      <c r="H16" s="239"/>
      <c r="I16" s="239"/>
      <c r="J16" s="239"/>
      <c r="K16" s="239"/>
      <c r="L16" s="239"/>
      <c r="M16" s="239"/>
      <c r="N16" s="239"/>
      <c r="O16" s="239"/>
      <c r="P16" s="239"/>
      <c r="Q16" s="239"/>
      <c r="R16" s="239"/>
      <c r="S16" s="239"/>
      <c r="T16" s="239"/>
      <c r="U16" s="239"/>
      <c r="V16" s="239"/>
      <c r="W16" s="239"/>
    </row>
    <row r="17" spans="1:23" hidden="1" x14ac:dyDescent="0.2">
      <c r="C17" s="239"/>
      <c r="D17" s="239"/>
      <c r="E17" s="239"/>
      <c r="F17" s="239"/>
      <c r="G17" s="239"/>
      <c r="H17" s="239"/>
      <c r="I17" s="239"/>
      <c r="J17" s="239"/>
      <c r="K17" s="239"/>
      <c r="L17" s="239"/>
      <c r="M17" s="239"/>
      <c r="N17" s="239"/>
      <c r="O17" s="239"/>
      <c r="P17" s="239"/>
      <c r="Q17" s="239"/>
      <c r="R17" s="239"/>
      <c r="S17" s="239"/>
      <c r="T17" s="239"/>
      <c r="U17" s="239"/>
      <c r="V17" s="239"/>
      <c r="W17" s="239"/>
    </row>
    <row r="18" spans="1:23" ht="19" hidden="1" x14ac:dyDescent="0.25">
      <c r="B18" s="238" t="s">
        <v>164</v>
      </c>
      <c r="C18" s="239"/>
      <c r="D18" s="239"/>
      <c r="E18" s="239"/>
      <c r="F18" s="239"/>
      <c r="G18" s="239"/>
      <c r="H18" s="239"/>
      <c r="I18" s="239"/>
      <c r="J18" s="239"/>
      <c r="K18" s="239"/>
      <c r="L18" s="239"/>
      <c r="M18" s="239"/>
      <c r="N18" s="239"/>
      <c r="O18" s="237"/>
      <c r="P18" s="239"/>
      <c r="Q18" s="239"/>
      <c r="R18" s="239"/>
      <c r="S18" s="239"/>
      <c r="T18" s="239"/>
      <c r="U18" s="239"/>
      <c r="V18" s="239"/>
      <c r="W18" s="239"/>
    </row>
    <row r="19" spans="1:23" x14ac:dyDescent="0.2">
      <c r="B19" s="538" t="s">
        <v>164</v>
      </c>
      <c r="C19" s="573">
        <f ca="1">INDIRECT(ADDRESS(ROW(B3),COLUMN(C3),1,,$B$20))</f>
        <v>2016</v>
      </c>
      <c r="D19" s="573"/>
      <c r="E19" s="573"/>
      <c r="F19" s="574">
        <f t="shared" ref="F19:F31" ca="1" si="9">INDIRECT(ADDRESS(ROW(E3),COLUMN(F3),1,,$B$20))</f>
        <v>2020</v>
      </c>
      <c r="G19" s="574"/>
      <c r="H19" s="574"/>
      <c r="I19" s="575">
        <f t="shared" ref="I19:I31" ca="1" si="10">INDIRECT(ADDRESS(ROW(H3),COLUMN(I3),1,,$B$20))</f>
        <v>2025</v>
      </c>
      <c r="J19" s="575"/>
      <c r="K19" s="575"/>
      <c r="L19" s="576">
        <f t="shared" ref="L19:L31" ca="1" si="11">INDIRECT(ADDRESS(ROW(K3),COLUMN(L3),1,,$B$20))</f>
        <v>2030</v>
      </c>
      <c r="M19" s="576"/>
      <c r="N19" s="576"/>
      <c r="O19" s="461"/>
      <c r="P19" s="239"/>
      <c r="Q19" s="239"/>
      <c r="R19" s="239"/>
      <c r="S19" s="239"/>
      <c r="T19" s="239"/>
      <c r="U19" s="239"/>
      <c r="V19" s="239"/>
      <c r="W19" s="239"/>
    </row>
    <row r="20" spans="1:23" ht="16" thickBot="1" x14ac:dyDescent="0.25">
      <c r="A20" s="250" t="s">
        <v>118</v>
      </c>
      <c r="B20" s="242" t="s">
        <v>128</v>
      </c>
      <c r="C20" s="487" t="str">
        <f ca="1">INDIRECT(ADDRESS(ROW(B4),COLUMN(C4),1,,$B$20))</f>
        <v>best</v>
      </c>
      <c r="D20" s="487" t="str">
        <f t="shared" ref="D20:E31" ca="1" si="12">INDIRECT(ADDRESS(ROW(C4),COLUMN(D4),1,,$B$20))</f>
        <v>worst</v>
      </c>
      <c r="E20" s="487" t="str">
        <f t="shared" ca="1" si="12"/>
        <v>reference</v>
      </c>
      <c r="F20" s="495" t="str">
        <f t="shared" ca="1" si="9"/>
        <v>best</v>
      </c>
      <c r="G20" s="495" t="str">
        <f t="shared" ref="G20:H31" ca="1" si="13">INDIRECT(ADDRESS(ROW(F4),COLUMN(G4),1,,$B$20))</f>
        <v>worst</v>
      </c>
      <c r="H20" s="495" t="str">
        <f t="shared" ca="1" si="13"/>
        <v>reference</v>
      </c>
      <c r="I20" s="469" t="str">
        <f t="shared" ca="1" si="10"/>
        <v>best</v>
      </c>
      <c r="J20" s="469" t="str">
        <f t="shared" ref="J20:K31" ca="1" si="14">INDIRECT(ADDRESS(ROW(I4),COLUMN(J4),1,,$B$20))</f>
        <v>worst</v>
      </c>
      <c r="K20" s="469" t="str">
        <f t="shared" ca="1" si="14"/>
        <v>reference</v>
      </c>
      <c r="L20" s="470" t="str">
        <f t="shared" ca="1" si="11"/>
        <v>best</v>
      </c>
      <c r="M20" s="470" t="str">
        <f t="shared" ref="M20:O31" ca="1" si="15">INDIRECT(ADDRESS(ROW(L4),COLUMN(M4),1,,$B$20))</f>
        <v>worst</v>
      </c>
      <c r="N20" s="470" t="str">
        <f t="shared" ca="1" si="15"/>
        <v>reference</v>
      </c>
      <c r="O20" s="471" t="str">
        <f t="shared" ca="1" si="15"/>
        <v>unit</v>
      </c>
      <c r="P20" s="239"/>
      <c r="Q20" s="239"/>
      <c r="R20" s="239"/>
      <c r="S20" s="239"/>
      <c r="T20" s="239"/>
      <c r="U20" s="239"/>
      <c r="V20" s="239"/>
      <c r="W20" s="239"/>
    </row>
    <row r="21" spans="1:23" hidden="1" x14ac:dyDescent="0.2">
      <c r="A21" s="239" t="s">
        <v>277</v>
      </c>
      <c r="B21" s="472" t="str">
        <f t="shared" ref="B21:B30" ca="1" si="16">INDIRECT(ADDRESS(ROW(A5),COLUMN(B5),1,,$B$20))</f>
        <v>Energy density</v>
      </c>
      <c r="C21" s="488">
        <f t="shared" ref="C21:C31" ca="1" si="17">INDIRECT(ADDRESS(ROW(B5),COLUMN(C5),1,,$B$20))</f>
        <v>0</v>
      </c>
      <c r="D21" s="488">
        <f t="shared" ca="1" si="12"/>
        <v>0</v>
      </c>
      <c r="E21" s="488">
        <f t="shared" ca="1" si="12"/>
        <v>0</v>
      </c>
      <c r="F21" s="496">
        <f t="shared" ca="1" si="9"/>
        <v>0</v>
      </c>
      <c r="G21" s="496">
        <f t="shared" ca="1" si="13"/>
        <v>0</v>
      </c>
      <c r="H21" s="496">
        <f t="shared" ca="1" si="13"/>
        <v>0</v>
      </c>
      <c r="I21" s="473">
        <f t="shared" ca="1" si="10"/>
        <v>0</v>
      </c>
      <c r="J21" s="473">
        <f t="shared" ca="1" si="14"/>
        <v>0</v>
      </c>
      <c r="K21" s="473">
        <f t="shared" ca="1" si="14"/>
        <v>1</v>
      </c>
      <c r="L21" s="474">
        <f t="shared" ca="1" si="11"/>
        <v>0</v>
      </c>
      <c r="M21" s="474">
        <f t="shared" ca="1" si="15"/>
        <v>0</v>
      </c>
      <c r="N21" s="474">
        <f t="shared" ca="1" si="15"/>
        <v>1</v>
      </c>
      <c r="O21" s="475" t="str">
        <f t="shared" ca="1" si="15"/>
        <v>Wh/l</v>
      </c>
      <c r="P21" s="239"/>
      <c r="Q21" s="239"/>
      <c r="R21" s="321"/>
      <c r="S21" s="321"/>
      <c r="T21" s="321"/>
      <c r="U21" s="321"/>
      <c r="V21" s="322"/>
      <c r="W21" s="239"/>
    </row>
    <row r="22" spans="1:23" hidden="1" x14ac:dyDescent="0.2">
      <c r="A22" s="239" t="s">
        <v>277</v>
      </c>
      <c r="B22" s="472" t="str">
        <f t="shared" ca="1" si="16"/>
        <v>Power density</v>
      </c>
      <c r="C22" s="488">
        <f t="shared" ca="1" si="17"/>
        <v>0</v>
      </c>
      <c r="D22" s="488">
        <f t="shared" ca="1" si="12"/>
        <v>0</v>
      </c>
      <c r="E22" s="488">
        <f t="shared" ca="1" si="12"/>
        <v>0</v>
      </c>
      <c r="F22" s="496">
        <f t="shared" ca="1" si="9"/>
        <v>0</v>
      </c>
      <c r="G22" s="496">
        <f t="shared" ca="1" si="13"/>
        <v>0</v>
      </c>
      <c r="H22" s="496">
        <f t="shared" ca="1" si="13"/>
        <v>0</v>
      </c>
      <c r="I22" s="473">
        <f t="shared" ca="1" si="10"/>
        <v>0</v>
      </c>
      <c r="J22" s="473">
        <f t="shared" ca="1" si="14"/>
        <v>0</v>
      </c>
      <c r="K22" s="473">
        <f t="shared" ca="1" si="14"/>
        <v>0.15</v>
      </c>
      <c r="L22" s="474">
        <f t="shared" ca="1" si="11"/>
        <v>0</v>
      </c>
      <c r="M22" s="474">
        <f t="shared" ca="1" si="15"/>
        <v>0</v>
      </c>
      <c r="N22" s="474">
        <f t="shared" ca="1" si="15"/>
        <v>0.15</v>
      </c>
      <c r="O22" s="475" t="str">
        <f t="shared" ca="1" si="15"/>
        <v>W/l</v>
      </c>
      <c r="P22" s="239"/>
      <c r="Q22" s="239"/>
      <c r="R22" s="321"/>
      <c r="S22" s="321"/>
      <c r="T22" s="321"/>
      <c r="U22" s="321"/>
      <c r="V22" s="322"/>
      <c r="W22" s="239"/>
    </row>
    <row r="23" spans="1:23" hidden="1" x14ac:dyDescent="0.2">
      <c r="A23" s="239" t="s">
        <v>277</v>
      </c>
      <c r="B23" s="472" t="str">
        <f t="shared" ca="1" si="16"/>
        <v>Cycle life</v>
      </c>
      <c r="C23" s="488">
        <f t="shared" ca="1" si="17"/>
        <v>0</v>
      </c>
      <c r="D23" s="488">
        <f t="shared" ca="1" si="12"/>
        <v>0</v>
      </c>
      <c r="E23" s="488">
        <f t="shared" ca="1" si="12"/>
        <v>0</v>
      </c>
      <c r="F23" s="496">
        <f t="shared" ca="1" si="9"/>
        <v>0</v>
      </c>
      <c r="G23" s="496">
        <f t="shared" ca="1" si="13"/>
        <v>0</v>
      </c>
      <c r="H23" s="496">
        <f t="shared" ca="1" si="13"/>
        <v>0</v>
      </c>
      <c r="I23" s="473">
        <f t="shared" ca="1" si="10"/>
        <v>0</v>
      </c>
      <c r="J23" s="473">
        <f t="shared" ca="1" si="14"/>
        <v>0</v>
      </c>
      <c r="K23" s="473">
        <f t="shared" ca="1" si="14"/>
        <v>0</v>
      </c>
      <c r="L23" s="474">
        <f t="shared" ca="1" si="11"/>
        <v>0</v>
      </c>
      <c r="M23" s="474">
        <f t="shared" ca="1" si="15"/>
        <v>0</v>
      </c>
      <c r="N23" s="474">
        <f t="shared" ca="1" si="15"/>
        <v>0</v>
      </c>
      <c r="O23" s="475" t="str">
        <f t="shared" ca="1" si="15"/>
        <v>equivalent full-cycles</v>
      </c>
      <c r="P23" s="239"/>
      <c r="Q23" s="239"/>
      <c r="R23" s="239"/>
      <c r="S23" s="239"/>
      <c r="T23" s="239"/>
      <c r="U23" s="239"/>
      <c r="V23" s="322"/>
      <c r="W23" s="239"/>
    </row>
    <row r="24" spans="1:23" x14ac:dyDescent="0.2">
      <c r="B24" s="472" t="str">
        <f t="shared" ca="1" si="16"/>
        <v>Calendar life</v>
      </c>
      <c r="C24" s="488">
        <f t="shared" ca="1" si="17"/>
        <v>25</v>
      </c>
      <c r="D24" s="488">
        <f t="shared" ca="1" si="12"/>
        <v>12</v>
      </c>
      <c r="E24" s="488">
        <f t="shared" ca="1" si="12"/>
        <v>15</v>
      </c>
      <c r="F24" s="496">
        <f t="shared" ca="1" si="9"/>
        <v>25</v>
      </c>
      <c r="G24" s="496">
        <f t="shared" ca="1" si="13"/>
        <v>13.43686061357691</v>
      </c>
      <c r="H24" s="496">
        <f t="shared" ca="1" si="13"/>
        <v>16.796075766971139</v>
      </c>
      <c r="I24" s="473">
        <f t="shared" ca="1" si="10"/>
        <v>25</v>
      </c>
      <c r="J24" s="473">
        <f t="shared" ca="1" si="14"/>
        <v>15.477240088557124</v>
      </c>
      <c r="K24" s="473">
        <f t="shared" ca="1" si="14"/>
        <v>19.346550110696409</v>
      </c>
      <c r="L24" s="474">
        <f t="shared" ca="1" si="11"/>
        <v>25</v>
      </c>
      <c r="M24" s="474">
        <f t="shared" ca="1" si="15"/>
        <v>17.827450000991874</v>
      </c>
      <c r="N24" s="474">
        <f t="shared" ca="1" si="15"/>
        <v>22.284312501239846</v>
      </c>
      <c r="O24" s="475" t="str">
        <f t="shared" ca="1" si="15"/>
        <v>a</v>
      </c>
      <c r="P24" s="239"/>
      <c r="Q24" s="239"/>
      <c r="R24" s="239"/>
      <c r="S24" s="239"/>
      <c r="T24" s="239"/>
      <c r="U24" s="239"/>
      <c r="V24" s="322"/>
      <c r="W24" s="239"/>
    </row>
    <row r="25" spans="1:23" hidden="1" x14ac:dyDescent="0.2">
      <c r="A25" s="239" t="s">
        <v>275</v>
      </c>
      <c r="B25" s="472" t="str">
        <f t="shared" ca="1" si="16"/>
        <v>Depth of discharge</v>
      </c>
      <c r="C25" s="488">
        <f t="shared" ca="1" si="17"/>
        <v>0</v>
      </c>
      <c r="D25" s="488">
        <f t="shared" ca="1" si="12"/>
        <v>0</v>
      </c>
      <c r="E25" s="488">
        <f t="shared" ca="1" si="12"/>
        <v>0</v>
      </c>
      <c r="F25" s="496">
        <f t="shared" ca="1" si="9"/>
        <v>0</v>
      </c>
      <c r="G25" s="496">
        <f t="shared" ca="1" si="13"/>
        <v>0</v>
      </c>
      <c r="H25" s="496">
        <f t="shared" ca="1" si="13"/>
        <v>0</v>
      </c>
      <c r="I25" s="473">
        <f t="shared" ca="1" si="10"/>
        <v>0</v>
      </c>
      <c r="J25" s="473">
        <f t="shared" ca="1" si="14"/>
        <v>0</v>
      </c>
      <c r="K25" s="473">
        <f t="shared" ca="1" si="14"/>
        <v>0</v>
      </c>
      <c r="L25" s="474">
        <f t="shared" ca="1" si="11"/>
        <v>0</v>
      </c>
      <c r="M25" s="474">
        <f t="shared" ca="1" si="15"/>
        <v>0</v>
      </c>
      <c r="N25" s="474">
        <f t="shared" ca="1" si="15"/>
        <v>0</v>
      </c>
      <c r="O25" s="475" t="str">
        <f t="shared" ca="1" si="15"/>
        <v>%</v>
      </c>
      <c r="P25" s="239"/>
      <c r="Q25" s="239"/>
      <c r="R25" s="321"/>
      <c r="S25" s="321"/>
      <c r="T25" s="321"/>
      <c r="U25" s="321"/>
      <c r="V25" s="322"/>
      <c r="W25" s="239"/>
    </row>
    <row r="26" spans="1:23" x14ac:dyDescent="0.2">
      <c r="B26" s="472" t="str">
        <f t="shared" ca="1" si="16"/>
        <v>Round-trip efficiency</v>
      </c>
      <c r="C26" s="488">
        <f t="shared" ca="1" si="17"/>
        <v>98</v>
      </c>
      <c r="D26" s="488">
        <f t="shared" ca="1" si="12"/>
        <v>98</v>
      </c>
      <c r="E26" s="488">
        <f t="shared" ca="1" si="12"/>
        <v>98</v>
      </c>
      <c r="F26" s="496">
        <f t="shared" ca="1" si="9"/>
        <v>98</v>
      </c>
      <c r="G26" s="496">
        <f t="shared" ca="1" si="13"/>
        <v>98</v>
      </c>
      <c r="H26" s="496">
        <f t="shared" ca="1" si="13"/>
        <v>98</v>
      </c>
      <c r="I26" s="473">
        <f t="shared" ca="1" si="10"/>
        <v>98</v>
      </c>
      <c r="J26" s="473">
        <f t="shared" ca="1" si="14"/>
        <v>98</v>
      </c>
      <c r="K26" s="473">
        <f t="shared" ca="1" si="14"/>
        <v>98</v>
      </c>
      <c r="L26" s="474">
        <f t="shared" ca="1" si="11"/>
        <v>98</v>
      </c>
      <c r="M26" s="474">
        <f t="shared" ca="1" si="15"/>
        <v>98</v>
      </c>
      <c r="N26" s="474">
        <f t="shared" ca="1" si="15"/>
        <v>98</v>
      </c>
      <c r="O26" s="475" t="str">
        <f t="shared" ca="1" si="15"/>
        <v>%</v>
      </c>
      <c r="P26" s="239"/>
      <c r="Q26" s="239"/>
      <c r="R26" s="239"/>
      <c r="S26" s="239"/>
      <c r="T26" s="239"/>
      <c r="U26" s="239"/>
      <c r="V26" s="322"/>
      <c r="W26" s="239"/>
    </row>
    <row r="27" spans="1:23" hidden="1" x14ac:dyDescent="0.2">
      <c r="A27" s="480" t="s">
        <v>277</v>
      </c>
      <c r="B27" s="472" t="str">
        <f t="shared" ca="1" si="16"/>
        <v>Self-discharge</v>
      </c>
      <c r="C27" s="488">
        <f t="shared" ca="1" si="17"/>
        <v>0</v>
      </c>
      <c r="D27" s="488">
        <f t="shared" ca="1" si="12"/>
        <v>0</v>
      </c>
      <c r="E27" s="488">
        <f t="shared" ca="1" si="12"/>
        <v>0</v>
      </c>
      <c r="F27" s="496">
        <f t="shared" ca="1" si="9"/>
        <v>0</v>
      </c>
      <c r="G27" s="496">
        <f t="shared" ca="1" si="13"/>
        <v>0</v>
      </c>
      <c r="H27" s="496">
        <f t="shared" ca="1" si="13"/>
        <v>0</v>
      </c>
      <c r="I27" s="473">
        <f t="shared" ca="1" si="10"/>
        <v>0</v>
      </c>
      <c r="J27" s="473">
        <f t="shared" ca="1" si="14"/>
        <v>0</v>
      </c>
      <c r="K27" s="473">
        <f t="shared" ca="1" si="14"/>
        <v>0</v>
      </c>
      <c r="L27" s="474">
        <f t="shared" ca="1" si="11"/>
        <v>0</v>
      </c>
      <c r="M27" s="474">
        <f t="shared" ca="1" si="15"/>
        <v>0</v>
      </c>
      <c r="N27" s="474">
        <f t="shared" ca="1" si="15"/>
        <v>0</v>
      </c>
      <c r="O27" s="475" t="str">
        <f t="shared" ca="1" si="15"/>
        <v>% per day</v>
      </c>
      <c r="P27" s="239"/>
      <c r="Q27" s="239"/>
      <c r="R27" s="239"/>
      <c r="S27" s="239"/>
      <c r="T27" s="239"/>
      <c r="U27" s="239"/>
      <c r="V27" s="239"/>
      <c r="W27" s="239"/>
    </row>
    <row r="28" spans="1:23" hidden="1" x14ac:dyDescent="0.2">
      <c r="A28" s="239" t="s">
        <v>277</v>
      </c>
      <c r="B28" s="472" t="str">
        <f t="shared" ca="1" si="16"/>
        <v>Power dynamic</v>
      </c>
      <c r="C28" s="488" t="str">
        <f t="shared" ca="1" si="17"/>
        <v>-</v>
      </c>
      <c r="D28" s="488" t="str">
        <f t="shared" ca="1" si="12"/>
        <v>-</v>
      </c>
      <c r="E28" s="488">
        <f t="shared" ca="1" si="12"/>
        <v>0.02</v>
      </c>
      <c r="F28" s="496">
        <f t="shared" ca="1" si="9"/>
        <v>0</v>
      </c>
      <c r="G28" s="496">
        <f t="shared" ca="1" si="13"/>
        <v>0</v>
      </c>
      <c r="H28" s="496">
        <f t="shared" ca="1" si="13"/>
        <v>0.02</v>
      </c>
      <c r="I28" s="473">
        <f t="shared" ca="1" si="10"/>
        <v>0</v>
      </c>
      <c r="J28" s="473">
        <f t="shared" ca="1" si="14"/>
        <v>0</v>
      </c>
      <c r="K28" s="473">
        <f t="shared" ca="1" si="14"/>
        <v>30</v>
      </c>
      <c r="L28" s="474">
        <f t="shared" ca="1" si="11"/>
        <v>0</v>
      </c>
      <c r="M28" s="474">
        <f t="shared" ca="1" si="15"/>
        <v>0</v>
      </c>
      <c r="N28" s="474">
        <f t="shared" ca="1" si="15"/>
        <v>30</v>
      </c>
      <c r="O28" s="475" t="str">
        <f t="shared" ca="1" si="15"/>
        <v>s to rated power</v>
      </c>
      <c r="P28" s="239"/>
      <c r="Q28" s="239"/>
      <c r="R28" s="239"/>
      <c r="S28" s="239"/>
      <c r="T28" s="239"/>
      <c r="U28" s="239"/>
      <c r="V28" s="239"/>
      <c r="W28" s="239"/>
    </row>
    <row r="29" spans="1:23" hidden="1" x14ac:dyDescent="0.2">
      <c r="A29" s="239" t="s">
        <v>277</v>
      </c>
      <c r="B29" s="472" t="str">
        <f t="shared" ca="1" si="16"/>
        <v>Planning &amp; Construction Time</v>
      </c>
      <c r="C29" s="488">
        <f t="shared" ca="1" si="17"/>
        <v>0</v>
      </c>
      <c r="D29" s="488">
        <f t="shared" ca="1" si="12"/>
        <v>0</v>
      </c>
      <c r="E29" s="488">
        <f t="shared" ca="1" si="12"/>
        <v>0</v>
      </c>
      <c r="F29" s="496">
        <f t="shared" ca="1" si="9"/>
        <v>0</v>
      </c>
      <c r="G29" s="496">
        <f t="shared" ca="1" si="13"/>
        <v>0</v>
      </c>
      <c r="H29" s="496">
        <f t="shared" ca="1" si="13"/>
        <v>0</v>
      </c>
      <c r="I29" s="473">
        <f t="shared" ca="1" si="10"/>
        <v>0</v>
      </c>
      <c r="J29" s="473">
        <f t="shared" ca="1" si="14"/>
        <v>0</v>
      </c>
      <c r="K29" s="473" t="str">
        <f t="shared" ca="1" si="14"/>
        <v>-</v>
      </c>
      <c r="L29" s="474">
        <f t="shared" ca="1" si="11"/>
        <v>0</v>
      </c>
      <c r="M29" s="474">
        <f t="shared" ca="1" si="15"/>
        <v>0</v>
      </c>
      <c r="N29" s="474" t="str">
        <f t="shared" ca="1" si="15"/>
        <v>-</v>
      </c>
      <c r="O29" s="475" t="str">
        <f t="shared" ca="1" si="15"/>
        <v>a</v>
      </c>
      <c r="P29" s="239"/>
      <c r="Q29" s="239"/>
      <c r="R29" s="239"/>
      <c r="S29" s="239"/>
      <c r="T29" s="239"/>
      <c r="U29" s="239"/>
      <c r="V29" s="239"/>
      <c r="W29" s="239"/>
    </row>
    <row r="30" spans="1:23" x14ac:dyDescent="0.2">
      <c r="B30" s="472" t="str">
        <f t="shared" ca="1" si="16"/>
        <v>Energy installation cost</v>
      </c>
      <c r="C30" s="488">
        <f t="shared" ca="1" si="17"/>
        <v>0</v>
      </c>
      <c r="D30" s="488">
        <f t="shared" ca="1" si="12"/>
        <v>0</v>
      </c>
      <c r="E30" s="488">
        <f t="shared" ca="1" si="12"/>
        <v>0</v>
      </c>
      <c r="F30" s="496">
        <f t="shared" ca="1" si="9"/>
        <v>0</v>
      </c>
      <c r="G30" s="496">
        <f t="shared" ca="1" si="13"/>
        <v>0</v>
      </c>
      <c r="H30" s="496">
        <f t="shared" ca="1" si="13"/>
        <v>0</v>
      </c>
      <c r="I30" s="473">
        <f t="shared" ca="1" si="10"/>
        <v>0</v>
      </c>
      <c r="J30" s="473">
        <f t="shared" ca="1" si="14"/>
        <v>0</v>
      </c>
      <c r="K30" s="473">
        <f t="shared" ca="1" si="14"/>
        <v>0</v>
      </c>
      <c r="L30" s="474">
        <f t="shared" ca="1" si="11"/>
        <v>0</v>
      </c>
      <c r="M30" s="474">
        <f t="shared" ca="1" si="15"/>
        <v>0</v>
      </c>
      <c r="N30" s="474">
        <f t="shared" ca="1" si="15"/>
        <v>0</v>
      </c>
      <c r="O30" s="475" t="str">
        <f t="shared" ca="1" si="15"/>
        <v>USD / kWh</v>
      </c>
      <c r="P30" s="239"/>
      <c r="Q30" s="239"/>
      <c r="R30" s="239"/>
      <c r="S30" s="239"/>
      <c r="T30" s="239"/>
      <c r="U30" s="239"/>
      <c r="V30" s="239"/>
      <c r="W30" s="239"/>
    </row>
    <row r="31" spans="1:23" x14ac:dyDescent="0.2">
      <c r="B31" s="472" t="str">
        <f t="shared" ref="B31" ca="1" si="18">INDIRECT(ADDRESS(ROW(A15),COLUMN(B15),1,,$B$20))</f>
        <v>Power installation cost</v>
      </c>
      <c r="C31" s="488">
        <f t="shared" ca="1" si="17"/>
        <v>73.5</v>
      </c>
      <c r="D31" s="488">
        <f t="shared" ca="1" si="12"/>
        <v>189</v>
      </c>
      <c r="E31" s="488">
        <f t="shared" ca="1" si="12"/>
        <v>105</v>
      </c>
      <c r="F31" s="496">
        <f t="shared" ca="1" si="9"/>
        <v>59.648330810159244</v>
      </c>
      <c r="G31" s="496">
        <f t="shared" ca="1" si="13"/>
        <v>153.38142208326664</v>
      </c>
      <c r="H31" s="496">
        <f t="shared" ca="1" si="13"/>
        <v>85.211901157370349</v>
      </c>
      <c r="I31" s="473">
        <f t="shared" ca="1" si="10"/>
        <v>45.944866057645775</v>
      </c>
      <c r="J31" s="473">
        <f t="shared" ca="1" si="14"/>
        <v>118.14394129108915</v>
      </c>
      <c r="K31" s="473">
        <f t="shared" ca="1" si="14"/>
        <v>65.635522939493967</v>
      </c>
      <c r="L31" s="474">
        <f t="shared" ca="1" si="11"/>
        <v>35.389602498239221</v>
      </c>
      <c r="M31" s="474">
        <f t="shared" ca="1" si="15"/>
        <v>91.001834995472294</v>
      </c>
      <c r="N31" s="474">
        <f t="shared" ca="1" si="15"/>
        <v>50.556574997484603</v>
      </c>
      <c r="O31" s="475" t="str">
        <f t="shared" ca="1" si="15"/>
        <v>USD / kW</v>
      </c>
      <c r="P31" s="239"/>
      <c r="Q31" s="239"/>
      <c r="R31" s="239"/>
      <c r="S31" s="239"/>
      <c r="T31" s="239"/>
      <c r="U31" s="239"/>
      <c r="V31" s="239"/>
      <c r="W31" s="239"/>
    </row>
    <row r="32" spans="1:23" x14ac:dyDescent="0.2">
      <c r="B32" s="239"/>
      <c r="C32" s="239"/>
      <c r="D32" s="239"/>
      <c r="E32" s="239"/>
      <c r="F32" s="239"/>
      <c r="G32" s="239"/>
      <c r="H32" s="239"/>
      <c r="I32" s="239"/>
      <c r="J32" s="239"/>
      <c r="K32" s="239"/>
      <c r="L32" s="239"/>
      <c r="M32" s="239"/>
      <c r="N32" s="239"/>
      <c r="O32" s="239"/>
      <c r="P32" s="239"/>
      <c r="Q32" s="239"/>
      <c r="R32" s="239"/>
      <c r="S32" s="239"/>
      <c r="T32" s="239"/>
      <c r="U32" s="239"/>
      <c r="V32" s="239"/>
      <c r="W32" s="239"/>
    </row>
    <row r="33" spans="1:23" hidden="1" x14ac:dyDescent="0.2">
      <c r="B33" s="239"/>
      <c r="C33" s="239"/>
      <c r="D33" s="239"/>
      <c r="E33" s="239"/>
      <c r="F33" s="239"/>
      <c r="G33" s="239"/>
      <c r="H33" s="239"/>
      <c r="I33" s="239"/>
      <c r="J33" s="239"/>
      <c r="K33" s="239"/>
      <c r="L33" s="239"/>
      <c r="M33" s="239"/>
      <c r="N33" s="239"/>
      <c r="O33" s="239"/>
      <c r="P33" s="239"/>
      <c r="Q33" s="239"/>
      <c r="R33" s="239"/>
      <c r="S33" s="239"/>
      <c r="T33" s="239"/>
      <c r="U33" s="239"/>
      <c r="V33" s="239"/>
      <c r="W33" s="239"/>
    </row>
    <row r="34" spans="1:23" ht="19" hidden="1" x14ac:dyDescent="0.25">
      <c r="B34" s="241" t="s">
        <v>119</v>
      </c>
      <c r="C34" s="239"/>
      <c r="D34" s="239"/>
      <c r="E34" s="239"/>
      <c r="F34" s="239"/>
      <c r="G34" s="239"/>
      <c r="H34" s="239"/>
      <c r="I34" s="239"/>
      <c r="J34" s="239"/>
      <c r="K34" s="239"/>
      <c r="L34" s="239"/>
      <c r="M34" s="239"/>
      <c r="N34" s="239"/>
      <c r="O34" s="239"/>
      <c r="P34" s="239"/>
      <c r="Q34" s="239"/>
      <c r="R34" s="239"/>
      <c r="S34" s="239"/>
      <c r="T34" s="239"/>
      <c r="U34" s="239"/>
      <c r="V34" s="239"/>
      <c r="W34" s="239"/>
    </row>
    <row r="35" spans="1:23" x14ac:dyDescent="0.2">
      <c r="B35" s="538" t="s">
        <v>119</v>
      </c>
      <c r="C35" s="577">
        <v>2016</v>
      </c>
      <c r="D35" s="577"/>
      <c r="E35" s="577"/>
      <c r="F35" s="578">
        <v>2020</v>
      </c>
      <c r="G35" s="578"/>
      <c r="H35" s="578"/>
      <c r="I35" s="579">
        <v>2025</v>
      </c>
      <c r="J35" s="579"/>
      <c r="K35" s="579"/>
      <c r="L35" s="580">
        <v>2030</v>
      </c>
      <c r="M35" s="580"/>
      <c r="N35" s="580"/>
      <c r="O35" s="461"/>
      <c r="P35" s="239"/>
      <c r="Q35" s="239"/>
      <c r="R35" s="239"/>
      <c r="S35" s="239"/>
      <c r="T35" s="239"/>
      <c r="U35" s="239"/>
      <c r="V35" s="239"/>
      <c r="W35" s="239"/>
    </row>
    <row r="36" spans="1:23" ht="16" thickBot="1" x14ac:dyDescent="0.25">
      <c r="A36" s="250" t="s">
        <v>118</v>
      </c>
      <c r="B36" s="242" t="s">
        <v>153</v>
      </c>
      <c r="C36" s="490" t="s">
        <v>72</v>
      </c>
      <c r="D36" s="490" t="s">
        <v>73</v>
      </c>
      <c r="E36" s="490" t="s">
        <v>178</v>
      </c>
      <c r="F36" s="497" t="s">
        <v>72</v>
      </c>
      <c r="G36" s="497" t="s">
        <v>73</v>
      </c>
      <c r="H36" s="497" t="s">
        <v>178</v>
      </c>
      <c r="I36" s="458" t="s">
        <v>72</v>
      </c>
      <c r="J36" s="458" t="s">
        <v>73</v>
      </c>
      <c r="K36" s="458" t="s">
        <v>178</v>
      </c>
      <c r="L36" s="459" t="s">
        <v>72</v>
      </c>
      <c r="M36" s="459" t="s">
        <v>73</v>
      </c>
      <c r="N36" s="459" t="s">
        <v>178</v>
      </c>
      <c r="O36" s="460" t="s">
        <v>1</v>
      </c>
      <c r="P36" s="239"/>
      <c r="Q36" s="239"/>
      <c r="R36" s="239"/>
      <c r="S36" s="239"/>
      <c r="T36" s="239"/>
      <c r="U36" s="239"/>
      <c r="V36" s="239"/>
      <c r="W36" s="239"/>
    </row>
    <row r="37" spans="1:23" x14ac:dyDescent="0.2">
      <c r="B37" s="237" t="s">
        <v>120</v>
      </c>
      <c r="C37" s="491">
        <f>VLOOKUP($B$36,Applications!$B$4:$F$40,ROW()-ROW($C$36)+1,)</f>
        <v>200</v>
      </c>
      <c r="D37" s="491">
        <f>VLOOKUP($B$36,Applications!$B$4:$F$40,ROW()-ROW($C$36)+1,)</f>
        <v>200</v>
      </c>
      <c r="E37" s="491">
        <f>VLOOKUP($B$36,Applications!$B$4:$F$40,ROW()-ROW($C$36)+1,)</f>
        <v>200</v>
      </c>
      <c r="F37" s="498">
        <f>VLOOKUP($B$36,Applications!$B$4:$F$40,ROW()-ROW($C$36)+1,)</f>
        <v>200</v>
      </c>
      <c r="G37" s="498">
        <f>VLOOKUP($B$36,Applications!$B$4:$F$40,ROW()-ROW($C$36)+1,)</f>
        <v>200</v>
      </c>
      <c r="H37" s="498">
        <f>VLOOKUP($B$36,Applications!$B$4:$F$40,ROW()-ROW($C$36)+1,)</f>
        <v>200</v>
      </c>
      <c r="I37" s="476">
        <f>VLOOKUP($B$36,Applications!$B$4:$F$40,ROW()-ROW($C$36)+1,)</f>
        <v>200</v>
      </c>
      <c r="J37" s="476">
        <f>VLOOKUP($B$36,Applications!$B$4:$F$40,ROW()-ROW($C$36)+1,)</f>
        <v>200</v>
      </c>
      <c r="K37" s="476">
        <f>VLOOKUP($B$36,Applications!$B$4:$F$40,ROW()-ROW($C$36)+1,)</f>
        <v>200</v>
      </c>
      <c r="L37" s="477">
        <f>VLOOKUP($B$36,Applications!$B$4:$F$40,ROW()-ROW($C$36)+1,)</f>
        <v>200</v>
      </c>
      <c r="M37" s="477">
        <f>VLOOKUP($B$36,Applications!$B$4:$F$40,ROW()-ROW($C$36)+1,)</f>
        <v>200</v>
      </c>
      <c r="N37" s="477">
        <f>VLOOKUP($B$36,Applications!$B$4:$F$40,ROW()-ROW($C$36)+1,)</f>
        <v>200</v>
      </c>
      <c r="O37" s="461" t="s">
        <v>130</v>
      </c>
      <c r="P37" s="239"/>
      <c r="Q37" s="239"/>
      <c r="R37" s="239"/>
      <c r="S37" s="239"/>
      <c r="T37" s="239"/>
      <c r="U37" s="239"/>
      <c r="V37" s="239"/>
      <c r="W37" s="239"/>
    </row>
    <row r="38" spans="1:23" x14ac:dyDescent="0.2">
      <c r="B38" s="237" t="s">
        <v>121</v>
      </c>
      <c r="C38" s="492">
        <f>VLOOKUP($B$36,Applications!$B$4:$F$40,ROW()-ROW($C$36)+1,)</f>
        <v>0.3</v>
      </c>
      <c r="D38" s="492">
        <f>VLOOKUP($B$36,Applications!$B$4:$F$40,ROW()-ROW($C$36)+1,)</f>
        <v>0.3</v>
      </c>
      <c r="E38" s="492">
        <f>VLOOKUP($B$36,Applications!$B$4:$F$40,ROW()-ROW($C$36)+1,)</f>
        <v>0.3</v>
      </c>
      <c r="F38" s="499">
        <f>VLOOKUP($B$36,Applications!$B$4:$F$40,ROW()-ROW($C$36)+1,)</f>
        <v>0.3</v>
      </c>
      <c r="G38" s="499">
        <f>VLOOKUP($B$36,Applications!$B$4:$F$40,ROW()-ROW($C$36)+1,)</f>
        <v>0.3</v>
      </c>
      <c r="H38" s="499">
        <f>VLOOKUP($B$36,Applications!$B$4:$F$40,ROW()-ROW($C$36)+1,)</f>
        <v>0.3</v>
      </c>
      <c r="I38" s="478">
        <f>VLOOKUP($B$36,Applications!$B$4:$F$40,ROW()-ROW($C$36)+1,)</f>
        <v>0.3</v>
      </c>
      <c r="J38" s="478">
        <f>VLOOKUP($B$36,Applications!$B$4:$F$40,ROW()-ROW($C$36)+1,)</f>
        <v>0.3</v>
      </c>
      <c r="K38" s="478">
        <f>VLOOKUP($B$36,Applications!$B$4:$F$40,ROW()-ROW($C$36)+1,)</f>
        <v>0.3</v>
      </c>
      <c r="L38" s="477">
        <f>VLOOKUP($B$36,Applications!$B$4:$F$40,ROW()-ROW($C$36)+1,)</f>
        <v>0.3</v>
      </c>
      <c r="M38" s="477">
        <f>VLOOKUP($B$36,Applications!$B$4:$F$40,ROW()-ROW($C$36)+1,)</f>
        <v>0.3</v>
      </c>
      <c r="N38" s="477">
        <f>VLOOKUP($B$36,Applications!$B$4:$F$40,ROW()-ROW($C$36)+1,)</f>
        <v>0.3</v>
      </c>
      <c r="O38" s="461" t="s">
        <v>170</v>
      </c>
      <c r="P38" s="239"/>
      <c r="Q38" s="239"/>
      <c r="R38" s="239"/>
      <c r="S38" s="239"/>
      <c r="T38" s="239"/>
      <c r="U38" s="239"/>
      <c r="V38" s="239"/>
      <c r="W38" s="239"/>
    </row>
    <row r="39" spans="1:23" x14ac:dyDescent="0.2">
      <c r="B39" s="237" t="s">
        <v>122</v>
      </c>
      <c r="C39" s="492">
        <f>VLOOKUP($B$36,Applications!$B$4:$F$40,ROW()-ROW($C$36)+1,)</f>
        <v>5.4794520547945202E-2</v>
      </c>
      <c r="D39" s="492">
        <f>VLOOKUP($B$36,Applications!$B$4:$F$40,ROW()-ROW($C$36)+1,)</f>
        <v>5.4794520547945202E-2</v>
      </c>
      <c r="E39" s="492">
        <f>VLOOKUP($B$36,Applications!$B$4:$F$40,ROW()-ROW($C$36)+1,)</f>
        <v>5.4794520547945202E-2</v>
      </c>
      <c r="F39" s="499">
        <f>VLOOKUP($B$36,Applications!$B$4:$F$40,ROW()-ROW($C$36)+1,)</f>
        <v>5.4794520547945202E-2</v>
      </c>
      <c r="G39" s="499">
        <f>VLOOKUP($B$36,Applications!$B$4:$F$40,ROW()-ROW($C$36)+1,)</f>
        <v>5.4794520547945202E-2</v>
      </c>
      <c r="H39" s="499">
        <f>VLOOKUP($B$36,Applications!$B$4:$F$40,ROW()-ROW($C$36)+1,)</f>
        <v>5.4794520547945202E-2</v>
      </c>
      <c r="I39" s="478">
        <f>VLOOKUP($B$36,Applications!$B$4:$F$40,ROW()-ROW($C$36)+1,)</f>
        <v>5.4794520547945202E-2</v>
      </c>
      <c r="J39" s="478">
        <f>VLOOKUP($B$36,Applications!$B$4:$F$40,ROW()-ROW($C$36)+1,)</f>
        <v>5.4794520547945202E-2</v>
      </c>
      <c r="K39" s="478">
        <f>VLOOKUP($B$36,Applications!$B$4:$F$40,ROW()-ROW($C$36)+1,)</f>
        <v>5.4794520547945202E-2</v>
      </c>
      <c r="L39" s="477">
        <f>VLOOKUP($B$36,Applications!$B$4:$F$40,ROW()-ROW($C$36)+1,)</f>
        <v>5.4794520547945202E-2</v>
      </c>
      <c r="M39" s="477">
        <f>VLOOKUP($B$36,Applications!$B$4:$F$40,ROW()-ROW($C$36)+1,)</f>
        <v>5.4794520547945202E-2</v>
      </c>
      <c r="N39" s="477">
        <f>VLOOKUP($B$36,Applications!$B$4:$F$40,ROW()-ROW($C$36)+1,)</f>
        <v>5.4794520547945202E-2</v>
      </c>
      <c r="O39" s="461" t="s">
        <v>188</v>
      </c>
      <c r="P39" s="239"/>
      <c r="Q39" s="239"/>
      <c r="R39" s="239"/>
      <c r="S39" s="239"/>
      <c r="T39" s="239"/>
      <c r="U39" s="239"/>
      <c r="V39" s="239"/>
      <c r="W39" s="239"/>
    </row>
    <row r="40" spans="1:23" x14ac:dyDescent="0.2">
      <c r="B40" s="237" t="s">
        <v>319</v>
      </c>
      <c r="C40" s="491">
        <f>VLOOKUP($B$36,Applications!$B$4:$F$40,ROW()-ROW($C$36)+1,)</f>
        <v>18</v>
      </c>
      <c r="D40" s="491">
        <f>VLOOKUP($B$36,Applications!$B$4:$F$40,ROW()-ROW($C$36)+1,)</f>
        <v>18</v>
      </c>
      <c r="E40" s="491">
        <f>VLOOKUP($B$36,Applications!$B$4:$F$40,ROW()-ROW($C$36)+1,)</f>
        <v>18</v>
      </c>
      <c r="F40" s="498">
        <f>VLOOKUP($B$36,Applications!$B$4:$F$40,ROW()-ROW($C$36)+1,)</f>
        <v>18</v>
      </c>
      <c r="G40" s="498">
        <f>VLOOKUP($B$36,Applications!$B$4:$F$40,ROW()-ROW($C$36)+1,)</f>
        <v>18</v>
      </c>
      <c r="H40" s="498">
        <f>VLOOKUP($B$36,Applications!$B$4:$F$40,ROW()-ROW($C$36)+1,)</f>
        <v>18</v>
      </c>
      <c r="I40" s="476">
        <f>VLOOKUP($B$36,Applications!$B$4:$F$40,ROW()-ROW($C$36)+1,)</f>
        <v>18</v>
      </c>
      <c r="J40" s="476">
        <f>VLOOKUP($B$36,Applications!$B$4:$F$40,ROW()-ROW($C$36)+1,)</f>
        <v>18</v>
      </c>
      <c r="K40" s="476">
        <f>VLOOKUP($B$36,Applications!$B$4:$F$40,ROW()-ROW($C$36)+1,)</f>
        <v>18</v>
      </c>
      <c r="L40" s="477">
        <f>VLOOKUP($B$36,Applications!$B$4:$F$40,ROW()-ROW($C$36)+1,)</f>
        <v>18</v>
      </c>
      <c r="M40" s="477">
        <f>VLOOKUP($B$36,Applications!$B$4:$F$40,ROW()-ROW($C$36)+1,)</f>
        <v>18</v>
      </c>
      <c r="N40" s="477">
        <f>VLOOKUP($B$36,Applications!$B$4:$F$40,ROW()-ROW($C$36)+1,)</f>
        <v>18</v>
      </c>
      <c r="O40" s="461" t="s">
        <v>320</v>
      </c>
      <c r="P40" s="239"/>
      <c r="Q40" s="239"/>
      <c r="R40" s="239"/>
      <c r="S40" s="239"/>
      <c r="T40" s="239"/>
      <c r="U40" s="239"/>
      <c r="V40" s="239"/>
      <c r="W40" s="239"/>
    </row>
    <row r="41" spans="1:23" x14ac:dyDescent="0.2">
      <c r="B41" s="239"/>
      <c r="C41" s="239"/>
      <c r="D41" s="239"/>
      <c r="E41" s="239"/>
      <c r="F41" s="239"/>
      <c r="G41" s="239"/>
      <c r="H41" s="239"/>
      <c r="I41" s="239"/>
      <c r="J41" s="239"/>
      <c r="K41" s="239"/>
      <c r="L41" s="239"/>
      <c r="M41" s="239"/>
      <c r="N41" s="239"/>
      <c r="O41" s="239"/>
      <c r="P41" s="239"/>
      <c r="Q41" s="239"/>
      <c r="R41" s="239"/>
      <c r="S41" s="239"/>
      <c r="T41" s="239"/>
      <c r="U41" s="239"/>
      <c r="V41" s="239"/>
      <c r="W41" s="239"/>
    </row>
    <row r="42" spans="1:23" hidden="1" x14ac:dyDescent="0.2">
      <c r="B42" s="239"/>
      <c r="C42" s="239"/>
      <c r="D42" s="239"/>
      <c r="E42" s="239"/>
      <c r="F42" s="239"/>
      <c r="G42" s="239"/>
      <c r="H42" s="239"/>
      <c r="I42" s="239"/>
      <c r="J42" s="239"/>
      <c r="K42" s="239"/>
      <c r="L42" s="239"/>
      <c r="M42" s="239"/>
      <c r="N42" s="239"/>
      <c r="O42" s="239"/>
      <c r="P42" s="239"/>
      <c r="Q42" s="239"/>
      <c r="R42" s="239"/>
      <c r="S42" s="239"/>
      <c r="T42" s="239"/>
      <c r="U42" s="239"/>
      <c r="V42" s="239"/>
      <c r="W42" s="239"/>
    </row>
    <row r="43" spans="1:23" ht="19" hidden="1" x14ac:dyDescent="0.25">
      <c r="B43" s="238" t="s">
        <v>176</v>
      </c>
      <c r="C43" s="239"/>
      <c r="D43" s="239"/>
      <c r="E43" s="239"/>
      <c r="F43" s="239"/>
      <c r="G43" s="239"/>
      <c r="H43" s="239"/>
      <c r="I43" s="239"/>
      <c r="J43" s="239"/>
      <c r="K43" s="239"/>
      <c r="L43" s="239"/>
      <c r="M43" s="239"/>
      <c r="N43" s="239"/>
      <c r="O43" s="239"/>
      <c r="P43" s="239"/>
      <c r="Q43" s="239"/>
      <c r="R43" s="239"/>
      <c r="S43" s="239"/>
      <c r="T43" s="239"/>
      <c r="U43" s="239"/>
      <c r="V43" s="239"/>
      <c r="W43" s="239"/>
    </row>
    <row r="44" spans="1:23" x14ac:dyDescent="0.2">
      <c r="B44" s="538" t="s">
        <v>176</v>
      </c>
      <c r="C44" s="577">
        <v>2016</v>
      </c>
      <c r="D44" s="577"/>
      <c r="E44" s="577"/>
      <c r="F44" s="578">
        <v>2020</v>
      </c>
      <c r="G44" s="578"/>
      <c r="H44" s="578"/>
      <c r="I44" s="579">
        <v>2025</v>
      </c>
      <c r="J44" s="579"/>
      <c r="K44" s="579"/>
      <c r="L44" s="580">
        <v>2030</v>
      </c>
      <c r="M44" s="580"/>
      <c r="N44" s="580"/>
      <c r="O44" s="461"/>
      <c r="P44" s="239"/>
      <c r="Q44" s="239"/>
      <c r="R44" s="239"/>
      <c r="S44" s="239"/>
      <c r="T44" s="239"/>
      <c r="U44" s="239"/>
      <c r="V44" s="239"/>
      <c r="W44" s="239"/>
    </row>
    <row r="45" spans="1:23" ht="16" thickBot="1" x14ac:dyDescent="0.25">
      <c r="A45" s="250"/>
      <c r="B45" s="244" t="s">
        <v>282</v>
      </c>
      <c r="C45" s="490" t="s">
        <v>72</v>
      </c>
      <c r="D45" s="490" t="s">
        <v>73</v>
      </c>
      <c r="E45" s="490" t="s">
        <v>178</v>
      </c>
      <c r="F45" s="497" t="s">
        <v>72</v>
      </c>
      <c r="G45" s="497" t="s">
        <v>73</v>
      </c>
      <c r="H45" s="497" t="s">
        <v>178</v>
      </c>
      <c r="I45" s="458" t="s">
        <v>72</v>
      </c>
      <c r="J45" s="458" t="s">
        <v>73</v>
      </c>
      <c r="K45" s="458" t="s">
        <v>178</v>
      </c>
      <c r="L45" s="459" t="s">
        <v>72</v>
      </c>
      <c r="M45" s="459" t="s">
        <v>73</v>
      </c>
      <c r="N45" s="459" t="s">
        <v>178</v>
      </c>
      <c r="O45" s="460" t="s">
        <v>1</v>
      </c>
      <c r="P45" s="239"/>
      <c r="Q45" s="239"/>
      <c r="R45" s="239"/>
      <c r="S45" s="239"/>
      <c r="T45" s="239"/>
      <c r="U45" s="239"/>
      <c r="V45" s="239"/>
      <c r="W45" s="239"/>
    </row>
    <row r="46" spans="1:23" x14ac:dyDescent="0.2">
      <c r="B46" s="237" t="s">
        <v>145</v>
      </c>
      <c r="C46" s="542">
        <v>1.4999999999999999E-2</v>
      </c>
      <c r="D46" s="544">
        <f t="shared" ref="D46:E49" si="19">C46</f>
        <v>1.4999999999999999E-2</v>
      </c>
      <c r="E46" s="544">
        <f t="shared" si="19"/>
        <v>1.4999999999999999E-2</v>
      </c>
      <c r="F46" s="545">
        <f t="shared" ref="F46" si="20">E46</f>
        <v>1.4999999999999999E-2</v>
      </c>
      <c r="G46" s="545">
        <f t="shared" ref="G46" si="21">F46</f>
        <v>1.4999999999999999E-2</v>
      </c>
      <c r="H46" s="545">
        <f t="shared" ref="H46" si="22">G46</f>
        <v>1.4999999999999999E-2</v>
      </c>
      <c r="I46" s="546">
        <f t="shared" ref="I46" si="23">H46</f>
        <v>1.4999999999999999E-2</v>
      </c>
      <c r="J46" s="546">
        <f t="shared" ref="J46" si="24">I46</f>
        <v>1.4999999999999999E-2</v>
      </c>
      <c r="K46" s="546">
        <f t="shared" ref="K46" si="25">J46</f>
        <v>1.4999999999999999E-2</v>
      </c>
      <c r="L46" s="547">
        <f t="shared" ref="L46" si="26">K46</f>
        <v>1.4999999999999999E-2</v>
      </c>
      <c r="M46" s="547">
        <f t="shared" ref="M46" si="27">L46</f>
        <v>1.4999999999999999E-2</v>
      </c>
      <c r="N46" s="547">
        <f t="shared" ref="N46" si="28">M46</f>
        <v>1.4999999999999999E-2</v>
      </c>
      <c r="O46" s="462" t="s">
        <v>187</v>
      </c>
      <c r="P46" s="239"/>
      <c r="Q46" s="239"/>
      <c r="R46" s="239"/>
      <c r="S46" s="239"/>
      <c r="T46" s="239"/>
      <c r="U46" s="239"/>
      <c r="V46" s="239"/>
      <c r="W46" s="239"/>
    </row>
    <row r="47" spans="1:23" x14ac:dyDescent="0.2">
      <c r="A47" s="250"/>
      <c r="B47" s="237" t="s">
        <v>185</v>
      </c>
      <c r="C47" s="542">
        <v>1.4999999999999999E-2</v>
      </c>
      <c r="D47" s="544">
        <f t="shared" si="19"/>
        <v>1.4999999999999999E-2</v>
      </c>
      <c r="E47" s="544">
        <f t="shared" si="19"/>
        <v>1.4999999999999999E-2</v>
      </c>
      <c r="F47" s="545">
        <f t="shared" ref="F47:N47" si="29">E47</f>
        <v>1.4999999999999999E-2</v>
      </c>
      <c r="G47" s="545">
        <f t="shared" si="29"/>
        <v>1.4999999999999999E-2</v>
      </c>
      <c r="H47" s="545">
        <f t="shared" si="29"/>
        <v>1.4999999999999999E-2</v>
      </c>
      <c r="I47" s="546">
        <f t="shared" si="29"/>
        <v>1.4999999999999999E-2</v>
      </c>
      <c r="J47" s="546">
        <f t="shared" si="29"/>
        <v>1.4999999999999999E-2</v>
      </c>
      <c r="K47" s="546">
        <f t="shared" si="29"/>
        <v>1.4999999999999999E-2</v>
      </c>
      <c r="L47" s="547">
        <f t="shared" si="29"/>
        <v>1.4999999999999999E-2</v>
      </c>
      <c r="M47" s="547">
        <f t="shared" si="29"/>
        <v>1.4999999999999999E-2</v>
      </c>
      <c r="N47" s="547">
        <f t="shared" si="29"/>
        <v>1.4999999999999999E-2</v>
      </c>
      <c r="O47" s="462" t="s">
        <v>187</v>
      </c>
      <c r="P47" s="239"/>
      <c r="Q47" s="239"/>
      <c r="R47" s="239"/>
      <c r="S47" s="239"/>
      <c r="T47" s="239"/>
      <c r="U47" s="239"/>
      <c r="V47" s="239"/>
      <c r="W47" s="239"/>
    </row>
    <row r="48" spans="1:23" x14ac:dyDescent="0.2">
      <c r="A48" s="250"/>
      <c r="B48" s="237" t="s">
        <v>127</v>
      </c>
      <c r="C48" s="542">
        <v>0.03</v>
      </c>
      <c r="D48" s="544">
        <f t="shared" si="19"/>
        <v>0.03</v>
      </c>
      <c r="E48" s="544">
        <f t="shared" si="19"/>
        <v>0.03</v>
      </c>
      <c r="F48" s="545">
        <f t="shared" ref="F48:N48" si="30">E48</f>
        <v>0.03</v>
      </c>
      <c r="G48" s="545">
        <f t="shared" si="30"/>
        <v>0.03</v>
      </c>
      <c r="H48" s="545">
        <f t="shared" si="30"/>
        <v>0.03</v>
      </c>
      <c r="I48" s="546">
        <f t="shared" si="30"/>
        <v>0.03</v>
      </c>
      <c r="J48" s="546">
        <f t="shared" si="30"/>
        <v>0.03</v>
      </c>
      <c r="K48" s="546">
        <f t="shared" si="30"/>
        <v>0.03</v>
      </c>
      <c r="L48" s="547">
        <f t="shared" si="30"/>
        <v>0.03</v>
      </c>
      <c r="M48" s="547">
        <f t="shared" si="30"/>
        <v>0.03</v>
      </c>
      <c r="N48" s="547">
        <f t="shared" si="30"/>
        <v>0.03</v>
      </c>
      <c r="O48" s="463" t="s">
        <v>9</v>
      </c>
      <c r="P48" s="239"/>
      <c r="Q48" s="239"/>
      <c r="R48" s="239"/>
      <c r="S48" s="239"/>
      <c r="T48" s="239"/>
      <c r="U48" s="239"/>
      <c r="V48" s="239"/>
      <c r="W48" s="239"/>
    </row>
    <row r="49" spans="1:23" x14ac:dyDescent="0.2">
      <c r="A49" s="250"/>
      <c r="B49" s="237" t="s">
        <v>192</v>
      </c>
      <c r="C49" s="543">
        <v>0</v>
      </c>
      <c r="D49" s="548">
        <f t="shared" si="19"/>
        <v>0</v>
      </c>
      <c r="E49" s="548">
        <f t="shared" si="19"/>
        <v>0</v>
      </c>
      <c r="F49" s="549">
        <f t="shared" ref="F49:N49" si="31">E49</f>
        <v>0</v>
      </c>
      <c r="G49" s="549">
        <f t="shared" si="31"/>
        <v>0</v>
      </c>
      <c r="H49" s="549">
        <f t="shared" si="31"/>
        <v>0</v>
      </c>
      <c r="I49" s="550">
        <f t="shared" si="31"/>
        <v>0</v>
      </c>
      <c r="J49" s="550">
        <f t="shared" si="31"/>
        <v>0</v>
      </c>
      <c r="K49" s="550">
        <f t="shared" si="31"/>
        <v>0</v>
      </c>
      <c r="L49" s="551">
        <f t="shared" si="31"/>
        <v>0</v>
      </c>
      <c r="M49" s="551">
        <f t="shared" si="31"/>
        <v>0</v>
      </c>
      <c r="N49" s="551">
        <f t="shared" si="31"/>
        <v>0</v>
      </c>
      <c r="O49" s="239" t="s">
        <v>175</v>
      </c>
      <c r="P49" s="239"/>
      <c r="Q49" s="239"/>
      <c r="R49" s="239"/>
      <c r="S49" s="239"/>
      <c r="T49" s="239"/>
      <c r="U49" s="239"/>
      <c r="V49" s="239"/>
      <c r="W49" s="239"/>
    </row>
    <row r="50" spans="1:23" x14ac:dyDescent="0.2">
      <c r="A50" s="250"/>
      <c r="B50" s="237" t="s">
        <v>193</v>
      </c>
      <c r="C50" s="543">
        <v>0</v>
      </c>
      <c r="D50" s="548">
        <f>C50</f>
        <v>0</v>
      </c>
      <c r="E50" s="548">
        <f t="shared" ref="E50" si="32">D50</f>
        <v>0</v>
      </c>
      <c r="F50" s="549">
        <f t="shared" ref="F50" si="33">E50</f>
        <v>0</v>
      </c>
      <c r="G50" s="549">
        <f t="shared" ref="G50" si="34">F50</f>
        <v>0</v>
      </c>
      <c r="H50" s="549">
        <f t="shared" ref="H50" si="35">G50</f>
        <v>0</v>
      </c>
      <c r="I50" s="550">
        <f t="shared" ref="I50" si="36">H50</f>
        <v>0</v>
      </c>
      <c r="J50" s="550">
        <f t="shared" ref="J50" si="37">I50</f>
        <v>0</v>
      </c>
      <c r="K50" s="550">
        <f t="shared" ref="K50" si="38">J50</f>
        <v>0</v>
      </c>
      <c r="L50" s="551">
        <f t="shared" ref="L50" si="39">K50</f>
        <v>0</v>
      </c>
      <c r="M50" s="551">
        <f t="shared" ref="M50" si="40">L50</f>
        <v>0</v>
      </c>
      <c r="N50" s="551">
        <f t="shared" ref="N50" si="41">M50</f>
        <v>0</v>
      </c>
      <c r="O50" s="239" t="s">
        <v>186</v>
      </c>
      <c r="P50" s="239"/>
      <c r="Q50" s="239"/>
      <c r="R50" s="239"/>
      <c r="S50" s="239"/>
      <c r="T50" s="239"/>
      <c r="U50" s="239"/>
      <c r="V50" s="239"/>
      <c r="W50" s="239"/>
    </row>
    <row r="51" spans="1:23" x14ac:dyDescent="0.2">
      <c r="B51" s="239"/>
      <c r="C51" s="239"/>
      <c r="D51" s="239"/>
      <c r="E51" s="239"/>
      <c r="F51" s="239"/>
      <c r="G51" s="239"/>
      <c r="H51" s="239"/>
      <c r="I51" s="239"/>
      <c r="J51" s="239"/>
      <c r="K51" s="239"/>
      <c r="L51" s="239"/>
      <c r="M51" s="239"/>
      <c r="N51" s="239"/>
      <c r="O51" s="239"/>
      <c r="P51" s="239"/>
      <c r="Q51" s="239"/>
      <c r="R51" s="239"/>
      <c r="S51" s="239"/>
      <c r="T51" s="239"/>
      <c r="U51" s="239"/>
      <c r="V51" s="239"/>
      <c r="W51" s="239"/>
    </row>
    <row r="52" spans="1:23" hidden="1" x14ac:dyDescent="0.2">
      <c r="B52" s="239"/>
      <c r="C52" s="239"/>
      <c r="D52" s="239"/>
      <c r="E52" s="239"/>
      <c r="F52" s="239"/>
      <c r="G52" s="239"/>
      <c r="H52" s="239"/>
      <c r="I52" s="239"/>
      <c r="J52" s="239"/>
      <c r="K52" s="239"/>
      <c r="L52" s="239"/>
      <c r="M52" s="239"/>
      <c r="N52" s="239"/>
      <c r="O52" s="239"/>
      <c r="P52" s="239"/>
      <c r="Q52" s="239"/>
      <c r="R52" s="239"/>
      <c r="S52" s="239"/>
      <c r="T52" s="239"/>
      <c r="U52" s="239"/>
      <c r="V52" s="239"/>
      <c r="W52" s="239"/>
    </row>
    <row r="53" spans="1:23" hidden="1" x14ac:dyDescent="0.2">
      <c r="B53" s="239"/>
      <c r="C53" s="239"/>
      <c r="D53" s="239"/>
      <c r="E53" s="239"/>
      <c r="F53" s="239"/>
      <c r="G53" s="239"/>
      <c r="H53" s="239"/>
      <c r="I53" s="239"/>
      <c r="J53" s="239"/>
      <c r="K53" s="239"/>
      <c r="L53" s="239"/>
      <c r="M53" s="239"/>
      <c r="N53" s="239"/>
      <c r="O53" s="239"/>
      <c r="P53" s="239"/>
      <c r="Q53" s="239"/>
      <c r="R53" s="239"/>
      <c r="S53" s="239"/>
      <c r="T53" s="239"/>
      <c r="U53" s="239"/>
      <c r="V53" s="239"/>
      <c r="W53" s="239"/>
    </row>
    <row r="54" spans="1:23" ht="19" hidden="1" x14ac:dyDescent="0.25">
      <c r="B54" s="238" t="s">
        <v>124</v>
      </c>
      <c r="C54" s="239"/>
      <c r="D54" s="239"/>
      <c r="E54" s="239"/>
      <c r="F54" s="239"/>
      <c r="G54" s="239"/>
      <c r="H54" s="239"/>
      <c r="I54" s="239"/>
      <c r="J54" s="239"/>
      <c r="K54" s="239"/>
      <c r="L54" s="239"/>
      <c r="M54" s="239"/>
      <c r="N54" s="239"/>
      <c r="O54" s="239"/>
      <c r="P54" s="239"/>
      <c r="Q54" s="239"/>
      <c r="R54" s="239"/>
      <c r="S54" s="239"/>
      <c r="T54" s="239"/>
      <c r="U54" s="239"/>
      <c r="V54" s="239"/>
      <c r="W54" s="239"/>
    </row>
    <row r="55" spans="1:23" x14ac:dyDescent="0.2">
      <c r="B55" s="538" t="s">
        <v>124</v>
      </c>
      <c r="C55" s="577">
        <v>2016</v>
      </c>
      <c r="D55" s="577"/>
      <c r="E55" s="577"/>
      <c r="F55" s="578">
        <v>2020</v>
      </c>
      <c r="G55" s="578"/>
      <c r="H55" s="578"/>
      <c r="I55" s="579">
        <v>2025</v>
      </c>
      <c r="J55" s="579"/>
      <c r="K55" s="579"/>
      <c r="L55" s="580">
        <v>2030</v>
      </c>
      <c r="M55" s="580"/>
      <c r="N55" s="580"/>
      <c r="O55" s="461"/>
      <c r="P55" s="239"/>
      <c r="Q55" s="239"/>
      <c r="R55" s="239"/>
      <c r="S55" s="239"/>
      <c r="T55" s="239"/>
      <c r="U55" s="239"/>
      <c r="V55" s="239"/>
      <c r="W55" s="239"/>
    </row>
    <row r="56" spans="1:23" ht="16" thickBot="1" x14ac:dyDescent="0.25">
      <c r="B56" s="243"/>
      <c r="C56" s="490" t="s">
        <v>72</v>
      </c>
      <c r="D56" s="490" t="s">
        <v>73</v>
      </c>
      <c r="E56" s="490" t="s">
        <v>178</v>
      </c>
      <c r="F56" s="497" t="s">
        <v>72</v>
      </c>
      <c r="G56" s="497" t="s">
        <v>73</v>
      </c>
      <c r="H56" s="497" t="s">
        <v>178</v>
      </c>
      <c r="I56" s="458" t="s">
        <v>72</v>
      </c>
      <c r="J56" s="458" t="s">
        <v>73</v>
      </c>
      <c r="K56" s="458" t="s">
        <v>178</v>
      </c>
      <c r="L56" s="459" t="s">
        <v>72</v>
      </c>
      <c r="M56" s="459" t="s">
        <v>73</v>
      </c>
      <c r="N56" s="459" t="s">
        <v>178</v>
      </c>
      <c r="O56" s="460" t="s">
        <v>1</v>
      </c>
      <c r="P56" s="239"/>
      <c r="Q56" s="239"/>
      <c r="R56" s="239"/>
      <c r="S56" s="239"/>
      <c r="T56" s="239"/>
      <c r="U56" s="239"/>
      <c r="V56" s="239"/>
      <c r="W56" s="239"/>
    </row>
    <row r="57" spans="1:23" x14ac:dyDescent="0.2">
      <c r="B57" s="245" t="s">
        <v>141</v>
      </c>
      <c r="C57" s="493"/>
      <c r="D57" s="494"/>
      <c r="E57" s="494"/>
      <c r="F57" s="500"/>
      <c r="G57" s="501"/>
      <c r="H57" s="501"/>
      <c r="I57" s="464"/>
      <c r="J57" s="465"/>
      <c r="K57" s="465"/>
      <c r="L57" s="466"/>
      <c r="M57" s="466"/>
      <c r="N57" s="466"/>
      <c r="O57" s="467"/>
      <c r="P57" s="239"/>
      <c r="Q57" s="239"/>
      <c r="R57" s="239"/>
      <c r="S57" s="239"/>
      <c r="T57" s="239"/>
      <c r="U57" s="239"/>
      <c r="V57" s="239"/>
      <c r="W57" s="239"/>
    </row>
    <row r="58" spans="1:23" x14ac:dyDescent="0.2">
      <c r="B58" s="246" t="s">
        <v>125</v>
      </c>
      <c r="C58" s="522">
        <f>C37</f>
        <v>200</v>
      </c>
      <c r="D58" s="522">
        <f t="shared" ref="D58:N58" si="42">D37</f>
        <v>200</v>
      </c>
      <c r="E58" s="522">
        <f t="shared" si="42"/>
        <v>200</v>
      </c>
      <c r="F58" s="523">
        <f t="shared" si="42"/>
        <v>200</v>
      </c>
      <c r="G58" s="523">
        <f t="shared" si="42"/>
        <v>200</v>
      </c>
      <c r="H58" s="523">
        <f t="shared" si="42"/>
        <v>200</v>
      </c>
      <c r="I58" s="524">
        <f t="shared" si="42"/>
        <v>200</v>
      </c>
      <c r="J58" s="524">
        <f t="shared" si="42"/>
        <v>200</v>
      </c>
      <c r="K58" s="524">
        <f t="shared" si="42"/>
        <v>200</v>
      </c>
      <c r="L58" s="525">
        <f t="shared" si="42"/>
        <v>200</v>
      </c>
      <c r="M58" s="525">
        <f t="shared" si="42"/>
        <v>200</v>
      </c>
      <c r="N58" s="525">
        <f t="shared" si="42"/>
        <v>200</v>
      </c>
      <c r="O58" s="239" t="s">
        <v>130</v>
      </c>
      <c r="P58" s="239"/>
      <c r="Q58" s="239"/>
      <c r="R58" s="239"/>
      <c r="S58" s="239"/>
      <c r="T58" s="239"/>
      <c r="U58" s="239"/>
      <c r="V58" s="239"/>
      <c r="W58" s="239"/>
    </row>
    <row r="59" spans="1:23" x14ac:dyDescent="0.2">
      <c r="B59" s="246" t="s">
        <v>133</v>
      </c>
      <c r="C59" s="522">
        <f>C58*C38</f>
        <v>60</v>
      </c>
      <c r="D59" s="522">
        <f t="shared" ref="D59:N59" si="43">D58*D38</f>
        <v>60</v>
      </c>
      <c r="E59" s="522">
        <f t="shared" si="43"/>
        <v>60</v>
      </c>
      <c r="F59" s="523">
        <f t="shared" si="43"/>
        <v>60</v>
      </c>
      <c r="G59" s="523">
        <f t="shared" si="43"/>
        <v>60</v>
      </c>
      <c r="H59" s="523">
        <f t="shared" si="43"/>
        <v>60</v>
      </c>
      <c r="I59" s="524">
        <f t="shared" si="43"/>
        <v>60</v>
      </c>
      <c r="J59" s="524">
        <f t="shared" si="43"/>
        <v>60</v>
      </c>
      <c r="K59" s="524">
        <f t="shared" si="43"/>
        <v>60</v>
      </c>
      <c r="L59" s="525">
        <f t="shared" si="43"/>
        <v>60</v>
      </c>
      <c r="M59" s="525">
        <f t="shared" si="43"/>
        <v>60</v>
      </c>
      <c r="N59" s="525">
        <f t="shared" si="43"/>
        <v>60</v>
      </c>
      <c r="O59" s="239" t="s">
        <v>131</v>
      </c>
      <c r="P59" s="239"/>
      <c r="Q59" s="239"/>
      <c r="R59" s="239"/>
      <c r="S59" s="239"/>
      <c r="T59" s="239"/>
      <c r="U59" s="239"/>
      <c r="V59" s="239"/>
      <c r="W59" s="239"/>
    </row>
    <row r="60" spans="1:23" x14ac:dyDescent="0.2">
      <c r="B60" s="246" t="s">
        <v>134</v>
      </c>
      <c r="C60" s="522">
        <f t="shared" ref="C60:N60" ca="1" si="44">C59*100/C9</f>
        <v>60</v>
      </c>
      <c r="D60" s="522">
        <f t="shared" ca="1" si="44"/>
        <v>60</v>
      </c>
      <c r="E60" s="522">
        <f t="shared" ca="1" si="44"/>
        <v>60</v>
      </c>
      <c r="F60" s="523">
        <f t="shared" ca="1" si="44"/>
        <v>60</v>
      </c>
      <c r="G60" s="523">
        <f t="shared" ca="1" si="44"/>
        <v>60</v>
      </c>
      <c r="H60" s="523">
        <f t="shared" ca="1" si="44"/>
        <v>60</v>
      </c>
      <c r="I60" s="524">
        <f t="shared" ca="1" si="44"/>
        <v>60</v>
      </c>
      <c r="J60" s="524">
        <f t="shared" ca="1" si="44"/>
        <v>60</v>
      </c>
      <c r="K60" s="524">
        <f t="shared" ca="1" si="44"/>
        <v>60</v>
      </c>
      <c r="L60" s="525">
        <f t="shared" ca="1" si="44"/>
        <v>60</v>
      </c>
      <c r="M60" s="525">
        <f t="shared" ca="1" si="44"/>
        <v>60</v>
      </c>
      <c r="N60" s="525">
        <f t="shared" ca="1" si="44"/>
        <v>60</v>
      </c>
      <c r="O60" s="239" t="s">
        <v>131</v>
      </c>
      <c r="P60" s="239"/>
      <c r="Q60" s="239"/>
      <c r="R60" s="239"/>
      <c r="S60" s="239"/>
      <c r="T60" s="239"/>
      <c r="U60" s="239"/>
      <c r="V60" s="239"/>
      <c r="W60" s="239"/>
    </row>
    <row r="61" spans="1:23" x14ac:dyDescent="0.2">
      <c r="B61" s="246" t="s">
        <v>190</v>
      </c>
      <c r="C61" s="526">
        <f t="shared" ref="C61:N61" ca="1" si="45">MIN(C8,C7/(C39*365))</f>
        <v>25</v>
      </c>
      <c r="D61" s="526">
        <f t="shared" ca="1" si="45"/>
        <v>10</v>
      </c>
      <c r="E61" s="526">
        <f t="shared" ca="1" si="45"/>
        <v>17</v>
      </c>
      <c r="F61" s="527">
        <f t="shared" ca="1" si="45"/>
        <v>27.682015757521484</v>
      </c>
      <c r="G61" s="527">
        <f t="shared" ca="1" si="45"/>
        <v>11.072806303008592</v>
      </c>
      <c r="H61" s="527">
        <f t="shared" ca="1" si="45"/>
        <v>18.823770715114609</v>
      </c>
      <c r="I61" s="528">
        <f t="shared" ca="1" si="45"/>
        <v>31.442700582352686</v>
      </c>
      <c r="J61" s="528">
        <f t="shared" ca="1" si="45"/>
        <v>12.577080232941071</v>
      </c>
      <c r="K61" s="528">
        <f t="shared" ca="1" si="45"/>
        <v>21.381036395999825</v>
      </c>
      <c r="L61" s="529">
        <f t="shared" ca="1" si="45"/>
        <v>35.714285714285715</v>
      </c>
      <c r="M61" s="529">
        <f t="shared" ca="1" si="45"/>
        <v>14.285714285714285</v>
      </c>
      <c r="N61" s="529">
        <f t="shared" ca="1" si="45"/>
        <v>24.285714285714285</v>
      </c>
      <c r="O61" s="239" t="s">
        <v>7</v>
      </c>
      <c r="P61" s="239"/>
      <c r="Q61" s="239"/>
      <c r="R61" s="239"/>
      <c r="S61" s="239"/>
      <c r="T61" s="239"/>
      <c r="U61" s="239"/>
      <c r="V61" s="239"/>
      <c r="W61" s="239"/>
    </row>
    <row r="62" spans="1:23" x14ac:dyDescent="0.2">
      <c r="B62" s="246" t="s">
        <v>126</v>
      </c>
      <c r="C62" s="522">
        <f t="shared" ref="C62:N62" ca="1" si="46">C60*C14+IF(AND(C15=C31,ISNUMBER(SEARCH("Generator", $B$20))),0,C58*C15)+C49</f>
        <v>15750</v>
      </c>
      <c r="D62" s="522">
        <f t="shared" ca="1" si="46"/>
        <v>44100</v>
      </c>
      <c r="E62" s="522">
        <f t="shared" ca="1" si="46"/>
        <v>22050</v>
      </c>
      <c r="F62" s="523">
        <f t="shared" ca="1" si="46"/>
        <v>12463.045643088426</v>
      </c>
      <c r="G62" s="523">
        <f t="shared" ca="1" si="46"/>
        <v>34896.5278006476</v>
      </c>
      <c r="H62" s="523">
        <f t="shared" ca="1" si="46"/>
        <v>17448.2639003238</v>
      </c>
      <c r="I62" s="524">
        <f t="shared" ca="1" si="46"/>
        <v>9301.5156215637362</v>
      </c>
      <c r="J62" s="524">
        <f t="shared" ca="1" si="46"/>
        <v>26044.243740378464</v>
      </c>
      <c r="K62" s="524">
        <f t="shared" ca="1" si="46"/>
        <v>13022.121870189232</v>
      </c>
      <c r="L62" s="525">
        <f t="shared" ca="1" si="46"/>
        <v>6941.9783362643975</v>
      </c>
      <c r="M62" s="525">
        <f t="shared" ca="1" si="46"/>
        <v>19437.539341540312</v>
      </c>
      <c r="N62" s="525">
        <f t="shared" ca="1" si="46"/>
        <v>9718.769670770158</v>
      </c>
      <c r="O62" s="239" t="s">
        <v>175</v>
      </c>
      <c r="P62" s="239"/>
      <c r="Q62" s="239"/>
      <c r="R62" s="239"/>
      <c r="S62" s="239"/>
      <c r="T62" s="239"/>
      <c r="U62" s="239"/>
      <c r="V62" s="239"/>
      <c r="W62" s="239"/>
    </row>
    <row r="63" spans="1:23" x14ac:dyDescent="0.2">
      <c r="B63" s="246" t="s">
        <v>165</v>
      </c>
      <c r="C63" s="522">
        <f ca="1">-PMT(C48,C61,C62,0,1)+C50</f>
        <v>878.14462996724524</v>
      </c>
      <c r="D63" s="522">
        <f t="shared" ref="D63:N63" ca="1" si="47">-PMT(D48,D61,D62,0,1)+D50</f>
        <v>5019.2867391141144</v>
      </c>
      <c r="E63" s="522">
        <f t="shared" ca="1" si="47"/>
        <v>1625.9740512040141</v>
      </c>
      <c r="F63" s="523">
        <f t="shared" ca="1" si="47"/>
        <v>649.61368532172094</v>
      </c>
      <c r="G63" s="523">
        <f t="shared" ca="1" si="47"/>
        <v>3641.304579541199</v>
      </c>
      <c r="H63" s="523">
        <f t="shared" ca="1" si="47"/>
        <v>1190.9059009975433</v>
      </c>
      <c r="I63" s="524">
        <f t="shared" ca="1" si="47"/>
        <v>447.6407303249859</v>
      </c>
      <c r="J63" s="524">
        <f t="shared" ca="1" si="47"/>
        <v>2443.1967188774274</v>
      </c>
      <c r="K63" s="524">
        <f t="shared" ca="1" si="47"/>
        <v>809.62315949445895</v>
      </c>
      <c r="L63" s="525">
        <f t="shared" ca="1" si="47"/>
        <v>310.09315078949948</v>
      </c>
      <c r="M63" s="525">
        <f t="shared" ca="1" si="47"/>
        <v>1643.649173253064</v>
      </c>
      <c r="N63" s="525">
        <f t="shared" ca="1" si="47"/>
        <v>552.65349338332294</v>
      </c>
      <c r="O63" s="239" t="s">
        <v>175</v>
      </c>
      <c r="P63" s="239"/>
      <c r="Q63" s="239"/>
      <c r="R63" s="239"/>
      <c r="S63" s="239"/>
      <c r="T63" s="239"/>
      <c r="U63" s="239"/>
      <c r="V63" s="239"/>
      <c r="W63" s="239"/>
    </row>
    <row r="64" spans="1:23" x14ac:dyDescent="0.2">
      <c r="B64" s="246"/>
      <c r="C64" s="530"/>
      <c r="D64" s="530"/>
      <c r="E64" s="530"/>
      <c r="F64" s="531"/>
      <c r="G64" s="531"/>
      <c r="H64" s="531"/>
      <c r="I64" s="532"/>
      <c r="J64" s="532"/>
      <c r="K64" s="532"/>
      <c r="L64" s="533"/>
      <c r="M64" s="533"/>
      <c r="N64" s="533"/>
      <c r="O64" s="239"/>
      <c r="P64" s="239"/>
      <c r="Q64" s="239"/>
      <c r="R64" s="239"/>
      <c r="S64" s="239"/>
      <c r="T64" s="239"/>
      <c r="U64" s="239"/>
      <c r="V64" s="239"/>
      <c r="W64" s="239"/>
    </row>
    <row r="65" spans="2:23" x14ac:dyDescent="0.2">
      <c r="B65" s="247" t="s">
        <v>164</v>
      </c>
      <c r="C65" s="530"/>
      <c r="D65" s="530"/>
      <c r="E65" s="530"/>
      <c r="F65" s="531"/>
      <c r="G65" s="531"/>
      <c r="H65" s="531"/>
      <c r="I65" s="532"/>
      <c r="J65" s="532"/>
      <c r="K65" s="532"/>
      <c r="L65" s="533"/>
      <c r="M65" s="533"/>
      <c r="N65" s="533"/>
      <c r="O65" s="239"/>
      <c r="P65" s="239"/>
      <c r="Q65" s="239"/>
      <c r="R65" s="239"/>
      <c r="S65" s="239"/>
      <c r="T65" s="239"/>
      <c r="U65" s="239"/>
      <c r="V65" s="239"/>
      <c r="W65" s="239"/>
    </row>
    <row r="66" spans="2:23" x14ac:dyDescent="0.2">
      <c r="B66" s="246" t="s">
        <v>180</v>
      </c>
      <c r="C66" s="522">
        <f>C37</f>
        <v>200</v>
      </c>
      <c r="D66" s="522">
        <f t="shared" ref="D66:N66" si="48">D37</f>
        <v>200</v>
      </c>
      <c r="E66" s="522">
        <f t="shared" si="48"/>
        <v>200</v>
      </c>
      <c r="F66" s="523">
        <f t="shared" si="48"/>
        <v>200</v>
      </c>
      <c r="G66" s="523">
        <f t="shared" si="48"/>
        <v>200</v>
      </c>
      <c r="H66" s="523">
        <f t="shared" si="48"/>
        <v>200</v>
      </c>
      <c r="I66" s="524">
        <f t="shared" si="48"/>
        <v>200</v>
      </c>
      <c r="J66" s="524">
        <f t="shared" si="48"/>
        <v>200</v>
      </c>
      <c r="K66" s="524">
        <f t="shared" si="48"/>
        <v>200</v>
      </c>
      <c r="L66" s="525">
        <f t="shared" si="48"/>
        <v>200</v>
      </c>
      <c r="M66" s="525">
        <f t="shared" si="48"/>
        <v>200</v>
      </c>
      <c r="N66" s="525">
        <f t="shared" si="48"/>
        <v>200</v>
      </c>
      <c r="O66" s="239" t="s">
        <v>130</v>
      </c>
      <c r="P66" s="239"/>
      <c r="Q66" s="239"/>
      <c r="R66" s="239"/>
      <c r="S66" s="239"/>
      <c r="T66" s="239"/>
      <c r="U66" s="239"/>
      <c r="V66" s="239"/>
      <c r="W66" s="239"/>
    </row>
    <row r="67" spans="2:23" x14ac:dyDescent="0.2">
      <c r="B67" s="246" t="s">
        <v>181</v>
      </c>
      <c r="C67" s="522">
        <f t="shared" ref="C67:N67" ca="1" si="49">C66*C31</f>
        <v>14700</v>
      </c>
      <c r="D67" s="522">
        <f t="shared" ca="1" si="49"/>
        <v>37800</v>
      </c>
      <c r="E67" s="522">
        <f t="shared" ca="1" si="49"/>
        <v>21000</v>
      </c>
      <c r="F67" s="523">
        <f t="shared" ca="1" si="49"/>
        <v>11929.666162031848</v>
      </c>
      <c r="G67" s="523">
        <f t="shared" ca="1" si="49"/>
        <v>30676.284416653329</v>
      </c>
      <c r="H67" s="523">
        <f t="shared" ca="1" si="49"/>
        <v>17042.380231474071</v>
      </c>
      <c r="I67" s="524">
        <f t="shared" ca="1" si="49"/>
        <v>9188.9732115291554</v>
      </c>
      <c r="J67" s="524">
        <f t="shared" ca="1" si="49"/>
        <v>23628.788258217828</v>
      </c>
      <c r="K67" s="524">
        <f t="shared" ca="1" si="49"/>
        <v>13127.104587898793</v>
      </c>
      <c r="L67" s="525">
        <f t="shared" ca="1" si="49"/>
        <v>7077.9204996478438</v>
      </c>
      <c r="M67" s="525">
        <f t="shared" ca="1" si="49"/>
        <v>18200.366999094458</v>
      </c>
      <c r="N67" s="525">
        <f t="shared" ca="1" si="49"/>
        <v>10111.314999496921</v>
      </c>
      <c r="O67" s="239" t="s">
        <v>175</v>
      </c>
      <c r="P67" s="239"/>
      <c r="Q67" s="239"/>
      <c r="R67" s="239"/>
      <c r="S67" s="239"/>
      <c r="T67" s="239"/>
      <c r="U67" s="239"/>
      <c r="V67" s="239"/>
      <c r="W67" s="239"/>
    </row>
    <row r="68" spans="2:23" x14ac:dyDescent="0.2">
      <c r="B68" s="246" t="s">
        <v>182</v>
      </c>
      <c r="C68" s="522">
        <f ca="1">IF(C67=0,0,-PMT(C48,C24,C67,0,1))</f>
        <v>819.60165463609565</v>
      </c>
      <c r="D68" s="522">
        <f t="shared" ref="D68:N68" ca="1" si="50">IF(D67=0,0,-PMT(D48,D24,D67,0,1))</f>
        <v>3686.8610008524292</v>
      </c>
      <c r="E68" s="522">
        <f t="shared" ca="1" si="50"/>
        <v>1707.8623201049013</v>
      </c>
      <c r="F68" s="523">
        <f t="shared" ca="1" si="50"/>
        <v>665.14109698350637</v>
      </c>
      <c r="G68" s="523">
        <f t="shared" ca="1" si="50"/>
        <v>2725.8208146394259</v>
      </c>
      <c r="H68" s="523">
        <f t="shared" ca="1" si="50"/>
        <v>1268.4576330862335</v>
      </c>
      <c r="I68" s="524">
        <f t="shared" ca="1" si="50"/>
        <v>512.3331733725206</v>
      </c>
      <c r="J68" s="524">
        <f t="shared" ca="1" si="50"/>
        <v>1874.5920968746775</v>
      </c>
      <c r="K68" s="524">
        <f t="shared" ca="1" si="50"/>
        <v>877.88766840269068</v>
      </c>
      <c r="L68" s="525">
        <f t="shared" ca="1" si="50"/>
        <v>394.63097638735468</v>
      </c>
      <c r="M68" s="525">
        <f t="shared" ca="1" si="50"/>
        <v>1294.2027245493132</v>
      </c>
      <c r="N68" s="525">
        <f t="shared" ca="1" si="50"/>
        <v>610.40318357536626</v>
      </c>
      <c r="O68" s="239" t="s">
        <v>175</v>
      </c>
      <c r="P68" s="239"/>
      <c r="Q68" s="239"/>
      <c r="R68" s="239"/>
      <c r="S68" s="239"/>
      <c r="T68" s="239"/>
      <c r="U68" s="239"/>
      <c r="V68" s="239"/>
      <c r="W68" s="239"/>
    </row>
    <row r="69" spans="2:23" x14ac:dyDescent="0.2">
      <c r="B69" s="248"/>
      <c r="C69" s="530"/>
      <c r="D69" s="530"/>
      <c r="E69" s="530"/>
      <c r="F69" s="531"/>
      <c r="G69" s="531"/>
      <c r="H69" s="531"/>
      <c r="I69" s="532"/>
      <c r="J69" s="532"/>
      <c r="K69" s="532"/>
      <c r="L69" s="533"/>
      <c r="M69" s="533"/>
      <c r="N69" s="533"/>
      <c r="O69" s="239"/>
      <c r="P69" s="239"/>
      <c r="Q69" s="239"/>
      <c r="R69" s="239"/>
      <c r="S69" s="239"/>
      <c r="T69" s="239"/>
      <c r="U69" s="239"/>
      <c r="V69" s="239"/>
      <c r="W69" s="239"/>
    </row>
    <row r="70" spans="2:23" x14ac:dyDescent="0.2">
      <c r="B70" s="237" t="s">
        <v>283</v>
      </c>
      <c r="C70" s="530"/>
      <c r="D70" s="530"/>
      <c r="E70" s="530"/>
      <c r="F70" s="531"/>
      <c r="G70" s="531"/>
      <c r="H70" s="531"/>
      <c r="I70" s="532"/>
      <c r="J70" s="532"/>
      <c r="K70" s="532"/>
      <c r="L70" s="533"/>
      <c r="M70" s="533"/>
      <c r="N70" s="533"/>
      <c r="O70" s="239"/>
      <c r="P70" s="239"/>
      <c r="Q70" s="239"/>
      <c r="R70" s="239"/>
      <c r="S70" s="239"/>
      <c r="T70" s="239"/>
      <c r="U70" s="239"/>
      <c r="V70" s="239"/>
      <c r="W70" s="239"/>
    </row>
    <row r="71" spans="2:23" x14ac:dyDescent="0.2">
      <c r="B71" s="246" t="s">
        <v>168</v>
      </c>
      <c r="C71" s="522">
        <f t="shared" ref="C71:N71" ca="1" si="51">C67+C62</f>
        <v>30450</v>
      </c>
      <c r="D71" s="522">
        <f t="shared" ca="1" si="51"/>
        <v>81900</v>
      </c>
      <c r="E71" s="522">
        <f t="shared" ca="1" si="51"/>
        <v>43050</v>
      </c>
      <c r="F71" s="523">
        <f t="shared" ca="1" si="51"/>
        <v>24392.711805120274</v>
      </c>
      <c r="G71" s="523">
        <f t="shared" ca="1" si="51"/>
        <v>65572.812217300932</v>
      </c>
      <c r="H71" s="523">
        <f t="shared" ca="1" si="51"/>
        <v>34490.644131797875</v>
      </c>
      <c r="I71" s="524">
        <f t="shared" ca="1" si="51"/>
        <v>18490.488833092892</v>
      </c>
      <c r="J71" s="524">
        <f t="shared" ca="1" si="51"/>
        <v>49673.031998596292</v>
      </c>
      <c r="K71" s="524">
        <f t="shared" ca="1" si="51"/>
        <v>26149.226458088026</v>
      </c>
      <c r="L71" s="525">
        <f t="shared" ca="1" si="51"/>
        <v>14019.898835912241</v>
      </c>
      <c r="M71" s="525">
        <f t="shared" ca="1" si="51"/>
        <v>37637.90634063477</v>
      </c>
      <c r="N71" s="525">
        <f t="shared" ca="1" si="51"/>
        <v>19830.084670267079</v>
      </c>
      <c r="O71" s="239" t="s">
        <v>175</v>
      </c>
      <c r="P71" s="239"/>
      <c r="Q71" s="239"/>
      <c r="R71" s="239"/>
      <c r="S71" s="239"/>
      <c r="T71" s="239"/>
      <c r="U71" s="239"/>
      <c r="V71" s="239"/>
      <c r="W71" s="239"/>
    </row>
    <row r="72" spans="2:23" x14ac:dyDescent="0.2">
      <c r="B72" s="246" t="s">
        <v>191</v>
      </c>
      <c r="C72" s="522">
        <f ca="1">C71/C59</f>
        <v>507.5</v>
      </c>
      <c r="D72" s="522">
        <f t="shared" ref="D72:N72" ca="1" si="52">D71/D59</f>
        <v>1365</v>
      </c>
      <c r="E72" s="522">
        <f t="shared" ca="1" si="52"/>
        <v>717.5</v>
      </c>
      <c r="F72" s="523">
        <f t="shared" ca="1" si="52"/>
        <v>406.54519675200459</v>
      </c>
      <c r="G72" s="523">
        <f t="shared" ca="1" si="52"/>
        <v>1092.8802036216823</v>
      </c>
      <c r="H72" s="523">
        <f t="shared" ca="1" si="52"/>
        <v>574.84406886329793</v>
      </c>
      <c r="I72" s="524">
        <f t="shared" ca="1" si="52"/>
        <v>308.17481388488153</v>
      </c>
      <c r="J72" s="524">
        <f t="shared" ca="1" si="52"/>
        <v>827.88386664327152</v>
      </c>
      <c r="K72" s="524">
        <f t="shared" ca="1" si="52"/>
        <v>435.82044096813377</v>
      </c>
      <c r="L72" s="525">
        <f t="shared" ca="1" si="52"/>
        <v>233.66498059853737</v>
      </c>
      <c r="M72" s="525">
        <f t="shared" ca="1" si="52"/>
        <v>627.2984390105795</v>
      </c>
      <c r="N72" s="525">
        <f t="shared" ca="1" si="52"/>
        <v>330.50141117111798</v>
      </c>
      <c r="O72" s="239" t="s">
        <v>175</v>
      </c>
      <c r="P72" s="239"/>
      <c r="Q72" s="239"/>
      <c r="R72" s="239"/>
      <c r="S72" s="239"/>
      <c r="T72" s="239"/>
      <c r="U72" s="239"/>
      <c r="V72" s="239"/>
      <c r="W72" s="239"/>
    </row>
    <row r="73" spans="2:23" x14ac:dyDescent="0.2">
      <c r="B73" s="246"/>
      <c r="C73" s="530"/>
      <c r="D73" s="530"/>
      <c r="E73" s="530"/>
      <c r="F73" s="531"/>
      <c r="G73" s="531"/>
      <c r="H73" s="531"/>
      <c r="I73" s="532"/>
      <c r="J73" s="532"/>
      <c r="K73" s="532"/>
      <c r="L73" s="533"/>
      <c r="M73" s="533"/>
      <c r="N73" s="533"/>
      <c r="O73" s="239"/>
      <c r="P73" s="239"/>
      <c r="Q73" s="239"/>
      <c r="R73" s="239"/>
      <c r="S73" s="239"/>
      <c r="T73" s="239"/>
      <c r="U73" s="239"/>
      <c r="V73" s="239"/>
      <c r="W73" s="239"/>
    </row>
    <row r="74" spans="2:23" x14ac:dyDescent="0.2">
      <c r="B74" s="237" t="s">
        <v>142</v>
      </c>
      <c r="C74" s="530"/>
      <c r="D74" s="530"/>
      <c r="E74" s="530"/>
      <c r="F74" s="531"/>
      <c r="G74" s="531"/>
      <c r="H74" s="531"/>
      <c r="I74" s="532"/>
      <c r="J74" s="532"/>
      <c r="K74" s="532"/>
      <c r="L74" s="533"/>
      <c r="M74" s="533"/>
      <c r="N74" s="533"/>
      <c r="O74" s="239"/>
      <c r="P74" s="239"/>
      <c r="Q74" s="239"/>
      <c r="R74" s="239"/>
      <c r="S74" s="239"/>
      <c r="T74" s="239"/>
      <c r="U74" s="239"/>
      <c r="V74" s="239"/>
      <c r="W74" s="239"/>
    </row>
    <row r="75" spans="2:23" x14ac:dyDescent="0.2">
      <c r="B75" s="246" t="s">
        <v>132</v>
      </c>
      <c r="C75" s="522">
        <f t="shared" ref="C75:N75" si="53">C59*C39*365</f>
        <v>1200</v>
      </c>
      <c r="D75" s="522">
        <f t="shared" si="53"/>
        <v>1200</v>
      </c>
      <c r="E75" s="522">
        <f t="shared" si="53"/>
        <v>1200</v>
      </c>
      <c r="F75" s="523">
        <f t="shared" si="53"/>
        <v>1200</v>
      </c>
      <c r="G75" s="523">
        <f t="shared" si="53"/>
        <v>1200</v>
      </c>
      <c r="H75" s="523">
        <f t="shared" si="53"/>
        <v>1200</v>
      </c>
      <c r="I75" s="524">
        <f t="shared" si="53"/>
        <v>1200</v>
      </c>
      <c r="J75" s="524">
        <f t="shared" si="53"/>
        <v>1200</v>
      </c>
      <c r="K75" s="524">
        <f t="shared" si="53"/>
        <v>1200</v>
      </c>
      <c r="L75" s="525">
        <f t="shared" si="53"/>
        <v>1200</v>
      </c>
      <c r="M75" s="525">
        <f t="shared" si="53"/>
        <v>1200</v>
      </c>
      <c r="N75" s="525">
        <f t="shared" si="53"/>
        <v>1200</v>
      </c>
      <c r="O75" s="239" t="s">
        <v>131</v>
      </c>
      <c r="P75" s="239"/>
      <c r="Q75" s="239"/>
      <c r="R75" s="239"/>
      <c r="S75" s="239"/>
      <c r="T75" s="239"/>
      <c r="U75" s="239"/>
      <c r="V75" s="239"/>
      <c r="W75" s="239"/>
    </row>
    <row r="76" spans="2:23" x14ac:dyDescent="0.2">
      <c r="B76" s="246" t="s">
        <v>136</v>
      </c>
      <c r="C76" s="522">
        <f t="shared" ref="C76:N76" ca="1" si="54">C10*C26/100</f>
        <v>88.2</v>
      </c>
      <c r="D76" s="522">
        <f t="shared" ca="1" si="54"/>
        <v>68.599999999999994</v>
      </c>
      <c r="E76" s="522">
        <f t="shared" ca="1" si="54"/>
        <v>78.400000000000006</v>
      </c>
      <c r="F76" s="523">
        <f t="shared" ca="1" si="54"/>
        <v>89.741048437098712</v>
      </c>
      <c r="G76" s="523">
        <f t="shared" ca="1" si="54"/>
        <v>69.798593228854571</v>
      </c>
      <c r="H76" s="523">
        <f t="shared" ca="1" si="54"/>
        <v>79.769820832976635</v>
      </c>
      <c r="I76" s="524">
        <f t="shared" ca="1" si="54"/>
        <v>91.705277937868019</v>
      </c>
      <c r="J76" s="524">
        <f t="shared" ca="1" si="54"/>
        <v>71.32632728500846</v>
      </c>
      <c r="K76" s="524">
        <f t="shared" ca="1" si="54"/>
        <v>81.515802611438247</v>
      </c>
      <c r="L76" s="525">
        <f t="shared" ca="1" si="54"/>
        <v>93.712499999999977</v>
      </c>
      <c r="M76" s="525">
        <f t="shared" ca="1" si="54"/>
        <v>72.887500000000003</v>
      </c>
      <c r="N76" s="525">
        <f t="shared" ca="1" si="54"/>
        <v>83.3</v>
      </c>
      <c r="O76" s="239" t="s">
        <v>9</v>
      </c>
      <c r="P76" s="239"/>
      <c r="Q76" s="239"/>
      <c r="R76" s="239"/>
      <c r="S76" s="239"/>
      <c r="T76" s="239"/>
      <c r="U76" s="239"/>
      <c r="V76" s="239"/>
      <c r="W76" s="239"/>
    </row>
    <row r="77" spans="2:23" x14ac:dyDescent="0.2">
      <c r="B77" s="246" t="s">
        <v>137</v>
      </c>
      <c r="C77" s="522">
        <f ca="1">(100-C76)*C75/C76</f>
        <v>160.54421768707479</v>
      </c>
      <c r="D77" s="522">
        <f ca="1">(100-D76)*D75/D76</f>
        <v>549.27113702623922</v>
      </c>
      <c r="E77" s="522">
        <f ca="1">(100-E76)*E75/E76</f>
        <v>330.61224489795904</v>
      </c>
      <c r="F77" s="523">
        <f t="shared" ref="F77:N77" ca="1" si="55">(100-F76)*F75/F76</f>
        <v>137.1807226445587</v>
      </c>
      <c r="G77" s="523">
        <f t="shared" ca="1" si="55"/>
        <v>519.23235768586073</v>
      </c>
      <c r="H77" s="523">
        <f t="shared" ca="1" si="55"/>
        <v>304.32831297512848</v>
      </c>
      <c r="I77" s="524">
        <f t="shared" ca="1" si="55"/>
        <v>108.5397340085722</v>
      </c>
      <c r="J77" s="524">
        <f t="shared" ca="1" si="55"/>
        <v>482.40822943959279</v>
      </c>
      <c r="K77" s="524">
        <f t="shared" ca="1" si="55"/>
        <v>272.1072007596436</v>
      </c>
      <c r="L77" s="525">
        <f t="shared" ca="1" si="55"/>
        <v>80.512204881953096</v>
      </c>
      <c r="M77" s="525">
        <f t="shared" ca="1" si="55"/>
        <v>446.37283484822495</v>
      </c>
      <c r="N77" s="525">
        <f t="shared" ca="1" si="55"/>
        <v>240.57623049219694</v>
      </c>
      <c r="O77" s="239" t="s">
        <v>131</v>
      </c>
      <c r="P77" s="239"/>
      <c r="Q77" s="239"/>
      <c r="R77" s="239"/>
      <c r="S77" s="239"/>
      <c r="T77" s="239"/>
      <c r="U77" s="239"/>
      <c r="V77" s="239"/>
      <c r="W77" s="239"/>
    </row>
    <row r="78" spans="2:23" x14ac:dyDescent="0.2">
      <c r="B78" s="246" t="s">
        <v>138</v>
      </c>
      <c r="C78" s="522">
        <f ca="1">C77*C40/100</f>
        <v>28.897959183673461</v>
      </c>
      <c r="D78" s="522">
        <f t="shared" ref="D78:N78" ca="1" si="56">D77*D40/100</f>
        <v>98.868804664723072</v>
      </c>
      <c r="E78" s="522">
        <f t="shared" ca="1" si="56"/>
        <v>59.510204081632629</v>
      </c>
      <c r="F78" s="523">
        <f t="shared" ca="1" si="56"/>
        <v>24.692530076020567</v>
      </c>
      <c r="G78" s="523">
        <f t="shared" ca="1" si="56"/>
        <v>93.461824383454939</v>
      </c>
      <c r="H78" s="523">
        <f t="shared" ca="1" si="56"/>
        <v>54.779096335523128</v>
      </c>
      <c r="I78" s="524">
        <f t="shared" ca="1" si="56"/>
        <v>19.537152121542995</v>
      </c>
      <c r="J78" s="524">
        <f t="shared" ca="1" si="56"/>
        <v>86.833481299126703</v>
      </c>
      <c r="K78" s="524">
        <f t="shared" ca="1" si="56"/>
        <v>48.979296136735847</v>
      </c>
      <c r="L78" s="525">
        <f t="shared" ca="1" si="56"/>
        <v>14.492196878751557</v>
      </c>
      <c r="M78" s="525">
        <f t="shared" ca="1" si="56"/>
        <v>80.347110272680496</v>
      </c>
      <c r="N78" s="525">
        <f t="shared" ca="1" si="56"/>
        <v>43.30372148859545</v>
      </c>
      <c r="O78" s="239" t="s">
        <v>175</v>
      </c>
      <c r="P78" s="239"/>
      <c r="Q78" s="239"/>
      <c r="R78" s="239"/>
      <c r="S78" s="239"/>
      <c r="T78" s="239"/>
      <c r="U78" s="239"/>
      <c r="V78" s="239"/>
      <c r="W78" s="239"/>
    </row>
    <row r="79" spans="2:23" x14ac:dyDescent="0.2">
      <c r="B79" s="237"/>
      <c r="C79" s="530"/>
      <c r="D79" s="530"/>
      <c r="E79" s="530"/>
      <c r="F79" s="531"/>
      <c r="G79" s="531"/>
      <c r="H79" s="531"/>
      <c r="I79" s="532"/>
      <c r="J79" s="532"/>
      <c r="K79" s="532"/>
      <c r="L79" s="533"/>
      <c r="M79" s="533"/>
      <c r="N79" s="533"/>
      <c r="O79" s="239"/>
      <c r="P79" s="239"/>
      <c r="Q79" s="239"/>
      <c r="R79" s="239"/>
      <c r="S79" s="239"/>
      <c r="T79" s="239"/>
      <c r="U79" s="239"/>
      <c r="V79" s="239"/>
      <c r="W79" s="239"/>
    </row>
    <row r="80" spans="2:23" x14ac:dyDescent="0.2">
      <c r="B80" s="246" t="s">
        <v>139</v>
      </c>
      <c r="C80" s="522">
        <f t="shared" ref="C80:N80" ca="1" si="57">C11*C60*365/100</f>
        <v>10.95</v>
      </c>
      <c r="D80" s="522">
        <f t="shared" ca="1" si="57"/>
        <v>219</v>
      </c>
      <c r="E80" s="522">
        <f t="shared" ca="1" si="57"/>
        <v>10.95</v>
      </c>
      <c r="F80" s="523">
        <f t="shared" ca="1" si="57"/>
        <v>10.950000000000003</v>
      </c>
      <c r="G80" s="523">
        <f t="shared" ca="1" si="57"/>
        <v>219</v>
      </c>
      <c r="H80" s="523">
        <f t="shared" ca="1" si="57"/>
        <v>10.95</v>
      </c>
      <c r="I80" s="524">
        <f t="shared" ca="1" si="57"/>
        <v>10.950000000000003</v>
      </c>
      <c r="J80" s="524">
        <f t="shared" ca="1" si="57"/>
        <v>219</v>
      </c>
      <c r="K80" s="524">
        <f t="shared" ca="1" si="57"/>
        <v>10.95</v>
      </c>
      <c r="L80" s="525">
        <f t="shared" ca="1" si="57"/>
        <v>10.950000000000003</v>
      </c>
      <c r="M80" s="525">
        <f t="shared" ca="1" si="57"/>
        <v>219</v>
      </c>
      <c r="N80" s="525">
        <f t="shared" ca="1" si="57"/>
        <v>10.95</v>
      </c>
      <c r="O80" s="239" t="s">
        <v>131</v>
      </c>
      <c r="P80" s="239"/>
      <c r="Q80" s="239"/>
      <c r="R80" s="239"/>
      <c r="S80" s="239"/>
      <c r="T80" s="239"/>
      <c r="U80" s="239"/>
      <c r="V80" s="239"/>
      <c r="W80" s="239"/>
    </row>
    <row r="81" spans="1:23" x14ac:dyDescent="0.2">
      <c r="B81" s="246" t="s">
        <v>140</v>
      </c>
      <c r="C81" s="522">
        <f ca="1">C80*C40/100</f>
        <v>1.9709999999999999</v>
      </c>
      <c r="D81" s="522">
        <f t="shared" ref="D81:N81" ca="1" si="58">D80*D40/100</f>
        <v>39.42</v>
      </c>
      <c r="E81" s="522">
        <f t="shared" ca="1" si="58"/>
        <v>1.9709999999999999</v>
      </c>
      <c r="F81" s="523">
        <f t="shared" ca="1" si="58"/>
        <v>1.9710000000000005</v>
      </c>
      <c r="G81" s="523">
        <f t="shared" ca="1" si="58"/>
        <v>39.42</v>
      </c>
      <c r="H81" s="523">
        <f t="shared" ca="1" si="58"/>
        <v>1.9709999999999999</v>
      </c>
      <c r="I81" s="524">
        <f t="shared" ca="1" si="58"/>
        <v>1.9710000000000005</v>
      </c>
      <c r="J81" s="524">
        <f t="shared" ca="1" si="58"/>
        <v>39.42</v>
      </c>
      <c r="K81" s="524">
        <f t="shared" ca="1" si="58"/>
        <v>1.9709999999999999</v>
      </c>
      <c r="L81" s="525">
        <f t="shared" ca="1" si="58"/>
        <v>1.9710000000000005</v>
      </c>
      <c r="M81" s="525">
        <f t="shared" ca="1" si="58"/>
        <v>39.42</v>
      </c>
      <c r="N81" s="525">
        <f t="shared" ca="1" si="58"/>
        <v>1.9709999999999999</v>
      </c>
      <c r="O81" s="239" t="s">
        <v>175</v>
      </c>
      <c r="P81" s="239"/>
      <c r="Q81" s="239"/>
      <c r="R81" s="239"/>
      <c r="S81" s="239"/>
      <c r="T81" s="239"/>
      <c r="U81" s="239"/>
      <c r="V81" s="239"/>
      <c r="W81" s="239"/>
    </row>
    <row r="82" spans="1:23" x14ac:dyDescent="0.2">
      <c r="B82" s="237"/>
      <c r="C82" s="530"/>
      <c r="D82" s="530"/>
      <c r="E82" s="530"/>
      <c r="F82" s="531"/>
      <c r="G82" s="531"/>
      <c r="H82" s="531"/>
      <c r="I82" s="532"/>
      <c r="J82" s="532"/>
      <c r="K82" s="532"/>
      <c r="L82" s="533"/>
      <c r="M82" s="533"/>
      <c r="N82" s="533"/>
      <c r="O82" s="239"/>
      <c r="P82" s="239"/>
      <c r="Q82" s="239"/>
      <c r="R82" s="239"/>
      <c r="S82" s="239"/>
      <c r="T82" s="239"/>
      <c r="U82" s="239"/>
      <c r="V82" s="239"/>
      <c r="W82" s="239"/>
    </row>
    <row r="83" spans="1:23" x14ac:dyDescent="0.2">
      <c r="B83" s="237" t="s">
        <v>129</v>
      </c>
      <c r="C83" s="530"/>
      <c r="D83" s="530"/>
      <c r="E83" s="530"/>
      <c r="F83" s="531"/>
      <c r="G83" s="531"/>
      <c r="H83" s="531"/>
      <c r="I83" s="532"/>
      <c r="J83" s="532"/>
      <c r="K83" s="532"/>
      <c r="L83" s="533"/>
      <c r="M83" s="533"/>
      <c r="N83" s="533"/>
      <c r="O83" s="239"/>
      <c r="P83" s="239"/>
      <c r="Q83" s="239"/>
      <c r="R83" s="239"/>
      <c r="S83" s="239"/>
      <c r="T83" s="239"/>
      <c r="U83" s="239"/>
      <c r="V83" s="239"/>
      <c r="W83" s="239"/>
    </row>
    <row r="84" spans="1:23" x14ac:dyDescent="0.2">
      <c r="B84" s="246" t="s">
        <v>166</v>
      </c>
      <c r="C84" s="526">
        <f ca="1">C63+C68</f>
        <v>1697.7462846033409</v>
      </c>
      <c r="D84" s="526">
        <f t="shared" ref="D84:N84" ca="1" si="59">D63+D68</f>
        <v>8706.1477399665437</v>
      </c>
      <c r="E84" s="526">
        <f t="shared" ca="1" si="59"/>
        <v>3333.8363713089157</v>
      </c>
      <c r="F84" s="527">
        <f t="shared" ca="1" si="59"/>
        <v>1314.7547823052273</v>
      </c>
      <c r="G84" s="527">
        <f t="shared" ca="1" si="59"/>
        <v>6367.1253941806244</v>
      </c>
      <c r="H84" s="527">
        <f t="shared" ca="1" si="59"/>
        <v>2459.3635340837768</v>
      </c>
      <c r="I84" s="528">
        <f t="shared" ca="1" si="59"/>
        <v>959.97390369750656</v>
      </c>
      <c r="J84" s="528">
        <f t="shared" ca="1" si="59"/>
        <v>4317.7888157521047</v>
      </c>
      <c r="K84" s="528">
        <f t="shared" ca="1" si="59"/>
        <v>1687.5108278971497</v>
      </c>
      <c r="L84" s="529">
        <f t="shared" ca="1" si="59"/>
        <v>704.72412717685415</v>
      </c>
      <c r="M84" s="529">
        <f t="shared" ca="1" si="59"/>
        <v>2937.8518978023772</v>
      </c>
      <c r="N84" s="529">
        <f t="shared" ca="1" si="59"/>
        <v>1163.0566769586892</v>
      </c>
      <c r="O84" s="237" t="s">
        <v>175</v>
      </c>
      <c r="P84" s="239"/>
      <c r="Q84" s="239"/>
      <c r="R84" s="239"/>
      <c r="S84" s="239"/>
      <c r="T84" s="239"/>
      <c r="U84" s="239"/>
      <c r="V84" s="239"/>
      <c r="W84" s="239"/>
    </row>
    <row r="85" spans="1:23" x14ac:dyDescent="0.2">
      <c r="B85" s="249" t="s">
        <v>169</v>
      </c>
      <c r="C85" s="534">
        <f ca="1">C84-C86</f>
        <v>1218</v>
      </c>
      <c r="D85" s="534">
        <f t="shared" ref="D85:N85" ca="1" si="60">D84-D86</f>
        <v>7560</v>
      </c>
      <c r="E85" s="534">
        <f t="shared" ca="1" si="60"/>
        <v>2697.0588235294117</v>
      </c>
      <c r="F85" s="535">
        <f t="shared" ca="1" si="60"/>
        <v>927.40839883693798</v>
      </c>
      <c r="G85" s="535">
        <f t="shared" ca="1" si="60"/>
        <v>5434.5471786834478</v>
      </c>
      <c r="H85" s="535">
        <f t="shared" ca="1" si="60"/>
        <v>1941.5915426223037</v>
      </c>
      <c r="I85" s="536">
        <f t="shared" ca="1" si="60"/>
        <v>663.3832517314213</v>
      </c>
      <c r="J85" s="536">
        <f t="shared" ca="1" si="60"/>
        <v>3597.4499630850669</v>
      </c>
      <c r="K85" s="536">
        <f t="shared" ca="1" si="60"/>
        <v>1287.5743885181273</v>
      </c>
      <c r="L85" s="537">
        <f t="shared" ca="1" si="60"/>
        <v>477.49221340131692</v>
      </c>
      <c r="M85" s="537">
        <f t="shared" ca="1" si="60"/>
        <v>2381.5458884745622</v>
      </c>
      <c r="N85" s="537">
        <f t="shared" ca="1" si="60"/>
        <v>853.92602664307401</v>
      </c>
      <c r="O85" s="468" t="s">
        <v>175</v>
      </c>
      <c r="P85" s="239"/>
      <c r="Q85" s="239"/>
      <c r="R85" s="239"/>
      <c r="S85" s="239"/>
      <c r="T85" s="239"/>
      <c r="U85" s="239"/>
      <c r="V85" s="239"/>
      <c r="W85" s="239"/>
    </row>
    <row r="86" spans="1:23" x14ac:dyDescent="0.2">
      <c r="B86" s="249" t="s">
        <v>167</v>
      </c>
      <c r="C86" s="534">
        <f ca="1">C63-(C62/C8)+IF(C68=0,0,C68-(C67/C24))</f>
        <v>479.74628460334088</v>
      </c>
      <c r="D86" s="534">
        <f t="shared" ref="D86:N86" ca="1" si="61">D63-(D62/D8)+IF(D68=0,0,D68-(D67/D24))</f>
        <v>1146.1477399665437</v>
      </c>
      <c r="E86" s="534">
        <f t="shared" ca="1" si="61"/>
        <v>636.77754777950372</v>
      </c>
      <c r="F86" s="535">
        <f t="shared" ca="1" si="61"/>
        <v>387.34638346828933</v>
      </c>
      <c r="G86" s="535">
        <f t="shared" ca="1" si="61"/>
        <v>932.5782154971771</v>
      </c>
      <c r="H86" s="535">
        <f t="shared" ca="1" si="61"/>
        <v>517.77199146147302</v>
      </c>
      <c r="I86" s="536">
        <f t="shared" ca="1" si="61"/>
        <v>296.59065196608532</v>
      </c>
      <c r="J86" s="536">
        <f t="shared" ca="1" si="61"/>
        <v>720.3388526670376</v>
      </c>
      <c r="K86" s="536">
        <f t="shared" ca="1" si="61"/>
        <v>399.93643937902243</v>
      </c>
      <c r="L86" s="537">
        <f t="shared" ca="1" si="61"/>
        <v>227.23191377553727</v>
      </c>
      <c r="M86" s="537">
        <f t="shared" ca="1" si="61"/>
        <v>556.30600932781488</v>
      </c>
      <c r="N86" s="537">
        <f t="shared" ca="1" si="61"/>
        <v>309.13065031561513</v>
      </c>
      <c r="O86" s="468" t="s">
        <v>175</v>
      </c>
      <c r="P86" s="239"/>
      <c r="Q86" s="239"/>
      <c r="R86" s="239"/>
      <c r="S86" s="239"/>
      <c r="T86" s="239"/>
      <c r="U86" s="239"/>
      <c r="V86" s="239"/>
      <c r="W86" s="239"/>
    </row>
    <row r="87" spans="1:23" x14ac:dyDescent="0.2">
      <c r="B87" s="246" t="s">
        <v>144</v>
      </c>
      <c r="C87" s="526">
        <f t="shared" ref="C87:N87" ca="1" si="62">C47*C67+C46*C62</f>
        <v>456.75</v>
      </c>
      <c r="D87" s="526">
        <f t="shared" ca="1" si="62"/>
        <v>1228.5</v>
      </c>
      <c r="E87" s="526">
        <f t="shared" ca="1" si="62"/>
        <v>645.75</v>
      </c>
      <c r="F87" s="527">
        <f t="shared" ca="1" si="62"/>
        <v>365.89067707680408</v>
      </c>
      <c r="G87" s="527">
        <f t="shared" ca="1" si="62"/>
        <v>983.59218325951383</v>
      </c>
      <c r="H87" s="527">
        <f t="shared" ca="1" si="62"/>
        <v>517.35966197696803</v>
      </c>
      <c r="I87" s="528">
        <f t="shared" ca="1" si="62"/>
        <v>277.35733249639338</v>
      </c>
      <c r="J87" s="528">
        <f t="shared" ca="1" si="62"/>
        <v>745.09547997894447</v>
      </c>
      <c r="K87" s="528">
        <f t="shared" ca="1" si="62"/>
        <v>392.23839687132039</v>
      </c>
      <c r="L87" s="529">
        <f t="shared" ca="1" si="62"/>
        <v>210.29848253868363</v>
      </c>
      <c r="M87" s="529">
        <f t="shared" ca="1" si="62"/>
        <v>564.56859510952154</v>
      </c>
      <c r="N87" s="529">
        <f t="shared" ca="1" si="62"/>
        <v>297.45127005400616</v>
      </c>
      <c r="O87" s="237" t="s">
        <v>175</v>
      </c>
      <c r="P87" s="239"/>
      <c r="Q87" s="239"/>
      <c r="R87" s="239"/>
      <c r="S87" s="239"/>
      <c r="T87" s="239"/>
      <c r="U87" s="239"/>
      <c r="V87" s="239"/>
      <c r="W87" s="239"/>
    </row>
    <row r="88" spans="1:23" x14ac:dyDescent="0.2">
      <c r="B88" s="246" t="s">
        <v>135</v>
      </c>
      <c r="C88" s="526">
        <f ca="1">C78</f>
        <v>28.897959183673461</v>
      </c>
      <c r="D88" s="526">
        <f t="shared" ref="D88:N88" ca="1" si="63">D78</f>
        <v>98.868804664723072</v>
      </c>
      <c r="E88" s="526">
        <f t="shared" ca="1" si="63"/>
        <v>59.510204081632629</v>
      </c>
      <c r="F88" s="527">
        <f t="shared" ca="1" si="63"/>
        <v>24.692530076020567</v>
      </c>
      <c r="G88" s="527">
        <f t="shared" ca="1" si="63"/>
        <v>93.461824383454939</v>
      </c>
      <c r="H88" s="527">
        <f t="shared" ca="1" si="63"/>
        <v>54.779096335523128</v>
      </c>
      <c r="I88" s="528">
        <f t="shared" ca="1" si="63"/>
        <v>19.537152121542995</v>
      </c>
      <c r="J88" s="528">
        <f t="shared" ca="1" si="63"/>
        <v>86.833481299126703</v>
      </c>
      <c r="K88" s="528">
        <f t="shared" ca="1" si="63"/>
        <v>48.979296136735847</v>
      </c>
      <c r="L88" s="529">
        <f t="shared" ca="1" si="63"/>
        <v>14.492196878751557</v>
      </c>
      <c r="M88" s="529">
        <f t="shared" ca="1" si="63"/>
        <v>80.347110272680496</v>
      </c>
      <c r="N88" s="529">
        <f t="shared" ca="1" si="63"/>
        <v>43.30372148859545</v>
      </c>
      <c r="O88" s="237" t="s">
        <v>175</v>
      </c>
      <c r="P88" s="239"/>
      <c r="Q88" s="239"/>
      <c r="R88" s="239"/>
      <c r="S88" s="239"/>
      <c r="T88" s="239"/>
      <c r="U88" s="239"/>
      <c r="V88" s="239"/>
      <c r="W88" s="239"/>
    </row>
    <row r="89" spans="1:23" x14ac:dyDescent="0.2">
      <c r="B89" s="246" t="s">
        <v>79</v>
      </c>
      <c r="C89" s="526">
        <f ca="1">C81</f>
        <v>1.9709999999999999</v>
      </c>
      <c r="D89" s="526">
        <f t="shared" ref="D89:N89" ca="1" si="64">D81</f>
        <v>39.42</v>
      </c>
      <c r="E89" s="526">
        <f t="shared" ca="1" si="64"/>
        <v>1.9709999999999999</v>
      </c>
      <c r="F89" s="527">
        <f t="shared" ca="1" si="64"/>
        <v>1.9710000000000005</v>
      </c>
      <c r="G89" s="527">
        <f t="shared" ca="1" si="64"/>
        <v>39.42</v>
      </c>
      <c r="H89" s="527">
        <f t="shared" ca="1" si="64"/>
        <v>1.9709999999999999</v>
      </c>
      <c r="I89" s="528">
        <f t="shared" ca="1" si="64"/>
        <v>1.9710000000000005</v>
      </c>
      <c r="J89" s="528">
        <f t="shared" ca="1" si="64"/>
        <v>39.42</v>
      </c>
      <c r="K89" s="528">
        <f t="shared" ca="1" si="64"/>
        <v>1.9709999999999999</v>
      </c>
      <c r="L89" s="529">
        <f t="shared" ca="1" si="64"/>
        <v>1.9710000000000005</v>
      </c>
      <c r="M89" s="529">
        <f t="shared" ca="1" si="64"/>
        <v>39.42</v>
      </c>
      <c r="N89" s="529">
        <f t="shared" ca="1" si="64"/>
        <v>1.9709999999999999</v>
      </c>
      <c r="O89" s="237" t="s">
        <v>175</v>
      </c>
      <c r="P89" s="239"/>
      <c r="Q89" s="239"/>
      <c r="R89" s="239"/>
      <c r="S89" s="239"/>
      <c r="T89" s="239"/>
      <c r="U89" s="239"/>
      <c r="V89" s="239"/>
      <c r="W89" s="239"/>
    </row>
    <row r="90" spans="1:23" x14ac:dyDescent="0.2">
      <c r="B90" s="246" t="s">
        <v>143</v>
      </c>
      <c r="C90" s="526">
        <f ca="1">C84+SUM(C87:C89)</f>
        <v>2185.3652437870142</v>
      </c>
      <c r="D90" s="526">
        <f t="shared" ref="D90:N90" ca="1" si="65">D84+SUM(D87:D89)</f>
        <v>10072.936544631266</v>
      </c>
      <c r="E90" s="526">
        <f t="shared" ca="1" si="65"/>
        <v>4041.0675753905484</v>
      </c>
      <c r="F90" s="527">
        <f t="shared" ca="1" si="65"/>
        <v>1707.3089894580519</v>
      </c>
      <c r="G90" s="527">
        <f t="shared" ca="1" si="65"/>
        <v>7483.5994018235933</v>
      </c>
      <c r="H90" s="527">
        <f t="shared" ca="1" si="65"/>
        <v>3033.4732923962679</v>
      </c>
      <c r="I90" s="528">
        <f t="shared" ca="1" si="65"/>
        <v>1258.8393883154429</v>
      </c>
      <c r="J90" s="528">
        <f t="shared" ca="1" si="65"/>
        <v>5189.137777030176</v>
      </c>
      <c r="K90" s="528">
        <f t="shared" ca="1" si="65"/>
        <v>2130.6995209052061</v>
      </c>
      <c r="L90" s="529">
        <f t="shared" ca="1" si="65"/>
        <v>931.48580659428933</v>
      </c>
      <c r="M90" s="529">
        <f t="shared" ca="1" si="65"/>
        <v>3622.1876031845791</v>
      </c>
      <c r="N90" s="529">
        <f t="shared" ca="1" si="65"/>
        <v>1505.7826685012908</v>
      </c>
      <c r="O90" s="237" t="s">
        <v>175</v>
      </c>
      <c r="P90" s="239"/>
      <c r="Q90" s="239"/>
      <c r="R90" s="239"/>
      <c r="S90" s="239"/>
      <c r="T90" s="239"/>
      <c r="U90" s="239"/>
      <c r="V90" s="239"/>
      <c r="W90" s="239"/>
    </row>
    <row r="91" spans="1:23" x14ac:dyDescent="0.2">
      <c r="B91" s="239"/>
      <c r="C91" s="516"/>
      <c r="D91" s="516"/>
      <c r="E91" s="516"/>
      <c r="F91" s="516"/>
      <c r="G91" s="516"/>
      <c r="H91" s="516"/>
      <c r="I91" s="516"/>
      <c r="J91" s="516"/>
      <c r="K91" s="516"/>
      <c r="L91" s="517"/>
      <c r="M91" s="517"/>
      <c r="N91" s="517"/>
      <c r="O91" s="239"/>
      <c r="P91" s="239"/>
      <c r="Q91" s="239"/>
      <c r="R91" s="239"/>
      <c r="S91" s="239"/>
      <c r="T91" s="239"/>
      <c r="U91" s="239"/>
      <c r="V91" s="239"/>
      <c r="W91" s="239"/>
    </row>
    <row r="92" spans="1:23" x14ac:dyDescent="0.2">
      <c r="B92" s="538" t="s">
        <v>284</v>
      </c>
      <c r="C92" s="577">
        <v>2016</v>
      </c>
      <c r="D92" s="577"/>
      <c r="E92" s="577"/>
      <c r="F92" s="578">
        <v>2020</v>
      </c>
      <c r="G92" s="578"/>
      <c r="H92" s="578"/>
      <c r="I92" s="579">
        <v>2025</v>
      </c>
      <c r="J92" s="579"/>
      <c r="K92" s="579"/>
      <c r="L92" s="580">
        <v>2030</v>
      </c>
      <c r="M92" s="580"/>
      <c r="N92" s="580"/>
      <c r="O92" s="461"/>
      <c r="P92" s="239"/>
    </row>
    <row r="93" spans="1:23" ht="16" thickBot="1" x14ac:dyDescent="0.25">
      <c r="B93" s="247" t="s">
        <v>321</v>
      </c>
      <c r="C93" s="490" t="s">
        <v>72</v>
      </c>
      <c r="D93" s="490" t="s">
        <v>73</v>
      </c>
      <c r="E93" s="490" t="s">
        <v>178</v>
      </c>
      <c r="F93" s="497" t="s">
        <v>72</v>
      </c>
      <c r="G93" s="497" t="s">
        <v>73</v>
      </c>
      <c r="H93" s="497" t="s">
        <v>178</v>
      </c>
      <c r="I93" s="458" t="s">
        <v>72</v>
      </c>
      <c r="J93" s="458" t="s">
        <v>73</v>
      </c>
      <c r="K93" s="458" t="s">
        <v>178</v>
      </c>
      <c r="L93" s="459" t="s">
        <v>72</v>
      </c>
      <c r="M93" s="459" t="s">
        <v>73</v>
      </c>
      <c r="N93" s="459" t="s">
        <v>178</v>
      </c>
      <c r="O93" s="460" t="s">
        <v>1</v>
      </c>
      <c r="P93" s="239"/>
      <c r="Q93" s="239"/>
      <c r="R93" s="239"/>
      <c r="S93" s="239"/>
      <c r="T93" s="239"/>
      <c r="U93" s="239"/>
      <c r="V93" s="239"/>
      <c r="W93" s="239"/>
    </row>
    <row r="94" spans="1:23" x14ac:dyDescent="0.2">
      <c r="A94" s="250" t="s">
        <v>177</v>
      </c>
      <c r="B94" s="248" t="s">
        <v>322</v>
      </c>
      <c r="C94" s="566">
        <f t="shared" ref="C94:N94" ca="1" si="66">C90/C58</f>
        <v>10.926826218935071</v>
      </c>
      <c r="D94" s="566">
        <f t="shared" ca="1" si="66"/>
        <v>50.364682723156328</v>
      </c>
      <c r="E94" s="566">
        <f t="shared" ca="1" si="66"/>
        <v>20.205337876952743</v>
      </c>
      <c r="F94" s="567">
        <f t="shared" ca="1" si="66"/>
        <v>8.5365449472902597</v>
      </c>
      <c r="G94" s="567">
        <f t="shared" ca="1" si="66"/>
        <v>37.417997009117968</v>
      </c>
      <c r="H94" s="567">
        <f t="shared" ca="1" si="66"/>
        <v>15.16736646198134</v>
      </c>
      <c r="I94" s="568">
        <f t="shared" ca="1" si="66"/>
        <v>6.2941969415772148</v>
      </c>
      <c r="J94" s="568">
        <f t="shared" ca="1" si="66"/>
        <v>25.945688885150879</v>
      </c>
      <c r="K94" s="568">
        <f t="shared" ca="1" si="66"/>
        <v>10.653497604526031</v>
      </c>
      <c r="L94" s="569">
        <f t="shared" ca="1" si="66"/>
        <v>4.6574290329714465</v>
      </c>
      <c r="M94" s="569">
        <f t="shared" ca="1" si="66"/>
        <v>18.110938015922894</v>
      </c>
      <c r="N94" s="569">
        <f t="shared" ca="1" si="66"/>
        <v>7.5289133425064536</v>
      </c>
      <c r="O94" s="237" t="s">
        <v>175</v>
      </c>
      <c r="P94" s="239"/>
      <c r="Q94" s="239"/>
      <c r="R94" s="239"/>
      <c r="S94" s="239"/>
      <c r="T94" s="239"/>
      <c r="U94" s="239"/>
      <c r="V94" s="239"/>
      <c r="W94" s="239"/>
    </row>
    <row r="95" spans="1:23" x14ac:dyDescent="0.2">
      <c r="A95" s="250" t="s">
        <v>177</v>
      </c>
      <c r="B95" s="248" t="s">
        <v>323</v>
      </c>
      <c r="C95" s="566">
        <f t="shared" ref="C95:N95" ca="1" si="67">C90/C75</f>
        <v>1.8211377031558451</v>
      </c>
      <c r="D95" s="566">
        <f t="shared" ca="1" si="67"/>
        <v>8.3941137871927207</v>
      </c>
      <c r="E95" s="566">
        <f t="shared" ca="1" si="67"/>
        <v>3.3675563128254571</v>
      </c>
      <c r="F95" s="567">
        <f t="shared" ca="1" si="67"/>
        <v>1.4227574912150431</v>
      </c>
      <c r="G95" s="567">
        <f t="shared" ca="1" si="67"/>
        <v>6.2363328348529947</v>
      </c>
      <c r="H95" s="567">
        <f t="shared" ca="1" si="67"/>
        <v>2.5278944103302234</v>
      </c>
      <c r="I95" s="568">
        <f t="shared" ca="1" si="67"/>
        <v>1.0490328235962023</v>
      </c>
      <c r="J95" s="568">
        <f t="shared" ca="1" si="67"/>
        <v>4.3242814808584802</v>
      </c>
      <c r="K95" s="568">
        <f t="shared" ca="1" si="67"/>
        <v>1.7755829340876716</v>
      </c>
      <c r="L95" s="569">
        <f t="shared" ca="1" si="67"/>
        <v>0.77623817216190782</v>
      </c>
      <c r="M95" s="569">
        <f t="shared" ca="1" si="67"/>
        <v>3.0184896693204823</v>
      </c>
      <c r="N95" s="569">
        <f t="shared" ca="1" si="67"/>
        <v>1.2548188904177424</v>
      </c>
      <c r="O95" s="237" t="s">
        <v>175</v>
      </c>
      <c r="P95" s="239"/>
      <c r="Q95" s="239"/>
      <c r="R95" s="239"/>
      <c r="S95" s="239"/>
      <c r="T95" s="239"/>
      <c r="U95" s="239"/>
      <c r="V95" s="239"/>
      <c r="W95" s="239"/>
    </row>
    <row r="96" spans="1:23" hidden="1" x14ac:dyDescent="0.2">
      <c r="A96" s="250"/>
      <c r="B96" s="248"/>
      <c r="C96" s="518"/>
      <c r="D96" s="518"/>
      <c r="E96" s="518"/>
      <c r="F96" s="519"/>
      <c r="G96" s="519"/>
      <c r="H96" s="519"/>
      <c r="I96" s="520"/>
      <c r="J96" s="520"/>
      <c r="K96" s="520"/>
      <c r="L96" s="521"/>
      <c r="M96" s="521"/>
      <c r="N96" s="521"/>
      <c r="O96" s="237"/>
      <c r="P96" s="239"/>
      <c r="Q96" s="239"/>
      <c r="R96" s="239"/>
      <c r="S96" s="239"/>
      <c r="T96" s="239"/>
      <c r="U96" s="239"/>
      <c r="V96" s="239"/>
      <c r="W96" s="239"/>
    </row>
    <row r="97" spans="1:23" x14ac:dyDescent="0.2">
      <c r="B97" s="239"/>
      <c r="C97" s="239"/>
      <c r="D97" s="239"/>
      <c r="E97" s="239"/>
      <c r="F97" s="239"/>
      <c r="G97" s="239"/>
      <c r="H97" s="239"/>
      <c r="I97" s="239"/>
      <c r="J97" s="239"/>
      <c r="K97" s="239"/>
      <c r="L97" s="251"/>
      <c r="M97" s="251"/>
      <c r="N97" s="251"/>
      <c r="O97" s="251"/>
      <c r="P97" s="251"/>
      <c r="Q97" s="251"/>
      <c r="R97" s="251"/>
      <c r="S97" s="251"/>
      <c r="T97" s="251"/>
      <c r="U97" s="239"/>
      <c r="V97" s="239"/>
      <c r="W97" s="239"/>
    </row>
    <row r="98" spans="1:23" x14ac:dyDescent="0.2">
      <c r="B98" s="239"/>
      <c r="C98" s="239"/>
      <c r="D98" s="239"/>
      <c r="E98" s="239"/>
      <c r="F98" s="239"/>
      <c r="G98" s="239"/>
      <c r="H98" s="239"/>
      <c r="I98" s="239"/>
      <c r="J98" s="239"/>
      <c r="K98" s="239"/>
      <c r="L98" s="251"/>
      <c r="M98" s="251"/>
      <c r="N98" s="251"/>
      <c r="O98" s="251"/>
      <c r="P98" s="251"/>
      <c r="Q98" s="251"/>
      <c r="R98" s="251"/>
      <c r="S98" s="251"/>
      <c r="T98" s="251"/>
      <c r="U98" s="239"/>
      <c r="V98" s="239"/>
      <c r="W98" s="239"/>
    </row>
    <row r="99" spans="1:23" ht="16" x14ac:dyDescent="0.2">
      <c r="B99" s="539" t="s">
        <v>285</v>
      </c>
      <c r="C99" s="45"/>
      <c r="D99" s="45"/>
      <c r="E99" s="45"/>
      <c r="F99" s="45"/>
      <c r="G99" s="45"/>
      <c r="H99" s="239"/>
      <c r="I99" s="239"/>
      <c r="J99" s="239"/>
      <c r="K99" s="239"/>
      <c r="L99" s="251"/>
      <c r="M99" s="251"/>
      <c r="N99" s="251"/>
      <c r="O99" s="251"/>
      <c r="P99" s="251"/>
      <c r="Q99" s="251"/>
      <c r="R99" s="251"/>
      <c r="S99" s="251"/>
      <c r="T99" s="251"/>
      <c r="U99" s="239"/>
      <c r="V99" s="239"/>
      <c r="W99" s="239"/>
    </row>
    <row r="100" spans="1:23" ht="16" x14ac:dyDescent="0.2">
      <c r="B100" s="539"/>
      <c r="C100" s="279"/>
      <c r="D100" s="279"/>
      <c r="E100" s="279"/>
      <c r="F100" s="279"/>
      <c r="G100" s="279"/>
      <c r="H100" s="239"/>
      <c r="I100" s="239"/>
      <c r="J100" s="239"/>
      <c r="K100" s="239"/>
      <c r="L100" s="251"/>
      <c r="M100" s="251"/>
      <c r="N100" s="251"/>
      <c r="O100" s="251"/>
      <c r="P100" s="251"/>
      <c r="Q100" s="251"/>
      <c r="R100" s="251"/>
      <c r="S100" s="251"/>
      <c r="T100" s="251"/>
      <c r="U100" s="239"/>
      <c r="V100" s="239"/>
      <c r="W100" s="239"/>
    </row>
    <row r="101" spans="1:23" x14ac:dyDescent="0.2">
      <c r="B101" s="247" t="s">
        <v>304</v>
      </c>
      <c r="C101" s="279"/>
      <c r="D101" s="279"/>
      <c r="E101" s="279"/>
      <c r="F101" s="279"/>
      <c r="G101" s="279"/>
      <c r="H101" s="239"/>
      <c r="I101" s="239"/>
      <c r="J101" s="239"/>
      <c r="K101" s="239"/>
      <c r="L101" s="251"/>
      <c r="M101" s="251"/>
      <c r="N101" s="251"/>
      <c r="O101" s="251"/>
      <c r="P101" s="251"/>
      <c r="Q101" s="251"/>
      <c r="R101" s="251"/>
      <c r="S101" s="251"/>
      <c r="T101" s="251"/>
      <c r="U101" s="239"/>
      <c r="V101" s="239"/>
      <c r="W101" s="239"/>
    </row>
    <row r="102" spans="1:23" ht="16" thickBot="1" x14ac:dyDescent="0.25">
      <c r="A102" s="486" t="s">
        <v>118</v>
      </c>
      <c r="B102" s="244" t="s">
        <v>120</v>
      </c>
      <c r="D102" s="45"/>
      <c r="E102" s="45"/>
      <c r="F102" s="45"/>
      <c r="G102" s="45"/>
      <c r="I102" s="239"/>
      <c r="J102" s="239"/>
      <c r="K102" s="239"/>
      <c r="L102" s="251"/>
      <c r="M102" s="251"/>
      <c r="N102" s="251"/>
      <c r="O102" s="251"/>
      <c r="P102" s="251"/>
      <c r="Q102" s="251"/>
      <c r="R102" s="251"/>
      <c r="S102" s="251"/>
      <c r="T102" s="251"/>
      <c r="U102" s="261"/>
      <c r="V102" s="239"/>
      <c r="W102" s="239"/>
    </row>
    <row r="103" spans="1:23" x14ac:dyDescent="0.2">
      <c r="A103" s="486"/>
      <c r="B103" s="486"/>
      <c r="D103" s="279"/>
      <c r="E103" s="279"/>
      <c r="F103" s="279"/>
      <c r="G103" s="279"/>
      <c r="I103" s="239"/>
      <c r="J103" s="239"/>
      <c r="K103" s="239"/>
      <c r="L103" s="251"/>
      <c r="M103" s="251"/>
      <c r="N103" s="251"/>
      <c r="O103" s="251"/>
      <c r="P103" s="251"/>
      <c r="Q103" s="251"/>
      <c r="R103" s="251"/>
      <c r="S103" s="251"/>
      <c r="T103" s="251"/>
      <c r="U103" s="261"/>
      <c r="V103" s="239"/>
      <c r="W103" s="239"/>
    </row>
    <row r="104" spans="1:23" x14ac:dyDescent="0.2">
      <c r="B104" s="45"/>
      <c r="C104" s="581" t="str">
        <f>B141</f>
        <v>Peak shaving</v>
      </c>
      <c r="D104" s="581"/>
      <c r="E104" s="581"/>
      <c r="F104" s="581"/>
      <c r="G104" s="45"/>
      <c r="H104" s="239"/>
      <c r="I104" s="239"/>
      <c r="J104" s="260" t="s">
        <v>214</v>
      </c>
      <c r="K104" s="479" t="str">
        <f ca="1">IF(SUM(L104:S104)=8,"OK","ERROR")</f>
        <v>OK</v>
      </c>
      <c r="L104" s="481">
        <f>IF(AND(ISNUMBER(SEARCH("Pumped", $B$4)),$E$58&lt;1000),0,1)</f>
        <v>1</v>
      </c>
      <c r="M104" s="481">
        <f>IF(AND(ISNUMBER(SEARCH("CAES", $B$4)),$E$58&lt;1000),0,1)</f>
        <v>1</v>
      </c>
      <c r="N104" s="481">
        <f>IF(AND(ISNUMBER(SEARCH("Flow", $B$4)),$E$58&lt;5),0,1)</f>
        <v>1</v>
      </c>
      <c r="O104" s="481">
        <f>IF(AND(ISNUMBER(SEARCH("NaS", $B$4)),$E$58&lt;5),0,1)</f>
        <v>1</v>
      </c>
      <c r="P104" s="481">
        <f>IF(AND(ISNUMBER(SEARCH("NaNi", $B$4)),$E$58&lt;5),0,1)</f>
        <v>1</v>
      </c>
      <c r="Q104" s="481">
        <f>IF(AND(ISNUMBER(SEARCH("NaNi", $B$4)),$E$58&lt;5),0,1)</f>
        <v>1</v>
      </c>
      <c r="R104" s="481">
        <f ca="1">IF(AND(ISNUMBER(SEARCH("Contain", $B$36)),$E$12&gt;=30),0,1)</f>
        <v>1</v>
      </c>
      <c r="S104" s="481">
        <f ca="1">IF(AND(ISNUMBER(SEARCH("Enhanced", $B$36)),$E$12&gt;=30),0,1)</f>
        <v>1</v>
      </c>
      <c r="T104" s="251"/>
      <c r="U104" s="261"/>
      <c r="V104" s="239"/>
      <c r="W104" s="239"/>
    </row>
    <row r="105" spans="1:23" ht="16" thickBot="1" x14ac:dyDescent="0.25">
      <c r="B105" s="471" t="str">
        <f>B136</f>
        <v>NaS</v>
      </c>
      <c r="C105" s="483">
        <v>2016</v>
      </c>
      <c r="D105" s="483">
        <v>2020</v>
      </c>
      <c r="E105" s="483">
        <v>2025</v>
      </c>
      <c r="F105" s="483">
        <v>2030</v>
      </c>
      <c r="G105" s="255" t="s">
        <v>195</v>
      </c>
      <c r="H105" s="239"/>
      <c r="I105" s="509" t="str">
        <f>CONCATENATE("Cost-of-service, ",$B$105,"  — ",$C$104)</f>
        <v>Cost-of-service, NaS  — Peak shaving</v>
      </c>
      <c r="J105" s="260" t="s">
        <v>189</v>
      </c>
      <c r="K105" s="479" t="str">
        <f>IF(SUM(L105:N105)=3,"OK","ERROR")</f>
        <v>OK</v>
      </c>
      <c r="L105" s="481">
        <f>IF(ISNUMBER(SEARCH("Pumped", $B$4)),IF(ISNUMBER(SEARCH("PHS", $B$20)),1,0),1)</f>
        <v>1</v>
      </c>
      <c r="M105" s="481">
        <f>IF(ISNUMBER(SEARCH("CAES", $B$4)),IF(ISNUMBER(SEARCH("CAES", $B$20)),1,0),1)</f>
        <v>1</v>
      </c>
      <c r="N105" s="481">
        <f>IF(ISNUMBER(SEARCH("Flywheel", $B$4)),IF(ISNUMBER(SEARCH("Flywheel", $B$20)),1,0),1)</f>
        <v>1</v>
      </c>
      <c r="O105" s="482"/>
      <c r="P105" s="261"/>
      <c r="Q105" s="261"/>
      <c r="R105" s="261"/>
      <c r="S105" s="261"/>
      <c r="T105" s="251"/>
      <c r="U105" s="261"/>
      <c r="V105" s="239"/>
      <c r="W105" s="239"/>
    </row>
    <row r="106" spans="1:23" x14ac:dyDescent="0.2">
      <c r="B106" s="484" t="s">
        <v>211</v>
      </c>
      <c r="C106" s="564">
        <f ca="1">IF($B$102="Power",'Cost-of-Service'!C94,'Cost-of-Service'!C95)</f>
        <v>10.926826218935071</v>
      </c>
      <c r="D106" s="564">
        <f ca="1">IF($B$102="Power",'Cost-of-Service'!F94,'Cost-of-Service'!F95)</f>
        <v>8.5365449472902597</v>
      </c>
      <c r="E106" s="564">
        <f ca="1">IF($B$102="Power",'Cost-of-Service'!I94,'Cost-of-Service'!I95)</f>
        <v>6.2941969415772148</v>
      </c>
      <c r="F106" s="564">
        <f ca="1">IF($B$102="Power",'Cost-of-Service'!L94,'Cost-of-Service'!L95)</f>
        <v>4.6574290329714465</v>
      </c>
      <c r="G106" s="509" t="str">
        <f>G136</f>
        <v>USD per kW</v>
      </c>
      <c r="H106" s="239"/>
      <c r="I106" s="239"/>
      <c r="J106" s="248"/>
      <c r="K106" s="239"/>
      <c r="L106" s="251"/>
      <c r="M106" s="251"/>
      <c r="N106" s="251"/>
      <c r="O106" s="251"/>
      <c r="P106" s="251"/>
      <c r="Q106" s="251"/>
      <c r="R106" s="251"/>
      <c r="S106" s="251"/>
      <c r="T106" s="251"/>
      <c r="U106" s="261"/>
      <c r="V106" s="239"/>
      <c r="W106" s="239"/>
    </row>
    <row r="107" spans="1:23" x14ac:dyDescent="0.2">
      <c r="B107" s="484" t="s">
        <v>212</v>
      </c>
      <c r="C107" s="564">
        <f ca="1">IF($B$102="Power",'Cost-of-Service'!D94,'Cost-of-Service'!D95)</f>
        <v>50.364682723156328</v>
      </c>
      <c r="D107" s="564">
        <f ca="1">IF($B$102="Power",'Cost-of-Service'!G94,'Cost-of-Service'!G95)</f>
        <v>37.417997009117968</v>
      </c>
      <c r="E107" s="564">
        <f ca="1">IF($B$102="Power",'Cost-of-Service'!J94,'Cost-of-Service'!J95)</f>
        <v>25.945688885150879</v>
      </c>
      <c r="F107" s="564">
        <f ca="1">IF($B$102="Power",'Cost-of-Service'!M94,'Cost-of-Service'!M95)</f>
        <v>18.110938015922894</v>
      </c>
      <c r="G107" s="509" t="str">
        <f>G136</f>
        <v>USD per kW</v>
      </c>
      <c r="H107" s="239"/>
      <c r="I107" s="239"/>
      <c r="J107" s="239"/>
      <c r="K107" s="239"/>
      <c r="L107" s="251"/>
      <c r="M107" s="251"/>
      <c r="N107" s="251"/>
      <c r="O107" s="251"/>
      <c r="P107" s="251"/>
      <c r="Q107" s="251"/>
      <c r="R107" s="251"/>
      <c r="S107" s="251"/>
      <c r="T107" s="251"/>
      <c r="U107" s="261"/>
      <c r="V107" s="239"/>
      <c r="W107" s="239"/>
    </row>
    <row r="108" spans="1:23" ht="16" thickBot="1" x14ac:dyDescent="0.25">
      <c r="B108" s="485" t="s">
        <v>213</v>
      </c>
      <c r="C108" s="565">
        <f ca="1">IF($B$102="Power",'Cost-of-Service'!E94,'Cost-of-Service'!E95)</f>
        <v>20.205337876952743</v>
      </c>
      <c r="D108" s="565">
        <f ca="1">IF($B$102="Power",'Cost-of-Service'!H94,'Cost-of-Service'!H95)</f>
        <v>15.16736646198134</v>
      </c>
      <c r="E108" s="565">
        <f ca="1">IF($B$102="Power",'Cost-of-Service'!K94,'Cost-of-Service'!K95)</f>
        <v>10.653497604526031</v>
      </c>
      <c r="F108" s="565">
        <f ca="1">IF($B$102="Power",'Cost-of-Service'!N94,'Cost-of-Service'!N95)</f>
        <v>7.5289133425064536</v>
      </c>
      <c r="G108" s="510" t="str">
        <f>G136</f>
        <v>USD per kW</v>
      </c>
      <c r="H108" s="239"/>
      <c r="I108" s="239"/>
      <c r="J108" s="239"/>
      <c r="K108" s="239"/>
      <c r="L108" s="251"/>
      <c r="M108" s="251"/>
      <c r="N108" s="251"/>
      <c r="O108" s="251"/>
      <c r="P108" s="251"/>
      <c r="Q108" s="251"/>
      <c r="R108" s="251"/>
      <c r="S108" s="251"/>
      <c r="T108" s="251"/>
      <c r="U108" s="261"/>
      <c r="V108" s="239"/>
      <c r="W108" s="239"/>
    </row>
    <row r="109" spans="1:23" x14ac:dyDescent="0.2">
      <c r="H109" s="239"/>
      <c r="I109" s="239"/>
      <c r="J109" s="239"/>
      <c r="K109" s="239"/>
      <c r="L109" s="251"/>
      <c r="M109" s="251"/>
      <c r="N109" s="251"/>
      <c r="O109" s="251"/>
      <c r="P109" s="251"/>
      <c r="Q109" s="251"/>
      <c r="R109" s="251"/>
      <c r="S109" s="251"/>
      <c r="T109" s="251"/>
      <c r="U109" s="239"/>
      <c r="V109" s="239"/>
      <c r="W109" s="239"/>
    </row>
    <row r="110" spans="1:23" x14ac:dyDescent="0.2">
      <c r="H110" s="239"/>
      <c r="I110" s="239"/>
      <c r="J110" s="239"/>
      <c r="K110" s="239"/>
      <c r="L110" s="239"/>
      <c r="M110" s="239"/>
      <c r="N110" s="239"/>
      <c r="O110" s="239"/>
      <c r="P110" s="239"/>
      <c r="Q110" s="239"/>
      <c r="R110" s="239"/>
      <c r="S110" s="239"/>
      <c r="T110" s="239"/>
      <c r="U110" s="239"/>
      <c r="V110" s="239"/>
      <c r="W110" s="239"/>
    </row>
    <row r="111" spans="1:23" x14ac:dyDescent="0.2">
      <c r="H111" s="239"/>
      <c r="I111" s="239"/>
      <c r="J111" s="239"/>
      <c r="K111" s="239"/>
      <c r="L111" s="239"/>
      <c r="M111" s="239"/>
      <c r="N111" s="239"/>
      <c r="O111" s="239"/>
      <c r="P111" s="239"/>
      <c r="Q111" s="239"/>
      <c r="R111" s="239"/>
      <c r="S111" s="239"/>
      <c r="T111" s="239"/>
      <c r="U111" s="239"/>
      <c r="V111" s="239"/>
      <c r="W111" s="239"/>
    </row>
    <row r="112" spans="1:23" x14ac:dyDescent="0.2">
      <c r="H112" s="239"/>
      <c r="I112" s="239"/>
      <c r="J112" s="239"/>
      <c r="K112" s="239"/>
      <c r="L112" s="239"/>
      <c r="M112" s="239"/>
      <c r="N112" s="239"/>
      <c r="O112" s="239"/>
      <c r="P112" s="239"/>
      <c r="Q112" s="239"/>
      <c r="R112" s="239"/>
      <c r="S112" s="239"/>
      <c r="T112" s="239"/>
      <c r="U112" s="239"/>
      <c r="V112" s="239"/>
      <c r="W112" s="239"/>
    </row>
    <row r="113" spans="2:23" x14ac:dyDescent="0.2">
      <c r="H113" s="239"/>
      <c r="I113" s="239"/>
      <c r="J113" s="239"/>
      <c r="K113" s="239"/>
      <c r="L113" s="239"/>
      <c r="M113" s="239"/>
      <c r="N113" s="239"/>
      <c r="O113" s="239"/>
      <c r="P113" s="239"/>
      <c r="Q113" s="239"/>
      <c r="R113" s="239"/>
      <c r="S113" s="239"/>
      <c r="T113" s="239"/>
      <c r="U113" s="239"/>
      <c r="V113" s="239"/>
      <c r="W113" s="239"/>
    </row>
    <row r="114" spans="2:23" x14ac:dyDescent="0.2">
      <c r="B114" s="239"/>
      <c r="C114" s="239"/>
      <c r="D114" s="239"/>
      <c r="E114" s="239"/>
      <c r="F114" s="239"/>
      <c r="G114" s="239"/>
      <c r="H114" s="239"/>
      <c r="I114" s="239"/>
      <c r="J114" s="239"/>
      <c r="K114" s="239"/>
      <c r="L114" s="239"/>
      <c r="M114" s="239"/>
      <c r="N114" s="239"/>
      <c r="O114" s="239"/>
      <c r="P114" s="239"/>
      <c r="Q114" s="239"/>
      <c r="R114" s="239"/>
      <c r="S114" s="239"/>
      <c r="T114" s="239"/>
      <c r="U114" s="239"/>
      <c r="V114" s="239"/>
      <c r="W114" s="239"/>
    </row>
    <row r="115" spans="2:23" x14ac:dyDescent="0.2">
      <c r="B115" s="239"/>
      <c r="C115" s="239"/>
      <c r="D115" s="239"/>
      <c r="E115" s="239"/>
      <c r="F115" s="239"/>
      <c r="G115" s="239"/>
      <c r="H115" s="239"/>
      <c r="I115" s="239"/>
      <c r="J115" s="239"/>
      <c r="K115" s="239"/>
      <c r="L115" s="239"/>
      <c r="M115" s="239"/>
      <c r="N115" s="239"/>
      <c r="O115" s="239"/>
      <c r="P115" s="239"/>
      <c r="Q115" s="239"/>
      <c r="R115" s="239"/>
      <c r="S115" s="239"/>
      <c r="T115" s="239"/>
      <c r="U115" s="239"/>
      <c r="V115" s="239"/>
      <c r="W115" s="239"/>
    </row>
    <row r="116" spans="2:23" x14ac:dyDescent="0.2">
      <c r="B116" s="239"/>
      <c r="C116" s="239"/>
      <c r="D116" s="239"/>
      <c r="E116" s="239"/>
      <c r="F116" s="239"/>
      <c r="G116" s="239"/>
      <c r="H116" s="239"/>
      <c r="I116" s="239"/>
      <c r="J116" s="239"/>
      <c r="K116" s="239"/>
      <c r="L116" s="239"/>
      <c r="M116" s="239"/>
      <c r="N116" s="239"/>
      <c r="O116" s="239"/>
      <c r="P116" s="239"/>
      <c r="Q116" s="239"/>
      <c r="R116" s="239"/>
      <c r="S116" s="239"/>
      <c r="T116" s="239"/>
      <c r="U116" s="239"/>
      <c r="V116" s="239"/>
      <c r="W116" s="239"/>
    </row>
    <row r="117" spans="2:23" x14ac:dyDescent="0.2">
      <c r="B117" s="239"/>
      <c r="C117" s="239"/>
      <c r="D117" s="239"/>
      <c r="E117" s="239"/>
      <c r="F117" s="239"/>
      <c r="G117" s="239"/>
      <c r="H117" s="239"/>
      <c r="I117" s="239"/>
      <c r="J117" s="239"/>
      <c r="K117" s="239"/>
      <c r="L117" s="239"/>
      <c r="M117" s="239"/>
      <c r="N117" s="239"/>
      <c r="O117" s="239"/>
      <c r="P117" s="239"/>
      <c r="Q117" s="239"/>
      <c r="R117" s="239"/>
      <c r="S117" s="239"/>
      <c r="T117" s="239"/>
      <c r="U117" s="239"/>
      <c r="V117" s="239"/>
      <c r="W117" s="239"/>
    </row>
    <row r="118" spans="2:23" x14ac:dyDescent="0.2">
      <c r="B118" s="239"/>
      <c r="C118" s="239"/>
      <c r="D118" s="239"/>
      <c r="E118" s="239"/>
      <c r="F118" s="239"/>
      <c r="G118" s="239"/>
      <c r="H118" s="239"/>
      <c r="I118" s="239"/>
      <c r="J118" s="239"/>
      <c r="K118" s="239"/>
      <c r="L118" s="239"/>
      <c r="M118" s="239"/>
      <c r="N118" s="239"/>
      <c r="O118" s="239"/>
      <c r="P118" s="239"/>
      <c r="Q118" s="239"/>
      <c r="R118" s="239"/>
      <c r="S118" s="239"/>
      <c r="T118" s="239"/>
      <c r="U118" s="239"/>
      <c r="V118" s="239"/>
      <c r="W118" s="239"/>
    </row>
    <row r="119" spans="2:23" x14ac:dyDescent="0.2">
      <c r="B119" s="239"/>
      <c r="C119" s="239"/>
      <c r="D119" s="239"/>
      <c r="E119" s="239"/>
      <c r="F119" s="239"/>
      <c r="G119" s="239"/>
      <c r="H119" s="239"/>
      <c r="I119" s="239"/>
      <c r="J119" s="239"/>
      <c r="K119" s="239"/>
      <c r="L119" s="239"/>
      <c r="M119" s="239"/>
      <c r="N119" s="239"/>
      <c r="O119" s="239"/>
      <c r="P119" s="239"/>
      <c r="Q119" s="239"/>
      <c r="R119" s="239"/>
      <c r="S119" s="239"/>
      <c r="T119" s="239"/>
      <c r="U119" s="239"/>
      <c r="V119" s="239"/>
      <c r="W119" s="239"/>
    </row>
    <row r="120" spans="2:23" x14ac:dyDescent="0.2">
      <c r="B120" s="239"/>
      <c r="C120" s="239"/>
      <c r="D120" s="239"/>
      <c r="E120" s="239"/>
      <c r="F120" s="239"/>
      <c r="G120" s="239"/>
      <c r="H120" s="239"/>
      <c r="I120" s="239"/>
      <c r="J120" s="239"/>
      <c r="K120" s="239"/>
      <c r="L120" s="239"/>
      <c r="M120" s="239"/>
      <c r="N120" s="239"/>
      <c r="O120" s="239"/>
      <c r="P120" s="239"/>
      <c r="Q120" s="239"/>
      <c r="R120" s="239"/>
      <c r="S120" s="239"/>
      <c r="T120" s="239"/>
      <c r="U120" s="239"/>
      <c r="V120" s="239"/>
      <c r="W120" s="239"/>
    </row>
    <row r="121" spans="2:23" x14ac:dyDescent="0.2">
      <c r="B121" s="239"/>
      <c r="C121" s="239"/>
      <c r="D121" s="239"/>
      <c r="E121" s="239"/>
      <c r="F121" s="239"/>
      <c r="G121" s="239"/>
      <c r="H121" s="239"/>
      <c r="I121" s="239"/>
      <c r="J121" s="239"/>
      <c r="K121" s="239"/>
      <c r="L121" s="239"/>
      <c r="M121" s="239"/>
      <c r="N121" s="239"/>
      <c r="O121" s="239"/>
      <c r="P121" s="239"/>
      <c r="Q121" s="239"/>
      <c r="R121" s="239"/>
      <c r="S121" s="239"/>
      <c r="T121" s="239"/>
      <c r="U121" s="239"/>
      <c r="V121" s="239"/>
      <c r="W121" s="239"/>
    </row>
    <row r="122" spans="2:23" x14ac:dyDescent="0.2">
      <c r="B122" s="239"/>
      <c r="C122" s="239"/>
      <c r="D122" s="239"/>
      <c r="E122" s="239"/>
      <c r="F122" s="239"/>
      <c r="G122" s="239"/>
      <c r="H122" s="239"/>
      <c r="I122" s="239"/>
      <c r="J122" s="239"/>
      <c r="K122" s="239"/>
      <c r="L122" s="239"/>
      <c r="M122" s="239"/>
      <c r="N122" s="239"/>
      <c r="O122" s="239"/>
      <c r="P122" s="239"/>
      <c r="Q122" s="239"/>
      <c r="R122" s="239"/>
      <c r="S122" s="239"/>
      <c r="T122" s="239"/>
      <c r="U122" s="239"/>
      <c r="V122" s="239"/>
      <c r="W122" s="239"/>
    </row>
    <row r="123" spans="2:23" x14ac:dyDescent="0.2">
      <c r="B123" s="239"/>
      <c r="C123" s="239"/>
      <c r="D123" s="239"/>
      <c r="E123" s="239"/>
      <c r="F123" s="239"/>
      <c r="G123" s="239"/>
      <c r="H123" s="239"/>
      <c r="I123" s="239"/>
      <c r="J123" s="239"/>
      <c r="K123" s="239"/>
      <c r="L123" s="239"/>
      <c r="M123" s="239"/>
      <c r="N123" s="239"/>
      <c r="O123" s="239"/>
      <c r="P123" s="239"/>
      <c r="Q123" s="239"/>
      <c r="R123" s="239"/>
      <c r="S123" s="239"/>
      <c r="T123" s="239"/>
      <c r="U123" s="239"/>
      <c r="V123" s="239"/>
      <c r="W123" s="239"/>
    </row>
    <row r="124" spans="2:23" x14ac:dyDescent="0.2">
      <c r="B124" s="239"/>
      <c r="C124" s="239"/>
      <c r="D124" s="239"/>
      <c r="E124" s="239"/>
      <c r="F124" s="239"/>
      <c r="G124" s="239"/>
      <c r="H124" s="239"/>
      <c r="I124" s="239"/>
      <c r="J124" s="239"/>
      <c r="K124" s="239"/>
      <c r="L124" s="239"/>
      <c r="M124" s="239"/>
      <c r="N124" s="239"/>
      <c r="O124" s="239"/>
      <c r="P124" s="239"/>
      <c r="Q124" s="239"/>
      <c r="R124" s="239"/>
      <c r="S124" s="239"/>
      <c r="T124" s="239"/>
      <c r="U124" s="239"/>
      <c r="V124" s="239"/>
      <c r="W124" s="239"/>
    </row>
    <row r="125" spans="2:23" x14ac:dyDescent="0.2">
      <c r="B125" s="239"/>
      <c r="C125" s="239"/>
      <c r="D125" s="239"/>
      <c r="E125" s="239"/>
      <c r="F125" s="239"/>
      <c r="G125" s="239"/>
      <c r="H125" s="239"/>
      <c r="I125" s="239"/>
      <c r="J125" s="239"/>
      <c r="K125" s="239"/>
      <c r="L125" s="239"/>
      <c r="M125" s="239"/>
      <c r="N125" s="239"/>
      <c r="O125" s="239"/>
      <c r="P125" s="239"/>
      <c r="Q125" s="239"/>
      <c r="R125" s="239"/>
      <c r="S125" s="239"/>
      <c r="T125" s="239"/>
      <c r="U125" s="239"/>
      <c r="V125" s="239"/>
      <c r="W125" s="239"/>
    </row>
    <row r="126" spans="2:23" x14ac:dyDescent="0.2">
      <c r="B126" s="239"/>
      <c r="C126" s="239"/>
      <c r="D126" s="239"/>
      <c r="E126" s="239"/>
      <c r="F126" s="239"/>
      <c r="G126" s="239"/>
      <c r="H126" s="239"/>
      <c r="I126" s="239"/>
      <c r="J126" s="239"/>
      <c r="K126" s="239"/>
      <c r="L126" s="239"/>
      <c r="M126" s="239"/>
      <c r="N126" s="239"/>
      <c r="O126" s="239"/>
      <c r="P126" s="239"/>
      <c r="Q126" s="239"/>
      <c r="R126" s="239"/>
      <c r="S126" s="239"/>
      <c r="T126" s="239"/>
      <c r="U126" s="239"/>
      <c r="V126" s="239"/>
      <c r="W126" s="239"/>
    </row>
    <row r="127" spans="2:23" x14ac:dyDescent="0.2">
      <c r="B127" s="239"/>
      <c r="C127" s="239"/>
      <c r="D127" s="239"/>
      <c r="E127" s="239"/>
      <c r="F127" s="239"/>
      <c r="G127" s="239"/>
      <c r="H127" s="239"/>
      <c r="I127" s="239"/>
      <c r="J127" s="239"/>
      <c r="K127" s="239"/>
      <c r="L127" s="239"/>
      <c r="M127" s="239"/>
      <c r="N127" s="239"/>
      <c r="O127" s="239"/>
      <c r="P127" s="239"/>
      <c r="Q127" s="239"/>
      <c r="R127" s="239"/>
      <c r="S127" s="239"/>
      <c r="T127" s="239"/>
      <c r="U127" s="239"/>
      <c r="V127" s="239"/>
      <c r="W127" s="239"/>
    </row>
    <row r="128" spans="2:23" x14ac:dyDescent="0.2">
      <c r="B128" s="239"/>
      <c r="C128" s="239"/>
      <c r="D128" s="239"/>
      <c r="E128" s="239"/>
      <c r="F128" s="239"/>
      <c r="G128" s="239"/>
      <c r="H128" s="239"/>
      <c r="I128" s="239"/>
      <c r="J128" s="239"/>
      <c r="K128" s="239"/>
      <c r="L128" s="239"/>
      <c r="M128" s="239"/>
      <c r="N128" s="239"/>
      <c r="O128" s="239"/>
      <c r="P128" s="239"/>
      <c r="Q128" s="239"/>
      <c r="R128" s="239"/>
      <c r="S128" s="239"/>
      <c r="T128" s="239"/>
      <c r="U128" s="239"/>
      <c r="V128" s="239"/>
      <c r="W128" s="239"/>
    </row>
    <row r="129" spans="2:23" hidden="1" x14ac:dyDescent="0.2">
      <c r="B129" s="505"/>
      <c r="C129" s="505"/>
      <c r="D129" s="505"/>
      <c r="E129" s="505"/>
      <c r="F129" s="505"/>
      <c r="G129" s="505"/>
      <c r="H129" s="505"/>
      <c r="I129" s="505"/>
      <c r="J129" s="505"/>
      <c r="K129" s="505"/>
      <c r="L129" s="505"/>
      <c r="M129" s="505"/>
      <c r="N129" s="505"/>
      <c r="O129" s="505"/>
      <c r="P129" s="505"/>
      <c r="Q129" s="239"/>
      <c r="R129" s="239"/>
      <c r="S129" s="239"/>
      <c r="T129" s="239"/>
      <c r="U129" s="239"/>
      <c r="V129" s="239"/>
      <c r="W129" s="239"/>
    </row>
    <row r="130" spans="2:23" x14ac:dyDescent="0.2">
      <c r="B130" s="504"/>
      <c r="C130" s="504"/>
      <c r="D130" s="504"/>
      <c r="E130" s="504"/>
      <c r="F130" s="504"/>
      <c r="G130" s="504"/>
      <c r="H130" s="504"/>
      <c r="I130" s="504"/>
      <c r="J130" s="504"/>
      <c r="K130" s="504"/>
      <c r="L130" s="504"/>
      <c r="M130" s="504"/>
      <c r="N130" s="504"/>
      <c r="O130" s="504"/>
      <c r="P130" s="504"/>
      <c r="Q130" s="239"/>
      <c r="R130" s="239"/>
      <c r="S130" s="239"/>
      <c r="T130" s="239"/>
      <c r="U130" s="239"/>
      <c r="V130" s="239"/>
      <c r="W130" s="239"/>
    </row>
    <row r="131" spans="2:23" ht="16" x14ac:dyDescent="0.2">
      <c r="B131" s="539" t="s">
        <v>278</v>
      </c>
      <c r="D131" s="45"/>
      <c r="E131" s="45"/>
      <c r="F131" s="45"/>
      <c r="G131" s="45"/>
      <c r="H131" s="45"/>
      <c r="I131" s="239"/>
      <c r="J131" s="239"/>
      <c r="K131" s="239"/>
      <c r="L131" s="239"/>
      <c r="M131" s="239"/>
      <c r="N131" s="239"/>
      <c r="O131" s="239"/>
      <c r="P131" s="239"/>
      <c r="Q131" s="239"/>
      <c r="R131" s="239"/>
      <c r="S131" s="239"/>
      <c r="T131" s="239"/>
      <c r="U131" s="239"/>
      <c r="V131" s="239"/>
      <c r="W131" s="239"/>
    </row>
    <row r="132" spans="2:23" x14ac:dyDescent="0.2">
      <c r="B132" s="239"/>
      <c r="D132" s="239"/>
      <c r="E132" s="239"/>
      <c r="F132" s="239"/>
      <c r="G132" s="239"/>
      <c r="H132" s="239"/>
      <c r="I132" s="239"/>
      <c r="J132" s="239"/>
      <c r="K132" s="239"/>
      <c r="L132" s="239"/>
      <c r="M132" s="239"/>
      <c r="N132" s="239"/>
      <c r="O132" s="239"/>
      <c r="P132" s="239"/>
      <c r="Q132" s="239"/>
      <c r="R132" s="239"/>
      <c r="S132" s="239"/>
      <c r="T132" s="239"/>
      <c r="U132" s="239"/>
      <c r="V132" s="239"/>
      <c r="W132" s="239"/>
    </row>
    <row r="133" spans="2:23" x14ac:dyDescent="0.2">
      <c r="B133" s="45" t="s">
        <v>286</v>
      </c>
      <c r="E133" s="45"/>
      <c r="F133" s="45"/>
      <c r="G133" s="45"/>
      <c r="H133" s="45"/>
      <c r="I133" s="239"/>
      <c r="J133" s="239"/>
      <c r="K133" s="239"/>
      <c r="L133" s="239"/>
      <c r="M133" s="239"/>
      <c r="N133" s="239"/>
      <c r="O133" s="239"/>
      <c r="P133" s="239"/>
      <c r="Q133" s="239"/>
      <c r="R133" s="239"/>
      <c r="S133" s="239"/>
      <c r="T133" s="239"/>
      <c r="U133" s="239"/>
      <c r="V133" s="239"/>
      <c r="W133" s="239"/>
    </row>
    <row r="134" spans="2:23" x14ac:dyDescent="0.2">
      <c r="B134" s="239"/>
      <c r="C134" s="279"/>
      <c r="E134" s="279"/>
      <c r="F134" s="279"/>
      <c r="G134" s="279"/>
      <c r="H134" s="279"/>
      <c r="I134" s="239"/>
      <c r="J134" s="239"/>
      <c r="K134" s="239"/>
      <c r="L134" s="239"/>
      <c r="M134" s="239"/>
      <c r="N134" s="239"/>
      <c r="O134" s="239"/>
      <c r="P134" s="239"/>
      <c r="Q134" s="239"/>
      <c r="R134" s="239"/>
      <c r="S134" s="239"/>
      <c r="T134" s="239"/>
      <c r="U134" s="239"/>
      <c r="V134" s="239"/>
      <c r="W134" s="239"/>
    </row>
    <row r="135" spans="2:23" ht="16" thickBot="1" x14ac:dyDescent="0.25">
      <c r="B135" s="239"/>
      <c r="C135" s="256">
        <v>2016</v>
      </c>
      <c r="D135" s="256">
        <v>2020</v>
      </c>
      <c r="E135" s="256">
        <v>2025</v>
      </c>
      <c r="F135" s="256">
        <v>2030</v>
      </c>
      <c r="G135" s="255" t="s">
        <v>195</v>
      </c>
      <c r="H135" s="279"/>
      <c r="I135" s="239"/>
      <c r="J135" s="239"/>
      <c r="K135" s="239"/>
      <c r="L135" s="239"/>
      <c r="M135" s="239"/>
      <c r="N135" s="239"/>
      <c r="O135" s="239"/>
      <c r="P135" s="239"/>
      <c r="Q135" s="239"/>
      <c r="R135" s="239"/>
      <c r="S135" s="239"/>
      <c r="T135" s="239"/>
      <c r="U135" s="239"/>
      <c r="V135" s="239"/>
      <c r="W135" s="239"/>
    </row>
    <row r="136" spans="2:23" x14ac:dyDescent="0.2">
      <c r="B136" s="511" t="str">
        <f>'Cost-of-Service'!B4</f>
        <v>NaS</v>
      </c>
      <c r="C136" s="570">
        <f ca="1">IF($B$102="Power",'Cost-of-Service'!E94,'Cost-of-Service'!E95)</f>
        <v>20.205337876952743</v>
      </c>
      <c r="D136" s="570">
        <f ca="1">IF($B$102="Power",'Cost-of-Service'!H94,'Cost-of-Service'!H95)</f>
        <v>15.16736646198134</v>
      </c>
      <c r="E136" s="570">
        <f ca="1">IF($B$102="Power",'Cost-of-Service'!K94,'Cost-of-Service'!K95)</f>
        <v>10.653497604526031</v>
      </c>
      <c r="F136" s="570">
        <f ca="1">IF($B$102="Power",'Cost-of-Service'!N94,'Cost-of-Service'!N95)</f>
        <v>7.5289133425064536</v>
      </c>
      <c r="G136" s="512" t="str">
        <f>IF($B$102="Power","USD per kW","USD per kWh")</f>
        <v>USD per kW</v>
      </c>
      <c r="I136" s="239"/>
      <c r="J136" s="239"/>
      <c r="K136" s="239"/>
      <c r="L136" s="239"/>
      <c r="M136" s="239"/>
      <c r="N136" s="239"/>
      <c r="O136" s="239"/>
      <c r="P136" s="239"/>
      <c r="Q136" s="239"/>
      <c r="R136" s="239"/>
      <c r="S136" s="239"/>
      <c r="T136" s="239"/>
      <c r="U136" s="239"/>
      <c r="V136" s="239"/>
      <c r="W136" s="239"/>
    </row>
    <row r="137" spans="2:23" x14ac:dyDescent="0.2">
      <c r="B137" s="45"/>
      <c r="C137" s="45"/>
      <c r="D137" s="45"/>
      <c r="E137" s="45"/>
      <c r="F137" s="45"/>
      <c r="G137" s="45"/>
      <c r="H137" s="45"/>
      <c r="I137" s="45"/>
      <c r="J137" s="45"/>
      <c r="K137" s="45"/>
      <c r="L137" s="45"/>
      <c r="M137" s="45"/>
      <c r="N137" s="45"/>
      <c r="O137" s="45"/>
      <c r="P137" s="45"/>
      <c r="Q137" s="45"/>
      <c r="R137" s="45"/>
      <c r="S137" s="45"/>
      <c r="T137" s="239"/>
      <c r="U137" s="239"/>
      <c r="V137" s="239"/>
      <c r="W137" s="239"/>
    </row>
    <row r="138" spans="2:23" x14ac:dyDescent="0.2">
      <c r="B138" s="258" t="s">
        <v>279</v>
      </c>
      <c r="I138" s="45"/>
      <c r="J138" s="45"/>
      <c r="K138" s="45"/>
      <c r="L138" s="45"/>
      <c r="M138" s="45"/>
      <c r="N138" s="45"/>
      <c r="O138" s="45"/>
      <c r="P138" s="45"/>
      <c r="Q138" s="45"/>
      <c r="R138" s="45"/>
      <c r="S138" s="45"/>
      <c r="T138" s="239"/>
      <c r="U138" s="239"/>
      <c r="V138" s="239"/>
      <c r="W138" s="239"/>
    </row>
    <row r="139" spans="2:23" x14ac:dyDescent="0.2">
      <c r="B139" s="45"/>
      <c r="C139" s="45"/>
      <c r="D139" s="45"/>
      <c r="E139" s="45"/>
      <c r="F139" s="45"/>
      <c r="G139" s="45"/>
      <c r="H139" s="45"/>
      <c r="I139" s="45"/>
      <c r="J139" s="45"/>
      <c r="K139" s="45"/>
      <c r="L139" s="45"/>
      <c r="M139" s="45"/>
      <c r="N139" s="45"/>
      <c r="O139" s="45"/>
      <c r="P139" s="45"/>
      <c r="Q139" s="45"/>
      <c r="R139" s="45"/>
      <c r="S139" s="45"/>
      <c r="T139" s="239"/>
      <c r="U139" s="239"/>
      <c r="V139" s="239"/>
      <c r="W139" s="239"/>
    </row>
    <row r="140" spans="2:23" x14ac:dyDescent="0.2">
      <c r="C140" s="503"/>
      <c r="D140" s="503"/>
      <c r="E140" s="503"/>
      <c r="F140" s="503"/>
      <c r="G140" s="257"/>
      <c r="I140" s="45"/>
      <c r="J140" s="45"/>
      <c r="K140" s="45"/>
      <c r="L140" s="45"/>
      <c r="M140" s="45"/>
      <c r="N140" s="45"/>
      <c r="O140" s="45"/>
      <c r="P140" s="45"/>
      <c r="Q140" s="45"/>
      <c r="R140" s="45"/>
      <c r="S140" s="45"/>
      <c r="T140" s="239"/>
      <c r="U140" s="239"/>
      <c r="V140" s="239"/>
      <c r="W140" s="239"/>
    </row>
    <row r="141" spans="2:23" ht="16" thickBot="1" x14ac:dyDescent="0.25">
      <c r="B141" s="513" t="str">
        <f>'Cost-of-Service'!B36</f>
        <v>Peak shaving</v>
      </c>
      <c r="C141" s="256">
        <v>2016</v>
      </c>
      <c r="D141" s="256">
        <v>2020</v>
      </c>
      <c r="E141" s="256">
        <v>2025</v>
      </c>
      <c r="F141" s="256">
        <v>2030</v>
      </c>
      <c r="G141" s="255" t="s">
        <v>195</v>
      </c>
      <c r="I141" s="45"/>
      <c r="J141" s="45"/>
      <c r="K141" s="45"/>
      <c r="L141" s="253" t="s">
        <v>189</v>
      </c>
      <c r="M141" s="514" t="str">
        <f>'Cost-of-Service'!K105</f>
        <v>OK</v>
      </c>
      <c r="N141" s="45"/>
      <c r="O141" s="45"/>
      <c r="P141" s="45"/>
      <c r="Q141" s="45"/>
      <c r="R141" s="45"/>
      <c r="S141" s="45"/>
      <c r="T141" s="239"/>
      <c r="U141" s="239"/>
      <c r="V141" s="239"/>
      <c r="W141" s="239"/>
    </row>
    <row r="142" spans="2:23" x14ac:dyDescent="0.2">
      <c r="B142" s="461" t="s">
        <v>33</v>
      </c>
      <c r="C142" s="571">
        <v>123.17507153799561</v>
      </c>
      <c r="D142" s="571">
        <v>96.759887423145699</v>
      </c>
      <c r="E142" s="571">
        <v>78.463840230361626</v>
      </c>
      <c r="F142" s="571">
        <v>64.00305632297237</v>
      </c>
      <c r="G142" s="239" t="s">
        <v>329</v>
      </c>
      <c r="I142" s="45"/>
      <c r="J142" s="45"/>
      <c r="K142" s="45"/>
      <c r="L142" s="45"/>
      <c r="M142" s="45"/>
      <c r="N142" s="45"/>
      <c r="O142" s="45"/>
      <c r="P142" s="45"/>
      <c r="Q142" s="45"/>
      <c r="R142" s="45"/>
      <c r="S142" s="45"/>
      <c r="T142" s="239"/>
      <c r="U142" s="239"/>
      <c r="V142" s="239"/>
      <c r="W142" s="239"/>
    </row>
    <row r="143" spans="2:23" x14ac:dyDescent="0.2">
      <c r="B143" s="461" t="s">
        <v>84</v>
      </c>
      <c r="C143" s="571">
        <v>31.917263075912935</v>
      </c>
      <c r="D143" s="571">
        <v>22.916465124909976</v>
      </c>
      <c r="E143" s="571">
        <v>15.253689140983665</v>
      </c>
      <c r="F143" s="571">
        <v>10.239382436733996</v>
      </c>
      <c r="G143" s="239" t="s">
        <v>329</v>
      </c>
      <c r="I143" s="45"/>
      <c r="J143" s="45"/>
      <c r="K143" s="45"/>
      <c r="L143" s="45"/>
      <c r="M143" s="45"/>
      <c r="N143" s="45"/>
      <c r="O143" s="45"/>
      <c r="P143" s="45"/>
      <c r="Q143" s="45"/>
      <c r="R143" s="45"/>
      <c r="S143" s="45"/>
      <c r="T143" s="239"/>
      <c r="U143" s="239"/>
      <c r="V143" s="239"/>
      <c r="W143" s="239"/>
    </row>
    <row r="144" spans="2:23" x14ac:dyDescent="0.2">
      <c r="B144" s="239" t="s">
        <v>44</v>
      </c>
      <c r="C144" s="571">
        <v>20.205337876952743</v>
      </c>
      <c r="D144" s="571">
        <v>15.16736646198134</v>
      </c>
      <c r="E144" s="571">
        <v>10.653497604526031</v>
      </c>
      <c r="F144" s="571">
        <v>7.5289133425064536</v>
      </c>
      <c r="G144" s="239" t="s">
        <v>329</v>
      </c>
      <c r="I144" s="45"/>
      <c r="J144" s="45"/>
      <c r="K144" s="45"/>
      <c r="L144" s="45"/>
      <c r="M144" s="45"/>
      <c r="N144" s="45"/>
      <c r="O144" s="45"/>
      <c r="P144" s="45"/>
      <c r="Q144" s="45"/>
      <c r="R144" s="45"/>
      <c r="S144" s="45"/>
      <c r="T144" s="239"/>
      <c r="U144" s="239"/>
      <c r="V144" s="239"/>
      <c r="W144" s="239"/>
    </row>
    <row r="145" spans="2:23" x14ac:dyDescent="0.2">
      <c r="B145" s="239"/>
      <c r="C145" s="571"/>
      <c r="D145" s="571"/>
      <c r="E145" s="571"/>
      <c r="F145" s="571"/>
      <c r="G145" s="239"/>
      <c r="I145" s="279"/>
      <c r="J145" s="279"/>
      <c r="K145" s="279"/>
      <c r="L145" s="279"/>
      <c r="M145" s="279"/>
      <c r="N145" s="279"/>
      <c r="O145" s="279"/>
      <c r="P145" s="279"/>
      <c r="Q145" s="279"/>
      <c r="R145" s="279"/>
      <c r="S145" s="279"/>
      <c r="T145" s="239"/>
      <c r="U145" s="239"/>
      <c r="V145" s="239"/>
      <c r="W145" s="239"/>
    </row>
    <row r="146" spans="2:23" x14ac:dyDescent="0.2">
      <c r="B146" s="239"/>
      <c r="C146" s="571"/>
      <c r="D146" s="571"/>
      <c r="E146" s="571"/>
      <c r="F146" s="571"/>
      <c r="G146" s="239"/>
      <c r="I146" s="279"/>
      <c r="J146" s="279"/>
      <c r="K146" s="279"/>
      <c r="L146" s="279"/>
      <c r="M146" s="279"/>
      <c r="N146" s="279"/>
      <c r="O146" s="279"/>
      <c r="P146" s="279"/>
      <c r="Q146" s="279"/>
      <c r="R146" s="279"/>
      <c r="S146" s="279"/>
      <c r="T146" s="239"/>
      <c r="U146" s="239"/>
      <c r="V146" s="239"/>
      <c r="W146" s="239"/>
    </row>
    <row r="147" spans="2:23" x14ac:dyDescent="0.2">
      <c r="B147" s="239"/>
      <c r="C147" s="571"/>
      <c r="D147" s="571"/>
      <c r="E147" s="571"/>
      <c r="F147" s="571"/>
      <c r="G147" s="239"/>
      <c r="I147" s="279"/>
      <c r="J147" s="279"/>
      <c r="K147" s="279"/>
      <c r="L147" s="279"/>
      <c r="M147" s="279"/>
      <c r="N147" s="279"/>
      <c r="O147" s="279"/>
      <c r="P147" s="279"/>
      <c r="Q147" s="279"/>
      <c r="R147" s="279"/>
      <c r="S147" s="279"/>
      <c r="T147" s="239"/>
      <c r="U147" s="239"/>
      <c r="V147" s="239"/>
      <c r="W147" s="239"/>
    </row>
    <row r="148" spans="2:23" x14ac:dyDescent="0.2">
      <c r="B148" s="239"/>
      <c r="C148" s="571"/>
      <c r="D148" s="571"/>
      <c r="E148" s="571"/>
      <c r="F148" s="571"/>
      <c r="G148" s="239"/>
      <c r="I148" s="279"/>
      <c r="J148" s="279"/>
      <c r="K148" s="279"/>
      <c r="L148" s="279"/>
      <c r="M148" s="279"/>
      <c r="N148" s="279"/>
      <c r="O148" s="279"/>
      <c r="P148" s="279"/>
      <c r="Q148" s="279"/>
      <c r="R148" s="279"/>
      <c r="S148" s="279"/>
      <c r="T148" s="239"/>
      <c r="U148" s="239"/>
      <c r="V148" s="239"/>
      <c r="W148" s="239"/>
    </row>
    <row r="149" spans="2:23" x14ac:dyDescent="0.2">
      <c r="B149" s="239"/>
      <c r="C149" s="571"/>
      <c r="D149" s="571"/>
      <c r="E149" s="571"/>
      <c r="F149" s="571"/>
      <c r="G149" s="239"/>
      <c r="I149" s="279"/>
      <c r="J149" s="279"/>
      <c r="K149" s="279"/>
      <c r="L149" s="279"/>
      <c r="M149" s="279"/>
      <c r="N149" s="279"/>
      <c r="O149" s="279"/>
      <c r="P149" s="279"/>
      <c r="Q149" s="279"/>
      <c r="R149" s="279"/>
      <c r="S149" s="279"/>
      <c r="T149" s="239"/>
      <c r="U149" s="239"/>
      <c r="V149" s="239"/>
      <c r="W149" s="239"/>
    </row>
    <row r="150" spans="2:23" x14ac:dyDescent="0.2">
      <c r="B150" s="239"/>
      <c r="C150" s="571"/>
      <c r="D150" s="571"/>
      <c r="E150" s="571"/>
      <c r="F150" s="571"/>
      <c r="G150" s="239"/>
      <c r="I150" s="279"/>
      <c r="J150" s="279"/>
      <c r="K150" s="279"/>
      <c r="L150" s="279"/>
      <c r="M150" s="279"/>
      <c r="N150" s="279"/>
      <c r="O150" s="279"/>
      <c r="P150" s="279"/>
      <c r="Q150" s="279"/>
      <c r="R150" s="279"/>
      <c r="S150" s="279"/>
      <c r="T150" s="239"/>
      <c r="U150" s="239"/>
      <c r="V150" s="239"/>
      <c r="W150" s="239"/>
    </row>
    <row r="151" spans="2:23" x14ac:dyDescent="0.2">
      <c r="B151" s="239"/>
      <c r="C151" s="571"/>
      <c r="D151" s="571"/>
      <c r="E151" s="571"/>
      <c r="F151" s="571"/>
      <c r="G151" s="239"/>
      <c r="I151" s="279"/>
      <c r="J151" s="279"/>
      <c r="K151" s="279"/>
      <c r="L151" s="279"/>
      <c r="M151" s="279"/>
      <c r="N151" s="279"/>
      <c r="O151" s="279"/>
      <c r="P151" s="279"/>
      <c r="Q151" s="279"/>
      <c r="R151" s="279"/>
      <c r="S151" s="279"/>
      <c r="T151" s="239"/>
      <c r="U151" s="239"/>
      <c r="V151" s="239"/>
      <c r="W151" s="239"/>
    </row>
    <row r="152" spans="2:23" x14ac:dyDescent="0.2">
      <c r="B152" s="461"/>
      <c r="C152" s="571"/>
      <c r="D152" s="571"/>
      <c r="E152" s="571"/>
      <c r="F152" s="571"/>
      <c r="G152" s="239"/>
      <c r="I152" s="45"/>
      <c r="J152" s="45"/>
      <c r="K152" s="45"/>
      <c r="L152" s="45"/>
      <c r="M152" s="45"/>
      <c r="N152" s="45"/>
      <c r="O152" s="45"/>
      <c r="P152" s="45"/>
      <c r="Q152" s="45"/>
      <c r="R152" s="45"/>
      <c r="S152" s="45"/>
      <c r="T152" s="239"/>
      <c r="U152" s="239"/>
      <c r="V152" s="239"/>
      <c r="W152" s="239"/>
    </row>
    <row r="153" spans="2:23" x14ac:dyDescent="0.2">
      <c r="B153" s="468"/>
      <c r="C153" s="572"/>
      <c r="D153" s="572"/>
      <c r="E153" s="572"/>
      <c r="F153" s="572"/>
      <c r="G153" s="468"/>
      <c r="I153" s="45"/>
      <c r="J153" s="45"/>
      <c r="K153" s="45"/>
      <c r="L153" s="45"/>
      <c r="M153" s="45"/>
      <c r="N153" s="45"/>
      <c r="O153" s="45"/>
      <c r="P153" s="45"/>
      <c r="Q153" s="45"/>
      <c r="R153" s="45"/>
      <c r="S153" s="45"/>
      <c r="T153" s="239"/>
      <c r="U153" s="239"/>
      <c r="V153" s="239"/>
      <c r="W153" s="239"/>
    </row>
    <row r="154" spans="2:23" x14ac:dyDescent="0.2">
      <c r="B154" s="561"/>
      <c r="C154" s="572"/>
      <c r="D154" s="572"/>
      <c r="E154" s="572"/>
      <c r="F154" s="572"/>
      <c r="G154" s="561"/>
      <c r="H154" s="506"/>
      <c r="I154" s="504"/>
      <c r="J154" s="506"/>
      <c r="K154" s="504"/>
      <c r="L154" s="504"/>
      <c r="M154" s="504"/>
      <c r="N154" s="504"/>
      <c r="O154" s="504"/>
      <c r="P154" s="504"/>
      <c r="Q154" s="45"/>
      <c r="R154" s="45"/>
      <c r="S154" s="45"/>
      <c r="T154" s="239"/>
      <c r="U154" s="239"/>
      <c r="V154" s="239"/>
      <c r="W154" s="239"/>
    </row>
    <row r="155" spans="2:23" x14ac:dyDescent="0.2">
      <c r="B155" s="505"/>
      <c r="C155" s="505"/>
      <c r="D155" s="505"/>
      <c r="E155" s="505"/>
      <c r="F155" s="505"/>
      <c r="G155" s="505"/>
      <c r="H155" s="505"/>
      <c r="I155" s="505"/>
      <c r="J155" s="505"/>
      <c r="K155" s="505"/>
      <c r="L155" s="505"/>
      <c r="M155" s="505"/>
      <c r="N155" s="505"/>
      <c r="O155" s="505"/>
      <c r="P155" s="505"/>
      <c r="Q155" s="45"/>
      <c r="R155" s="45"/>
      <c r="S155" s="45"/>
      <c r="T155" s="239"/>
      <c r="U155" s="239"/>
      <c r="V155" s="239"/>
      <c r="W155" s="239"/>
    </row>
    <row r="156" spans="2:23" x14ac:dyDescent="0.2">
      <c r="I156" s="45"/>
      <c r="J156" s="45"/>
      <c r="K156" s="45"/>
      <c r="L156" s="45"/>
      <c r="M156" s="45"/>
      <c r="N156" s="45"/>
      <c r="O156" s="45"/>
      <c r="P156" s="45"/>
      <c r="Q156" s="45"/>
      <c r="R156" s="45"/>
      <c r="S156" s="45"/>
      <c r="T156" s="239"/>
      <c r="U156" s="239"/>
      <c r="V156" s="239"/>
      <c r="W156" s="239"/>
    </row>
    <row r="157" spans="2:23" x14ac:dyDescent="0.2">
      <c r="I157" s="45"/>
      <c r="J157" s="45"/>
      <c r="K157" s="45"/>
      <c r="L157" s="45"/>
      <c r="M157" s="45"/>
      <c r="N157" s="45"/>
      <c r="O157" s="45"/>
      <c r="P157" s="45"/>
      <c r="Q157" s="45"/>
      <c r="R157" s="45"/>
      <c r="S157" s="45"/>
      <c r="T157" s="239"/>
      <c r="U157" s="239"/>
      <c r="V157" s="239"/>
      <c r="W157" s="239"/>
    </row>
    <row r="158" spans="2:23" x14ac:dyDescent="0.2">
      <c r="B158" s="279"/>
      <c r="C158" s="279"/>
      <c r="D158" s="279"/>
      <c r="E158" s="279"/>
      <c r="F158" s="279"/>
      <c r="G158" s="45"/>
      <c r="I158" s="45"/>
      <c r="J158" s="45"/>
      <c r="K158" s="45"/>
      <c r="L158" s="45"/>
      <c r="M158" s="45"/>
      <c r="N158" s="45"/>
      <c r="O158" s="45"/>
      <c r="P158" s="45"/>
      <c r="Q158" s="45"/>
      <c r="R158" s="45"/>
      <c r="S158" s="45"/>
      <c r="T158" s="239"/>
      <c r="U158" s="239"/>
      <c r="V158" s="239"/>
      <c r="W158" s="239"/>
    </row>
    <row r="159" spans="2:23" x14ac:dyDescent="0.2">
      <c r="B159" s="279"/>
      <c r="C159" s="279"/>
      <c r="D159" s="279"/>
      <c r="E159" s="279"/>
      <c r="I159" s="45"/>
      <c r="J159" s="45"/>
      <c r="K159" s="45"/>
      <c r="L159" s="45"/>
      <c r="M159" s="45"/>
      <c r="N159" s="45"/>
      <c r="O159" s="45"/>
      <c r="P159" s="45"/>
      <c r="Q159" s="45"/>
      <c r="R159" s="45"/>
      <c r="S159" s="45"/>
      <c r="T159" s="239"/>
      <c r="U159" s="239"/>
      <c r="V159" s="239"/>
      <c r="W159" s="239"/>
    </row>
    <row r="160" spans="2:23" x14ac:dyDescent="0.2">
      <c r="B160" s="45"/>
      <c r="C160" s="45"/>
      <c r="D160" s="45"/>
      <c r="E160" s="45"/>
      <c r="F160" s="45"/>
      <c r="G160" s="45"/>
      <c r="H160" s="45"/>
      <c r="I160" s="45"/>
      <c r="J160" s="45"/>
      <c r="K160" s="45"/>
      <c r="L160" s="45"/>
      <c r="M160" s="45"/>
      <c r="N160" s="45"/>
      <c r="O160" s="45"/>
      <c r="P160" s="45"/>
      <c r="Q160" s="45"/>
      <c r="R160" s="45"/>
      <c r="S160" s="45"/>
      <c r="T160" s="239"/>
      <c r="U160" s="239"/>
      <c r="V160" s="239"/>
      <c r="W160" s="239"/>
    </row>
    <row r="161" spans="2:23" x14ac:dyDescent="0.2">
      <c r="B161" s="45"/>
      <c r="C161" s="45"/>
      <c r="D161" s="45"/>
      <c r="E161" s="45"/>
      <c r="F161" s="45"/>
      <c r="G161" s="45"/>
      <c r="H161" s="45"/>
      <c r="I161" s="45"/>
      <c r="J161" s="45"/>
      <c r="K161" s="45"/>
      <c r="L161" s="45"/>
      <c r="M161" s="45"/>
      <c r="N161" s="45"/>
      <c r="O161" s="45"/>
      <c r="P161" s="45"/>
      <c r="Q161" s="45"/>
      <c r="R161" s="45"/>
      <c r="S161" s="45"/>
      <c r="T161" s="239"/>
      <c r="U161" s="239"/>
      <c r="V161" s="239"/>
      <c r="W161" s="239"/>
    </row>
    <row r="162" spans="2:23" x14ac:dyDescent="0.2">
      <c r="B162" s="45"/>
      <c r="C162" s="45"/>
      <c r="D162" s="45"/>
      <c r="E162" s="45"/>
      <c r="F162" s="45"/>
      <c r="G162" s="45"/>
      <c r="H162" s="45"/>
      <c r="I162" s="45"/>
      <c r="J162" s="45"/>
      <c r="K162" s="45"/>
      <c r="L162" s="45"/>
      <c r="M162" s="45"/>
      <c r="N162" s="45"/>
      <c r="O162" s="45"/>
      <c r="P162" s="45"/>
      <c r="Q162" s="45"/>
      <c r="R162" s="45"/>
      <c r="S162" s="45"/>
      <c r="T162" s="239"/>
      <c r="U162" s="239"/>
      <c r="V162" s="239"/>
      <c r="W162" s="239"/>
    </row>
    <row r="163" spans="2:23" x14ac:dyDescent="0.2">
      <c r="B163" s="45"/>
      <c r="C163" s="45"/>
      <c r="D163" s="45"/>
      <c r="E163" s="45"/>
      <c r="F163" s="45"/>
      <c r="G163" s="45"/>
      <c r="H163" s="45"/>
      <c r="I163" s="45"/>
      <c r="J163" s="45"/>
      <c r="K163" s="45"/>
      <c r="L163" s="45"/>
      <c r="M163" s="45"/>
      <c r="N163" s="45"/>
      <c r="O163" s="45"/>
      <c r="P163" s="45"/>
      <c r="Q163" s="45"/>
      <c r="R163" s="45"/>
      <c r="S163" s="45"/>
      <c r="T163" s="239"/>
      <c r="U163" s="239"/>
      <c r="V163" s="239"/>
      <c r="W163" s="239"/>
    </row>
    <row r="164" spans="2:23" x14ac:dyDescent="0.2">
      <c r="B164" s="45"/>
      <c r="C164" s="45"/>
      <c r="D164" s="45"/>
      <c r="E164" s="45"/>
      <c r="F164" s="45"/>
      <c r="G164" s="45"/>
      <c r="H164" s="45"/>
      <c r="I164" s="45"/>
      <c r="J164" s="45"/>
      <c r="K164" s="45"/>
      <c r="L164" s="45"/>
      <c r="M164" s="45"/>
      <c r="N164" s="45"/>
      <c r="O164" s="45"/>
      <c r="P164" s="45"/>
      <c r="Q164" s="45"/>
      <c r="R164" s="45"/>
      <c r="S164" s="45"/>
      <c r="T164" s="239"/>
      <c r="U164" s="239"/>
      <c r="V164" s="239"/>
      <c r="W164" s="239"/>
    </row>
    <row r="165" spans="2:23" x14ac:dyDescent="0.2">
      <c r="B165" s="45"/>
      <c r="I165" s="45"/>
      <c r="J165" s="45"/>
      <c r="K165" s="45"/>
      <c r="L165" s="45"/>
      <c r="M165" s="45"/>
      <c r="N165" s="45"/>
      <c r="O165" s="45"/>
      <c r="P165" s="45"/>
      <c r="Q165" s="45"/>
      <c r="R165" s="45"/>
      <c r="S165" s="45"/>
    </row>
    <row r="166" spans="2:23" x14ac:dyDescent="0.2">
      <c r="B166" s="45"/>
      <c r="I166" s="45"/>
      <c r="J166" s="45"/>
      <c r="K166" s="45"/>
      <c r="L166" s="45"/>
      <c r="M166" s="45"/>
      <c r="N166" s="45"/>
      <c r="O166" s="45"/>
      <c r="P166" s="45"/>
      <c r="Q166" s="45"/>
      <c r="R166" s="45"/>
      <c r="S166" s="45"/>
    </row>
    <row r="167" spans="2:23" x14ac:dyDescent="0.2">
      <c r="B167" s="45"/>
      <c r="I167" s="45"/>
      <c r="J167" s="45"/>
      <c r="K167" s="45"/>
      <c r="L167" s="45"/>
      <c r="M167" s="45"/>
      <c r="N167" s="45"/>
      <c r="O167" s="45"/>
      <c r="P167" s="45"/>
      <c r="Q167" s="45"/>
      <c r="R167" s="45"/>
      <c r="S167" s="45"/>
    </row>
    <row r="168" spans="2:23" x14ac:dyDescent="0.2">
      <c r="B168" s="45"/>
      <c r="I168" s="45"/>
      <c r="J168" s="45"/>
      <c r="K168" s="45"/>
      <c r="L168" s="45"/>
      <c r="M168" s="45"/>
      <c r="N168" s="45"/>
      <c r="O168" s="45"/>
      <c r="P168" s="45"/>
      <c r="Q168" s="45"/>
      <c r="R168" s="45"/>
      <c r="S168" s="45"/>
    </row>
    <row r="169" spans="2:23" x14ac:dyDescent="0.2">
      <c r="B169" s="45"/>
      <c r="I169" s="45"/>
      <c r="J169" s="45"/>
      <c r="K169" s="45"/>
      <c r="L169" s="45"/>
      <c r="M169" s="45"/>
      <c r="N169" s="45"/>
      <c r="O169" s="45"/>
      <c r="P169" s="45"/>
      <c r="Q169" s="45"/>
      <c r="R169" s="45"/>
      <c r="S169" s="45"/>
    </row>
    <row r="170" spans="2:23" x14ac:dyDescent="0.2">
      <c r="B170" s="45"/>
      <c r="I170" s="45"/>
      <c r="J170" s="45"/>
      <c r="K170" s="45"/>
      <c r="L170" s="45"/>
      <c r="M170" s="45"/>
      <c r="N170" s="45"/>
      <c r="O170" s="45"/>
      <c r="P170" s="45"/>
      <c r="Q170" s="45"/>
      <c r="R170" s="45"/>
      <c r="S170" s="45"/>
    </row>
    <row r="171" spans="2:23" x14ac:dyDescent="0.2">
      <c r="B171" s="45"/>
      <c r="I171" s="45"/>
      <c r="J171" s="45"/>
      <c r="K171" s="45"/>
      <c r="L171" s="45"/>
      <c r="M171" s="45"/>
      <c r="N171" s="45"/>
      <c r="O171" s="45"/>
      <c r="P171" s="45"/>
      <c r="Q171" s="45"/>
      <c r="R171" s="45"/>
      <c r="S171" s="45"/>
    </row>
    <row r="172" spans="2:23" x14ac:dyDescent="0.2">
      <c r="B172" s="45"/>
      <c r="C172" s="45"/>
      <c r="D172" s="45"/>
      <c r="E172" s="45"/>
      <c r="F172" s="45"/>
      <c r="G172" s="45"/>
      <c r="H172" s="45"/>
      <c r="I172" s="45"/>
      <c r="J172" s="45"/>
      <c r="K172" s="45"/>
      <c r="L172" s="45"/>
      <c r="M172" s="45"/>
      <c r="N172" s="45"/>
      <c r="O172" s="45"/>
      <c r="P172" s="45"/>
      <c r="Q172" s="45"/>
      <c r="R172" s="45"/>
      <c r="S172" s="45"/>
    </row>
    <row r="173" spans="2:23" x14ac:dyDescent="0.2">
      <c r="B173" s="45"/>
      <c r="C173" s="45"/>
      <c r="D173" s="45"/>
      <c r="E173" s="45"/>
      <c r="F173" s="45"/>
      <c r="G173" s="45"/>
      <c r="H173" s="45"/>
      <c r="I173" s="45"/>
      <c r="J173" s="45"/>
      <c r="K173" s="45"/>
      <c r="L173" s="45"/>
      <c r="M173" s="45"/>
      <c r="N173" s="45"/>
      <c r="O173" s="45"/>
      <c r="P173" s="45"/>
      <c r="Q173" s="45"/>
      <c r="R173" s="45"/>
      <c r="S173" s="45"/>
    </row>
    <row r="174" spans="2:23" x14ac:dyDescent="0.2">
      <c r="B174" s="45"/>
      <c r="C174" s="45"/>
      <c r="D174" s="45"/>
      <c r="E174" s="45"/>
      <c r="F174" s="45"/>
      <c r="G174" s="45"/>
      <c r="H174" s="45"/>
      <c r="I174" s="45"/>
      <c r="J174" s="45"/>
      <c r="K174" s="45"/>
      <c r="L174" s="45"/>
      <c r="M174" s="45"/>
      <c r="N174" s="45"/>
      <c r="O174" s="45"/>
      <c r="P174" s="45"/>
      <c r="Q174" s="45"/>
      <c r="R174" s="45"/>
      <c r="S174" s="45"/>
    </row>
    <row r="175" spans="2:23" x14ac:dyDescent="0.2">
      <c r="B175" s="45"/>
      <c r="C175" s="45"/>
      <c r="D175" s="45"/>
      <c r="E175" s="45"/>
      <c r="F175" s="45"/>
      <c r="G175" s="45"/>
      <c r="H175" s="45"/>
      <c r="I175" s="45"/>
      <c r="J175" s="45"/>
      <c r="K175" s="45"/>
      <c r="L175" s="45"/>
      <c r="M175" s="45"/>
      <c r="N175" s="45"/>
      <c r="O175" s="45"/>
      <c r="P175" s="45"/>
      <c r="Q175" s="45"/>
      <c r="R175" s="45"/>
      <c r="S175" s="45"/>
    </row>
    <row r="176" spans="2:23" x14ac:dyDescent="0.2">
      <c r="B176" s="45"/>
      <c r="C176" s="45"/>
      <c r="D176" s="45"/>
      <c r="E176" s="45"/>
      <c r="F176" s="45"/>
      <c r="G176" s="45"/>
      <c r="H176" s="45"/>
      <c r="I176" s="45"/>
      <c r="J176" s="45"/>
      <c r="K176" s="45"/>
      <c r="L176" s="45"/>
      <c r="M176" s="45"/>
      <c r="N176" s="45"/>
      <c r="O176" s="45"/>
      <c r="P176" s="45"/>
      <c r="Q176" s="45"/>
      <c r="R176" s="45"/>
      <c r="S176" s="45"/>
    </row>
    <row r="177" spans="2:19" x14ac:dyDescent="0.2">
      <c r="B177" s="45"/>
      <c r="C177" s="45"/>
      <c r="D177" s="45"/>
      <c r="E177" s="45"/>
      <c r="F177" s="45"/>
      <c r="G177" s="45"/>
      <c r="H177" s="45"/>
      <c r="I177" s="45"/>
      <c r="J177" s="45"/>
      <c r="K177" s="45"/>
      <c r="L177" s="45"/>
      <c r="M177" s="45"/>
      <c r="N177" s="45"/>
      <c r="O177" s="45"/>
      <c r="P177" s="45"/>
      <c r="Q177" s="45"/>
      <c r="R177" s="45"/>
      <c r="S177" s="45"/>
    </row>
    <row r="178" spans="2:19" x14ac:dyDescent="0.2">
      <c r="B178" s="45"/>
      <c r="C178" s="45"/>
      <c r="D178" s="45"/>
      <c r="E178" s="45"/>
      <c r="F178" s="45"/>
      <c r="G178" s="45"/>
      <c r="H178" s="45"/>
      <c r="I178" s="45"/>
      <c r="J178" s="45"/>
      <c r="K178" s="45"/>
      <c r="L178" s="45"/>
      <c r="M178" s="45"/>
      <c r="N178" s="45"/>
      <c r="O178" s="45"/>
      <c r="P178" s="45"/>
      <c r="Q178" s="45"/>
      <c r="R178" s="45"/>
      <c r="S178" s="45"/>
    </row>
    <row r="179" spans="2:19" x14ac:dyDescent="0.2">
      <c r="B179" s="45"/>
      <c r="C179" s="45"/>
      <c r="D179" s="45"/>
      <c r="E179" s="45"/>
      <c r="F179" s="45"/>
      <c r="G179" s="45"/>
      <c r="H179" s="45"/>
      <c r="I179" s="45"/>
      <c r="J179" s="45"/>
      <c r="K179" s="45"/>
      <c r="L179" s="45"/>
      <c r="M179" s="45"/>
      <c r="N179" s="45"/>
      <c r="O179" s="45"/>
      <c r="P179" s="45"/>
      <c r="Q179" s="45"/>
      <c r="R179" s="45"/>
      <c r="S179" s="45"/>
    </row>
    <row r="180" spans="2:19" x14ac:dyDescent="0.2">
      <c r="B180" s="45"/>
      <c r="C180" s="45"/>
      <c r="D180" s="45"/>
      <c r="E180" s="45"/>
      <c r="F180" s="45"/>
      <c r="G180" s="45"/>
      <c r="H180" s="45"/>
      <c r="I180" s="45"/>
      <c r="J180" s="45"/>
      <c r="K180" s="45"/>
      <c r="L180" s="45"/>
      <c r="M180" s="45"/>
      <c r="N180" s="45"/>
      <c r="O180" s="45"/>
      <c r="P180" s="45"/>
      <c r="Q180" s="45"/>
      <c r="R180" s="45"/>
      <c r="S180" s="45"/>
    </row>
  </sheetData>
  <sheetProtection algorithmName="SHA-512" hashValue="HLzHKSiBtEDcF/Dxxfu6hEIIE/DqJ0KndbU6ueTVdSUava/eVLkocemLNrtqXQL3OB/cjgdqO2H7QiWNssH7KQ==" saltValue="LNzq5Tpr4fw/919BHxQs8Q==" spinCount="100000" sheet="1" objects="1" scenarios="1"/>
  <mergeCells count="25">
    <mergeCell ref="C104:F104"/>
    <mergeCell ref="C55:E55"/>
    <mergeCell ref="F55:H55"/>
    <mergeCell ref="I55:K55"/>
    <mergeCell ref="L55:N55"/>
    <mergeCell ref="C92:E92"/>
    <mergeCell ref="F92:H92"/>
    <mergeCell ref="I92:K92"/>
    <mergeCell ref="L92:N92"/>
    <mergeCell ref="C35:E35"/>
    <mergeCell ref="F35:H35"/>
    <mergeCell ref="I35:K35"/>
    <mergeCell ref="L35:N35"/>
    <mergeCell ref="C44:E44"/>
    <mergeCell ref="F44:H44"/>
    <mergeCell ref="I44:K44"/>
    <mergeCell ref="L44:N44"/>
    <mergeCell ref="C3:E3"/>
    <mergeCell ref="F3:H3"/>
    <mergeCell ref="I3:K3"/>
    <mergeCell ref="L3:N3"/>
    <mergeCell ref="C19:E19"/>
    <mergeCell ref="F19:H19"/>
    <mergeCell ref="I19:K19"/>
    <mergeCell ref="L19:N19"/>
  </mergeCells>
  <conditionalFormatting sqref="K105">
    <cfRule type="containsText" dxfId="5" priority="5" operator="containsText" text="ERROR">
      <formula>NOT(ISERROR(SEARCH("ERROR",K105)))</formula>
    </cfRule>
    <cfRule type="containsText" dxfId="4" priority="6" operator="containsText" text="OK">
      <formula>NOT(ISERROR(SEARCH("OK",K105)))</formula>
    </cfRule>
  </conditionalFormatting>
  <conditionalFormatting sqref="K104">
    <cfRule type="containsText" dxfId="3" priority="3" operator="containsText" text="ERROR">
      <formula>NOT(ISERROR(SEARCH("ERROR",K104)))</formula>
    </cfRule>
    <cfRule type="containsText" dxfId="2" priority="4" operator="containsText" text="OK">
      <formula>NOT(ISERROR(SEARCH("OK",K104)))</formula>
    </cfRule>
  </conditionalFormatting>
  <conditionalFormatting sqref="M141">
    <cfRule type="containsText" dxfId="1" priority="1" operator="containsText" text="ERROR">
      <formula>NOT(ISERROR(SEARCH("ERROR",M141)))</formula>
    </cfRule>
    <cfRule type="containsText" dxfId="0" priority="2" operator="containsText" text="OK">
      <formula>NOT(ISERROR(SEARCH("OK",M141)))</formula>
    </cfRule>
  </conditionalFormatting>
  <dataValidations count="4">
    <dataValidation type="list" allowBlank="1" showInputMessage="1" showErrorMessage="1" sqref="B20" xr:uid="{00000000-0002-0000-0200-000000000000}">
      <formula1>PCU_options</formula1>
    </dataValidation>
    <dataValidation type="list" allowBlank="1" showInputMessage="1" showErrorMessage="1" sqref="B36" xr:uid="{00000000-0002-0000-0200-000001000000}">
      <formula1>Applications</formula1>
    </dataValidation>
    <dataValidation type="list" allowBlank="1" showInputMessage="1" showErrorMessage="1" sqref="B4" xr:uid="{00000000-0002-0000-0200-000002000000}">
      <formula1>tech_list</formula1>
    </dataValidation>
    <dataValidation type="list" allowBlank="1" showInputMessage="1" showErrorMessage="1" sqref="B102" xr:uid="{00000000-0002-0000-0200-000003000000}">
      <formula1>"Power, Electricity"</formula1>
    </dataValidation>
  </dataValidations>
  <pageMargins left="0.7" right="0.7" top="0.78740157499999996" bottom="0.78740157499999996"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2:O19"/>
  <sheetViews>
    <sheetView zoomScale="85" zoomScaleNormal="85" workbookViewId="0"/>
  </sheetViews>
  <sheetFormatPr baseColWidth="10" defaultColWidth="11.5" defaultRowHeight="15" x14ac:dyDescent="0.2"/>
  <cols>
    <col min="1" max="1" width="11.5" style="203"/>
    <col min="2" max="2" width="27.6640625" style="203" bestFit="1" customWidth="1"/>
    <col min="3" max="5" width="11.5" style="203"/>
    <col min="6" max="6" width="11.5" style="203" customWidth="1"/>
    <col min="7" max="14" width="11.5" style="203"/>
    <col min="15" max="15" width="20.1640625" style="203" bestFit="1" customWidth="1"/>
    <col min="16" max="16384" width="11.5" style="203"/>
  </cols>
  <sheetData>
    <row r="2" spans="2:15" x14ac:dyDescent="0.2">
      <c r="C2" s="39"/>
      <c r="D2" s="39"/>
      <c r="E2" s="39"/>
      <c r="F2" s="39"/>
      <c r="G2" s="39"/>
      <c r="H2" s="39"/>
      <c r="I2" s="39"/>
      <c r="J2" s="39"/>
      <c r="K2" s="39"/>
      <c r="L2" s="39"/>
    </row>
    <row r="3" spans="2:15" x14ac:dyDescent="0.2">
      <c r="C3" s="588">
        <v>2016</v>
      </c>
      <c r="D3" s="588"/>
      <c r="E3" s="588"/>
      <c r="F3" s="589">
        <v>2020</v>
      </c>
      <c r="G3" s="589"/>
      <c r="H3" s="589"/>
      <c r="I3" s="589">
        <v>2025</v>
      </c>
      <c r="J3" s="589"/>
      <c r="K3" s="589"/>
      <c r="L3" s="590">
        <v>2030</v>
      </c>
      <c r="M3" s="590"/>
      <c r="N3" s="590"/>
      <c r="O3" s="195"/>
    </row>
    <row r="4" spans="2:15" ht="20" thickBot="1" x14ac:dyDescent="0.3">
      <c r="B4" s="194" t="s">
        <v>206</v>
      </c>
      <c r="C4" s="196" t="s">
        <v>72</v>
      </c>
      <c r="D4" s="196" t="s">
        <v>73</v>
      </c>
      <c r="E4" s="196" t="s">
        <v>178</v>
      </c>
      <c r="F4" s="196" t="s">
        <v>72</v>
      </c>
      <c r="G4" s="196" t="s">
        <v>73</v>
      </c>
      <c r="H4" s="196" t="s">
        <v>178</v>
      </c>
      <c r="I4" s="196" t="s">
        <v>72</v>
      </c>
      <c r="J4" s="196" t="s">
        <v>73</v>
      </c>
      <c r="K4" s="196" t="s">
        <v>178</v>
      </c>
      <c r="L4" s="196" t="s">
        <v>72</v>
      </c>
      <c r="M4" s="196" t="s">
        <v>73</v>
      </c>
      <c r="N4" s="196" t="s">
        <v>178</v>
      </c>
      <c r="O4" s="196" t="s">
        <v>1</v>
      </c>
    </row>
    <row r="5" spans="2:15" x14ac:dyDescent="0.2">
      <c r="B5" s="51" t="s">
        <v>74</v>
      </c>
      <c r="C5" s="147">
        <f>'Overview 2016 (in)'!G54</f>
        <v>300</v>
      </c>
      <c r="D5" s="52">
        <f>'Overview 2016 (in)'!H54</f>
        <v>140</v>
      </c>
      <c r="E5" s="53">
        <f>'Overview 2016 (in)'!I54</f>
        <v>250</v>
      </c>
      <c r="F5" s="147">
        <f>IFERROR(C5*H5/E5,0)</f>
        <v>300</v>
      </c>
      <c r="G5" s="52">
        <f>IFERROR(D5*H5/E5, 0)</f>
        <v>140</v>
      </c>
      <c r="H5" s="53">
        <f>E5</f>
        <v>250</v>
      </c>
      <c r="I5" s="147">
        <f>IFERROR(F5*K5/H5,0)</f>
        <v>300</v>
      </c>
      <c r="J5" s="52">
        <f>IFERROR(G5*K5/H5, 0)</f>
        <v>140</v>
      </c>
      <c r="K5" s="53">
        <f>H5</f>
        <v>250</v>
      </c>
      <c r="L5" s="147">
        <f>IFERROR(I5*N5/K5,0)</f>
        <v>300</v>
      </c>
      <c r="M5" s="52">
        <f>IFERROR(J5*N5/K5, 0)</f>
        <v>140</v>
      </c>
      <c r="N5" s="53">
        <f>K5</f>
        <v>250</v>
      </c>
      <c r="O5" s="54" t="s">
        <v>75</v>
      </c>
    </row>
    <row r="6" spans="2:15" x14ac:dyDescent="0.2">
      <c r="B6" s="37" t="s">
        <v>76</v>
      </c>
      <c r="C6" s="148">
        <f>'Overview 2016 (in)'!G55</f>
        <v>160</v>
      </c>
      <c r="D6" s="149">
        <f>'Overview 2016 (in)'!H55</f>
        <v>120</v>
      </c>
      <c r="E6" s="150">
        <f>'Overview 2016 (in)'!I55</f>
        <v>140</v>
      </c>
      <c r="F6" s="148">
        <f t="shared" ref="F6:F15" si="0">IFERROR(C6*H6/E6,0)</f>
        <v>160</v>
      </c>
      <c r="G6" s="149">
        <f t="shared" ref="G6:G13" si="1">IFERROR(D6*H6/E6, 0)</f>
        <v>120</v>
      </c>
      <c r="H6" s="150">
        <f>E6</f>
        <v>140</v>
      </c>
      <c r="I6" s="148">
        <f t="shared" ref="I6:I15" si="2">IFERROR(F6*K6/H6,0)</f>
        <v>160</v>
      </c>
      <c r="J6" s="149">
        <f t="shared" ref="J6:J13" si="3">IFERROR(G6*K6/H6, 0)</f>
        <v>120</v>
      </c>
      <c r="K6" s="150">
        <f>H6</f>
        <v>140</v>
      </c>
      <c r="L6" s="148">
        <f t="shared" ref="L6:L15" si="4">IFERROR(I6*N6/K6,0)</f>
        <v>160</v>
      </c>
      <c r="M6" s="149">
        <f t="shared" ref="M6:M13" si="5">IFERROR(J6*N6/K6, 0)</f>
        <v>120</v>
      </c>
      <c r="N6" s="150">
        <f>K6</f>
        <v>140</v>
      </c>
      <c r="O6" s="55" t="s">
        <v>77</v>
      </c>
    </row>
    <row r="7" spans="2:15" x14ac:dyDescent="0.2">
      <c r="B7" s="51" t="s">
        <v>4</v>
      </c>
      <c r="C7" s="151">
        <f>'Overview 2016 (in)'!G56</f>
        <v>10000</v>
      </c>
      <c r="D7" s="56">
        <f>'Overview 2016 (in)'!H56</f>
        <v>1000</v>
      </c>
      <c r="E7" s="197">
        <f>'Overview 2016 (in)'!I56</f>
        <v>5000</v>
      </c>
      <c r="F7" s="151">
        <f t="shared" ca="1" si="0"/>
        <v>11228.242619935514</v>
      </c>
      <c r="G7" s="56">
        <f t="shared" ca="1" si="1"/>
        <v>1122.8242619935515</v>
      </c>
      <c r="H7" s="197">
        <f ca="1">INDIRECT(ADDRESS(ROW($B6),COLUMN(D$4),1,,$B$4))</f>
        <v>5614.121309967757</v>
      </c>
      <c r="I7" s="151">
        <f t="shared" ca="1" si="2"/>
        <v>12977.813348135074</v>
      </c>
      <c r="J7" s="56">
        <f t="shared" ca="1" si="3"/>
        <v>1297.7813348135078</v>
      </c>
      <c r="K7" s="197">
        <f ca="1">INDIRECT(ADDRESS(ROW($B6),COLUMN(E$4),1,,$B$4))</f>
        <v>6488.906674067538</v>
      </c>
      <c r="L7" s="151">
        <f t="shared" ca="1" si="4"/>
        <v>14999.999999999998</v>
      </c>
      <c r="M7" s="56">
        <f t="shared" ca="1" si="5"/>
        <v>1500.0000000000002</v>
      </c>
      <c r="N7" s="197">
        <f ca="1">INDIRECT(ADDRESS(ROW($B6),COLUMN(F$4),1,,$B$4))</f>
        <v>7500</v>
      </c>
      <c r="O7" s="54" t="s">
        <v>5</v>
      </c>
    </row>
    <row r="8" spans="2:15" x14ac:dyDescent="0.2">
      <c r="B8" s="37" t="s">
        <v>6</v>
      </c>
      <c r="C8" s="152">
        <f>'Overview 2016 (in)'!G57</f>
        <v>25</v>
      </c>
      <c r="D8" s="153">
        <f>'Overview 2016 (in)'!H57</f>
        <v>10</v>
      </c>
      <c r="E8" s="199">
        <f>'Overview 2016 (in)'!I57</f>
        <v>17</v>
      </c>
      <c r="F8" s="152">
        <f t="shared" ca="1" si="0"/>
        <v>27.682015757521484</v>
      </c>
      <c r="G8" s="153">
        <f t="shared" ca="1" si="1"/>
        <v>11.072806303008592</v>
      </c>
      <c r="H8" s="199">
        <f ca="1">INDIRECT(ADDRESS(ROW($B7),COLUMN(D$4),1,,$B$4))</f>
        <v>18.823770715114609</v>
      </c>
      <c r="I8" s="152">
        <f t="shared" ca="1" si="2"/>
        <v>31.442700582352686</v>
      </c>
      <c r="J8" s="153">
        <f t="shared" ca="1" si="3"/>
        <v>12.577080232941071</v>
      </c>
      <c r="K8" s="199">
        <f ca="1">INDIRECT(ADDRESS(ROW($B7),COLUMN(E$4),1,,$B$4))</f>
        <v>21.381036395999825</v>
      </c>
      <c r="L8" s="152">
        <f t="shared" ca="1" si="4"/>
        <v>35.714285714285715</v>
      </c>
      <c r="M8" s="153">
        <f t="shared" ca="1" si="5"/>
        <v>14.285714285714285</v>
      </c>
      <c r="N8" s="199">
        <f ca="1">INDIRECT(ADDRESS(ROW($B7),COLUMN(F$4),1,,$B$4))</f>
        <v>24.285714285714285</v>
      </c>
      <c r="O8" s="55" t="s">
        <v>7</v>
      </c>
    </row>
    <row r="9" spans="2:15" x14ac:dyDescent="0.2">
      <c r="B9" s="51" t="s">
        <v>78</v>
      </c>
      <c r="C9" s="151">
        <f>'Overview 2016 (in)'!G58</f>
        <v>100</v>
      </c>
      <c r="D9" s="56">
        <f>'Overview 2016 (in)'!H58</f>
        <v>100</v>
      </c>
      <c r="E9" s="57">
        <f>'Overview 2016 (in)'!I58</f>
        <v>100</v>
      </c>
      <c r="F9" s="151">
        <f t="shared" si="0"/>
        <v>100</v>
      </c>
      <c r="G9" s="56">
        <f t="shared" si="1"/>
        <v>100</v>
      </c>
      <c r="H9" s="57">
        <f>E9</f>
        <v>100</v>
      </c>
      <c r="I9" s="151">
        <f t="shared" si="2"/>
        <v>100</v>
      </c>
      <c r="J9" s="56">
        <f t="shared" si="3"/>
        <v>100</v>
      </c>
      <c r="K9" s="57">
        <f>H9</f>
        <v>100</v>
      </c>
      <c r="L9" s="151">
        <f t="shared" si="4"/>
        <v>100</v>
      </c>
      <c r="M9" s="56">
        <f t="shared" si="5"/>
        <v>100</v>
      </c>
      <c r="N9" s="57">
        <f>K9</f>
        <v>100</v>
      </c>
      <c r="O9" s="54" t="s">
        <v>9</v>
      </c>
    </row>
    <row r="10" spans="2:15" x14ac:dyDescent="0.2">
      <c r="B10" s="37" t="s">
        <v>8</v>
      </c>
      <c r="C10" s="152">
        <f>'Overview 2016 (in)'!G59</f>
        <v>90</v>
      </c>
      <c r="D10" s="153">
        <f>'Overview 2016 (in)'!H59</f>
        <v>70</v>
      </c>
      <c r="E10" s="199">
        <f>'Overview 2016 (in)'!I59</f>
        <v>80</v>
      </c>
      <c r="F10" s="152">
        <f t="shared" ca="1" si="0"/>
        <v>91.572498405202765</v>
      </c>
      <c r="G10" s="153">
        <f t="shared" ca="1" si="1"/>
        <v>71.223054315157725</v>
      </c>
      <c r="H10" s="199">
        <f ca="1">INDIRECT(ADDRESS(ROW($B8),COLUMN(D$4),1,,$B$4))</f>
        <v>81.397776360180245</v>
      </c>
      <c r="I10" s="152">
        <f t="shared" ca="1" si="2"/>
        <v>93.576814222314297</v>
      </c>
      <c r="J10" s="153">
        <f t="shared" ca="1" si="3"/>
        <v>72.781966617355579</v>
      </c>
      <c r="K10" s="199">
        <f ca="1">INDIRECT(ADDRESS(ROW($B8),COLUMN(E$4),1,,$B$4))</f>
        <v>83.179390419834945</v>
      </c>
      <c r="L10" s="152">
        <f t="shared" ca="1" si="4"/>
        <v>95.624999999999986</v>
      </c>
      <c r="M10" s="153">
        <f t="shared" ca="1" si="5"/>
        <v>74.375</v>
      </c>
      <c r="N10" s="199">
        <f ca="1">INDIRECT(ADDRESS(ROW($B8),COLUMN(F$4),1,,$B$4))</f>
        <v>85</v>
      </c>
      <c r="O10" s="55" t="s">
        <v>9</v>
      </c>
    </row>
    <row r="11" spans="2:15" x14ac:dyDescent="0.2">
      <c r="B11" s="51" t="s">
        <v>79</v>
      </c>
      <c r="C11" s="147">
        <f>'Overview 2016 (in)'!G60</f>
        <v>0.05</v>
      </c>
      <c r="D11" s="52">
        <f>'Overview 2016 (in)'!H60</f>
        <v>1</v>
      </c>
      <c r="E11" s="53">
        <f>'Overview 2016 (in)'!I60</f>
        <v>0.05</v>
      </c>
      <c r="F11" s="147">
        <f t="shared" si="0"/>
        <v>5.000000000000001E-2</v>
      </c>
      <c r="G11" s="52">
        <f t="shared" si="1"/>
        <v>1</v>
      </c>
      <c r="H11" s="53">
        <f>E11</f>
        <v>0.05</v>
      </c>
      <c r="I11" s="147">
        <f t="shared" si="2"/>
        <v>5.000000000000001E-2</v>
      </c>
      <c r="J11" s="52">
        <f t="shared" si="3"/>
        <v>1</v>
      </c>
      <c r="K11" s="53">
        <f>H11</f>
        <v>0.05</v>
      </c>
      <c r="L11" s="147">
        <f t="shared" si="4"/>
        <v>5.000000000000001E-2</v>
      </c>
      <c r="M11" s="52">
        <f t="shared" si="5"/>
        <v>1</v>
      </c>
      <c r="N11" s="53">
        <f>K11</f>
        <v>0.05</v>
      </c>
      <c r="O11" s="54" t="s">
        <v>80</v>
      </c>
    </row>
    <row r="12" spans="2:15" x14ac:dyDescent="0.2">
      <c r="B12" s="154" t="s">
        <v>81</v>
      </c>
      <c r="C12" s="148">
        <f>'Overview 2016 (in)'!G61</f>
        <v>3</v>
      </c>
      <c r="D12" s="149">
        <f>'Overview 2016 (in)'!H61</f>
        <v>20</v>
      </c>
      <c r="E12" s="150">
        <f>'Overview 2016 (in)'!I61</f>
        <v>10</v>
      </c>
      <c r="F12" s="148">
        <f t="shared" si="0"/>
        <v>3</v>
      </c>
      <c r="G12" s="149">
        <f t="shared" si="1"/>
        <v>20</v>
      </c>
      <c r="H12" s="150">
        <f>E12</f>
        <v>10</v>
      </c>
      <c r="I12" s="148">
        <f t="shared" si="2"/>
        <v>3</v>
      </c>
      <c r="J12" s="149">
        <f t="shared" si="3"/>
        <v>20</v>
      </c>
      <c r="K12" s="150">
        <f>H12</f>
        <v>10</v>
      </c>
      <c r="L12" s="148">
        <f t="shared" si="4"/>
        <v>3</v>
      </c>
      <c r="M12" s="149">
        <f t="shared" si="5"/>
        <v>20</v>
      </c>
      <c r="N12" s="150">
        <f>K12</f>
        <v>10</v>
      </c>
      <c r="O12" s="155" t="s">
        <v>82</v>
      </c>
    </row>
    <row r="13" spans="2:15" x14ac:dyDescent="0.2">
      <c r="B13" s="156" t="s">
        <v>83</v>
      </c>
      <c r="C13" s="157">
        <f>'Overview 2016 (in)'!G62</f>
        <v>0</v>
      </c>
      <c r="D13" s="58">
        <f>'Overview 2016 (in)'!H62</f>
        <v>0</v>
      </c>
      <c r="E13" s="59">
        <f>'Overview 2016 (in)'!I62</f>
        <v>0</v>
      </c>
      <c r="F13" s="157">
        <f t="shared" si="0"/>
        <v>0</v>
      </c>
      <c r="G13" s="58">
        <f t="shared" si="1"/>
        <v>0</v>
      </c>
      <c r="H13" s="59">
        <f>E13</f>
        <v>0</v>
      </c>
      <c r="I13" s="157">
        <f t="shared" si="2"/>
        <v>0</v>
      </c>
      <c r="J13" s="58">
        <f t="shared" si="3"/>
        <v>0</v>
      </c>
      <c r="K13" s="59">
        <f>H13</f>
        <v>0</v>
      </c>
      <c r="L13" s="157">
        <f t="shared" si="4"/>
        <v>0</v>
      </c>
      <c r="M13" s="58">
        <f t="shared" si="5"/>
        <v>0</v>
      </c>
      <c r="N13" s="59">
        <f>K13</f>
        <v>0</v>
      </c>
      <c r="O13" s="54" t="s">
        <v>7</v>
      </c>
    </row>
    <row r="14" spans="2:15" x14ac:dyDescent="0.2">
      <c r="B14" s="154" t="s">
        <v>2</v>
      </c>
      <c r="C14" s="152">
        <f>'Overview 2016 (in)'!G63</f>
        <v>262.5</v>
      </c>
      <c r="D14" s="153">
        <f>'Overview 2016 (in)'!H63</f>
        <v>735</v>
      </c>
      <c r="E14" s="198">
        <f>'Overview 2016 (in)'!I63</f>
        <v>367.5</v>
      </c>
      <c r="F14" s="152">
        <f t="shared" ca="1" si="0"/>
        <v>207.71742738480711</v>
      </c>
      <c r="G14" s="153">
        <f t="shared" ref="G14:G15" ca="1" si="6">IFERROR(D14*H14/E14,0)</f>
        <v>581.60879667745996</v>
      </c>
      <c r="H14" s="198">
        <f ca="1">IF(CELL("format",INDIRECT(ADDRESS(ROW($B4),COLUMN(D$4),1,,$B$4)))="W0-",INDIRECT(ADDRESS(ROW($B4),COLUMN(D$4),1,,$B$4))*'Overview 2016 (in)'!$O$7,INDIRECT(ADDRESS(ROW($B4),COLUMN(D$4),1,,$B$4)))</f>
        <v>290.80439833872998</v>
      </c>
      <c r="I14" s="152">
        <f t="shared" ca="1" si="2"/>
        <v>155.02526035939559</v>
      </c>
      <c r="J14" s="153">
        <f t="shared" ref="J14:J15" ca="1" si="7">IFERROR(G14*K14/H14,0)</f>
        <v>434.07072900630772</v>
      </c>
      <c r="K14" s="198">
        <f ca="1">IF(CELL("format",INDIRECT(ADDRESS(ROW($B4),COLUMN(E$4),1,,$B$4)))="W0-",INDIRECT(ADDRESS(ROW($B4),COLUMN(E$4),1,,$B$4))*'Overview 2016 (in)'!$O$7,INDIRECT(ADDRESS(ROW($B4),COLUMN(E$4),1,,$B$4)))</f>
        <v>217.03536450315386</v>
      </c>
      <c r="L14" s="152">
        <f t="shared" ca="1" si="4"/>
        <v>115.69963893773996</v>
      </c>
      <c r="M14" s="153">
        <f t="shared" ref="M14:M15" ca="1" si="8">IFERROR(J14*N14/K14,0)</f>
        <v>323.95898902567188</v>
      </c>
      <c r="N14" s="198">
        <f ca="1">IF(CELL("format",INDIRECT(ADDRESS(ROW($B4),COLUMN(F$4),1,,$B$4)))="W0-",INDIRECT(ADDRESS(ROW($B4),COLUMN(F$4),1,,$B$4))*'Overview 2016 (in)'!$O$7,INDIRECT(ADDRESS(ROW($B4),COLUMN(F$4),1,,$B$4)))</f>
        <v>161.97949451283597</v>
      </c>
      <c r="O14" s="155" t="s">
        <v>22</v>
      </c>
    </row>
    <row r="15" spans="2:15" ht="16" thickBot="1" x14ac:dyDescent="0.25">
      <c r="B15" s="158" t="s">
        <v>3</v>
      </c>
      <c r="C15" s="180">
        <f>'Overview 2016 (in)'!G64</f>
        <v>0</v>
      </c>
      <c r="D15" s="180">
        <f>'Overview 2016 (in)'!H64</f>
        <v>0</v>
      </c>
      <c r="E15" s="200">
        <f>'Overview 2016 (in)'!I64</f>
        <v>0</v>
      </c>
      <c r="F15" s="180">
        <f t="shared" ca="1" si="0"/>
        <v>0</v>
      </c>
      <c r="G15" s="180">
        <f t="shared" ca="1" si="6"/>
        <v>0</v>
      </c>
      <c r="H15" s="200">
        <f ca="1">IF(CELL("format",INDIRECT(ADDRESS(ROW($B5),COLUMN(D$4),1,,$B$4)))="W0-",INDIRECT(ADDRESS(ROW($B5),COLUMN(D$4),1,,$B$4))*'Overview 2016 (in)'!$O$7,INDIRECT(ADDRESS(ROW($B5),COLUMN(D$4),1,,$B$4)))</f>
        <v>0</v>
      </c>
      <c r="I15" s="180">
        <f t="shared" ca="1" si="2"/>
        <v>0</v>
      </c>
      <c r="J15" s="180">
        <f t="shared" ca="1" si="7"/>
        <v>0</v>
      </c>
      <c r="K15" s="200">
        <f ca="1">IF(CELL("format",INDIRECT(ADDRESS(ROW($B5),COLUMN(E$4),1,,$B$4)))="W0-",INDIRECT(ADDRESS(ROW($B5),COLUMN(E$4),1,,$B$4))*'Overview 2016 (in)'!$O$7,INDIRECT(ADDRESS(ROW($B5),COLUMN(E$4),1,,$B$4)))</f>
        <v>0</v>
      </c>
      <c r="L15" s="180">
        <f t="shared" ca="1" si="4"/>
        <v>0</v>
      </c>
      <c r="M15" s="180">
        <f t="shared" ca="1" si="8"/>
        <v>0</v>
      </c>
      <c r="N15" s="200">
        <f ca="1">IF(CELL("format",INDIRECT(ADDRESS(ROW($B5),COLUMN(F$4),1,,$B$4)))="W0-",INDIRECT(ADDRESS(ROW($B5),COLUMN(F$4),1,,$B$4))*'Overview 2016 (in)'!$O$7,INDIRECT(ADDRESS(ROW($B5),COLUMN(F$4),1,,$B$4)))</f>
        <v>0</v>
      </c>
      <c r="O15" s="60" t="s">
        <v>23</v>
      </c>
    </row>
    <row r="17" spans="2:3" x14ac:dyDescent="0.2">
      <c r="C17" s="202"/>
    </row>
    <row r="18" spans="2:3" ht="19" x14ac:dyDescent="0.25">
      <c r="B18" s="201"/>
    </row>
    <row r="19" spans="2:3" x14ac:dyDescent="0.2">
      <c r="B19" s="39"/>
    </row>
  </sheetData>
  <mergeCells count="4">
    <mergeCell ref="C3:E3"/>
    <mergeCell ref="F3:H3"/>
    <mergeCell ref="I3:K3"/>
    <mergeCell ref="L3:N3"/>
  </mergeCells>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3" tint="0.59999389629810485"/>
  </sheetPr>
  <dimension ref="A1:U61"/>
  <sheetViews>
    <sheetView zoomScale="85" zoomScaleNormal="85" workbookViewId="0"/>
  </sheetViews>
  <sheetFormatPr baseColWidth="10" defaultColWidth="9.1640625" defaultRowHeight="15" x14ac:dyDescent="0.2"/>
  <cols>
    <col min="1" max="1" width="9.1640625" style="3"/>
    <col min="2" max="2" width="26.5" style="3" customWidth="1"/>
    <col min="3" max="4" width="10.6640625" style="3" customWidth="1"/>
    <col min="5" max="5" width="10.6640625" style="31" customWidth="1"/>
    <col min="6" max="7" width="10.6640625" style="3" customWidth="1"/>
    <col min="8" max="8" width="10.6640625" style="31" customWidth="1"/>
    <col min="9" max="9" width="20.33203125" style="3" customWidth="1"/>
    <col min="10" max="10" width="13.83203125" style="3" customWidth="1"/>
    <col min="11" max="12" width="12.6640625" style="3" customWidth="1"/>
    <col min="13" max="13" width="12.6640625" style="31" customWidth="1"/>
    <col min="14" max="14" width="12.6640625" style="3" customWidth="1"/>
    <col min="15" max="15" width="12.6640625" style="31" customWidth="1"/>
    <col min="16" max="16" width="12.6640625" style="3" customWidth="1"/>
    <col min="17" max="16384" width="9.1640625" style="3"/>
  </cols>
  <sheetData>
    <row r="1" spans="1:18" x14ac:dyDescent="0.2">
      <c r="A1" s="101"/>
      <c r="B1" s="101"/>
      <c r="C1" s="101"/>
      <c r="D1" s="101"/>
      <c r="E1" s="101"/>
      <c r="F1" s="101"/>
      <c r="G1" s="101"/>
      <c r="H1" s="101"/>
      <c r="I1" s="101"/>
      <c r="J1" s="101"/>
      <c r="K1" s="101"/>
      <c r="L1" s="101"/>
      <c r="M1" s="101"/>
      <c r="N1" s="101"/>
    </row>
    <row r="2" spans="1:18" ht="20" thickBot="1" x14ac:dyDescent="0.3">
      <c r="A2" s="101"/>
      <c r="B2" s="41" t="s">
        <v>50</v>
      </c>
      <c r="C2" s="13"/>
      <c r="D2" s="101"/>
      <c r="E2" s="101"/>
      <c r="F2" s="101"/>
      <c r="G2" s="101"/>
      <c r="H2" s="101"/>
      <c r="I2" s="101"/>
      <c r="J2" s="101"/>
      <c r="K2" s="41" t="s">
        <v>0</v>
      </c>
      <c r="L2" s="101"/>
      <c r="M2" s="101"/>
      <c r="N2" s="39"/>
      <c r="O2" s="39"/>
      <c r="P2" s="39"/>
      <c r="Q2" s="39"/>
      <c r="R2" s="39"/>
    </row>
    <row r="3" spans="1:18" x14ac:dyDescent="0.2">
      <c r="A3" s="101"/>
      <c r="B3" s="38"/>
      <c r="C3" s="38">
        <v>2016</v>
      </c>
      <c r="D3" s="367">
        <v>2020</v>
      </c>
      <c r="E3" s="367">
        <v>2025</v>
      </c>
      <c r="F3" s="367">
        <v>2030</v>
      </c>
      <c r="G3" s="38" t="s">
        <v>1</v>
      </c>
      <c r="H3" s="40"/>
      <c r="I3" s="38" t="s">
        <v>17</v>
      </c>
      <c r="J3" s="38" t="s">
        <v>18</v>
      </c>
      <c r="K3" s="38" t="s">
        <v>19</v>
      </c>
      <c r="L3" s="38" t="s">
        <v>20</v>
      </c>
      <c r="M3" s="101"/>
      <c r="N3" s="407">
        <f>1-(F4/C4)^(1/(F$3-C$3))</f>
        <v>7.3589402714749563E-2</v>
      </c>
      <c r="O3" s="40"/>
      <c r="P3" s="40"/>
      <c r="Q3" s="39"/>
      <c r="R3" s="39"/>
    </row>
    <row r="4" spans="1:18" x14ac:dyDescent="0.2">
      <c r="A4" s="101"/>
      <c r="B4" s="37" t="s">
        <v>2</v>
      </c>
      <c r="C4" s="159">
        <f>'Overview 2016 (in)'!L63</f>
        <v>346.5</v>
      </c>
      <c r="D4" s="68">
        <f t="shared" ref="D4:E8" si="0">$C4*(1-$N3)^(D$3-$C$3)</f>
        <v>255.22152322222183</v>
      </c>
      <c r="E4" s="68">
        <f t="shared" si="0"/>
        <v>174.15456708428366</v>
      </c>
      <c r="F4" s="68">
        <f>C4*D56</f>
        <v>118.83720798071577</v>
      </c>
      <c r="G4" s="101" t="s">
        <v>22</v>
      </c>
      <c r="H4" s="101"/>
      <c r="I4" s="79" t="s">
        <v>52</v>
      </c>
      <c r="J4" s="42" t="s">
        <v>53</v>
      </c>
      <c r="K4" s="42" t="s">
        <v>53</v>
      </c>
      <c r="L4" s="42" t="s">
        <v>53</v>
      </c>
      <c r="M4" s="101"/>
      <c r="N4" s="407">
        <f>1-(F5/C5)^(1/(F$3-C$3))</f>
        <v>5.1156619294755012E-2</v>
      </c>
      <c r="O4" s="39"/>
      <c r="P4" s="39"/>
      <c r="Q4" s="39"/>
      <c r="R4" s="39"/>
    </row>
    <row r="5" spans="1:18" x14ac:dyDescent="0.2">
      <c r="A5" s="101"/>
      <c r="B5" s="40" t="s">
        <v>3</v>
      </c>
      <c r="C5" s="159">
        <f>'Overview 2016 (in)'!L64</f>
        <v>1312.5</v>
      </c>
      <c r="D5" s="73">
        <f t="shared" si="0"/>
        <v>1063.8427567234637</v>
      </c>
      <c r="E5" s="73">
        <f t="shared" si="0"/>
        <v>818.18234163525324</v>
      </c>
      <c r="F5" s="68">
        <f>C5*H56</f>
        <v>629.24933213391876</v>
      </c>
      <c r="G5" s="101" t="s">
        <v>23</v>
      </c>
      <c r="H5" s="101"/>
      <c r="I5" s="79" t="s">
        <v>52</v>
      </c>
      <c r="J5" s="42">
        <v>1</v>
      </c>
      <c r="K5" s="42">
        <v>1</v>
      </c>
      <c r="L5" s="42">
        <v>1</v>
      </c>
      <c r="M5" s="101"/>
      <c r="N5" s="407">
        <f t="shared" ref="N5:N7" si="1">1-(F6/C6)^(1/(F$3-C$3))</f>
        <v>0</v>
      </c>
      <c r="O5" s="39"/>
      <c r="P5" s="39"/>
      <c r="Q5" s="39"/>
      <c r="R5" s="39"/>
    </row>
    <row r="6" spans="1:18" x14ac:dyDescent="0.2">
      <c r="A6" s="101"/>
      <c r="B6" s="37" t="s">
        <v>4</v>
      </c>
      <c r="C6" s="160">
        <f>'Overview 2016 (in)'!L56</f>
        <v>13000</v>
      </c>
      <c r="D6" s="73">
        <f t="shared" si="0"/>
        <v>13000</v>
      </c>
      <c r="E6" s="73">
        <f t="shared" si="0"/>
        <v>13000</v>
      </c>
      <c r="F6" s="73">
        <f>C6*E$56</f>
        <v>13000</v>
      </c>
      <c r="G6" s="101" t="s">
        <v>5</v>
      </c>
      <c r="H6" s="101"/>
      <c r="I6" s="79" t="s">
        <v>52</v>
      </c>
      <c r="J6" s="42" t="s">
        <v>53</v>
      </c>
      <c r="K6" s="42" t="s">
        <v>53</v>
      </c>
      <c r="L6" s="42" t="s">
        <v>53</v>
      </c>
      <c r="M6" s="101"/>
      <c r="N6" s="407">
        <f t="shared" si="1"/>
        <v>-3.4141576406921725E-2</v>
      </c>
      <c r="O6" s="39"/>
      <c r="P6" s="39"/>
      <c r="Q6" s="39"/>
      <c r="R6" s="39"/>
    </row>
    <row r="7" spans="1:18" x14ac:dyDescent="0.2">
      <c r="A7" s="101"/>
      <c r="B7" s="37" t="s">
        <v>6</v>
      </c>
      <c r="C7" s="160">
        <f>'Overview 2016 (in)'!L57</f>
        <v>12</v>
      </c>
      <c r="D7" s="85">
        <f t="shared" si="0"/>
        <v>13.724648831227707</v>
      </c>
      <c r="E7" s="85">
        <f t="shared" si="0"/>
        <v>16.233091435693073</v>
      </c>
      <c r="F7" s="85">
        <f>C7*F$56</f>
        <v>19.200000000000003</v>
      </c>
      <c r="G7" s="101" t="s">
        <v>7</v>
      </c>
      <c r="H7" s="101"/>
      <c r="I7" s="79" t="s">
        <v>52</v>
      </c>
      <c r="J7" s="42" t="s">
        <v>53</v>
      </c>
      <c r="K7" s="42" t="s">
        <v>53</v>
      </c>
      <c r="L7" s="42" t="s">
        <v>53</v>
      </c>
      <c r="M7" s="101"/>
      <c r="N7" s="407">
        <f t="shared" si="1"/>
        <v>-7.8304482765232386E-3</v>
      </c>
      <c r="O7" s="39"/>
      <c r="P7" s="39"/>
      <c r="Q7" s="39"/>
      <c r="R7" s="39"/>
    </row>
    <row r="8" spans="1:18" ht="16" thickBot="1" x14ac:dyDescent="0.25">
      <c r="A8" s="101"/>
      <c r="B8" s="6" t="s">
        <v>8</v>
      </c>
      <c r="C8" s="161">
        <f>'Overview 2016 (in)'!L59</f>
        <v>70</v>
      </c>
      <c r="D8" s="78">
        <f t="shared" si="0"/>
        <v>72.218412903809906</v>
      </c>
      <c r="E8" s="78">
        <f t="shared" si="0"/>
        <v>75.090555125316726</v>
      </c>
      <c r="F8" s="78">
        <f>C8*G$56</f>
        <v>78.07692307692308</v>
      </c>
      <c r="G8" s="7" t="s">
        <v>9</v>
      </c>
      <c r="H8" s="39"/>
      <c r="I8" s="80" t="s">
        <v>52</v>
      </c>
      <c r="J8" s="83" t="s">
        <v>53</v>
      </c>
      <c r="K8" s="83" t="s">
        <v>53</v>
      </c>
      <c r="L8" s="83" t="s">
        <v>53</v>
      </c>
      <c r="M8" s="101"/>
      <c r="N8" s="320"/>
      <c r="O8" s="39"/>
      <c r="P8" s="39"/>
      <c r="Q8" s="39"/>
      <c r="R8" s="39"/>
    </row>
    <row r="9" spans="1:18" x14ac:dyDescent="0.2">
      <c r="A9" s="101"/>
      <c r="B9" s="37"/>
      <c r="C9" s="44"/>
      <c r="D9" s="101"/>
      <c r="E9" s="101"/>
      <c r="F9" s="101"/>
      <c r="G9" s="101"/>
      <c r="H9" s="101"/>
      <c r="I9" s="101"/>
      <c r="J9" s="39"/>
      <c r="K9" s="39"/>
      <c r="L9" s="39"/>
      <c r="M9" s="39"/>
      <c r="N9" s="320"/>
      <c r="O9" s="39"/>
      <c r="P9" s="39"/>
      <c r="Q9" s="39"/>
      <c r="R9" s="39"/>
    </row>
    <row r="10" spans="1:18" x14ac:dyDescent="0.2">
      <c r="A10" s="42"/>
      <c r="B10" s="300"/>
      <c r="C10" s="300"/>
      <c r="D10" s="300"/>
      <c r="E10" s="39"/>
      <c r="F10" s="39"/>
      <c r="G10" s="39"/>
      <c r="H10" s="39"/>
      <c r="I10" s="39"/>
      <c r="J10" s="39"/>
      <c r="K10" s="39"/>
      <c r="L10" s="39"/>
      <c r="M10" s="39"/>
      <c r="N10" s="39"/>
      <c r="O10" s="39"/>
      <c r="P10" s="39"/>
      <c r="Q10" s="39"/>
      <c r="R10" s="39"/>
    </row>
    <row r="11" spans="1:18" x14ac:dyDescent="0.2">
      <c r="A11" s="42"/>
      <c r="B11" s="43"/>
      <c r="C11" s="43"/>
      <c r="D11" s="39"/>
      <c r="E11" s="39"/>
      <c r="F11" s="39"/>
      <c r="G11" s="39"/>
      <c r="H11" s="39"/>
      <c r="I11" s="101"/>
      <c r="J11" s="43"/>
      <c r="K11" s="2" t="s">
        <v>68</v>
      </c>
      <c r="L11" s="43"/>
      <c r="M11" s="43"/>
      <c r="N11" s="43"/>
      <c r="O11" s="43"/>
      <c r="P11" s="43"/>
      <c r="Q11" s="43"/>
      <c r="R11" s="43"/>
    </row>
    <row r="12" spans="1:18" ht="20" thickBot="1" x14ac:dyDescent="0.3">
      <c r="A12" s="101"/>
      <c r="B12" s="41" t="s">
        <v>10</v>
      </c>
      <c r="C12" s="101"/>
      <c r="D12" s="101"/>
      <c r="E12" s="101"/>
      <c r="F12" s="101"/>
      <c r="G12" s="101"/>
      <c r="H12" s="101"/>
      <c r="J12" s="42"/>
      <c r="K12" s="18" t="s">
        <v>69</v>
      </c>
      <c r="L12" s="42"/>
      <c r="M12" s="42"/>
      <c r="N12" s="42"/>
      <c r="O12" s="42"/>
      <c r="P12" s="16"/>
      <c r="Q12" s="16"/>
      <c r="R12" s="16"/>
    </row>
    <row r="13" spans="1:18" x14ac:dyDescent="0.2">
      <c r="A13" s="101"/>
      <c r="B13" s="98" t="s">
        <v>11</v>
      </c>
      <c r="C13" s="98" t="s">
        <v>12</v>
      </c>
      <c r="D13" s="98" t="s">
        <v>13</v>
      </c>
      <c r="E13" s="98" t="s">
        <v>225</v>
      </c>
      <c r="F13" s="100" t="s">
        <v>64</v>
      </c>
      <c r="G13" s="98"/>
      <c r="H13" s="100" t="s">
        <v>105</v>
      </c>
      <c r="J13" s="42"/>
      <c r="K13" s="93" t="s">
        <v>71</v>
      </c>
      <c r="L13" s="93"/>
      <c r="M13" s="42"/>
      <c r="N13" s="42"/>
      <c r="O13" s="42"/>
      <c r="P13" s="16"/>
      <c r="Q13" s="16"/>
      <c r="R13" s="16"/>
    </row>
    <row r="14" spans="1:18" x14ac:dyDescent="0.2">
      <c r="A14" s="101"/>
      <c r="B14" s="101">
        <v>1</v>
      </c>
      <c r="C14" s="101" t="s">
        <v>15</v>
      </c>
      <c r="D14" s="101" t="s">
        <v>16</v>
      </c>
      <c r="E14" s="303" t="s">
        <v>226</v>
      </c>
      <c r="F14" s="96" t="s">
        <v>61</v>
      </c>
      <c r="G14" s="101"/>
      <c r="H14" s="55" t="s">
        <v>107</v>
      </c>
      <c r="J14" s="42"/>
      <c r="K14" s="42"/>
      <c r="L14" s="42"/>
      <c r="M14" s="42"/>
      <c r="N14" s="42"/>
      <c r="O14" s="42"/>
      <c r="P14" s="16"/>
      <c r="Q14" s="16"/>
      <c r="R14" s="16"/>
    </row>
    <row r="15" spans="1:18" x14ac:dyDescent="0.2">
      <c r="A15" s="101"/>
      <c r="B15" s="101">
        <v>2</v>
      </c>
      <c r="C15" s="101" t="s">
        <v>24</v>
      </c>
      <c r="D15" s="101" t="s">
        <v>25</v>
      </c>
      <c r="E15" s="303" t="s">
        <v>227</v>
      </c>
      <c r="F15" s="96" t="s">
        <v>62</v>
      </c>
      <c r="G15" s="101"/>
      <c r="H15" s="55" t="s">
        <v>108</v>
      </c>
      <c r="J15" s="42"/>
      <c r="K15" s="42"/>
      <c r="L15" s="42"/>
      <c r="M15" s="42"/>
      <c r="N15" s="42"/>
      <c r="O15" s="42"/>
      <c r="P15" s="16"/>
      <c r="Q15" s="16"/>
      <c r="R15" s="16"/>
    </row>
    <row r="16" spans="1:18" x14ac:dyDescent="0.2">
      <c r="A16" s="101"/>
      <c r="B16" s="101">
        <v>3</v>
      </c>
      <c r="C16" s="101" t="s">
        <v>58</v>
      </c>
      <c r="D16" s="101" t="s">
        <v>59</v>
      </c>
      <c r="E16" s="303" t="s">
        <v>230</v>
      </c>
      <c r="F16" s="145" t="s">
        <v>63</v>
      </c>
      <c r="G16" s="101"/>
      <c r="H16" s="55" t="s">
        <v>108</v>
      </c>
      <c r="J16" s="42"/>
      <c r="K16" s="42"/>
      <c r="L16" s="42"/>
      <c r="M16" s="42"/>
      <c r="N16" s="136"/>
      <c r="O16" s="42"/>
      <c r="P16" s="16"/>
      <c r="Q16" s="16"/>
      <c r="R16" s="16"/>
    </row>
    <row r="17" spans="1:21" x14ac:dyDescent="0.2">
      <c r="A17" s="101"/>
      <c r="B17" s="101">
        <v>4</v>
      </c>
      <c r="C17" s="182" t="s">
        <v>100</v>
      </c>
      <c r="D17" s="182" t="s">
        <v>101</v>
      </c>
      <c r="E17" s="303" t="s">
        <v>231</v>
      </c>
      <c r="F17" s="145" t="s">
        <v>102</v>
      </c>
      <c r="G17" s="182"/>
      <c r="H17" s="55" t="s">
        <v>107</v>
      </c>
      <c r="J17" s="42"/>
      <c r="K17" s="42"/>
      <c r="L17" s="42"/>
      <c r="M17" s="42"/>
      <c r="N17" s="136"/>
      <c r="O17" s="42"/>
      <c r="P17" s="16"/>
      <c r="Q17" s="16"/>
      <c r="R17" s="16"/>
    </row>
    <row r="18" spans="1:21" x14ac:dyDescent="0.2">
      <c r="A18" s="101"/>
      <c r="B18" s="101"/>
      <c r="C18" s="101"/>
      <c r="D18" s="101"/>
      <c r="E18" s="101"/>
      <c r="F18" s="101"/>
      <c r="G18" s="101"/>
      <c r="H18" s="39"/>
      <c r="I18" s="43"/>
      <c r="J18" s="42"/>
      <c r="K18" s="42"/>
      <c r="L18" s="42"/>
      <c r="M18" s="42"/>
      <c r="N18" s="42"/>
      <c r="O18" s="43"/>
      <c r="P18" s="43"/>
      <c r="Q18" s="43"/>
      <c r="R18" s="43"/>
      <c r="S18" s="43"/>
      <c r="T18" s="43"/>
      <c r="U18" s="43"/>
    </row>
    <row r="19" spans="1:21" x14ac:dyDescent="0.2">
      <c r="A19" s="304" t="s">
        <v>232</v>
      </c>
      <c r="B19" s="101"/>
      <c r="C19" s="101"/>
      <c r="D19" s="101"/>
      <c r="E19" s="101"/>
      <c r="F19" s="101"/>
      <c r="G19" s="101"/>
      <c r="H19" s="101"/>
      <c r="I19" s="101"/>
      <c r="J19" s="101"/>
      <c r="K19" s="101"/>
      <c r="L19" s="42"/>
      <c r="M19" s="42"/>
      <c r="N19" s="42"/>
      <c r="O19" s="43"/>
      <c r="P19" s="43"/>
      <c r="Q19" s="43"/>
      <c r="R19" s="43"/>
      <c r="S19" s="43"/>
      <c r="T19" s="43"/>
      <c r="U19" s="43"/>
    </row>
    <row r="20" spans="1:21" ht="16" thickBot="1" x14ac:dyDescent="0.25">
      <c r="A20" s="304" t="s">
        <v>47</v>
      </c>
      <c r="B20" s="42"/>
      <c r="C20" s="332" t="s">
        <v>183</v>
      </c>
      <c r="D20" s="333" t="s">
        <v>234</v>
      </c>
      <c r="E20" s="320"/>
      <c r="F20" s="372"/>
      <c r="G20" s="320"/>
      <c r="H20" s="320"/>
      <c r="I20" s="320"/>
      <c r="J20" s="320"/>
      <c r="K20" s="320"/>
      <c r="L20" s="320"/>
      <c r="M20" s="320"/>
      <c r="N20" s="136"/>
      <c r="O20" s="43"/>
      <c r="P20" s="43"/>
      <c r="Q20" s="43"/>
      <c r="R20" s="43"/>
      <c r="S20" s="43"/>
      <c r="T20" s="43"/>
      <c r="U20" s="43"/>
    </row>
    <row r="21" spans="1:21" x14ac:dyDescent="0.2">
      <c r="A21" s="65" t="s">
        <v>49</v>
      </c>
      <c r="B21" s="38"/>
      <c r="C21" s="49">
        <v>2016</v>
      </c>
      <c r="D21" s="360">
        <v>2012</v>
      </c>
      <c r="E21" s="367">
        <v>2020</v>
      </c>
      <c r="F21" s="374">
        <v>2023</v>
      </c>
      <c r="G21" s="367">
        <v>2025</v>
      </c>
      <c r="H21" s="374">
        <v>2030</v>
      </c>
      <c r="I21" s="360">
        <v>2033</v>
      </c>
      <c r="J21" s="38" t="s">
        <v>1</v>
      </c>
      <c r="K21" s="48" t="s">
        <v>54</v>
      </c>
      <c r="L21" s="38" t="s">
        <v>55</v>
      </c>
      <c r="M21" s="430" t="s">
        <v>237</v>
      </c>
      <c r="N21" s="378" t="s">
        <v>253</v>
      </c>
      <c r="O21" s="430" t="s">
        <v>267</v>
      </c>
      <c r="P21" s="50"/>
      <c r="Q21" s="50"/>
      <c r="R21" s="50"/>
      <c r="S21" s="50"/>
      <c r="T21" s="43"/>
      <c r="U21" s="43"/>
    </row>
    <row r="22" spans="1:21" x14ac:dyDescent="0.2">
      <c r="A22" s="101"/>
      <c r="B22" s="37" t="s">
        <v>2</v>
      </c>
      <c r="C22" s="338">
        <f>C4/'Overview 2016 (in)'!$O$7</f>
        <v>330</v>
      </c>
      <c r="D22" s="417">
        <v>400</v>
      </c>
      <c r="E22" s="172">
        <f>$D22*(1-$K22)^(E$21-$D$21)</f>
        <v>225.35880025157047</v>
      </c>
      <c r="F22" s="398"/>
      <c r="G22" s="172">
        <f>$D22*(1-$K22)^(G$21-$D$21)</f>
        <v>157.44671488371156</v>
      </c>
      <c r="H22" s="420">
        <v>110</v>
      </c>
      <c r="I22" s="398"/>
      <c r="J22" s="372" t="s">
        <v>247</v>
      </c>
      <c r="K22" s="312">
        <f>1-(H22/D22)^(1/(H$21-D$21))</f>
        <v>6.920976948816282E-2</v>
      </c>
      <c r="L22" s="95"/>
      <c r="M22" s="379" t="s">
        <v>269</v>
      </c>
      <c r="N22" s="378"/>
      <c r="O22" s="431"/>
      <c r="P22" s="72"/>
      <c r="Q22" s="72"/>
      <c r="R22" s="72"/>
      <c r="S22" s="43"/>
      <c r="T22" s="43"/>
      <c r="U22" s="43"/>
    </row>
    <row r="23" spans="1:21" x14ac:dyDescent="0.2">
      <c r="A23" s="101"/>
      <c r="B23" s="40" t="s">
        <v>3</v>
      </c>
      <c r="C23" s="338">
        <f>C5/'Overview 2016 (in)'!$O$7</f>
        <v>1250</v>
      </c>
      <c r="D23" s="417">
        <v>1250</v>
      </c>
      <c r="E23" s="172">
        <f t="shared" ref="E23:E26" si="2">$D23*(1-$K23)^(E$21-$D$21)</f>
        <v>1025.1036484569017</v>
      </c>
      <c r="F23" s="398"/>
      <c r="G23" s="172">
        <f>$C23*(1-$K23)^(G$21-$C$21)</f>
        <v>1000.0000000000006</v>
      </c>
      <c r="H23" s="420">
        <v>800</v>
      </c>
      <c r="I23" s="398"/>
      <c r="J23" s="372" t="s">
        <v>270</v>
      </c>
      <c r="K23" s="312">
        <f t="shared" ref="K23:K26" si="3">1-(H23/D23)^(1/(H$21-D$21))</f>
        <v>2.4488888020923416E-2</v>
      </c>
      <c r="L23" s="95"/>
      <c r="M23" s="379" t="s">
        <v>269</v>
      </c>
      <c r="N23" s="378"/>
      <c r="O23" s="431"/>
      <c r="P23" s="72"/>
      <c r="Q23" s="72"/>
      <c r="R23" s="72"/>
      <c r="S23" s="43"/>
      <c r="T23" s="43"/>
      <c r="U23" s="43"/>
    </row>
    <row r="24" spans="1:21" x14ac:dyDescent="0.2">
      <c r="A24" s="101"/>
      <c r="B24" s="37" t="s">
        <v>4</v>
      </c>
      <c r="C24" s="329">
        <f>C6</f>
        <v>13000</v>
      </c>
      <c r="D24" s="362">
        <v>10000</v>
      </c>
      <c r="E24" s="118">
        <f t="shared" si="2"/>
        <v>10000</v>
      </c>
      <c r="F24" s="386"/>
      <c r="G24" s="118">
        <f t="shared" ref="G24:G26" si="4">$C24*(1-$K24)^(G$21-$C$21)</f>
        <v>13000</v>
      </c>
      <c r="H24" s="380">
        <v>10000</v>
      </c>
      <c r="I24" s="410"/>
      <c r="J24" s="372" t="s">
        <v>5</v>
      </c>
      <c r="K24" s="312">
        <f t="shared" si="3"/>
        <v>0</v>
      </c>
      <c r="L24" s="95"/>
      <c r="M24" s="379" t="s">
        <v>269</v>
      </c>
      <c r="N24" s="378"/>
      <c r="O24" s="432"/>
      <c r="P24" s="73"/>
      <c r="Q24" s="73"/>
      <c r="R24" s="74"/>
      <c r="S24" s="43"/>
      <c r="T24" s="43"/>
      <c r="U24" s="43"/>
    </row>
    <row r="25" spans="1:21" x14ac:dyDescent="0.2">
      <c r="A25" s="101"/>
      <c r="B25" s="37" t="s">
        <v>6</v>
      </c>
      <c r="C25" s="329">
        <f>C7</f>
        <v>12</v>
      </c>
      <c r="D25" s="362">
        <v>12.5</v>
      </c>
      <c r="E25" s="111">
        <f t="shared" si="2"/>
        <v>15.403875693958369</v>
      </c>
      <c r="F25" s="398"/>
      <c r="G25" s="111">
        <f t="shared" si="4"/>
        <v>15.178932768808227</v>
      </c>
      <c r="H25" s="394">
        <v>20</v>
      </c>
      <c r="I25" s="410"/>
      <c r="J25" s="372" t="s">
        <v>7</v>
      </c>
      <c r="K25" s="312">
        <f t="shared" si="3"/>
        <v>-2.6455199651044037E-2</v>
      </c>
      <c r="L25" s="95"/>
      <c r="M25" s="379" t="s">
        <v>269</v>
      </c>
      <c r="N25" s="378"/>
      <c r="O25" s="432"/>
      <c r="P25" s="73"/>
      <c r="Q25" s="73"/>
      <c r="R25" s="74"/>
      <c r="S25" s="43"/>
      <c r="T25" s="43"/>
      <c r="U25" s="43"/>
    </row>
    <row r="26" spans="1:21" ht="16" thickBot="1" x14ac:dyDescent="0.25">
      <c r="A26" s="101"/>
      <c r="B26" s="6" t="s">
        <v>8</v>
      </c>
      <c r="C26" s="330">
        <f>C8</f>
        <v>70</v>
      </c>
      <c r="D26" s="363">
        <v>65</v>
      </c>
      <c r="E26" s="112">
        <f t="shared" si="2"/>
        <v>68.232452074656223</v>
      </c>
      <c r="F26" s="409"/>
      <c r="G26" s="112">
        <f t="shared" si="4"/>
        <v>73.928239634016805</v>
      </c>
      <c r="H26" s="395">
        <v>72.5</v>
      </c>
      <c r="I26" s="411"/>
      <c r="J26" s="373" t="s">
        <v>9</v>
      </c>
      <c r="K26" s="313">
        <f t="shared" si="3"/>
        <v>-6.0850665841436502E-3</v>
      </c>
      <c r="L26" s="309"/>
      <c r="M26" s="379" t="s">
        <v>269</v>
      </c>
      <c r="N26" s="378"/>
      <c r="O26" s="432"/>
      <c r="P26" s="73"/>
      <c r="Q26" s="73"/>
      <c r="R26" s="74"/>
      <c r="S26" s="43"/>
      <c r="T26" s="43"/>
      <c r="U26" s="43"/>
    </row>
    <row r="27" spans="1:21" ht="16" thickBot="1" x14ac:dyDescent="0.25">
      <c r="A27" s="101"/>
      <c r="B27" s="101"/>
      <c r="C27" s="213"/>
      <c r="D27" s="372"/>
      <c r="E27" s="320"/>
      <c r="F27" s="372"/>
      <c r="G27" s="320"/>
      <c r="H27" s="372"/>
      <c r="I27" s="372"/>
      <c r="J27" s="372"/>
      <c r="K27" s="312"/>
      <c r="L27" s="95"/>
      <c r="M27" s="379"/>
      <c r="N27" s="378"/>
      <c r="O27" s="378"/>
      <c r="P27" s="43"/>
      <c r="Q27" s="43"/>
      <c r="R27" s="43"/>
      <c r="S27" s="43"/>
      <c r="T27" s="43"/>
      <c r="U27" s="43"/>
    </row>
    <row r="28" spans="1:21" x14ac:dyDescent="0.2">
      <c r="A28" s="65" t="s">
        <v>56</v>
      </c>
      <c r="B28" s="38"/>
      <c r="C28" s="49">
        <v>2016</v>
      </c>
      <c r="D28" s="360">
        <v>2014</v>
      </c>
      <c r="E28" s="367">
        <v>2020</v>
      </c>
      <c r="F28" s="374">
        <v>2023</v>
      </c>
      <c r="G28" s="367">
        <v>2025</v>
      </c>
      <c r="H28" s="374">
        <v>2030</v>
      </c>
      <c r="I28" s="360">
        <v>2033</v>
      </c>
      <c r="J28" s="360" t="s">
        <v>1</v>
      </c>
      <c r="K28" s="314"/>
      <c r="L28" s="310"/>
      <c r="M28" s="379"/>
      <c r="N28" s="378"/>
      <c r="O28" s="430"/>
      <c r="P28" s="50"/>
      <c r="Q28" s="50"/>
      <c r="R28" s="50"/>
      <c r="S28" s="50"/>
      <c r="T28" s="43"/>
      <c r="U28" s="43"/>
    </row>
    <row r="29" spans="1:21" x14ac:dyDescent="0.2">
      <c r="A29" s="101"/>
      <c r="B29" s="37" t="s">
        <v>2</v>
      </c>
      <c r="C29" s="338">
        <f>C4/'Overview 2016 (in)'!$O$7</f>
        <v>330</v>
      </c>
      <c r="D29" s="417">
        <v>900</v>
      </c>
      <c r="E29" s="172">
        <f>$D29*(1-$K29)^(E$28-$D$28)</f>
        <v>608.22019955733992</v>
      </c>
      <c r="F29" s="418">
        <v>500</v>
      </c>
      <c r="G29" s="172">
        <f>$F29*(1-$L29)^(G$28-$F$28)</f>
        <v>458.7252813052491</v>
      </c>
      <c r="H29" s="421">
        <f>$F29*(1-$L29)^(H$28-$F$28)</f>
        <v>369.83614535436772</v>
      </c>
      <c r="I29" s="418">
        <v>325</v>
      </c>
      <c r="J29" s="372" t="s">
        <v>247</v>
      </c>
      <c r="K29" s="312">
        <f>1-(F29/D29)^(1/(F$21-D$28))</f>
        <v>6.3222635376623759E-2</v>
      </c>
      <c r="L29" s="95">
        <f>1-(I29/F29)^(1/(I$21-F$21))</f>
        <v>4.216360342149339E-2</v>
      </c>
      <c r="M29" s="379" t="s">
        <v>238</v>
      </c>
      <c r="N29" s="378"/>
      <c r="O29" s="431"/>
      <c r="P29" s="72"/>
      <c r="Q29" s="72"/>
      <c r="R29" s="72"/>
      <c r="S29" s="43"/>
      <c r="T29" s="43"/>
      <c r="U29" s="43"/>
    </row>
    <row r="30" spans="1:21" x14ac:dyDescent="0.2">
      <c r="A30" s="101"/>
      <c r="B30" s="40" t="s">
        <v>3</v>
      </c>
      <c r="C30" s="338">
        <f>C5/'Overview 2016 (in)'!$O$7</f>
        <v>1250</v>
      </c>
      <c r="D30" s="417">
        <v>160</v>
      </c>
      <c r="E30" s="172">
        <f>$D30*(1-$K30)^(E$28-$D$28)</f>
        <v>109.02723556992838</v>
      </c>
      <c r="F30" s="427">
        <v>90</v>
      </c>
      <c r="G30" s="172">
        <f>$F30*(1-$L30)^(G$28-$F$28)</f>
        <v>76.52547003754745</v>
      </c>
      <c r="H30" s="421">
        <f>$F30*(1-$L30)^(H$28-$F$28)</f>
        <v>51.016980025031621</v>
      </c>
      <c r="I30" s="427">
        <v>40</v>
      </c>
      <c r="J30" s="372" t="s">
        <v>270</v>
      </c>
      <c r="K30" s="312">
        <f>1-(F30/D30)^(1/(F$21-D$28))</f>
        <v>6.1928727543806406E-2</v>
      </c>
      <c r="L30" s="95">
        <f>1-(I30/F30)^(1/(I$21-F$21))</f>
        <v>7.7892088518272229E-2</v>
      </c>
      <c r="M30" s="379" t="s">
        <v>238</v>
      </c>
      <c r="N30" s="378"/>
      <c r="O30" s="431"/>
      <c r="P30" s="72"/>
      <c r="Q30" s="72"/>
      <c r="R30" s="72"/>
      <c r="S30" s="43"/>
      <c r="T30" s="43"/>
      <c r="U30" s="43"/>
    </row>
    <row r="31" spans="1:21" x14ac:dyDescent="0.2">
      <c r="A31" s="101"/>
      <c r="B31" s="37" t="s">
        <v>4</v>
      </c>
      <c r="C31" s="329">
        <f t="shared" ref="C31:C33" si="5">C6</f>
        <v>13000</v>
      </c>
      <c r="D31" s="362"/>
      <c r="E31" s="124"/>
      <c r="F31" s="398"/>
      <c r="G31" s="124"/>
      <c r="H31" s="396"/>
      <c r="I31" s="399"/>
      <c r="J31" s="372" t="s">
        <v>5</v>
      </c>
      <c r="K31" s="312"/>
      <c r="L31" s="95"/>
      <c r="M31" s="379"/>
      <c r="N31" s="378"/>
      <c r="O31" s="432"/>
      <c r="P31" s="73"/>
      <c r="Q31" s="73"/>
      <c r="R31" s="74"/>
      <c r="S31" s="43"/>
      <c r="T31" s="43"/>
      <c r="U31" s="43"/>
    </row>
    <row r="32" spans="1:21" x14ac:dyDescent="0.2">
      <c r="A32" s="101"/>
      <c r="B32" s="37" t="s">
        <v>6</v>
      </c>
      <c r="C32" s="329">
        <f t="shared" si="5"/>
        <v>12</v>
      </c>
      <c r="D32" s="362"/>
      <c r="E32" s="124"/>
      <c r="F32" s="398"/>
      <c r="G32" s="124"/>
      <c r="H32" s="396"/>
      <c r="I32" s="399"/>
      <c r="J32" s="372" t="s">
        <v>7</v>
      </c>
      <c r="K32" s="312"/>
      <c r="L32" s="95"/>
      <c r="M32" s="379"/>
      <c r="N32" s="378"/>
      <c r="O32" s="432"/>
      <c r="P32" s="73"/>
      <c r="Q32" s="73"/>
      <c r="R32" s="74"/>
      <c r="S32" s="43"/>
      <c r="T32" s="43"/>
      <c r="U32" s="43"/>
    </row>
    <row r="33" spans="1:21" ht="16" thickBot="1" x14ac:dyDescent="0.25">
      <c r="A33" s="101"/>
      <c r="B33" s="6" t="s">
        <v>8</v>
      </c>
      <c r="C33" s="330">
        <f t="shared" si="5"/>
        <v>70</v>
      </c>
      <c r="D33" s="435">
        <v>65</v>
      </c>
      <c r="E33" s="112">
        <f>$D33*(1-$K33)^(E$28-$D$28)</f>
        <v>65</v>
      </c>
      <c r="F33" s="387">
        <v>65</v>
      </c>
      <c r="G33" s="112">
        <f>$F33*(1-$L33)^(G$28-$F$28)</f>
        <v>65</v>
      </c>
      <c r="H33" s="112">
        <f>$F33*(1-$L33)^(H$28-$F$28)</f>
        <v>65</v>
      </c>
      <c r="I33" s="363">
        <v>65</v>
      </c>
      <c r="J33" s="373" t="s">
        <v>9</v>
      </c>
      <c r="K33" s="313">
        <f>1-(F33/D33)^(1/(F$21-D$28))</f>
        <v>0</v>
      </c>
      <c r="L33" s="309">
        <f>1-(I33/F33)^(1/(I$21-F$21))</f>
        <v>0</v>
      </c>
      <c r="M33" s="379" t="s">
        <v>238</v>
      </c>
      <c r="N33" s="378"/>
      <c r="O33" s="432"/>
      <c r="P33" s="73"/>
      <c r="Q33" s="73"/>
      <c r="R33" s="74"/>
      <c r="S33" s="43"/>
      <c r="T33" s="43"/>
      <c r="U33" s="43"/>
    </row>
    <row r="34" spans="1:21" ht="16" thickBot="1" x14ac:dyDescent="0.25">
      <c r="A34" s="101"/>
      <c r="B34" s="101"/>
      <c r="C34" s="213"/>
      <c r="D34" s="372"/>
      <c r="E34" s="320"/>
      <c r="F34" s="372"/>
      <c r="G34" s="320"/>
      <c r="H34" s="372"/>
      <c r="I34" s="372"/>
      <c r="J34" s="372"/>
      <c r="K34" s="312"/>
      <c r="L34" s="95"/>
      <c r="M34" s="379"/>
      <c r="N34" s="378"/>
      <c r="O34" s="378"/>
      <c r="P34" s="43"/>
      <c r="Q34" s="43"/>
      <c r="R34" s="43"/>
      <c r="S34" s="43"/>
      <c r="T34" s="43"/>
      <c r="U34" s="43"/>
    </row>
    <row r="35" spans="1:21" x14ac:dyDescent="0.2">
      <c r="A35" s="65" t="s">
        <v>48</v>
      </c>
      <c r="B35" s="38"/>
      <c r="C35" s="49">
        <v>2016</v>
      </c>
      <c r="D35" s="374"/>
      <c r="E35" s="367"/>
      <c r="F35" s="374"/>
      <c r="G35" s="367"/>
      <c r="H35" s="374"/>
      <c r="I35" s="374"/>
      <c r="J35" s="374"/>
      <c r="K35" s="314"/>
      <c r="L35" s="310"/>
      <c r="M35" s="379"/>
      <c r="N35" s="378"/>
      <c r="O35" s="378"/>
      <c r="P35" s="43"/>
      <c r="Q35" s="43"/>
      <c r="R35" s="43"/>
      <c r="S35" s="43"/>
      <c r="T35" s="43"/>
      <c r="U35" s="43"/>
    </row>
    <row r="36" spans="1:21" x14ac:dyDescent="0.2">
      <c r="A36" s="101"/>
      <c r="B36" s="37" t="s">
        <v>2</v>
      </c>
      <c r="C36" s="338">
        <f>C4/'Overview 2016 (in)'!$O$7</f>
        <v>330</v>
      </c>
      <c r="D36" s="418"/>
      <c r="E36" s="173"/>
      <c r="F36" s="418"/>
      <c r="G36" s="173"/>
      <c r="H36" s="423"/>
      <c r="I36" s="418"/>
      <c r="J36" s="109"/>
      <c r="K36" s="312"/>
      <c r="L36" s="95"/>
      <c r="M36" s="379"/>
      <c r="N36" s="379"/>
      <c r="O36" s="378"/>
      <c r="P36" s="43"/>
      <c r="Q36" s="43"/>
      <c r="R36" s="43"/>
      <c r="S36" s="43"/>
      <c r="T36" s="43"/>
      <c r="U36" s="43"/>
    </row>
    <row r="37" spans="1:21" x14ac:dyDescent="0.2">
      <c r="A37" s="101"/>
      <c r="B37" s="40" t="s">
        <v>3</v>
      </c>
      <c r="C37" s="338">
        <f>C5/'Overview 2016 (in)'!$O$7</f>
        <v>1250</v>
      </c>
      <c r="D37" s="418"/>
      <c r="E37" s="184"/>
      <c r="F37" s="427"/>
      <c r="G37" s="184"/>
      <c r="H37" s="389"/>
      <c r="I37" s="427"/>
      <c r="J37" s="109"/>
      <c r="K37" s="312"/>
      <c r="L37" s="95"/>
      <c r="M37" s="379"/>
      <c r="N37" s="379"/>
      <c r="O37" s="379"/>
      <c r="P37" s="320"/>
      <c r="Q37" s="320"/>
      <c r="R37" s="320"/>
      <c r="S37" s="320"/>
      <c r="T37" s="320"/>
    </row>
    <row r="38" spans="1:21" x14ac:dyDescent="0.2">
      <c r="A38" s="101"/>
      <c r="B38" s="37" t="s">
        <v>4</v>
      </c>
      <c r="C38" s="329">
        <f>C6</f>
        <v>13000</v>
      </c>
      <c r="D38" s="403"/>
      <c r="E38" s="118"/>
      <c r="F38" s="386"/>
      <c r="G38" s="118"/>
      <c r="H38" s="380"/>
      <c r="I38" s="403"/>
      <c r="J38" s="109"/>
      <c r="K38" s="312"/>
      <c r="L38" s="95"/>
      <c r="M38" s="379"/>
      <c r="N38" s="379"/>
      <c r="O38" s="379"/>
      <c r="P38" s="320"/>
      <c r="Q38" s="320"/>
      <c r="R38" s="320"/>
      <c r="S38" s="320"/>
      <c r="T38" s="320"/>
    </row>
    <row r="39" spans="1:21" x14ac:dyDescent="0.2">
      <c r="A39" s="101"/>
      <c r="B39" s="37" t="s">
        <v>6</v>
      </c>
      <c r="C39" s="337">
        <f>C7</f>
        <v>12</v>
      </c>
      <c r="D39" s="386"/>
      <c r="E39" s="118"/>
      <c r="F39" s="386"/>
      <c r="G39" s="118"/>
      <c r="H39" s="380"/>
      <c r="I39" s="386"/>
      <c r="J39" s="109"/>
      <c r="K39" s="312"/>
      <c r="L39" s="95"/>
      <c r="M39" s="379"/>
      <c r="N39" s="379"/>
      <c r="O39" s="379"/>
      <c r="P39" s="320"/>
      <c r="Q39" s="320"/>
      <c r="R39" s="320"/>
      <c r="S39" s="320"/>
      <c r="T39" s="320"/>
    </row>
    <row r="40" spans="1:21" ht="16" thickBot="1" x14ac:dyDescent="0.25">
      <c r="A40" s="101"/>
      <c r="B40" s="6" t="s">
        <v>8</v>
      </c>
      <c r="C40" s="331">
        <f>C8</f>
        <v>70</v>
      </c>
      <c r="D40" s="387"/>
      <c r="E40" s="119"/>
      <c r="F40" s="387"/>
      <c r="G40" s="119"/>
      <c r="H40" s="382"/>
      <c r="I40" s="387"/>
      <c r="J40" s="428"/>
      <c r="K40" s="313"/>
      <c r="L40" s="309"/>
      <c r="M40" s="379"/>
      <c r="N40" s="379"/>
      <c r="O40" s="379"/>
      <c r="P40" s="320"/>
      <c r="Q40" s="320"/>
      <c r="R40" s="320"/>
      <c r="S40" s="320"/>
      <c r="T40" s="320"/>
    </row>
    <row r="41" spans="1:21" ht="16" thickBot="1" x14ac:dyDescent="0.25">
      <c r="A41" s="101"/>
      <c r="B41" s="40"/>
      <c r="C41" s="337"/>
      <c r="D41" s="419"/>
      <c r="E41" s="73"/>
      <c r="F41" s="132"/>
      <c r="G41" s="85"/>
      <c r="H41" s="133"/>
      <c r="I41" s="433"/>
      <c r="J41" s="429"/>
      <c r="K41" s="312"/>
      <c r="L41" s="311"/>
      <c r="M41" s="379"/>
      <c r="N41" s="379"/>
      <c r="O41" s="379"/>
      <c r="P41" s="320"/>
      <c r="Q41" s="320"/>
      <c r="R41" s="320"/>
      <c r="S41" s="320"/>
      <c r="T41" s="320"/>
    </row>
    <row r="42" spans="1:21" x14ac:dyDescent="0.2">
      <c r="A42" s="65" t="s">
        <v>51</v>
      </c>
      <c r="B42" s="62"/>
      <c r="C42" s="49">
        <v>2016</v>
      </c>
      <c r="D42" s="360">
        <v>2014</v>
      </c>
      <c r="E42" s="38">
        <v>2017</v>
      </c>
      <c r="F42" s="374">
        <v>2020</v>
      </c>
      <c r="G42" s="367">
        <v>2025</v>
      </c>
      <c r="H42" s="374">
        <v>2030</v>
      </c>
      <c r="I42" s="360">
        <v>2050</v>
      </c>
      <c r="J42" s="360" t="s">
        <v>1</v>
      </c>
      <c r="K42" s="314"/>
      <c r="L42" s="310"/>
      <c r="M42" s="379"/>
      <c r="N42" s="379"/>
      <c r="O42" s="379"/>
      <c r="P42" s="320"/>
      <c r="Q42" s="320"/>
      <c r="R42" s="320"/>
      <c r="S42" s="320"/>
      <c r="T42" s="320"/>
    </row>
    <row r="43" spans="1:21" x14ac:dyDescent="0.2">
      <c r="A43" s="182"/>
      <c r="B43" s="37" t="s">
        <v>2</v>
      </c>
      <c r="C43" s="334">
        <f>C4</f>
        <v>346.5</v>
      </c>
      <c r="D43" s="388">
        <v>680</v>
      </c>
      <c r="E43" s="388">
        <v>550</v>
      </c>
      <c r="F43" s="389">
        <v>350</v>
      </c>
      <c r="G43" s="125">
        <f>$F43*(1-$L43)^(G$42-$F$42)</f>
        <v>164.78220213863116</v>
      </c>
      <c r="H43" s="424">
        <f>$F43*(1-$L43)^(H$42-$F$42)</f>
        <v>77.580497547590554</v>
      </c>
      <c r="I43" s="434"/>
      <c r="J43" s="372" t="s">
        <v>22</v>
      </c>
      <c r="K43" s="312">
        <f>1-(E43/C43)^(1/(E$42-C$42))</f>
        <v>-0.58730158730158721</v>
      </c>
      <c r="L43" s="95">
        <f>1-(F43/E43)^(1/(F$42-E$42))</f>
        <v>0.13986137246278185</v>
      </c>
      <c r="M43" s="379" t="s">
        <v>271</v>
      </c>
      <c r="N43" s="379"/>
      <c r="O43" s="379"/>
      <c r="P43" s="320"/>
      <c r="Q43" s="320"/>
      <c r="R43" s="320"/>
      <c r="S43" s="320"/>
      <c r="T43" s="320"/>
    </row>
    <row r="44" spans="1:21" x14ac:dyDescent="0.2">
      <c r="A44" s="182"/>
      <c r="B44" s="40" t="s">
        <v>3</v>
      </c>
      <c r="C44" s="334">
        <f>C5</f>
        <v>1312.5</v>
      </c>
      <c r="D44" s="388"/>
      <c r="E44" s="317"/>
      <c r="F44" s="422"/>
      <c r="G44" s="162"/>
      <c r="H44" s="422"/>
      <c r="I44" s="426"/>
      <c r="J44" s="372" t="s">
        <v>23</v>
      </c>
      <c r="K44" s="312"/>
      <c r="L44" s="95"/>
      <c r="M44" s="379"/>
      <c r="N44" s="379"/>
      <c r="O44" s="379"/>
      <c r="P44" s="320"/>
      <c r="Q44" s="320"/>
      <c r="R44" s="320"/>
      <c r="S44" s="320"/>
      <c r="T44" s="320"/>
    </row>
    <row r="45" spans="1:21" x14ac:dyDescent="0.2">
      <c r="A45" s="182"/>
      <c r="B45" s="37" t="s">
        <v>4</v>
      </c>
      <c r="C45" s="334">
        <f>C6</f>
        <v>13000</v>
      </c>
      <c r="D45" s="388"/>
      <c r="E45" s="163"/>
      <c r="F45" s="396"/>
      <c r="G45" s="124"/>
      <c r="H45" s="396"/>
      <c r="I45" s="399"/>
      <c r="J45" s="372" t="s">
        <v>5</v>
      </c>
      <c r="K45" s="312"/>
      <c r="L45" s="95"/>
      <c r="M45" s="379"/>
      <c r="N45" s="379"/>
      <c r="O45" s="379"/>
      <c r="P45" s="320"/>
      <c r="Q45" s="320"/>
      <c r="R45" s="320"/>
      <c r="S45" s="320"/>
      <c r="T45" s="320"/>
    </row>
    <row r="46" spans="1:21" x14ac:dyDescent="0.2">
      <c r="A46" s="182"/>
      <c r="B46" s="37" t="s">
        <v>6</v>
      </c>
      <c r="C46" s="334">
        <f>C7</f>
        <v>12</v>
      </c>
      <c r="D46" s="388"/>
      <c r="E46" s="163"/>
      <c r="F46" s="396"/>
      <c r="G46" s="124"/>
      <c r="H46" s="396"/>
      <c r="I46" s="398"/>
      <c r="J46" s="372" t="s">
        <v>7</v>
      </c>
      <c r="K46" s="312"/>
      <c r="L46" s="95"/>
      <c r="M46" s="379"/>
      <c r="N46" s="379"/>
      <c r="O46" s="379"/>
      <c r="P46" s="320"/>
      <c r="Q46" s="320"/>
      <c r="R46" s="320"/>
      <c r="S46" s="320"/>
      <c r="T46" s="320"/>
    </row>
    <row r="47" spans="1:21" ht="16" thickBot="1" x14ac:dyDescent="0.25">
      <c r="A47" s="182"/>
      <c r="B47" s="6" t="s">
        <v>8</v>
      </c>
      <c r="C47" s="335">
        <f>C8</f>
        <v>70</v>
      </c>
      <c r="D47" s="415"/>
      <c r="E47" s="318"/>
      <c r="F47" s="130"/>
      <c r="G47" s="130"/>
      <c r="H47" s="425"/>
      <c r="I47" s="409"/>
      <c r="J47" s="7" t="s">
        <v>9</v>
      </c>
      <c r="K47" s="313"/>
      <c r="L47" s="309"/>
      <c r="M47" s="379"/>
      <c r="N47" s="379"/>
      <c r="O47" s="379"/>
      <c r="P47" s="320"/>
      <c r="Q47" s="320"/>
      <c r="R47" s="320"/>
      <c r="S47" s="320"/>
      <c r="T47" s="320"/>
    </row>
    <row r="48" spans="1:21" x14ac:dyDescent="0.2">
      <c r="A48" s="43"/>
      <c r="B48" s="50"/>
      <c r="C48" s="74"/>
      <c r="D48" s="74"/>
      <c r="E48" s="74"/>
      <c r="F48" s="74"/>
      <c r="G48" s="74"/>
      <c r="H48" s="74"/>
      <c r="I48" s="43"/>
      <c r="J48" s="43"/>
      <c r="K48" s="43"/>
      <c r="L48" s="320"/>
      <c r="M48" s="379"/>
      <c r="N48" s="379"/>
      <c r="O48" s="379"/>
      <c r="P48" s="320"/>
      <c r="Q48" s="320"/>
      <c r="R48" s="320"/>
      <c r="S48" s="320"/>
      <c r="T48" s="320"/>
    </row>
    <row r="49" spans="1:20" x14ac:dyDescent="0.2">
      <c r="A49" s="43"/>
      <c r="B49" s="50"/>
      <c r="C49" s="74"/>
      <c r="D49" s="74"/>
      <c r="E49" s="74"/>
      <c r="F49" s="74"/>
      <c r="G49" s="74"/>
      <c r="H49" s="74"/>
      <c r="I49" s="43"/>
      <c r="J49" s="43"/>
      <c r="K49" s="43"/>
      <c r="L49" s="320"/>
      <c r="M49" s="320"/>
      <c r="N49" s="320"/>
      <c r="O49" s="320"/>
      <c r="P49" s="320"/>
      <c r="Q49" s="320"/>
      <c r="R49" s="320"/>
      <c r="S49" s="320"/>
      <c r="T49" s="320"/>
    </row>
    <row r="50" spans="1:20" x14ac:dyDescent="0.2">
      <c r="A50" s="43"/>
      <c r="B50" s="50"/>
      <c r="C50" s="74"/>
      <c r="D50" s="408" t="s">
        <v>262</v>
      </c>
      <c r="E50" s="408" t="s">
        <v>263</v>
      </c>
      <c r="F50" s="408" t="s">
        <v>264</v>
      </c>
      <c r="G50" s="408" t="s">
        <v>265</v>
      </c>
      <c r="H50" s="436" t="s">
        <v>272</v>
      </c>
      <c r="I50" s="43"/>
      <c r="J50" s="43"/>
      <c r="K50" s="43"/>
      <c r="L50" s="320"/>
      <c r="M50" s="320"/>
      <c r="N50" s="320"/>
      <c r="O50" s="320"/>
      <c r="P50" s="320"/>
      <c r="Q50" s="320"/>
      <c r="R50" s="320"/>
      <c r="S50" s="320"/>
      <c r="T50" s="320"/>
    </row>
    <row r="51" spans="1:20" x14ac:dyDescent="0.2">
      <c r="A51" s="50"/>
      <c r="B51" s="143"/>
      <c r="C51" s="43"/>
      <c r="D51" s="406">
        <f>H22/D22</f>
        <v>0.27500000000000002</v>
      </c>
      <c r="E51" s="406">
        <f>H24/D24</f>
        <v>1</v>
      </c>
      <c r="F51" s="406">
        <f>H25/D25</f>
        <v>1.6</v>
      </c>
      <c r="G51" s="406">
        <f>H26/D26</f>
        <v>1.1153846153846154</v>
      </c>
      <c r="H51" s="437">
        <f>H23/D23</f>
        <v>0.64</v>
      </c>
      <c r="I51" s="43"/>
      <c r="L51" s="31"/>
    </row>
    <row r="52" spans="1:20" x14ac:dyDescent="0.2">
      <c r="A52" s="43"/>
      <c r="B52" s="50"/>
      <c r="C52" s="143"/>
      <c r="D52" s="406">
        <f>H29/D29</f>
        <v>0.41092905039374189</v>
      </c>
      <c r="E52" s="406"/>
      <c r="F52" s="406"/>
      <c r="G52" s="406"/>
      <c r="H52" s="437">
        <f>H30/D30</f>
        <v>0.31885612515644762</v>
      </c>
      <c r="I52" s="43"/>
      <c r="J52" s="43"/>
    </row>
    <row r="53" spans="1:20" x14ac:dyDescent="0.2">
      <c r="A53" s="43"/>
      <c r="B53" s="43"/>
      <c r="C53" s="43"/>
      <c r="D53" s="406"/>
      <c r="E53" s="406"/>
      <c r="F53" s="406"/>
      <c r="G53" s="406"/>
      <c r="H53" s="43"/>
      <c r="I53" s="43"/>
      <c r="J53" s="43"/>
      <c r="K53" s="39"/>
    </row>
    <row r="54" spans="1:20" ht="19" x14ac:dyDescent="0.25">
      <c r="A54" s="43"/>
      <c r="B54" s="144"/>
      <c r="C54" s="43"/>
      <c r="D54" s="406">
        <f>H43/D43</f>
        <v>0.11408896698175082</v>
      </c>
      <c r="E54" s="406"/>
      <c r="F54" s="406"/>
      <c r="G54" s="406"/>
      <c r="H54" s="43"/>
      <c r="I54" s="43"/>
      <c r="J54" s="43"/>
      <c r="K54" s="39"/>
    </row>
    <row r="55" spans="1:20" x14ac:dyDescent="0.2">
      <c r="A55" s="43"/>
      <c r="B55" s="50"/>
      <c r="C55" s="50"/>
      <c r="D55" s="408" t="s">
        <v>261</v>
      </c>
      <c r="E55" s="408" t="s">
        <v>261</v>
      </c>
      <c r="F55" s="408" t="s">
        <v>261</v>
      </c>
      <c r="G55" s="408" t="s">
        <v>261</v>
      </c>
      <c r="H55" s="408" t="s">
        <v>261</v>
      </c>
      <c r="I55" s="43"/>
      <c r="J55" s="43"/>
      <c r="K55" s="39"/>
    </row>
    <row r="56" spans="1:20" x14ac:dyDescent="0.2">
      <c r="A56" s="43"/>
      <c r="B56" s="43"/>
      <c r="C56" s="43"/>
      <c r="D56" s="406">
        <f>AVERAGE(D51:D52)</f>
        <v>0.34296452519687093</v>
      </c>
      <c r="E56" s="406">
        <f>AVERAGE(E51:E54)</f>
        <v>1</v>
      </c>
      <c r="F56" s="406">
        <f>AVERAGE(F51:F54)</f>
        <v>1.6</v>
      </c>
      <c r="G56" s="406">
        <f>AVERAGE(G51:G54)</f>
        <v>1.1153846153846154</v>
      </c>
      <c r="H56" s="406">
        <f>AVERAGE(H51:H54)</f>
        <v>0.47942806257822379</v>
      </c>
      <c r="I56" s="43"/>
      <c r="J56" s="43"/>
      <c r="K56" s="39"/>
    </row>
    <row r="57" spans="1:20" x14ac:dyDescent="0.2">
      <c r="A57" s="39"/>
      <c r="B57" s="39"/>
      <c r="C57" s="39"/>
      <c r="H57" s="39"/>
      <c r="I57" s="39"/>
      <c r="J57" s="39"/>
      <c r="K57" s="39"/>
    </row>
    <row r="58" spans="1:20" x14ac:dyDescent="0.2">
      <c r="A58" s="39"/>
      <c r="B58" s="39"/>
      <c r="C58" s="39"/>
      <c r="D58" s="39"/>
      <c r="E58" s="39"/>
      <c r="F58" s="39"/>
      <c r="G58" s="39"/>
      <c r="H58" s="39"/>
      <c r="I58" s="39"/>
      <c r="J58" s="39"/>
      <c r="K58" s="39"/>
    </row>
    <row r="59" spans="1:20" x14ac:dyDescent="0.2">
      <c r="A59" s="39"/>
      <c r="B59" s="39"/>
      <c r="C59" s="39"/>
      <c r="D59" s="39"/>
      <c r="E59" s="39"/>
      <c r="F59" s="39"/>
      <c r="G59" s="39"/>
      <c r="H59" s="39"/>
      <c r="I59" s="39"/>
      <c r="J59" s="39"/>
      <c r="K59" s="39"/>
    </row>
    <row r="60" spans="1:20" x14ac:dyDescent="0.2">
      <c r="A60" s="39"/>
      <c r="B60" s="39"/>
      <c r="C60" s="39"/>
      <c r="D60" s="39"/>
      <c r="E60" s="39"/>
      <c r="F60" s="39"/>
      <c r="G60" s="39"/>
      <c r="H60" s="39"/>
      <c r="I60" s="39"/>
      <c r="J60" s="39"/>
      <c r="K60" s="39"/>
    </row>
    <row r="61" spans="1:20" x14ac:dyDescent="0.2">
      <c r="K61" s="39"/>
    </row>
  </sheetData>
  <hyperlinks>
    <hyperlink ref="E14" r:id="rId1" xr:uid="{00000000-0004-0000-1E00-000000000000}"/>
    <hyperlink ref="E15" r:id="rId2" xr:uid="{00000000-0004-0000-1E00-000001000000}"/>
    <hyperlink ref="E16" r:id="rId3" xr:uid="{00000000-0004-0000-1E00-000002000000}"/>
    <hyperlink ref="E17" r:id="rId4" xr:uid="{00000000-0004-0000-1E00-000003000000}"/>
  </hyperlinks>
  <pageMargins left="0.7" right="0.7" top="0.75" bottom="0.75" header="0.3" footer="0.3"/>
  <pageSetup paperSize="9" orientation="portrait" r:id="rId5"/>
  <drawing r:id="rId6"/>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3" tint="0.59999389629810485"/>
  </sheetPr>
  <dimension ref="B2:O19"/>
  <sheetViews>
    <sheetView zoomScale="85" zoomScaleNormal="85" workbookViewId="0"/>
  </sheetViews>
  <sheetFormatPr baseColWidth="10" defaultColWidth="11.5" defaultRowHeight="15" x14ac:dyDescent="0.2"/>
  <cols>
    <col min="1" max="1" width="11.5" style="203"/>
    <col min="2" max="2" width="27.6640625" style="203" bestFit="1" customWidth="1"/>
    <col min="3" max="5" width="11.5" style="203"/>
    <col min="6" max="6" width="11.5" style="203" customWidth="1"/>
    <col min="7" max="14" width="11.5" style="203"/>
    <col min="15" max="15" width="20.1640625" style="203" bestFit="1" customWidth="1"/>
    <col min="16" max="16384" width="11.5" style="203"/>
  </cols>
  <sheetData>
    <row r="2" spans="2:15" x14ac:dyDescent="0.2">
      <c r="C2" s="39"/>
      <c r="D2" s="39"/>
      <c r="E2" s="39"/>
      <c r="F2" s="39"/>
      <c r="G2" s="39"/>
      <c r="H2" s="39"/>
      <c r="I2" s="39"/>
      <c r="J2" s="39"/>
      <c r="K2" s="39"/>
      <c r="L2" s="39"/>
    </row>
    <row r="3" spans="2:15" x14ac:dyDescent="0.2">
      <c r="C3" s="588">
        <v>2016</v>
      </c>
      <c r="D3" s="588"/>
      <c r="E3" s="588"/>
      <c r="F3" s="589">
        <v>2020</v>
      </c>
      <c r="G3" s="589"/>
      <c r="H3" s="589"/>
      <c r="I3" s="589">
        <v>2025</v>
      </c>
      <c r="J3" s="589"/>
      <c r="K3" s="589"/>
      <c r="L3" s="590">
        <v>2030</v>
      </c>
      <c r="M3" s="590"/>
      <c r="N3" s="590"/>
      <c r="O3" s="195"/>
    </row>
    <row r="4" spans="2:15" ht="20" thickBot="1" x14ac:dyDescent="0.3">
      <c r="B4" s="194" t="s">
        <v>207</v>
      </c>
      <c r="C4" s="196" t="s">
        <v>72</v>
      </c>
      <c r="D4" s="196" t="s">
        <v>73</v>
      </c>
      <c r="E4" s="196" t="s">
        <v>178</v>
      </c>
      <c r="F4" s="196" t="s">
        <v>72</v>
      </c>
      <c r="G4" s="196" t="s">
        <v>73</v>
      </c>
      <c r="H4" s="196" t="s">
        <v>178</v>
      </c>
      <c r="I4" s="196" t="s">
        <v>72</v>
      </c>
      <c r="J4" s="196" t="s">
        <v>73</v>
      </c>
      <c r="K4" s="196" t="s">
        <v>178</v>
      </c>
      <c r="L4" s="196" t="s">
        <v>72</v>
      </c>
      <c r="M4" s="196" t="s">
        <v>73</v>
      </c>
      <c r="N4" s="196" t="s">
        <v>178</v>
      </c>
      <c r="O4" s="196" t="s">
        <v>1</v>
      </c>
    </row>
    <row r="5" spans="2:15" x14ac:dyDescent="0.2">
      <c r="B5" s="51" t="s">
        <v>74</v>
      </c>
      <c r="C5" s="147">
        <f>'Overview 2016 (in)'!J54</f>
        <v>70</v>
      </c>
      <c r="D5" s="52">
        <f>'Overview 2016 (in)'!K54</f>
        <v>15</v>
      </c>
      <c r="E5" s="53">
        <f>'Overview 2016 (in)'!L54</f>
        <v>45</v>
      </c>
      <c r="F5" s="147">
        <f>IFERROR(C5*H5/E5,0)</f>
        <v>70</v>
      </c>
      <c r="G5" s="52">
        <f>IFERROR(D5*H5/E5, 0)</f>
        <v>15</v>
      </c>
      <c r="H5" s="53">
        <f>E5</f>
        <v>45</v>
      </c>
      <c r="I5" s="147">
        <f>IFERROR(F5*K5/H5,0)</f>
        <v>70</v>
      </c>
      <c r="J5" s="52">
        <f>IFERROR(G5*K5/H5, 0)</f>
        <v>15</v>
      </c>
      <c r="K5" s="53">
        <f>H5</f>
        <v>45</v>
      </c>
      <c r="L5" s="147">
        <f>IFERROR(I5*N5/K5,0)</f>
        <v>70</v>
      </c>
      <c r="M5" s="52">
        <f>IFERROR(J5*N5/K5, 0)</f>
        <v>15</v>
      </c>
      <c r="N5" s="53">
        <f>K5</f>
        <v>45</v>
      </c>
      <c r="O5" s="54" t="s">
        <v>75</v>
      </c>
    </row>
    <row r="6" spans="2:15" x14ac:dyDescent="0.2">
      <c r="B6" s="37" t="s">
        <v>76</v>
      </c>
      <c r="C6" s="148">
        <f>'Overview 2016 (in)'!J55</f>
        <v>2</v>
      </c>
      <c r="D6" s="149">
        <f>'Overview 2016 (in)'!K55</f>
        <v>0.5</v>
      </c>
      <c r="E6" s="150">
        <f>'Overview 2016 (in)'!L55</f>
        <v>1.3</v>
      </c>
      <c r="F6" s="148">
        <f t="shared" ref="F6:F15" si="0">IFERROR(C6*H6/E6,0)</f>
        <v>2</v>
      </c>
      <c r="G6" s="149">
        <f t="shared" ref="G6:G13" si="1">IFERROR(D6*H6/E6, 0)</f>
        <v>0.5</v>
      </c>
      <c r="H6" s="150">
        <f>E6</f>
        <v>1.3</v>
      </c>
      <c r="I6" s="148">
        <f t="shared" ref="I6:I15" si="2">IFERROR(F6*K6/H6,0)</f>
        <v>2</v>
      </c>
      <c r="J6" s="149">
        <f t="shared" ref="J6:J13" si="3">IFERROR(G6*K6/H6, 0)</f>
        <v>0.5</v>
      </c>
      <c r="K6" s="150">
        <f>H6</f>
        <v>1.3</v>
      </c>
      <c r="L6" s="148">
        <f t="shared" ref="L6:L15" si="4">IFERROR(I6*N6/K6,0)</f>
        <v>2</v>
      </c>
      <c r="M6" s="149">
        <f t="shared" ref="M6:M13" si="5">IFERROR(J6*N6/K6, 0)</f>
        <v>0.5</v>
      </c>
      <c r="N6" s="150">
        <f>K6</f>
        <v>1.3</v>
      </c>
      <c r="O6" s="55" t="s">
        <v>77</v>
      </c>
    </row>
    <row r="7" spans="2:15" x14ac:dyDescent="0.2">
      <c r="B7" s="51" t="s">
        <v>4</v>
      </c>
      <c r="C7" s="151">
        <f>'Overview 2016 (in)'!J56</f>
        <v>14000</v>
      </c>
      <c r="D7" s="56">
        <f>'Overview 2016 (in)'!K56</f>
        <v>12000</v>
      </c>
      <c r="E7" s="197">
        <f>'Overview 2016 (in)'!L56</f>
        <v>13000</v>
      </c>
      <c r="F7" s="151">
        <f t="shared" ca="1" si="0"/>
        <v>14000</v>
      </c>
      <c r="G7" s="56">
        <f t="shared" ca="1" si="1"/>
        <v>12000</v>
      </c>
      <c r="H7" s="197">
        <f ca="1">INDIRECT(ADDRESS(ROW($B6),COLUMN(D$4),1,,$B$4))</f>
        <v>13000</v>
      </c>
      <c r="I7" s="151">
        <f t="shared" ca="1" si="2"/>
        <v>14000</v>
      </c>
      <c r="J7" s="56">
        <f t="shared" ca="1" si="3"/>
        <v>12000</v>
      </c>
      <c r="K7" s="197">
        <f ca="1">INDIRECT(ADDRESS(ROW($B6),COLUMN(E$4),1,,$B$4))</f>
        <v>13000</v>
      </c>
      <c r="L7" s="151">
        <f t="shared" ca="1" si="4"/>
        <v>14000</v>
      </c>
      <c r="M7" s="56">
        <f t="shared" ca="1" si="5"/>
        <v>12000</v>
      </c>
      <c r="N7" s="197">
        <f ca="1">INDIRECT(ADDRESS(ROW($B6),COLUMN(F$4),1,,$B$4))</f>
        <v>13000</v>
      </c>
      <c r="O7" s="54" t="s">
        <v>5</v>
      </c>
    </row>
    <row r="8" spans="2:15" x14ac:dyDescent="0.2">
      <c r="B8" s="37" t="s">
        <v>6</v>
      </c>
      <c r="C8" s="152">
        <f>'Overview 2016 (in)'!J57</f>
        <v>20</v>
      </c>
      <c r="D8" s="153">
        <f>'Overview 2016 (in)'!K57</f>
        <v>5</v>
      </c>
      <c r="E8" s="199">
        <f>'Overview 2016 (in)'!L57</f>
        <v>12</v>
      </c>
      <c r="F8" s="152">
        <f t="shared" ca="1" si="0"/>
        <v>22.874414718712845</v>
      </c>
      <c r="G8" s="153">
        <f t="shared" ca="1" si="1"/>
        <v>5.7186036796782114</v>
      </c>
      <c r="H8" s="199">
        <f ca="1">INDIRECT(ADDRESS(ROW($B7),COLUMN(D$4),1,,$B$4))</f>
        <v>13.724648831227707</v>
      </c>
      <c r="I8" s="152">
        <f t="shared" ca="1" si="2"/>
        <v>27.055152392821785</v>
      </c>
      <c r="J8" s="153">
        <f t="shared" ca="1" si="3"/>
        <v>6.7637880982054464</v>
      </c>
      <c r="K8" s="199">
        <f ca="1">INDIRECT(ADDRESS(ROW($B7),COLUMN(E$4),1,,$B$4))</f>
        <v>16.233091435693073</v>
      </c>
      <c r="L8" s="152">
        <f t="shared" ca="1" si="4"/>
        <v>32</v>
      </c>
      <c r="M8" s="153">
        <f t="shared" ca="1" si="5"/>
        <v>8</v>
      </c>
      <c r="N8" s="199">
        <f ca="1">INDIRECT(ADDRESS(ROW($B7),COLUMN(F$4),1,,$B$4))</f>
        <v>19.200000000000003</v>
      </c>
      <c r="O8" s="55" t="s">
        <v>7</v>
      </c>
    </row>
    <row r="9" spans="2:15" x14ac:dyDescent="0.2">
      <c r="B9" s="51" t="s">
        <v>78</v>
      </c>
      <c r="C9" s="151">
        <f>'Overview 2016 (in)'!J58</f>
        <v>100</v>
      </c>
      <c r="D9" s="56">
        <f>'Overview 2016 (in)'!K58</f>
        <v>100</v>
      </c>
      <c r="E9" s="57">
        <f>'Overview 2016 (in)'!L58</f>
        <v>100</v>
      </c>
      <c r="F9" s="151">
        <f t="shared" si="0"/>
        <v>100</v>
      </c>
      <c r="G9" s="56">
        <f t="shared" si="1"/>
        <v>100</v>
      </c>
      <c r="H9" s="57">
        <f>E9</f>
        <v>100</v>
      </c>
      <c r="I9" s="151">
        <f t="shared" si="2"/>
        <v>100</v>
      </c>
      <c r="J9" s="56">
        <f t="shared" si="3"/>
        <v>100</v>
      </c>
      <c r="K9" s="57">
        <f>H9</f>
        <v>100</v>
      </c>
      <c r="L9" s="151">
        <f t="shared" si="4"/>
        <v>100</v>
      </c>
      <c r="M9" s="56">
        <f t="shared" si="5"/>
        <v>100</v>
      </c>
      <c r="N9" s="57">
        <f>K9</f>
        <v>100</v>
      </c>
      <c r="O9" s="54" t="s">
        <v>9</v>
      </c>
    </row>
    <row r="10" spans="2:15" x14ac:dyDescent="0.2">
      <c r="B10" s="37" t="s">
        <v>8</v>
      </c>
      <c r="C10" s="152">
        <f>'Overview 2016 (in)'!J59</f>
        <v>85</v>
      </c>
      <c r="D10" s="153">
        <f>'Overview 2016 (in)'!K59</f>
        <v>60</v>
      </c>
      <c r="E10" s="199">
        <f>'Overview 2016 (in)'!L59</f>
        <v>70</v>
      </c>
      <c r="F10" s="152">
        <f t="shared" ca="1" si="0"/>
        <v>87.693787097483465</v>
      </c>
      <c r="G10" s="153">
        <f t="shared" ca="1" si="1"/>
        <v>61.901496774694209</v>
      </c>
      <c r="H10" s="199">
        <f ca="1">INDIRECT(ADDRESS(ROW($B8),COLUMN(D$4),1,,$B$4))</f>
        <v>72.218412903809906</v>
      </c>
      <c r="I10" s="152">
        <f t="shared" ca="1" si="2"/>
        <v>91.181388366456034</v>
      </c>
      <c r="J10" s="153">
        <f t="shared" ca="1" si="3"/>
        <v>64.363332964557202</v>
      </c>
      <c r="K10" s="199">
        <f ca="1">INDIRECT(ADDRESS(ROW($B8),COLUMN(E$4),1,,$B$4))</f>
        <v>75.090555125316726</v>
      </c>
      <c r="L10" s="152">
        <f t="shared" ca="1" si="4"/>
        <v>94.807692307692321</v>
      </c>
      <c r="M10" s="153">
        <f t="shared" ca="1" si="5"/>
        <v>66.923076923076934</v>
      </c>
      <c r="N10" s="199">
        <f ca="1">INDIRECT(ADDRESS(ROW($B8),COLUMN(F$4),1,,$B$4))</f>
        <v>78.07692307692308</v>
      </c>
      <c r="O10" s="55" t="s">
        <v>9</v>
      </c>
    </row>
    <row r="11" spans="2:15" x14ac:dyDescent="0.2">
      <c r="B11" s="51" t="s">
        <v>79</v>
      </c>
      <c r="C11" s="147">
        <f>'Overview 2016 (in)'!J60</f>
        <v>0</v>
      </c>
      <c r="D11" s="52">
        <f>'Overview 2016 (in)'!K60</f>
        <v>1</v>
      </c>
      <c r="E11" s="53">
        <f>'Overview 2016 (in)'!L60</f>
        <v>0.15</v>
      </c>
      <c r="F11" s="147">
        <f t="shared" si="0"/>
        <v>0</v>
      </c>
      <c r="G11" s="52">
        <f t="shared" si="1"/>
        <v>1</v>
      </c>
      <c r="H11" s="53">
        <f>E11</f>
        <v>0.15</v>
      </c>
      <c r="I11" s="147">
        <f t="shared" si="2"/>
        <v>0</v>
      </c>
      <c r="J11" s="52">
        <f t="shared" si="3"/>
        <v>1</v>
      </c>
      <c r="K11" s="53">
        <f>H11</f>
        <v>0.15</v>
      </c>
      <c r="L11" s="147">
        <f t="shared" si="4"/>
        <v>0</v>
      </c>
      <c r="M11" s="52">
        <f t="shared" si="5"/>
        <v>1</v>
      </c>
      <c r="N11" s="53">
        <f>K11</f>
        <v>0.15</v>
      </c>
      <c r="O11" s="54" t="s">
        <v>80</v>
      </c>
    </row>
    <row r="12" spans="2:15" x14ac:dyDescent="0.2">
      <c r="B12" s="154" t="s">
        <v>81</v>
      </c>
      <c r="C12" s="148" t="str">
        <f>'Overview 2016 (in)'!J61</f>
        <v>&lt; 0.001</v>
      </c>
      <c r="D12" s="149">
        <f>'Overview 2016 (in)'!K61</f>
        <v>0.02</v>
      </c>
      <c r="E12" s="150">
        <f>'Overview 2016 (in)'!L61</f>
        <v>0.01</v>
      </c>
      <c r="F12" s="148">
        <f t="shared" si="0"/>
        <v>0</v>
      </c>
      <c r="G12" s="149">
        <f t="shared" si="1"/>
        <v>0.02</v>
      </c>
      <c r="H12" s="150">
        <f>E12</f>
        <v>0.01</v>
      </c>
      <c r="I12" s="148">
        <f t="shared" si="2"/>
        <v>0</v>
      </c>
      <c r="J12" s="149">
        <f t="shared" si="3"/>
        <v>0.02</v>
      </c>
      <c r="K12" s="150">
        <f>H12</f>
        <v>0.01</v>
      </c>
      <c r="L12" s="148">
        <f t="shared" si="4"/>
        <v>0</v>
      </c>
      <c r="M12" s="149">
        <f t="shared" si="5"/>
        <v>0.02</v>
      </c>
      <c r="N12" s="150">
        <f>K12</f>
        <v>0.01</v>
      </c>
      <c r="O12" s="155" t="s">
        <v>82</v>
      </c>
    </row>
    <row r="13" spans="2:15" x14ac:dyDescent="0.2">
      <c r="B13" s="156" t="s">
        <v>83</v>
      </c>
      <c r="C13" s="157">
        <f>'Overview 2016 (in)'!J62</f>
        <v>0</v>
      </c>
      <c r="D13" s="58">
        <f>'Overview 2016 (in)'!K62</f>
        <v>0</v>
      </c>
      <c r="E13" s="59">
        <f>'Overview 2016 (in)'!L62</f>
        <v>0</v>
      </c>
      <c r="F13" s="157">
        <f t="shared" si="0"/>
        <v>0</v>
      </c>
      <c r="G13" s="58">
        <f t="shared" si="1"/>
        <v>0</v>
      </c>
      <c r="H13" s="59">
        <f>E13</f>
        <v>0</v>
      </c>
      <c r="I13" s="157">
        <f t="shared" si="2"/>
        <v>0</v>
      </c>
      <c r="J13" s="58">
        <f t="shared" si="3"/>
        <v>0</v>
      </c>
      <c r="K13" s="59">
        <f>H13</f>
        <v>0</v>
      </c>
      <c r="L13" s="157">
        <f t="shared" si="4"/>
        <v>0</v>
      </c>
      <c r="M13" s="58">
        <f t="shared" si="5"/>
        <v>0</v>
      </c>
      <c r="N13" s="59">
        <f>K13</f>
        <v>0</v>
      </c>
      <c r="O13" s="54" t="s">
        <v>7</v>
      </c>
    </row>
    <row r="14" spans="2:15" x14ac:dyDescent="0.2">
      <c r="B14" s="154" t="s">
        <v>2</v>
      </c>
      <c r="C14" s="152">
        <f>'Overview 2016 (in)'!J63</f>
        <v>315</v>
      </c>
      <c r="D14" s="153">
        <f>'Overview 2016 (in)'!K63</f>
        <v>1050</v>
      </c>
      <c r="E14" s="198">
        <f>'Overview 2016 (in)'!L63</f>
        <v>346.5</v>
      </c>
      <c r="F14" s="152">
        <f t="shared" ca="1" si="0"/>
        <v>232.01956656565619</v>
      </c>
      <c r="G14" s="153">
        <f t="shared" ref="G14:G15" ca="1" si="6">IFERROR(D14*H14/E14,0)</f>
        <v>773.39855521885409</v>
      </c>
      <c r="H14" s="198">
        <f ca="1">IF(CELL("format",INDIRECT(ADDRESS(ROW($B4),COLUMN(D$4),1,,$B$4)))="W0-",INDIRECT(ADDRESS(ROW($B4),COLUMN(D$4),1,,$B$4))*'Overview 2016 (in)'!$O$7,INDIRECT(ADDRESS(ROW($B4),COLUMN(D$4),1,,$B$4)))</f>
        <v>255.22152322222183</v>
      </c>
      <c r="I14" s="152">
        <f t="shared" ca="1" si="2"/>
        <v>158.32233371298511</v>
      </c>
      <c r="J14" s="153">
        <f t="shared" ref="J14:J15" ca="1" si="7">IFERROR(G14*K14/H14,0)</f>
        <v>527.74111237661714</v>
      </c>
      <c r="K14" s="198">
        <f ca="1">IF(CELL("format",INDIRECT(ADDRESS(ROW($B4),COLUMN(E$4),1,,$B$4)))="W0-",INDIRECT(ADDRESS(ROW($B4),COLUMN(E$4),1,,$B$4))*'Overview 2016 (in)'!$O$7,INDIRECT(ADDRESS(ROW($B4),COLUMN(E$4),1,,$B$4)))</f>
        <v>174.15456708428366</v>
      </c>
      <c r="L14" s="152">
        <f t="shared" ca="1" si="4"/>
        <v>108.03382543701433</v>
      </c>
      <c r="M14" s="153">
        <f t="shared" ref="M14:M15" ca="1" si="8">IFERROR(J14*N14/K14,0)</f>
        <v>360.11275145671448</v>
      </c>
      <c r="N14" s="198">
        <f ca="1">IF(CELL("format",INDIRECT(ADDRESS(ROW($B4),COLUMN(F$4),1,,$B$4)))="W0-",INDIRECT(ADDRESS(ROW($B4),COLUMN(F$4),1,,$B$4))*'Overview 2016 (in)'!$O$7,INDIRECT(ADDRESS(ROW($B4),COLUMN(F$4),1,,$B$4)))</f>
        <v>118.83720798071577</v>
      </c>
      <c r="O14" s="155" t="s">
        <v>22</v>
      </c>
    </row>
    <row r="15" spans="2:15" ht="16" thickBot="1" x14ac:dyDescent="0.25">
      <c r="B15" s="158" t="s">
        <v>3</v>
      </c>
      <c r="C15" s="180">
        <f>'Overview 2016 (in)'!J64</f>
        <v>1050</v>
      </c>
      <c r="D15" s="180">
        <f>'Overview 2016 (in)'!K64</f>
        <v>1575</v>
      </c>
      <c r="E15" s="200">
        <f>'Overview 2016 (in)'!L64</f>
        <v>1312.5</v>
      </c>
      <c r="F15" s="180">
        <f t="shared" ca="1" si="0"/>
        <v>851.07420537877101</v>
      </c>
      <c r="G15" s="180">
        <f t="shared" ca="1" si="6"/>
        <v>1276.6113080681564</v>
      </c>
      <c r="H15" s="200">
        <f ca="1">IF(CELL("format",INDIRECT(ADDRESS(ROW($B5),COLUMN(D$4),1,,$B$4)))="W0-",INDIRECT(ADDRESS(ROW($B5),COLUMN(D$4),1,,$B$4))*'Overview 2016 (in)'!$O$7,INDIRECT(ADDRESS(ROW($B5),COLUMN(D$4),1,,$B$4)))</f>
        <v>1063.8427567234637</v>
      </c>
      <c r="I15" s="180">
        <f t="shared" ca="1" si="2"/>
        <v>654.54587330820254</v>
      </c>
      <c r="J15" s="180">
        <f t="shared" ca="1" si="7"/>
        <v>981.81880996230382</v>
      </c>
      <c r="K15" s="200">
        <f ca="1">IF(CELL("format",INDIRECT(ADDRESS(ROW($B5),COLUMN(E$4),1,,$B$4)))="W0-",INDIRECT(ADDRESS(ROW($B5),COLUMN(E$4),1,,$B$4))*'Overview 2016 (in)'!$O$7,INDIRECT(ADDRESS(ROW($B5),COLUMN(E$4),1,,$B$4)))</f>
        <v>818.18234163525324</v>
      </c>
      <c r="L15" s="180">
        <f t="shared" ca="1" si="4"/>
        <v>503.39946570713499</v>
      </c>
      <c r="M15" s="180">
        <f t="shared" ca="1" si="8"/>
        <v>755.09919856070246</v>
      </c>
      <c r="N15" s="200">
        <f ca="1">IF(CELL("format",INDIRECT(ADDRESS(ROW($B5),COLUMN(F$4),1,,$B$4)))="W0-",INDIRECT(ADDRESS(ROW($B5),COLUMN(F$4),1,,$B$4))*'Overview 2016 (in)'!$O$7,INDIRECT(ADDRESS(ROW($B5),COLUMN(F$4),1,,$B$4)))</f>
        <v>629.24933213391876</v>
      </c>
      <c r="O15" s="60" t="s">
        <v>23</v>
      </c>
    </row>
    <row r="17" spans="2:3" x14ac:dyDescent="0.2">
      <c r="C17" s="202"/>
    </row>
    <row r="18" spans="2:3" ht="19" x14ac:dyDescent="0.25">
      <c r="B18" s="201"/>
    </row>
    <row r="19" spans="2:3" x14ac:dyDescent="0.2">
      <c r="B19" s="39"/>
    </row>
  </sheetData>
  <mergeCells count="4">
    <mergeCell ref="C3:E3"/>
    <mergeCell ref="F3:H3"/>
    <mergeCell ref="I3:K3"/>
    <mergeCell ref="L3:N3"/>
  </mergeCells>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3" tint="0.59999389629810485"/>
  </sheetPr>
  <dimension ref="A1:AB59"/>
  <sheetViews>
    <sheetView zoomScale="85" zoomScaleNormal="85" workbookViewId="0"/>
  </sheetViews>
  <sheetFormatPr baseColWidth="10" defaultColWidth="9.1640625" defaultRowHeight="15" x14ac:dyDescent="0.2"/>
  <cols>
    <col min="1" max="1" width="9.1640625" style="3"/>
    <col min="2" max="2" width="26.5" style="3" customWidth="1"/>
    <col min="3" max="7" width="10.6640625" style="3" customWidth="1"/>
    <col min="8" max="8" width="13.83203125" style="3" customWidth="1"/>
    <col min="9" max="9" width="20.33203125" style="3" customWidth="1"/>
    <col min="10" max="12" width="12.6640625" style="3" customWidth="1"/>
    <col min="13" max="16384" width="9.1640625" style="3"/>
  </cols>
  <sheetData>
    <row r="1" spans="1:17" x14ac:dyDescent="0.2">
      <c r="A1" s="101"/>
      <c r="B1" s="101"/>
      <c r="C1" s="101"/>
      <c r="D1" s="101"/>
      <c r="E1" s="101"/>
      <c r="F1" s="101"/>
      <c r="G1" s="101"/>
      <c r="H1" s="101"/>
      <c r="I1" s="101"/>
      <c r="J1" s="101"/>
      <c r="K1" s="101"/>
      <c r="L1" s="101"/>
      <c r="M1" s="101"/>
      <c r="N1" s="101"/>
    </row>
    <row r="2" spans="1:17" ht="20" thickBot="1" x14ac:dyDescent="0.3">
      <c r="A2" s="101"/>
      <c r="B2" s="41" t="s">
        <v>67</v>
      </c>
      <c r="C2" s="13"/>
      <c r="D2" s="101"/>
      <c r="E2" s="101"/>
      <c r="F2" s="101"/>
      <c r="G2" s="101"/>
      <c r="H2" s="101"/>
      <c r="I2" s="101"/>
      <c r="J2" s="101"/>
      <c r="K2" s="41" t="s">
        <v>0</v>
      </c>
      <c r="L2" s="101"/>
      <c r="M2" s="101"/>
      <c r="N2" s="39"/>
      <c r="O2" s="43"/>
      <c r="P2" s="43"/>
      <c r="Q2" s="43"/>
    </row>
    <row r="3" spans="1:17" x14ac:dyDescent="0.2">
      <c r="A3" s="101"/>
      <c r="B3" s="38"/>
      <c r="C3" s="38">
        <v>2016</v>
      </c>
      <c r="D3" s="367">
        <v>2020</v>
      </c>
      <c r="E3" s="367">
        <v>2025</v>
      </c>
      <c r="F3" s="367">
        <v>2030</v>
      </c>
      <c r="G3" s="38" t="s">
        <v>1</v>
      </c>
      <c r="H3" s="40"/>
      <c r="I3" s="38" t="s">
        <v>17</v>
      </c>
      <c r="J3" s="38" t="s">
        <v>18</v>
      </c>
      <c r="K3" s="38" t="s">
        <v>19</v>
      </c>
      <c r="L3" s="38" t="s">
        <v>20</v>
      </c>
      <c r="M3" s="101"/>
      <c r="N3" s="407">
        <f>1-(F4/C4)^(1/(F$3-C$3))</f>
        <v>7.3589402714749563E-2</v>
      </c>
      <c r="O3" s="50"/>
      <c r="P3" s="50"/>
      <c r="Q3" s="43"/>
    </row>
    <row r="4" spans="1:17" x14ac:dyDescent="0.2">
      <c r="A4" s="101"/>
      <c r="B4" s="37" t="s">
        <v>2</v>
      </c>
      <c r="C4" s="164">
        <f>'Overview 2016 (in)'!F79</f>
        <v>900</v>
      </c>
      <c r="D4" s="68">
        <f>$C4*(1-$N3)^(D$3-$C$3)</f>
        <v>662.91304733044626</v>
      </c>
      <c r="E4" s="68">
        <f>$C4*(1-$N3)^(E$3-$C$3)</f>
        <v>452.34952489424325</v>
      </c>
      <c r="F4" s="68">
        <f>C4*D56</f>
        <v>308.66807267718383</v>
      </c>
      <c r="G4" s="101" t="s">
        <v>22</v>
      </c>
      <c r="H4" s="101"/>
      <c r="I4" s="79" t="s">
        <v>52</v>
      </c>
      <c r="J4" s="42" t="s">
        <v>53</v>
      </c>
      <c r="K4" s="42" t="s">
        <v>53</v>
      </c>
      <c r="L4" s="42" t="s">
        <v>53</v>
      </c>
      <c r="M4" s="101"/>
      <c r="N4" s="407"/>
      <c r="O4" s="43"/>
      <c r="P4" s="43"/>
      <c r="Q4" s="43"/>
    </row>
    <row r="5" spans="1:17" x14ac:dyDescent="0.2">
      <c r="A5" s="101"/>
      <c r="B5" s="40" t="s">
        <v>3</v>
      </c>
      <c r="C5" s="164">
        <f>'Overview 2016 (in)'!F80</f>
        <v>0</v>
      </c>
      <c r="D5" s="68">
        <v>0</v>
      </c>
      <c r="E5" s="68">
        <v>0</v>
      </c>
      <c r="F5" s="68">
        <f>C5*H56</f>
        <v>0</v>
      </c>
      <c r="G5" s="101" t="s">
        <v>23</v>
      </c>
      <c r="H5" s="101"/>
      <c r="I5" s="79" t="s">
        <v>52</v>
      </c>
      <c r="J5" s="42">
        <v>1</v>
      </c>
      <c r="K5" s="42">
        <v>1</v>
      </c>
      <c r="L5" s="42">
        <v>1</v>
      </c>
      <c r="M5" s="101"/>
      <c r="N5" s="407">
        <f t="shared" ref="N5:N7" si="0">1-(F6/C6)^(1/(F$3-C$3))</f>
        <v>0</v>
      </c>
      <c r="O5" s="43"/>
      <c r="P5" s="43"/>
      <c r="Q5" s="43"/>
    </row>
    <row r="6" spans="1:17" x14ac:dyDescent="0.2">
      <c r="A6" s="101"/>
      <c r="B6" s="37" t="s">
        <v>4</v>
      </c>
      <c r="C6" s="99">
        <f>'Overview 2016 (in)'!F72</f>
        <v>10000</v>
      </c>
      <c r="D6" s="73">
        <f t="shared" ref="D6:E8" si="1">$C6*(1-$N5)^(D$3-$C$3)</f>
        <v>10000</v>
      </c>
      <c r="E6" s="73">
        <f t="shared" si="1"/>
        <v>10000</v>
      </c>
      <c r="F6" s="73">
        <f>C6*E$56</f>
        <v>10000</v>
      </c>
      <c r="G6" s="101" t="s">
        <v>5</v>
      </c>
      <c r="H6" s="101"/>
      <c r="I6" s="79" t="s">
        <v>52</v>
      </c>
      <c r="J6" s="42" t="s">
        <v>53</v>
      </c>
      <c r="K6" s="42" t="s">
        <v>53</v>
      </c>
      <c r="L6" s="42" t="s">
        <v>53</v>
      </c>
      <c r="M6" s="101"/>
      <c r="N6" s="407">
        <f t="shared" si="0"/>
        <v>-3.4141576406921725E-2</v>
      </c>
      <c r="O6" s="43"/>
      <c r="P6" s="43"/>
      <c r="Q6" s="43"/>
    </row>
    <row r="7" spans="1:17" x14ac:dyDescent="0.2">
      <c r="A7" s="101"/>
      <c r="B7" s="37" t="s">
        <v>6</v>
      </c>
      <c r="C7" s="99">
        <f>'Overview 2016 (in)'!F73</f>
        <v>10</v>
      </c>
      <c r="D7" s="85">
        <f t="shared" si="1"/>
        <v>11.437207359356423</v>
      </c>
      <c r="E7" s="85">
        <f t="shared" si="1"/>
        <v>13.527576196410893</v>
      </c>
      <c r="F7" s="85">
        <f>C7*F$56</f>
        <v>16</v>
      </c>
      <c r="G7" s="101" t="s">
        <v>7</v>
      </c>
      <c r="H7" s="101"/>
      <c r="I7" s="79" t="s">
        <v>52</v>
      </c>
      <c r="J7" s="42" t="s">
        <v>53</v>
      </c>
      <c r="K7" s="42" t="s">
        <v>53</v>
      </c>
      <c r="L7" s="42" t="s">
        <v>53</v>
      </c>
      <c r="M7" s="101"/>
      <c r="N7" s="407">
        <f t="shared" si="0"/>
        <v>-7.8304482765232386E-3</v>
      </c>
      <c r="O7" s="43"/>
      <c r="P7" s="43"/>
      <c r="Q7" s="43"/>
    </row>
    <row r="8" spans="1:17" ht="16" thickBot="1" x14ac:dyDescent="0.25">
      <c r="A8" s="101"/>
      <c r="B8" s="6" t="s">
        <v>8</v>
      </c>
      <c r="C8" s="82">
        <f>'Overview 2016 (in)'!F75</f>
        <v>70</v>
      </c>
      <c r="D8" s="78">
        <f t="shared" si="1"/>
        <v>72.218412903809906</v>
      </c>
      <c r="E8" s="78">
        <f t="shared" si="1"/>
        <v>75.090555125316726</v>
      </c>
      <c r="F8" s="78">
        <f>C8*G$56</f>
        <v>78.07692307692308</v>
      </c>
      <c r="G8" s="7" t="s">
        <v>9</v>
      </c>
      <c r="H8" s="39"/>
      <c r="I8" s="80" t="s">
        <v>52</v>
      </c>
      <c r="J8" s="83" t="s">
        <v>53</v>
      </c>
      <c r="K8" s="83" t="s">
        <v>53</v>
      </c>
      <c r="L8" s="83" t="s">
        <v>53</v>
      </c>
      <c r="M8" s="101"/>
      <c r="N8" s="39"/>
      <c r="O8" s="43"/>
      <c r="P8" s="43"/>
      <c r="Q8" s="43"/>
    </row>
    <row r="9" spans="1:17" x14ac:dyDescent="0.2">
      <c r="A9" s="101"/>
      <c r="B9" s="37"/>
      <c r="C9" s="44"/>
      <c r="D9" s="101"/>
      <c r="E9" s="101"/>
      <c r="F9" s="101"/>
      <c r="G9" s="101"/>
      <c r="H9" s="101"/>
      <c r="I9" s="101"/>
      <c r="J9" s="39"/>
      <c r="K9" s="39"/>
      <c r="L9" s="39"/>
      <c r="M9" s="39"/>
      <c r="N9" s="39"/>
      <c r="O9" s="43"/>
      <c r="P9" s="43"/>
      <c r="Q9" s="43"/>
    </row>
    <row r="10" spans="1:17" ht="16" x14ac:dyDescent="0.2">
      <c r="A10" s="42"/>
      <c r="B10" s="141"/>
      <c r="C10" s="142"/>
      <c r="D10" s="142"/>
      <c r="E10" s="43"/>
      <c r="F10" s="43"/>
      <c r="G10" s="39"/>
      <c r="H10" s="39"/>
      <c r="I10" s="39"/>
      <c r="J10" s="39"/>
      <c r="K10" s="39"/>
      <c r="L10" s="39"/>
      <c r="M10" s="39"/>
      <c r="N10" s="39"/>
    </row>
    <row r="11" spans="1:17" x14ac:dyDescent="0.2">
      <c r="A11" s="42"/>
      <c r="B11" s="43"/>
      <c r="C11" s="43"/>
      <c r="D11" s="39"/>
      <c r="E11" s="39"/>
      <c r="F11" s="39"/>
      <c r="G11" s="39"/>
      <c r="H11" s="39"/>
      <c r="I11" s="101"/>
      <c r="J11" s="43"/>
      <c r="K11" s="2" t="s">
        <v>68</v>
      </c>
      <c r="L11" s="43"/>
      <c r="M11" s="43"/>
      <c r="N11" s="43"/>
    </row>
    <row r="12" spans="1:17" ht="20" thickBot="1" x14ac:dyDescent="0.3">
      <c r="A12" s="101"/>
      <c r="B12" s="41" t="s">
        <v>10</v>
      </c>
      <c r="C12" s="101"/>
      <c r="D12" s="101"/>
      <c r="E12" s="101"/>
      <c r="F12" s="101"/>
      <c r="G12" s="101"/>
      <c r="H12" s="101"/>
      <c r="J12" s="42"/>
      <c r="K12" s="18" t="s">
        <v>69</v>
      </c>
      <c r="L12" s="42"/>
      <c r="M12" s="42"/>
      <c r="N12" s="42"/>
    </row>
    <row r="13" spans="1:17" x14ac:dyDescent="0.2">
      <c r="A13" s="101"/>
      <c r="B13" s="98" t="s">
        <v>11</v>
      </c>
      <c r="C13" s="98" t="s">
        <v>12</v>
      </c>
      <c r="D13" s="98" t="s">
        <v>13</v>
      </c>
      <c r="E13" s="98" t="s">
        <v>225</v>
      </c>
      <c r="F13" s="100" t="s">
        <v>64</v>
      </c>
      <c r="G13" s="98"/>
      <c r="H13" s="100" t="s">
        <v>105</v>
      </c>
      <c r="J13" s="42"/>
      <c r="K13" s="93" t="s">
        <v>71</v>
      </c>
      <c r="L13" s="93"/>
      <c r="M13" s="42"/>
      <c r="N13" s="42"/>
    </row>
    <row r="14" spans="1:17" x14ac:dyDescent="0.2">
      <c r="A14" s="101"/>
      <c r="B14" s="101">
        <v>1</v>
      </c>
      <c r="C14" s="101" t="s">
        <v>15</v>
      </c>
      <c r="D14" s="101" t="s">
        <v>16</v>
      </c>
      <c r="E14" s="303" t="s">
        <v>226</v>
      </c>
      <c r="F14" s="96" t="s">
        <v>61</v>
      </c>
      <c r="G14" s="101"/>
      <c r="H14" s="55" t="s">
        <v>107</v>
      </c>
      <c r="J14" s="42"/>
      <c r="K14" s="42"/>
      <c r="L14" s="42"/>
      <c r="M14" s="42"/>
      <c r="N14" s="42"/>
    </row>
    <row r="15" spans="1:17" x14ac:dyDescent="0.2">
      <c r="A15" s="101"/>
      <c r="B15" s="101">
        <v>2</v>
      </c>
      <c r="C15" s="101" t="s">
        <v>24</v>
      </c>
      <c r="D15" s="101" t="s">
        <v>25</v>
      </c>
      <c r="E15" s="303" t="s">
        <v>227</v>
      </c>
      <c r="F15" s="96" t="s">
        <v>62</v>
      </c>
      <c r="G15" s="101"/>
      <c r="H15" s="55" t="s">
        <v>108</v>
      </c>
      <c r="J15" s="42"/>
      <c r="K15" s="42"/>
      <c r="L15" s="42"/>
      <c r="M15" s="42"/>
      <c r="N15" s="42"/>
      <c r="O15" s="42"/>
    </row>
    <row r="16" spans="1:17" x14ac:dyDescent="0.2">
      <c r="A16" s="101"/>
      <c r="B16" s="101">
        <v>3</v>
      </c>
      <c r="C16" s="101" t="s">
        <v>58</v>
      </c>
      <c r="D16" s="101" t="s">
        <v>59</v>
      </c>
      <c r="E16" s="303" t="s">
        <v>230</v>
      </c>
      <c r="F16" s="145" t="s">
        <v>63</v>
      </c>
      <c r="G16" s="101"/>
      <c r="H16" s="55" t="s">
        <v>108</v>
      </c>
      <c r="J16" s="42"/>
      <c r="K16" s="42"/>
      <c r="L16" s="42"/>
      <c r="M16" s="42"/>
      <c r="N16" s="136"/>
      <c r="O16" s="42"/>
    </row>
    <row r="17" spans="1:28" x14ac:dyDescent="0.2">
      <c r="A17" s="101"/>
      <c r="B17" s="182">
        <v>4</v>
      </c>
      <c r="C17" s="182" t="s">
        <v>100</v>
      </c>
      <c r="D17" s="182" t="s">
        <v>101</v>
      </c>
      <c r="E17" s="303" t="s">
        <v>231</v>
      </c>
      <c r="F17" s="145" t="s">
        <v>102</v>
      </c>
      <c r="G17" s="182"/>
      <c r="H17" s="55" t="s">
        <v>107</v>
      </c>
      <c r="J17" s="42"/>
      <c r="K17" s="42"/>
      <c r="L17" s="42"/>
      <c r="M17" s="42"/>
      <c r="N17" s="136"/>
      <c r="O17" s="42"/>
    </row>
    <row r="18" spans="1:28" x14ac:dyDescent="0.2">
      <c r="A18" s="101"/>
      <c r="B18" s="101"/>
      <c r="C18" s="101"/>
      <c r="D18" s="101"/>
      <c r="E18" s="101"/>
      <c r="F18" s="101"/>
      <c r="G18" s="101"/>
      <c r="H18" s="39"/>
      <c r="I18" s="101"/>
      <c r="J18" s="42"/>
      <c r="K18" s="42"/>
      <c r="L18" s="42"/>
      <c r="M18" s="42"/>
      <c r="N18" s="42"/>
      <c r="O18" s="42"/>
    </row>
    <row r="19" spans="1:28" x14ac:dyDescent="0.2">
      <c r="A19" s="304" t="s">
        <v>232</v>
      </c>
      <c r="B19" s="101"/>
      <c r="C19" s="101"/>
      <c r="D19" s="101"/>
      <c r="E19" s="101"/>
      <c r="F19" s="101"/>
      <c r="G19" s="101"/>
      <c r="H19" s="101"/>
      <c r="I19" s="101"/>
      <c r="J19" s="101"/>
      <c r="K19" s="101"/>
      <c r="L19" s="42"/>
      <c r="M19" s="42"/>
      <c r="N19" s="42"/>
      <c r="O19" s="43"/>
      <c r="P19" s="43"/>
      <c r="Q19" s="43"/>
      <c r="R19" s="43"/>
      <c r="S19" s="43"/>
      <c r="T19" s="43"/>
      <c r="U19" s="43"/>
      <c r="V19" s="43"/>
    </row>
    <row r="20" spans="1:28" ht="16" thickBot="1" x14ac:dyDescent="0.25">
      <c r="A20" s="304" t="s">
        <v>47</v>
      </c>
      <c r="B20" s="42"/>
      <c r="C20" s="332" t="s">
        <v>183</v>
      </c>
      <c r="D20" s="333" t="s">
        <v>234</v>
      </c>
      <c r="E20" s="320"/>
      <c r="F20" s="372"/>
      <c r="G20" s="320"/>
      <c r="H20" s="320"/>
      <c r="I20" s="320"/>
      <c r="J20" s="320"/>
      <c r="K20" s="320"/>
      <c r="L20" s="320"/>
      <c r="M20" s="320"/>
      <c r="N20" s="136"/>
      <c r="O20" s="43"/>
      <c r="P20" s="43"/>
      <c r="Q20" s="43"/>
      <c r="R20" s="43"/>
      <c r="S20" s="43"/>
      <c r="T20" s="43"/>
      <c r="U20" s="43"/>
      <c r="V20" s="320"/>
      <c r="W20" s="320"/>
      <c r="X20" s="320"/>
      <c r="Y20" s="320"/>
      <c r="Z20" s="320"/>
      <c r="AA20" s="320"/>
      <c r="AB20" s="320"/>
    </row>
    <row r="21" spans="1:28" x14ac:dyDescent="0.2">
      <c r="A21" s="65" t="s">
        <v>49</v>
      </c>
      <c r="B21" s="38"/>
      <c r="C21" s="49">
        <v>2016</v>
      </c>
      <c r="D21" s="360">
        <v>2012</v>
      </c>
      <c r="E21" s="367">
        <v>2020</v>
      </c>
      <c r="F21" s="374">
        <v>2023</v>
      </c>
      <c r="G21" s="367">
        <v>2025</v>
      </c>
      <c r="H21" s="374">
        <v>2030</v>
      </c>
      <c r="I21" s="360">
        <v>2033</v>
      </c>
      <c r="J21" s="38" t="s">
        <v>1</v>
      </c>
      <c r="K21" s="48" t="s">
        <v>54</v>
      </c>
      <c r="L21" s="38" t="s">
        <v>55</v>
      </c>
      <c r="M21" s="430" t="s">
        <v>237</v>
      </c>
      <c r="N21" s="378" t="s">
        <v>253</v>
      </c>
      <c r="O21" s="430" t="s">
        <v>267</v>
      </c>
      <c r="P21" s="50"/>
      <c r="Q21" s="50"/>
      <c r="R21" s="50"/>
      <c r="S21" s="50"/>
      <c r="T21" s="43"/>
      <c r="U21" s="43"/>
      <c r="V21" s="320"/>
      <c r="W21" s="320"/>
      <c r="X21" s="320"/>
      <c r="Y21" s="320"/>
      <c r="Z21" s="320"/>
      <c r="AA21" s="320"/>
      <c r="AB21" s="320"/>
    </row>
    <row r="22" spans="1:28" x14ac:dyDescent="0.2">
      <c r="A22" s="101"/>
      <c r="B22" s="37" t="s">
        <v>2</v>
      </c>
      <c r="C22" s="339">
        <f>C4/'Overview 2016 (in)'!$O$7</f>
        <v>857.14285714285711</v>
      </c>
      <c r="D22" s="417">
        <v>400</v>
      </c>
      <c r="E22" s="172">
        <f>$D22*(1-$K22)^(E$21-$D$21)</f>
        <v>225.35880025157047</v>
      </c>
      <c r="F22" s="398"/>
      <c r="G22" s="172">
        <f>$D22*(1-$K22)^(G$21-$D$21)</f>
        <v>157.44671488371156</v>
      </c>
      <c r="H22" s="420">
        <v>110</v>
      </c>
      <c r="I22" s="398"/>
      <c r="J22" s="372" t="s">
        <v>247</v>
      </c>
      <c r="K22" s="312">
        <f>1-(H22/D22)^(1/(H$21-D$21))</f>
        <v>6.920976948816282E-2</v>
      </c>
      <c r="L22" s="95"/>
      <c r="M22" s="379" t="s">
        <v>269</v>
      </c>
      <c r="N22" s="378"/>
      <c r="O22" s="431"/>
      <c r="P22" s="72"/>
      <c r="Q22" s="72"/>
      <c r="R22" s="72"/>
      <c r="S22" s="43"/>
      <c r="T22" s="43"/>
      <c r="U22" s="43"/>
      <c r="V22" s="320"/>
      <c r="W22" s="320"/>
      <c r="X22" s="320"/>
      <c r="Y22" s="320"/>
      <c r="Z22" s="320"/>
      <c r="AA22" s="320"/>
      <c r="AB22" s="320"/>
    </row>
    <row r="23" spans="1:28" x14ac:dyDescent="0.2">
      <c r="A23" s="101"/>
      <c r="B23" s="40" t="s">
        <v>3</v>
      </c>
      <c r="C23" s="339">
        <f>C5/'Overview 2016 (in)'!$O$7</f>
        <v>0</v>
      </c>
      <c r="D23" s="417">
        <v>1250</v>
      </c>
      <c r="E23" s="172">
        <f t="shared" ref="E23:E26" si="2">$D23*(1-$K23)^(E$21-$D$21)</f>
        <v>1025.1036484569017</v>
      </c>
      <c r="F23" s="398"/>
      <c r="G23" s="172">
        <f>$C23*(1-$K23)^(G$21-$C$21)</f>
        <v>0</v>
      </c>
      <c r="H23" s="420">
        <v>800</v>
      </c>
      <c r="I23" s="398"/>
      <c r="J23" s="372" t="s">
        <v>270</v>
      </c>
      <c r="K23" s="312">
        <f t="shared" ref="K23:K26" si="3">1-(H23/D23)^(1/(H$21-D$21))</f>
        <v>2.4488888020923416E-2</v>
      </c>
      <c r="L23" s="95"/>
      <c r="M23" s="379" t="s">
        <v>269</v>
      </c>
      <c r="N23" s="378"/>
      <c r="O23" s="431"/>
      <c r="P23" s="72"/>
      <c r="Q23" s="72"/>
      <c r="R23" s="72"/>
      <c r="S23" s="43"/>
      <c r="T23" s="43"/>
      <c r="U23" s="43"/>
      <c r="V23" s="320"/>
      <c r="W23" s="320"/>
      <c r="X23" s="320"/>
      <c r="Y23" s="320"/>
      <c r="Z23" s="320"/>
      <c r="AA23" s="320"/>
      <c r="AB23" s="320"/>
    </row>
    <row r="24" spans="1:28" x14ac:dyDescent="0.2">
      <c r="A24" s="101"/>
      <c r="B24" s="37" t="s">
        <v>4</v>
      </c>
      <c r="C24" s="329">
        <f>C6</f>
        <v>10000</v>
      </c>
      <c r="D24" s="362">
        <v>10000</v>
      </c>
      <c r="E24" s="118">
        <f t="shared" si="2"/>
        <v>10000</v>
      </c>
      <c r="F24" s="386"/>
      <c r="G24" s="118">
        <f t="shared" ref="G24:G26" si="4">$C24*(1-$K24)^(G$21-$C$21)</f>
        <v>10000</v>
      </c>
      <c r="H24" s="380">
        <v>10000</v>
      </c>
      <c r="I24" s="410"/>
      <c r="J24" s="372" t="s">
        <v>5</v>
      </c>
      <c r="K24" s="312">
        <f t="shared" si="3"/>
        <v>0</v>
      </c>
      <c r="L24" s="95"/>
      <c r="M24" s="379" t="s">
        <v>269</v>
      </c>
      <c r="N24" s="378"/>
      <c r="O24" s="432"/>
      <c r="P24" s="73"/>
      <c r="Q24" s="73"/>
      <c r="R24" s="74"/>
      <c r="S24" s="43"/>
      <c r="T24" s="43"/>
      <c r="U24" s="43"/>
      <c r="V24" s="320"/>
      <c r="W24" s="320"/>
      <c r="X24" s="320"/>
      <c r="Y24" s="320"/>
      <c r="Z24" s="320"/>
      <c r="AA24" s="320"/>
      <c r="AB24" s="320"/>
    </row>
    <row r="25" spans="1:28" x14ac:dyDescent="0.2">
      <c r="A25" s="101"/>
      <c r="B25" s="37" t="s">
        <v>6</v>
      </c>
      <c r="C25" s="329">
        <f>C7</f>
        <v>10</v>
      </c>
      <c r="D25" s="362">
        <v>12.5</v>
      </c>
      <c r="E25" s="111">
        <f t="shared" si="2"/>
        <v>15.403875693958369</v>
      </c>
      <c r="F25" s="398"/>
      <c r="G25" s="111">
        <f t="shared" si="4"/>
        <v>12.649110640673522</v>
      </c>
      <c r="H25" s="394">
        <v>20</v>
      </c>
      <c r="I25" s="410"/>
      <c r="J25" s="372" t="s">
        <v>7</v>
      </c>
      <c r="K25" s="312">
        <f t="shared" si="3"/>
        <v>-2.6455199651044037E-2</v>
      </c>
      <c r="L25" s="95"/>
      <c r="M25" s="379" t="s">
        <v>269</v>
      </c>
      <c r="N25" s="378"/>
      <c r="O25" s="432"/>
      <c r="P25" s="73"/>
      <c r="Q25" s="73"/>
      <c r="R25" s="74"/>
      <c r="S25" s="43"/>
      <c r="T25" s="43"/>
      <c r="U25" s="43"/>
      <c r="V25" s="320"/>
      <c r="W25" s="320"/>
      <c r="X25" s="320"/>
      <c r="Y25" s="320"/>
      <c r="Z25" s="320"/>
      <c r="AA25" s="320"/>
      <c r="AB25" s="320"/>
    </row>
    <row r="26" spans="1:28" ht="16" thickBot="1" x14ac:dyDescent="0.25">
      <c r="A26" s="101"/>
      <c r="B26" s="6" t="s">
        <v>8</v>
      </c>
      <c r="C26" s="330">
        <f>C8</f>
        <v>70</v>
      </c>
      <c r="D26" s="363">
        <v>65</v>
      </c>
      <c r="E26" s="112">
        <f t="shared" si="2"/>
        <v>68.232452074656223</v>
      </c>
      <c r="F26" s="409"/>
      <c r="G26" s="112">
        <f t="shared" si="4"/>
        <v>73.928239634016805</v>
      </c>
      <c r="H26" s="395">
        <v>72.5</v>
      </c>
      <c r="I26" s="411"/>
      <c r="J26" s="373" t="s">
        <v>9</v>
      </c>
      <c r="K26" s="313">
        <f t="shared" si="3"/>
        <v>-6.0850665841436502E-3</v>
      </c>
      <c r="L26" s="309"/>
      <c r="M26" s="379" t="s">
        <v>269</v>
      </c>
      <c r="N26" s="378"/>
      <c r="O26" s="432"/>
      <c r="P26" s="73"/>
      <c r="Q26" s="73"/>
      <c r="R26" s="74"/>
      <c r="S26" s="43"/>
      <c r="T26" s="43"/>
      <c r="U26" s="43"/>
      <c r="V26" s="320"/>
      <c r="W26" s="320"/>
      <c r="X26" s="320"/>
      <c r="Y26" s="320"/>
      <c r="Z26" s="320"/>
      <c r="AA26" s="320"/>
      <c r="AB26" s="320"/>
    </row>
    <row r="27" spans="1:28" ht="16" thickBot="1" x14ac:dyDescent="0.25">
      <c r="A27" s="101"/>
      <c r="B27" s="101"/>
      <c r="C27" s="213"/>
      <c r="D27" s="372"/>
      <c r="E27" s="320"/>
      <c r="F27" s="372"/>
      <c r="G27" s="320"/>
      <c r="H27" s="372"/>
      <c r="I27" s="372"/>
      <c r="J27" s="372"/>
      <c r="K27" s="312"/>
      <c r="L27" s="95"/>
      <c r="M27" s="379"/>
      <c r="N27" s="378"/>
      <c r="O27" s="378"/>
      <c r="P27" s="43"/>
      <c r="Q27" s="43"/>
      <c r="R27" s="43"/>
      <c r="S27" s="43"/>
      <c r="T27" s="43"/>
      <c r="U27" s="43"/>
      <c r="V27" s="320"/>
      <c r="W27" s="320"/>
      <c r="X27" s="320"/>
      <c r="Y27" s="320"/>
      <c r="Z27" s="320"/>
      <c r="AA27" s="320"/>
      <c r="AB27" s="320"/>
    </row>
    <row r="28" spans="1:28" x14ac:dyDescent="0.2">
      <c r="A28" s="65" t="s">
        <v>56</v>
      </c>
      <c r="B28" s="38"/>
      <c r="C28" s="49">
        <v>2016</v>
      </c>
      <c r="D28" s="360">
        <v>2014</v>
      </c>
      <c r="E28" s="367">
        <v>2020</v>
      </c>
      <c r="F28" s="374">
        <v>2023</v>
      </c>
      <c r="G28" s="367">
        <v>2025</v>
      </c>
      <c r="H28" s="374">
        <v>2030</v>
      </c>
      <c r="I28" s="360">
        <v>2033</v>
      </c>
      <c r="J28" s="360" t="s">
        <v>1</v>
      </c>
      <c r="K28" s="314"/>
      <c r="L28" s="310"/>
      <c r="M28" s="379"/>
      <c r="N28" s="378"/>
      <c r="O28" s="430"/>
      <c r="P28" s="50"/>
      <c r="Q28" s="50"/>
      <c r="R28" s="50"/>
      <c r="S28" s="50"/>
      <c r="T28" s="43"/>
      <c r="U28" s="43"/>
      <c r="V28" s="320"/>
      <c r="W28" s="320"/>
      <c r="X28" s="320"/>
      <c r="Y28" s="320"/>
      <c r="Z28" s="320"/>
      <c r="AA28" s="320"/>
      <c r="AB28" s="320"/>
    </row>
    <row r="29" spans="1:28" x14ac:dyDescent="0.2">
      <c r="A29" s="101"/>
      <c r="B29" s="37" t="s">
        <v>2</v>
      </c>
      <c r="C29" s="339">
        <f>C4/'Overview 2016 (in)'!$O$7</f>
        <v>857.14285714285711</v>
      </c>
      <c r="D29" s="417">
        <v>900</v>
      </c>
      <c r="E29" s="172">
        <f>$D29*(1-$K29)^(E$28-$D$28)</f>
        <v>608.22019955733992</v>
      </c>
      <c r="F29" s="418">
        <v>500</v>
      </c>
      <c r="G29" s="172">
        <f>$F29*(1-$L29)^(G$28-$F$28)</f>
        <v>458.7252813052491</v>
      </c>
      <c r="H29" s="421">
        <f>$F29*(1-$L29)^(H$28-$F$28)</f>
        <v>369.83614535436772</v>
      </c>
      <c r="I29" s="418">
        <v>325</v>
      </c>
      <c r="J29" s="372" t="s">
        <v>247</v>
      </c>
      <c r="K29" s="312">
        <f>1-(F29/D29)^(1/(F$21-D$28))</f>
        <v>6.3222635376623759E-2</v>
      </c>
      <c r="L29" s="95">
        <f>1-(I29/F29)^(1/(I$21-F$21))</f>
        <v>4.216360342149339E-2</v>
      </c>
      <c r="M29" s="379" t="s">
        <v>238</v>
      </c>
      <c r="N29" s="378"/>
      <c r="O29" s="431"/>
      <c r="P29" s="72"/>
      <c r="Q29" s="72"/>
      <c r="R29" s="72"/>
      <c r="S29" s="43"/>
      <c r="T29" s="43"/>
      <c r="U29" s="43"/>
      <c r="V29" s="320"/>
      <c r="W29" s="320"/>
      <c r="X29" s="320"/>
      <c r="Y29" s="320"/>
      <c r="Z29" s="320"/>
      <c r="AA29" s="320"/>
      <c r="AB29" s="320"/>
    </row>
    <row r="30" spans="1:28" x14ac:dyDescent="0.2">
      <c r="A30" s="101"/>
      <c r="B30" s="40" t="s">
        <v>3</v>
      </c>
      <c r="C30" s="339">
        <f>C5/'Overview 2016 (in)'!$O$7</f>
        <v>0</v>
      </c>
      <c r="D30" s="417">
        <v>160</v>
      </c>
      <c r="E30" s="172">
        <f>$D30*(1-$K30)^(E$28-$D$28)</f>
        <v>109.02723556992838</v>
      </c>
      <c r="F30" s="427">
        <v>90</v>
      </c>
      <c r="G30" s="172">
        <f>$F30*(1-$L30)^(G$28-$F$28)</f>
        <v>76.52547003754745</v>
      </c>
      <c r="H30" s="421">
        <f>$F30*(1-$L30)^(H$28-$F$28)</f>
        <v>51.016980025031621</v>
      </c>
      <c r="I30" s="427">
        <v>40</v>
      </c>
      <c r="J30" s="372" t="s">
        <v>270</v>
      </c>
      <c r="K30" s="312">
        <f>1-(F30/D30)^(1/(F$21-D$28))</f>
        <v>6.1928727543806406E-2</v>
      </c>
      <c r="L30" s="95">
        <f>1-(I30/F30)^(1/(I$21-F$21))</f>
        <v>7.7892088518272229E-2</v>
      </c>
      <c r="M30" s="379" t="s">
        <v>238</v>
      </c>
      <c r="N30" s="378"/>
      <c r="O30" s="431"/>
      <c r="P30" s="72"/>
      <c r="Q30" s="72"/>
      <c r="R30" s="72"/>
      <c r="S30" s="43"/>
      <c r="T30" s="43"/>
      <c r="U30" s="43"/>
      <c r="V30" s="320"/>
      <c r="W30" s="320"/>
      <c r="X30" s="320"/>
      <c r="Y30" s="320"/>
      <c r="Z30" s="320"/>
      <c r="AA30" s="320"/>
      <c r="AB30" s="320"/>
    </row>
    <row r="31" spans="1:28" x14ac:dyDescent="0.2">
      <c r="A31" s="101"/>
      <c r="B31" s="37" t="s">
        <v>4</v>
      </c>
      <c r="C31" s="329">
        <f t="shared" ref="C31:C33" si="5">C6</f>
        <v>10000</v>
      </c>
      <c r="D31" s="362"/>
      <c r="E31" s="124"/>
      <c r="F31" s="398"/>
      <c r="G31" s="124"/>
      <c r="H31" s="396"/>
      <c r="I31" s="399"/>
      <c r="J31" s="372" t="s">
        <v>5</v>
      </c>
      <c r="K31" s="312"/>
      <c r="L31" s="95"/>
      <c r="M31" s="379"/>
      <c r="N31" s="378"/>
      <c r="O31" s="432"/>
      <c r="P31" s="73"/>
      <c r="Q31" s="73"/>
      <c r="R31" s="74"/>
      <c r="S31" s="43"/>
      <c r="T31" s="43"/>
      <c r="U31" s="43"/>
      <c r="V31" s="320"/>
      <c r="W31" s="320"/>
      <c r="X31" s="320"/>
      <c r="Y31" s="320"/>
      <c r="Z31" s="320"/>
      <c r="AA31" s="320"/>
      <c r="AB31" s="320"/>
    </row>
    <row r="32" spans="1:28" x14ac:dyDescent="0.2">
      <c r="A32" s="101"/>
      <c r="B32" s="37" t="s">
        <v>6</v>
      </c>
      <c r="C32" s="329">
        <f t="shared" si="5"/>
        <v>10</v>
      </c>
      <c r="D32" s="362"/>
      <c r="E32" s="124"/>
      <c r="F32" s="398"/>
      <c r="G32" s="124"/>
      <c r="H32" s="396"/>
      <c r="I32" s="399"/>
      <c r="J32" s="372" t="s">
        <v>7</v>
      </c>
      <c r="K32" s="312"/>
      <c r="L32" s="95"/>
      <c r="M32" s="379"/>
      <c r="N32" s="378"/>
      <c r="O32" s="432"/>
      <c r="P32" s="73"/>
      <c r="Q32" s="73"/>
      <c r="R32" s="74"/>
      <c r="S32" s="43"/>
      <c r="T32" s="43"/>
      <c r="U32" s="43"/>
      <c r="V32" s="320"/>
      <c r="W32" s="320"/>
      <c r="X32" s="320"/>
      <c r="Y32" s="320"/>
      <c r="Z32" s="320"/>
      <c r="AA32" s="320"/>
      <c r="AB32" s="320"/>
    </row>
    <row r="33" spans="1:28" ht="16" thickBot="1" x14ac:dyDescent="0.25">
      <c r="A33" s="101"/>
      <c r="B33" s="6" t="s">
        <v>8</v>
      </c>
      <c r="C33" s="330">
        <f t="shared" si="5"/>
        <v>70</v>
      </c>
      <c r="D33" s="435">
        <v>65</v>
      </c>
      <c r="E33" s="112">
        <f>$D33*(1-$K33)^(E$28-$D$28)</f>
        <v>65</v>
      </c>
      <c r="F33" s="387">
        <v>65</v>
      </c>
      <c r="G33" s="112">
        <f>$F33*(1-$L33)^(G$28-$F$28)</f>
        <v>65</v>
      </c>
      <c r="H33" s="112">
        <f>$F33*(1-$L33)^(H$28-$F$28)</f>
        <v>65</v>
      </c>
      <c r="I33" s="363">
        <v>65</v>
      </c>
      <c r="J33" s="373" t="s">
        <v>9</v>
      </c>
      <c r="K33" s="313">
        <f>1-(F33/D33)^(1/(F$21-D$28))</f>
        <v>0</v>
      </c>
      <c r="L33" s="309">
        <f>1-(I33/F33)^(1/(I$21-F$21))</f>
        <v>0</v>
      </c>
      <c r="M33" s="379" t="s">
        <v>238</v>
      </c>
      <c r="N33" s="378"/>
      <c r="O33" s="432"/>
      <c r="P33" s="73"/>
      <c r="Q33" s="73"/>
      <c r="R33" s="74"/>
      <c r="S33" s="43"/>
      <c r="T33" s="43"/>
      <c r="U33" s="43"/>
      <c r="V33" s="320"/>
      <c r="W33" s="320"/>
      <c r="X33" s="320"/>
      <c r="Y33" s="320"/>
      <c r="Z33" s="320"/>
      <c r="AA33" s="320"/>
      <c r="AB33" s="320"/>
    </row>
    <row r="34" spans="1:28" ht="16" thickBot="1" x14ac:dyDescent="0.25">
      <c r="A34" s="101"/>
      <c r="B34" s="101"/>
      <c r="C34" s="213"/>
      <c r="D34" s="372"/>
      <c r="E34" s="320"/>
      <c r="F34" s="372"/>
      <c r="G34" s="320"/>
      <c r="H34" s="372"/>
      <c r="I34" s="372"/>
      <c r="J34" s="372"/>
      <c r="K34" s="312"/>
      <c r="L34" s="95"/>
      <c r="M34" s="379"/>
      <c r="N34" s="378"/>
      <c r="O34" s="378"/>
      <c r="P34" s="43"/>
      <c r="Q34" s="43"/>
      <c r="R34" s="43"/>
      <c r="S34" s="43"/>
      <c r="T34" s="43"/>
      <c r="U34" s="43"/>
      <c r="V34" s="320"/>
      <c r="W34" s="320"/>
      <c r="X34" s="320"/>
      <c r="Y34" s="320"/>
      <c r="Z34" s="320"/>
      <c r="AA34" s="320"/>
      <c r="AB34" s="320"/>
    </row>
    <row r="35" spans="1:28" x14ac:dyDescent="0.2">
      <c r="A35" s="65" t="s">
        <v>48</v>
      </c>
      <c r="B35" s="38"/>
      <c r="C35" s="49">
        <v>2016</v>
      </c>
      <c r="D35" s="374"/>
      <c r="E35" s="367"/>
      <c r="F35" s="374"/>
      <c r="G35" s="367"/>
      <c r="H35" s="374"/>
      <c r="I35" s="374"/>
      <c r="J35" s="374"/>
      <c r="K35" s="314"/>
      <c r="L35" s="310"/>
      <c r="M35" s="379"/>
      <c r="N35" s="378"/>
      <c r="O35" s="378"/>
      <c r="P35" s="43"/>
      <c r="Q35" s="43"/>
      <c r="R35" s="43"/>
      <c r="S35" s="43"/>
      <c r="T35" s="43"/>
      <c r="U35" s="43"/>
      <c r="V35" s="320"/>
      <c r="W35" s="320"/>
      <c r="X35" s="320"/>
      <c r="Y35" s="320"/>
      <c r="Z35" s="320"/>
      <c r="AA35" s="320"/>
      <c r="AB35" s="320"/>
    </row>
    <row r="36" spans="1:28" x14ac:dyDescent="0.2">
      <c r="A36" s="101"/>
      <c r="B36" s="37" t="s">
        <v>2</v>
      </c>
      <c r="C36" s="339">
        <f>C4/'Overview 2016 (in)'!$O$7</f>
        <v>857.14285714285711</v>
      </c>
      <c r="D36" s="418"/>
      <c r="E36" s="173"/>
      <c r="F36" s="418"/>
      <c r="G36" s="173"/>
      <c r="H36" s="423"/>
      <c r="I36" s="418"/>
      <c r="J36" s="109"/>
      <c r="K36" s="312"/>
      <c r="L36" s="95"/>
      <c r="M36" s="379"/>
      <c r="N36" s="379"/>
      <c r="O36" s="378"/>
      <c r="P36" s="43"/>
      <c r="Q36" s="43"/>
      <c r="R36" s="43"/>
      <c r="S36" s="43"/>
      <c r="T36" s="43"/>
      <c r="U36" s="43"/>
      <c r="V36" s="320"/>
      <c r="W36" s="320"/>
      <c r="X36" s="320"/>
      <c r="Y36" s="320"/>
      <c r="Z36" s="320"/>
      <c r="AA36" s="320"/>
      <c r="AB36" s="320"/>
    </row>
    <row r="37" spans="1:28" x14ac:dyDescent="0.2">
      <c r="A37" s="101"/>
      <c r="B37" s="40" t="s">
        <v>3</v>
      </c>
      <c r="C37" s="339">
        <f>C5/'Overview 2016 (in)'!$O$7</f>
        <v>0</v>
      </c>
      <c r="D37" s="418"/>
      <c r="E37" s="184"/>
      <c r="F37" s="427"/>
      <c r="G37" s="184"/>
      <c r="H37" s="389"/>
      <c r="I37" s="427"/>
      <c r="J37" s="109"/>
      <c r="K37" s="312"/>
      <c r="L37" s="95"/>
      <c r="M37" s="379"/>
      <c r="N37" s="379"/>
      <c r="O37" s="379"/>
      <c r="P37" s="320"/>
      <c r="Q37" s="320"/>
      <c r="R37" s="320"/>
      <c r="S37" s="320"/>
      <c r="T37" s="320"/>
      <c r="U37" s="320"/>
      <c r="V37" s="320"/>
      <c r="W37" s="320"/>
      <c r="X37" s="320"/>
      <c r="Y37" s="320"/>
      <c r="Z37" s="320"/>
      <c r="AA37" s="320"/>
      <c r="AB37" s="320"/>
    </row>
    <row r="38" spans="1:28" x14ac:dyDescent="0.2">
      <c r="A38" s="101"/>
      <c r="B38" s="37" t="s">
        <v>4</v>
      </c>
      <c r="C38" s="329">
        <f>C6</f>
        <v>10000</v>
      </c>
      <c r="D38" s="403"/>
      <c r="E38" s="118"/>
      <c r="F38" s="386"/>
      <c r="G38" s="118"/>
      <c r="H38" s="380"/>
      <c r="I38" s="403"/>
      <c r="J38" s="109"/>
      <c r="K38" s="312"/>
      <c r="L38" s="95"/>
      <c r="M38" s="379"/>
      <c r="N38" s="379"/>
      <c r="O38" s="379"/>
      <c r="P38" s="320"/>
      <c r="Q38" s="320"/>
      <c r="R38" s="320"/>
      <c r="S38" s="320"/>
      <c r="T38" s="320"/>
      <c r="U38" s="320"/>
      <c r="V38" s="320"/>
      <c r="W38" s="320"/>
      <c r="X38" s="320"/>
      <c r="Y38" s="320"/>
      <c r="Z38" s="320"/>
      <c r="AA38" s="320"/>
      <c r="AB38" s="320"/>
    </row>
    <row r="39" spans="1:28" x14ac:dyDescent="0.2">
      <c r="A39" s="101"/>
      <c r="B39" s="37" t="s">
        <v>6</v>
      </c>
      <c r="C39" s="337">
        <f>C7</f>
        <v>10</v>
      </c>
      <c r="D39" s="386"/>
      <c r="E39" s="118"/>
      <c r="F39" s="386"/>
      <c r="G39" s="118"/>
      <c r="H39" s="380"/>
      <c r="I39" s="386"/>
      <c r="J39" s="109"/>
      <c r="K39" s="312"/>
      <c r="L39" s="95"/>
      <c r="M39" s="379"/>
      <c r="N39" s="379"/>
      <c r="O39" s="379"/>
      <c r="P39" s="320"/>
      <c r="Q39" s="320"/>
      <c r="R39" s="320"/>
      <c r="S39" s="320"/>
      <c r="T39" s="320"/>
      <c r="U39" s="320"/>
      <c r="V39" s="320"/>
      <c r="W39" s="320"/>
      <c r="X39" s="320"/>
      <c r="Y39" s="320"/>
      <c r="Z39" s="320"/>
      <c r="AA39" s="320"/>
      <c r="AB39" s="320"/>
    </row>
    <row r="40" spans="1:28" ht="16" thickBot="1" x14ac:dyDescent="0.25">
      <c r="A40" s="101"/>
      <c r="B40" s="6" t="s">
        <v>8</v>
      </c>
      <c r="C40" s="331">
        <f>C8</f>
        <v>70</v>
      </c>
      <c r="D40" s="387"/>
      <c r="E40" s="119"/>
      <c r="F40" s="387"/>
      <c r="G40" s="119"/>
      <c r="H40" s="382"/>
      <c r="I40" s="387"/>
      <c r="J40" s="428"/>
      <c r="K40" s="313"/>
      <c r="L40" s="309"/>
      <c r="M40" s="379"/>
      <c r="N40" s="379"/>
      <c r="O40" s="379"/>
      <c r="P40" s="320"/>
      <c r="Q40" s="320"/>
      <c r="R40" s="320"/>
      <c r="S40" s="320"/>
      <c r="T40" s="320"/>
      <c r="U40" s="320"/>
      <c r="V40" s="320"/>
      <c r="W40" s="320"/>
      <c r="X40" s="320"/>
      <c r="Y40" s="320"/>
      <c r="Z40" s="320"/>
      <c r="AA40" s="320"/>
      <c r="AB40" s="320"/>
    </row>
    <row r="41" spans="1:28" ht="16" thickBot="1" x14ac:dyDescent="0.25">
      <c r="A41" s="101"/>
      <c r="B41" s="40"/>
      <c r="C41" s="337"/>
      <c r="D41" s="419"/>
      <c r="E41" s="73"/>
      <c r="F41" s="132"/>
      <c r="G41" s="85"/>
      <c r="H41" s="133"/>
      <c r="I41" s="433"/>
      <c r="J41" s="429"/>
      <c r="K41" s="312"/>
      <c r="L41" s="311"/>
      <c r="M41" s="379"/>
      <c r="N41" s="379"/>
      <c r="O41" s="379"/>
      <c r="P41" s="320"/>
      <c r="Q41" s="320"/>
      <c r="R41" s="320"/>
      <c r="S41" s="320"/>
      <c r="T41" s="320"/>
      <c r="U41" s="320"/>
      <c r="V41" s="320"/>
      <c r="W41" s="320"/>
      <c r="X41" s="320"/>
      <c r="Y41" s="320"/>
      <c r="Z41" s="320"/>
      <c r="AA41" s="320"/>
      <c r="AB41" s="320"/>
    </row>
    <row r="42" spans="1:28" x14ac:dyDescent="0.2">
      <c r="A42" s="65" t="s">
        <v>51</v>
      </c>
      <c r="B42" s="38"/>
      <c r="C42" s="49">
        <v>2016</v>
      </c>
      <c r="D42" s="360">
        <v>2014</v>
      </c>
      <c r="E42" s="38">
        <v>2017</v>
      </c>
      <c r="F42" s="374">
        <v>2020</v>
      </c>
      <c r="G42" s="367">
        <v>2025</v>
      </c>
      <c r="H42" s="374">
        <v>2030</v>
      </c>
      <c r="I42" s="360">
        <v>2050</v>
      </c>
      <c r="J42" s="360" t="s">
        <v>1</v>
      </c>
      <c r="K42" s="314"/>
      <c r="L42" s="310"/>
      <c r="M42" s="379"/>
      <c r="N42" s="379"/>
      <c r="O42" s="379"/>
      <c r="P42" s="320"/>
      <c r="Q42" s="320"/>
      <c r="R42" s="320"/>
      <c r="S42" s="320"/>
      <c r="T42" s="320"/>
      <c r="U42" s="320"/>
      <c r="V42" s="320"/>
      <c r="W42" s="320"/>
      <c r="X42" s="320"/>
      <c r="Y42" s="320"/>
      <c r="Z42" s="320"/>
      <c r="AA42" s="320"/>
      <c r="AB42" s="320"/>
    </row>
    <row r="43" spans="1:28" x14ac:dyDescent="0.2">
      <c r="A43" s="182"/>
      <c r="B43" s="37" t="s">
        <v>2</v>
      </c>
      <c r="C43" s="334">
        <f>C4</f>
        <v>900</v>
      </c>
      <c r="D43" s="388">
        <v>680</v>
      </c>
      <c r="E43" s="388">
        <v>550</v>
      </c>
      <c r="F43" s="389">
        <v>350</v>
      </c>
      <c r="G43" s="125">
        <f>$F43*(1-$L43)^(G$42-$F$42)</f>
        <v>164.78220213863116</v>
      </c>
      <c r="H43" s="424">
        <f>$F43*(1-$L43)^(H$42-$F$42)</f>
        <v>77.580497547590554</v>
      </c>
      <c r="I43" s="434"/>
      <c r="J43" s="372" t="s">
        <v>22</v>
      </c>
      <c r="K43" s="312">
        <f>1-(E43/C43)^(1/(E$42-C$42))</f>
        <v>0.38888888888888884</v>
      </c>
      <c r="L43" s="95">
        <f>1-(F43/E43)^(1/(F$42-E$42))</f>
        <v>0.13986137246278185</v>
      </c>
      <c r="M43" s="379" t="s">
        <v>271</v>
      </c>
      <c r="N43" s="379"/>
      <c r="O43" s="379"/>
      <c r="P43" s="320"/>
      <c r="Q43" s="320"/>
      <c r="R43" s="320"/>
      <c r="S43" s="320"/>
      <c r="T43" s="320"/>
      <c r="U43" s="320"/>
      <c r="V43" s="320"/>
      <c r="W43" s="320"/>
      <c r="X43" s="320"/>
      <c r="Y43" s="320"/>
      <c r="Z43" s="320"/>
      <c r="AA43" s="320"/>
      <c r="AB43" s="320"/>
    </row>
    <row r="44" spans="1:28" x14ac:dyDescent="0.2">
      <c r="A44" s="182"/>
      <c r="B44" s="40" t="s">
        <v>3</v>
      </c>
      <c r="C44" s="334">
        <f>C5</f>
        <v>0</v>
      </c>
      <c r="D44" s="388"/>
      <c r="E44" s="317"/>
      <c r="F44" s="422"/>
      <c r="G44" s="162"/>
      <c r="H44" s="422"/>
      <c r="I44" s="426"/>
      <c r="J44" s="372" t="s">
        <v>23</v>
      </c>
      <c r="K44" s="312"/>
      <c r="L44" s="95"/>
      <c r="M44" s="379"/>
      <c r="N44" s="379"/>
      <c r="O44" s="379"/>
      <c r="P44" s="320"/>
      <c r="Q44" s="320"/>
      <c r="R44" s="320"/>
      <c r="S44" s="320"/>
      <c r="T44" s="320"/>
      <c r="U44" s="320"/>
      <c r="V44" s="320"/>
      <c r="W44" s="320"/>
      <c r="X44" s="320"/>
      <c r="Y44" s="320"/>
      <c r="Z44" s="320"/>
      <c r="AA44" s="320"/>
      <c r="AB44" s="320"/>
    </row>
    <row r="45" spans="1:28" x14ac:dyDescent="0.2">
      <c r="A45" s="182"/>
      <c r="B45" s="37" t="s">
        <v>4</v>
      </c>
      <c r="C45" s="334">
        <f>C6</f>
        <v>10000</v>
      </c>
      <c r="D45" s="388"/>
      <c r="E45" s="163"/>
      <c r="F45" s="396"/>
      <c r="G45" s="124"/>
      <c r="H45" s="396"/>
      <c r="I45" s="399"/>
      <c r="J45" s="372" t="s">
        <v>5</v>
      </c>
      <c r="K45" s="312"/>
      <c r="L45" s="95"/>
      <c r="M45" s="379"/>
      <c r="N45" s="379"/>
      <c r="O45" s="379"/>
      <c r="P45" s="320"/>
      <c r="Q45" s="320"/>
      <c r="R45" s="320"/>
      <c r="S45" s="320"/>
      <c r="T45" s="320"/>
      <c r="U45" s="320"/>
      <c r="V45" s="320"/>
      <c r="W45" s="320"/>
      <c r="X45" s="320"/>
      <c r="Y45" s="320"/>
      <c r="Z45" s="320"/>
      <c r="AA45" s="320"/>
      <c r="AB45" s="320"/>
    </row>
    <row r="46" spans="1:28" x14ac:dyDescent="0.2">
      <c r="A46" s="182"/>
      <c r="B46" s="37" t="s">
        <v>6</v>
      </c>
      <c r="C46" s="334">
        <f>C7</f>
        <v>10</v>
      </c>
      <c r="D46" s="388"/>
      <c r="E46" s="163"/>
      <c r="F46" s="396"/>
      <c r="G46" s="124"/>
      <c r="H46" s="396"/>
      <c r="I46" s="398"/>
      <c r="J46" s="372" t="s">
        <v>7</v>
      </c>
      <c r="K46" s="312"/>
      <c r="L46" s="95"/>
      <c r="M46" s="379"/>
      <c r="N46" s="379"/>
      <c r="O46" s="379"/>
      <c r="P46" s="320"/>
      <c r="Q46" s="320"/>
      <c r="R46" s="320"/>
      <c r="S46" s="320"/>
      <c r="T46" s="320"/>
      <c r="U46" s="320"/>
      <c r="V46" s="320"/>
      <c r="W46" s="320"/>
      <c r="X46" s="320"/>
      <c r="Y46" s="320"/>
      <c r="Z46" s="320"/>
      <c r="AA46" s="320"/>
      <c r="AB46" s="320"/>
    </row>
    <row r="47" spans="1:28" ht="16" thickBot="1" x14ac:dyDescent="0.25">
      <c r="A47" s="182"/>
      <c r="B47" s="6" t="s">
        <v>8</v>
      </c>
      <c r="C47" s="335">
        <f>C8</f>
        <v>70</v>
      </c>
      <c r="D47" s="415"/>
      <c r="E47" s="318"/>
      <c r="F47" s="130"/>
      <c r="G47" s="130"/>
      <c r="H47" s="425"/>
      <c r="I47" s="409"/>
      <c r="J47" s="7" t="s">
        <v>9</v>
      </c>
      <c r="K47" s="313"/>
      <c r="L47" s="309"/>
      <c r="M47" s="379"/>
      <c r="N47" s="379"/>
      <c r="O47" s="379"/>
      <c r="P47" s="320"/>
      <c r="Q47" s="320"/>
      <c r="R47" s="320"/>
      <c r="S47" s="320"/>
      <c r="T47" s="320"/>
      <c r="U47" s="320"/>
      <c r="V47" s="320"/>
      <c r="W47" s="320"/>
      <c r="X47" s="320"/>
      <c r="Y47" s="320"/>
      <c r="Z47" s="320"/>
      <c r="AA47" s="320"/>
      <c r="AB47" s="320"/>
    </row>
    <row r="48" spans="1:28" x14ac:dyDescent="0.2">
      <c r="D48" s="74"/>
      <c r="E48" s="74"/>
      <c r="F48" s="74"/>
      <c r="G48" s="74"/>
      <c r="H48" s="74"/>
      <c r="I48" s="43"/>
      <c r="J48" s="43"/>
      <c r="K48" s="43"/>
      <c r="L48" s="320"/>
      <c r="M48" s="379"/>
      <c r="N48" s="379"/>
      <c r="O48" s="379"/>
      <c r="P48" s="320"/>
      <c r="Q48" s="320"/>
      <c r="R48" s="320"/>
      <c r="S48" s="320"/>
      <c r="T48" s="320"/>
      <c r="U48" s="320"/>
      <c r="V48" s="320"/>
      <c r="W48" s="320"/>
      <c r="X48" s="320"/>
      <c r="Y48" s="320"/>
      <c r="Z48" s="320"/>
      <c r="AA48" s="320"/>
      <c r="AB48" s="320"/>
    </row>
    <row r="49" spans="1:28" x14ac:dyDescent="0.2">
      <c r="A49" s="43"/>
      <c r="B49" s="43"/>
      <c r="C49" s="43"/>
      <c r="D49" s="74"/>
      <c r="E49" s="74"/>
      <c r="F49" s="74"/>
      <c r="G49" s="74"/>
      <c r="H49" s="74"/>
      <c r="I49" s="43"/>
      <c r="J49" s="43"/>
      <c r="K49" s="43"/>
      <c r="L49" s="320"/>
      <c r="M49" s="320"/>
      <c r="N49" s="320"/>
      <c r="O49" s="320"/>
      <c r="P49" s="320"/>
      <c r="Q49" s="320"/>
      <c r="R49" s="320"/>
      <c r="S49" s="320"/>
      <c r="T49" s="320"/>
      <c r="U49" s="320"/>
      <c r="V49" s="320"/>
      <c r="W49" s="320"/>
      <c r="X49" s="320"/>
      <c r="Y49" s="320"/>
      <c r="Z49" s="320"/>
      <c r="AA49" s="320"/>
      <c r="AB49" s="320"/>
    </row>
    <row r="50" spans="1:28" ht="19" x14ac:dyDescent="0.25">
      <c r="A50" s="43"/>
      <c r="B50" s="144"/>
      <c r="C50" s="171"/>
      <c r="D50" s="408" t="s">
        <v>262</v>
      </c>
      <c r="E50" s="408" t="s">
        <v>263</v>
      </c>
      <c r="F50" s="408" t="s">
        <v>264</v>
      </c>
      <c r="G50" s="408" t="s">
        <v>265</v>
      </c>
      <c r="H50" s="436" t="s">
        <v>272</v>
      </c>
      <c r="I50" s="43"/>
      <c r="J50" s="43"/>
      <c r="K50" s="43"/>
      <c r="L50" s="320"/>
      <c r="M50" s="320"/>
      <c r="N50" s="320"/>
      <c r="O50" s="320"/>
      <c r="P50" s="320"/>
      <c r="Q50" s="320"/>
      <c r="R50" s="320"/>
      <c r="S50" s="320"/>
      <c r="T50" s="320"/>
      <c r="U50" s="320"/>
      <c r="V50" s="320"/>
      <c r="W50" s="320"/>
      <c r="X50" s="320"/>
      <c r="Y50" s="320"/>
      <c r="Z50" s="320"/>
      <c r="AA50" s="320"/>
      <c r="AB50" s="320"/>
    </row>
    <row r="51" spans="1:28" x14ac:dyDescent="0.2">
      <c r="A51" s="43"/>
      <c r="B51" s="50"/>
      <c r="C51" s="50"/>
      <c r="D51" s="406">
        <f>H22/D22</f>
        <v>0.27500000000000002</v>
      </c>
      <c r="E51" s="406">
        <f>H24/D24</f>
        <v>1</v>
      </c>
      <c r="F51" s="406">
        <f>H25/D25</f>
        <v>1.6</v>
      </c>
      <c r="G51" s="406">
        <f>H26/D26</f>
        <v>1.1153846153846154</v>
      </c>
      <c r="H51" s="437">
        <f>H23/D23</f>
        <v>0.64</v>
      </c>
      <c r="I51" s="43"/>
      <c r="J51" s="320"/>
      <c r="K51" s="320"/>
      <c r="L51" s="320"/>
      <c r="M51" s="320"/>
      <c r="N51" s="320"/>
      <c r="O51" s="320"/>
      <c r="P51" s="320"/>
      <c r="Q51" s="320"/>
      <c r="R51" s="320"/>
      <c r="S51" s="320"/>
      <c r="T51" s="320"/>
      <c r="U51" s="320"/>
      <c r="V51" s="320"/>
      <c r="W51" s="320"/>
      <c r="X51" s="320"/>
      <c r="Y51" s="320"/>
      <c r="Z51" s="320"/>
      <c r="AA51" s="320"/>
      <c r="AB51" s="320"/>
    </row>
    <row r="52" spans="1:28" x14ac:dyDescent="0.2">
      <c r="A52" s="43"/>
      <c r="B52" s="50"/>
      <c r="C52" s="72"/>
      <c r="D52" s="406">
        <f>H29/D29</f>
        <v>0.41092905039374189</v>
      </c>
      <c r="E52" s="406"/>
      <c r="F52" s="406"/>
      <c r="G52" s="406"/>
      <c r="H52" s="437">
        <f>H30/D30</f>
        <v>0.31885612515644762</v>
      </c>
      <c r="I52" s="43"/>
      <c r="J52" s="43"/>
      <c r="K52" s="320"/>
      <c r="L52" s="320"/>
      <c r="M52" s="320"/>
      <c r="N52" s="320"/>
      <c r="O52" s="320"/>
      <c r="P52" s="320"/>
      <c r="Q52" s="320"/>
      <c r="R52" s="320"/>
      <c r="S52" s="320"/>
      <c r="T52" s="320"/>
      <c r="U52" s="320"/>
      <c r="V52" s="320"/>
      <c r="W52" s="320"/>
      <c r="X52" s="320"/>
      <c r="Y52" s="320"/>
      <c r="Z52" s="320"/>
      <c r="AA52" s="320"/>
      <c r="AB52" s="320"/>
    </row>
    <row r="53" spans="1:28" x14ac:dyDescent="0.2">
      <c r="A53" s="43"/>
      <c r="B53" s="50"/>
      <c r="C53" s="72"/>
      <c r="D53" s="406"/>
      <c r="E53" s="406"/>
      <c r="F53" s="406"/>
      <c r="G53" s="406"/>
      <c r="H53" s="43"/>
      <c r="I53" s="43"/>
      <c r="J53" s="43"/>
      <c r="K53" s="39"/>
      <c r="L53" s="320"/>
      <c r="M53" s="320"/>
      <c r="N53" s="320"/>
      <c r="O53" s="320"/>
      <c r="P53" s="320"/>
      <c r="Q53" s="320"/>
      <c r="R53" s="320"/>
      <c r="S53" s="320"/>
      <c r="T53" s="320"/>
      <c r="U53" s="320"/>
      <c r="V53" s="320"/>
      <c r="W53" s="320"/>
      <c r="X53" s="320"/>
      <c r="Y53" s="320"/>
      <c r="Z53" s="320"/>
      <c r="AA53" s="320"/>
      <c r="AB53" s="320"/>
    </row>
    <row r="54" spans="1:28" x14ac:dyDescent="0.2">
      <c r="A54" s="43"/>
      <c r="B54" s="50"/>
      <c r="C54" s="74"/>
      <c r="D54" s="406">
        <f>H43/D43</f>
        <v>0.11408896698175082</v>
      </c>
      <c r="E54" s="406"/>
      <c r="F54" s="406"/>
      <c r="G54" s="406"/>
      <c r="H54" s="43"/>
      <c r="I54" s="43"/>
      <c r="J54" s="43"/>
      <c r="K54" s="39"/>
      <c r="L54" s="320"/>
      <c r="M54" s="320"/>
      <c r="N54" s="320"/>
      <c r="O54" s="320"/>
      <c r="P54" s="320"/>
      <c r="Q54" s="320"/>
      <c r="R54" s="320"/>
      <c r="S54" s="320"/>
      <c r="T54" s="320"/>
      <c r="U54" s="320"/>
      <c r="V54" s="320"/>
      <c r="W54" s="320"/>
      <c r="X54" s="320"/>
      <c r="Y54" s="320"/>
      <c r="Z54" s="320"/>
      <c r="AA54" s="320"/>
      <c r="AB54" s="320"/>
    </row>
    <row r="55" spans="1:28" x14ac:dyDescent="0.2">
      <c r="A55" s="43"/>
      <c r="B55" s="50"/>
      <c r="C55" s="74"/>
      <c r="D55" s="408" t="s">
        <v>261</v>
      </c>
      <c r="E55" s="408" t="s">
        <v>261</v>
      </c>
      <c r="F55" s="408" t="s">
        <v>261</v>
      </c>
      <c r="G55" s="408" t="s">
        <v>261</v>
      </c>
      <c r="H55" s="408" t="s">
        <v>261</v>
      </c>
      <c r="I55" s="43"/>
      <c r="J55" s="43"/>
      <c r="K55" s="39"/>
      <c r="L55" s="320"/>
      <c r="M55" s="320"/>
      <c r="N55" s="320"/>
      <c r="O55" s="320"/>
      <c r="P55" s="320"/>
      <c r="Q55" s="320"/>
      <c r="R55" s="320"/>
      <c r="S55" s="320"/>
      <c r="T55" s="320"/>
      <c r="U55" s="320"/>
      <c r="V55" s="320"/>
      <c r="W55" s="320"/>
      <c r="X55" s="320"/>
      <c r="Y55" s="320"/>
      <c r="Z55" s="320"/>
      <c r="AA55" s="320"/>
      <c r="AB55" s="320"/>
    </row>
    <row r="56" spans="1:28" x14ac:dyDescent="0.2">
      <c r="A56" s="43"/>
      <c r="B56" s="50"/>
      <c r="C56" s="74"/>
      <c r="D56" s="406">
        <f>AVERAGE(D51:D52)</f>
        <v>0.34296452519687093</v>
      </c>
      <c r="E56" s="406">
        <f>AVERAGE(E51:E54)</f>
        <v>1</v>
      </c>
      <c r="F56" s="406">
        <f>AVERAGE(F51:F54)</f>
        <v>1.6</v>
      </c>
      <c r="G56" s="406">
        <f>AVERAGE(G51:G54)</f>
        <v>1.1153846153846154</v>
      </c>
      <c r="H56" s="406">
        <f>AVERAGE(H51:H54)</f>
        <v>0.47942806257822379</v>
      </c>
      <c r="I56" s="43"/>
      <c r="J56" s="43"/>
      <c r="K56" s="39"/>
      <c r="L56" s="320"/>
      <c r="M56" s="320"/>
      <c r="N56" s="320"/>
      <c r="O56" s="320"/>
      <c r="P56" s="320"/>
      <c r="Q56" s="320"/>
      <c r="R56" s="320"/>
      <c r="S56" s="320"/>
      <c r="T56" s="320"/>
      <c r="U56" s="320"/>
      <c r="V56" s="320"/>
      <c r="W56" s="320"/>
      <c r="X56" s="320"/>
      <c r="Y56" s="320"/>
      <c r="Z56" s="320"/>
      <c r="AA56" s="320"/>
      <c r="AB56" s="320"/>
    </row>
    <row r="57" spans="1:28" x14ac:dyDescent="0.2">
      <c r="A57" s="43"/>
      <c r="B57" s="50"/>
      <c r="C57" s="143"/>
      <c r="D57" s="320"/>
      <c r="E57" s="320"/>
      <c r="F57" s="320"/>
      <c r="G57" s="320"/>
      <c r="H57" s="39"/>
      <c r="I57" s="39"/>
      <c r="J57" s="39"/>
      <c r="K57" s="39"/>
      <c r="L57" s="320"/>
      <c r="M57" s="320"/>
      <c r="N57" s="320"/>
      <c r="O57" s="320"/>
      <c r="P57" s="320"/>
      <c r="Q57" s="320"/>
      <c r="R57" s="320"/>
      <c r="S57" s="320"/>
      <c r="T57" s="320"/>
      <c r="U57" s="320"/>
      <c r="V57" s="320"/>
      <c r="W57" s="320"/>
      <c r="X57" s="320"/>
      <c r="Y57" s="320"/>
      <c r="Z57" s="320"/>
      <c r="AA57" s="320"/>
      <c r="AB57" s="320"/>
    </row>
    <row r="58" spans="1:28" x14ac:dyDescent="0.2">
      <c r="A58" s="43"/>
      <c r="B58" s="43"/>
      <c r="C58" s="43"/>
      <c r="D58" s="39"/>
      <c r="E58" s="39"/>
      <c r="F58" s="39"/>
      <c r="G58" s="39"/>
      <c r="H58" s="39"/>
      <c r="I58" s="39"/>
      <c r="J58" s="39"/>
      <c r="K58" s="39"/>
      <c r="L58" s="320"/>
      <c r="M58" s="320"/>
      <c r="N58" s="320"/>
      <c r="O58" s="320"/>
      <c r="P58" s="320"/>
      <c r="Q58" s="320"/>
      <c r="R58" s="320"/>
      <c r="S58" s="320"/>
      <c r="T58" s="320"/>
      <c r="U58" s="320"/>
      <c r="V58" s="320"/>
      <c r="W58" s="320"/>
      <c r="X58" s="320"/>
      <c r="Y58" s="320"/>
      <c r="Z58" s="320"/>
      <c r="AA58" s="320"/>
      <c r="AB58" s="320"/>
    </row>
    <row r="59" spans="1:28" x14ac:dyDescent="0.2">
      <c r="A59" s="43"/>
      <c r="B59" s="43"/>
      <c r="C59" s="43"/>
      <c r="D59" s="39"/>
      <c r="E59" s="39"/>
      <c r="F59" s="39"/>
      <c r="G59" s="39"/>
      <c r="H59" s="39"/>
      <c r="I59" s="39"/>
      <c r="J59" s="39"/>
      <c r="K59" s="39"/>
      <c r="L59" s="320"/>
      <c r="M59" s="320"/>
      <c r="N59" s="320"/>
      <c r="O59" s="320"/>
      <c r="P59" s="320"/>
      <c r="Q59" s="320"/>
      <c r="R59" s="320"/>
      <c r="S59" s="320"/>
      <c r="T59" s="320"/>
      <c r="U59" s="320"/>
      <c r="V59" s="320"/>
      <c r="W59" s="320"/>
      <c r="X59" s="320"/>
      <c r="Y59" s="320"/>
      <c r="Z59" s="320"/>
      <c r="AA59" s="320"/>
      <c r="AB59" s="320"/>
    </row>
  </sheetData>
  <hyperlinks>
    <hyperlink ref="E14" r:id="rId1" xr:uid="{00000000-0004-0000-2000-000000000000}"/>
    <hyperlink ref="E15" r:id="rId2" xr:uid="{00000000-0004-0000-2000-000001000000}"/>
    <hyperlink ref="E16" r:id="rId3" xr:uid="{00000000-0004-0000-2000-000002000000}"/>
    <hyperlink ref="E17" r:id="rId4" xr:uid="{00000000-0004-0000-2000-000003000000}"/>
  </hyperlinks>
  <pageMargins left="0.7" right="0.7" top="0.75" bottom="0.75" header="0.3" footer="0.3"/>
  <pageSetup paperSize="9" orientation="portrait" r:id="rId5"/>
  <drawing r:id="rId6"/>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3" tint="0.59999389629810485"/>
  </sheetPr>
  <dimension ref="B2:O19"/>
  <sheetViews>
    <sheetView zoomScale="85" zoomScaleNormal="85" workbookViewId="0"/>
  </sheetViews>
  <sheetFormatPr baseColWidth="10" defaultColWidth="11.5" defaultRowHeight="15" x14ac:dyDescent="0.2"/>
  <cols>
    <col min="1" max="1" width="11.5" style="203"/>
    <col min="2" max="2" width="27.6640625" style="203" bestFit="1" customWidth="1"/>
    <col min="3" max="5" width="11.5" style="203"/>
    <col min="6" max="6" width="11.5" style="203" customWidth="1"/>
    <col min="7" max="14" width="11.5" style="203"/>
    <col min="15" max="15" width="20.1640625" style="203" bestFit="1" customWidth="1"/>
    <col min="16" max="16384" width="11.5" style="203"/>
  </cols>
  <sheetData>
    <row r="2" spans="2:15" x14ac:dyDescent="0.2">
      <c r="C2" s="39"/>
      <c r="D2" s="39"/>
      <c r="E2" s="39"/>
      <c r="F2" s="39"/>
      <c r="G2" s="39"/>
      <c r="H2" s="39"/>
      <c r="I2" s="39"/>
      <c r="J2" s="39"/>
      <c r="K2" s="39"/>
      <c r="L2" s="39"/>
    </row>
    <row r="3" spans="2:15" x14ac:dyDescent="0.2">
      <c r="B3" s="45"/>
      <c r="C3" s="588">
        <v>2016</v>
      </c>
      <c r="D3" s="588"/>
      <c r="E3" s="588"/>
      <c r="F3" s="589">
        <v>2020</v>
      </c>
      <c r="G3" s="589"/>
      <c r="H3" s="589"/>
      <c r="I3" s="589">
        <v>2025</v>
      </c>
      <c r="J3" s="589"/>
      <c r="K3" s="589"/>
      <c r="L3" s="590">
        <v>2030</v>
      </c>
      <c r="M3" s="590"/>
      <c r="N3" s="590"/>
      <c r="O3" s="195"/>
    </row>
    <row r="4" spans="2:15" ht="20" thickBot="1" x14ac:dyDescent="0.3">
      <c r="B4" s="259" t="s">
        <v>208</v>
      </c>
      <c r="C4" s="196" t="s">
        <v>72</v>
      </c>
      <c r="D4" s="196" t="s">
        <v>73</v>
      </c>
      <c r="E4" s="196" t="s">
        <v>178</v>
      </c>
      <c r="F4" s="196" t="s">
        <v>72</v>
      </c>
      <c r="G4" s="196" t="s">
        <v>73</v>
      </c>
      <c r="H4" s="196" t="s">
        <v>178</v>
      </c>
      <c r="I4" s="196" t="s">
        <v>72</v>
      </c>
      <c r="J4" s="196" t="s">
        <v>73</v>
      </c>
      <c r="K4" s="196" t="s">
        <v>178</v>
      </c>
      <c r="L4" s="196" t="s">
        <v>72</v>
      </c>
      <c r="M4" s="196" t="s">
        <v>73</v>
      </c>
      <c r="N4" s="196" t="s">
        <v>178</v>
      </c>
      <c r="O4" s="196" t="s">
        <v>1</v>
      </c>
    </row>
    <row r="5" spans="2:15" x14ac:dyDescent="0.2">
      <c r="B5" s="51" t="s">
        <v>74</v>
      </c>
      <c r="C5" s="147">
        <f>'Overview 2016 (in)'!D70</f>
        <v>70</v>
      </c>
      <c r="D5" s="52">
        <f>'Overview 2016 (in)'!E70</f>
        <v>20</v>
      </c>
      <c r="E5" s="53">
        <f>'Overview 2016 (in)'!F70</f>
        <v>45</v>
      </c>
      <c r="F5" s="147">
        <f>IFERROR(C5*H5/E5,0)</f>
        <v>70</v>
      </c>
      <c r="G5" s="52">
        <f>IFERROR(D5*H5/E5, 0)</f>
        <v>20</v>
      </c>
      <c r="H5" s="53">
        <f>E5</f>
        <v>45</v>
      </c>
      <c r="I5" s="147">
        <f>IFERROR(F5*K5/H5,0)</f>
        <v>70</v>
      </c>
      <c r="J5" s="52">
        <f>IFERROR(G5*K5/H5, 0)</f>
        <v>20</v>
      </c>
      <c r="K5" s="53">
        <f>H5</f>
        <v>45</v>
      </c>
      <c r="L5" s="147">
        <f>IFERROR(I5*N5/K5,0)</f>
        <v>70</v>
      </c>
      <c r="M5" s="52">
        <f>IFERROR(J5*N5/K5, 0)</f>
        <v>20</v>
      </c>
      <c r="N5" s="53">
        <f>K5</f>
        <v>45</v>
      </c>
      <c r="O5" s="54" t="s">
        <v>75</v>
      </c>
    </row>
    <row r="6" spans="2:15" x14ac:dyDescent="0.2">
      <c r="B6" s="37" t="s">
        <v>76</v>
      </c>
      <c r="C6" s="148">
        <f>'Overview 2016 (in)'!D71</f>
        <v>25</v>
      </c>
      <c r="D6" s="149">
        <f>'Overview 2016 (in)'!E71</f>
        <v>0.5</v>
      </c>
      <c r="E6" s="150">
        <f>'Overview 2016 (in)'!F71</f>
        <v>10</v>
      </c>
      <c r="F6" s="148">
        <f t="shared" ref="F6:F15" si="0">IFERROR(C6*H6/E6,0)</f>
        <v>25</v>
      </c>
      <c r="G6" s="149">
        <f t="shared" ref="G6:G13" si="1">IFERROR(D6*H6/E6, 0)</f>
        <v>0.5</v>
      </c>
      <c r="H6" s="150">
        <f>E6</f>
        <v>10</v>
      </c>
      <c r="I6" s="148">
        <f t="shared" ref="I6:I15" si="2">IFERROR(F6*K6/H6,0)</f>
        <v>25</v>
      </c>
      <c r="J6" s="149">
        <f t="shared" ref="J6:J13" si="3">IFERROR(G6*K6/H6, 0)</f>
        <v>0.5</v>
      </c>
      <c r="K6" s="150">
        <f>H6</f>
        <v>10</v>
      </c>
      <c r="L6" s="148">
        <f t="shared" ref="L6:L15" si="4">IFERROR(I6*N6/K6,0)</f>
        <v>25</v>
      </c>
      <c r="M6" s="149">
        <f t="shared" ref="M6:M13" si="5">IFERROR(J6*N6/K6, 0)</f>
        <v>0.5</v>
      </c>
      <c r="N6" s="150">
        <f>K6</f>
        <v>10</v>
      </c>
      <c r="O6" s="55" t="s">
        <v>77</v>
      </c>
    </row>
    <row r="7" spans="2:15" x14ac:dyDescent="0.2">
      <c r="B7" s="51" t="s">
        <v>4</v>
      </c>
      <c r="C7" s="151">
        <f>'Overview 2016 (in)'!D72</f>
        <v>14000</v>
      </c>
      <c r="D7" s="56">
        <f>'Overview 2016 (in)'!E72</f>
        <v>300</v>
      </c>
      <c r="E7" s="197">
        <f>'Overview 2016 (in)'!F72</f>
        <v>10000</v>
      </c>
      <c r="F7" s="151">
        <f t="shared" ca="1" si="0"/>
        <v>14000</v>
      </c>
      <c r="G7" s="56">
        <f t="shared" ca="1" si="1"/>
        <v>300</v>
      </c>
      <c r="H7" s="197">
        <f ca="1">INDIRECT(ADDRESS(ROW($B6),COLUMN(D$4),1,,$B$4))</f>
        <v>10000</v>
      </c>
      <c r="I7" s="151">
        <f t="shared" ca="1" si="2"/>
        <v>14000</v>
      </c>
      <c r="J7" s="56">
        <f t="shared" ca="1" si="3"/>
        <v>300</v>
      </c>
      <c r="K7" s="197">
        <f ca="1">INDIRECT(ADDRESS(ROW($B6),COLUMN(E$4),1,,$B$4))</f>
        <v>10000</v>
      </c>
      <c r="L7" s="151">
        <f t="shared" ca="1" si="4"/>
        <v>14000</v>
      </c>
      <c r="M7" s="56">
        <f t="shared" ca="1" si="5"/>
        <v>300</v>
      </c>
      <c r="N7" s="197">
        <f ca="1">INDIRECT(ADDRESS(ROW($B6),COLUMN(F$4),1,,$B$4))</f>
        <v>10000</v>
      </c>
      <c r="O7" s="54" t="s">
        <v>5</v>
      </c>
    </row>
    <row r="8" spans="2:15" x14ac:dyDescent="0.2">
      <c r="B8" s="37" t="s">
        <v>6</v>
      </c>
      <c r="C8" s="152">
        <f>'Overview 2016 (in)'!D73</f>
        <v>20</v>
      </c>
      <c r="D8" s="153">
        <f>'Overview 2016 (in)'!E73</f>
        <v>5</v>
      </c>
      <c r="E8" s="199">
        <f>'Overview 2016 (in)'!F73</f>
        <v>10</v>
      </c>
      <c r="F8" s="152">
        <f t="shared" ca="1" si="0"/>
        <v>22.874414718712845</v>
      </c>
      <c r="G8" s="153">
        <f t="shared" ca="1" si="1"/>
        <v>5.7186036796782114</v>
      </c>
      <c r="H8" s="199">
        <f ca="1">INDIRECT(ADDRESS(ROW($B7),COLUMN(D$4),1,,$B$4))</f>
        <v>11.437207359356423</v>
      </c>
      <c r="I8" s="152">
        <f t="shared" ca="1" si="2"/>
        <v>27.055152392821785</v>
      </c>
      <c r="J8" s="153">
        <f t="shared" ca="1" si="3"/>
        <v>6.7637880982054464</v>
      </c>
      <c r="K8" s="199">
        <f ca="1">INDIRECT(ADDRESS(ROW($B7),COLUMN(E$4),1,,$B$4))</f>
        <v>13.527576196410893</v>
      </c>
      <c r="L8" s="152">
        <f t="shared" ca="1" si="4"/>
        <v>32</v>
      </c>
      <c r="M8" s="153">
        <f t="shared" ca="1" si="5"/>
        <v>8</v>
      </c>
      <c r="N8" s="199">
        <f ca="1">INDIRECT(ADDRESS(ROW($B7),COLUMN(F$4),1,,$B$4))</f>
        <v>16</v>
      </c>
      <c r="O8" s="55" t="s">
        <v>7</v>
      </c>
    </row>
    <row r="9" spans="2:15" x14ac:dyDescent="0.2">
      <c r="B9" s="51" t="s">
        <v>78</v>
      </c>
      <c r="C9" s="151">
        <f>'Overview 2016 (in)'!D74</f>
        <v>100</v>
      </c>
      <c r="D9" s="56">
        <f>'Overview 2016 (in)'!E74</f>
        <v>100</v>
      </c>
      <c r="E9" s="57">
        <f>'Overview 2016 (in)'!F74</f>
        <v>100</v>
      </c>
      <c r="F9" s="151">
        <f t="shared" si="0"/>
        <v>100</v>
      </c>
      <c r="G9" s="56">
        <f t="shared" si="1"/>
        <v>100</v>
      </c>
      <c r="H9" s="57">
        <f>E9</f>
        <v>100</v>
      </c>
      <c r="I9" s="151">
        <f t="shared" si="2"/>
        <v>100</v>
      </c>
      <c r="J9" s="56">
        <f t="shared" si="3"/>
        <v>100</v>
      </c>
      <c r="K9" s="57">
        <f>H9</f>
        <v>100</v>
      </c>
      <c r="L9" s="151">
        <f t="shared" si="4"/>
        <v>100</v>
      </c>
      <c r="M9" s="56">
        <f t="shared" si="5"/>
        <v>100</v>
      </c>
      <c r="N9" s="57">
        <f>K9</f>
        <v>100</v>
      </c>
      <c r="O9" s="54" t="s">
        <v>9</v>
      </c>
    </row>
    <row r="10" spans="2:15" x14ac:dyDescent="0.2">
      <c r="B10" s="37" t="s">
        <v>8</v>
      </c>
      <c r="C10" s="152">
        <f>'Overview 2016 (in)'!D75</f>
        <v>85</v>
      </c>
      <c r="D10" s="153">
        <f>'Overview 2016 (in)'!E75</f>
        <v>60</v>
      </c>
      <c r="E10" s="199">
        <f>'Overview 2016 (in)'!F75</f>
        <v>70</v>
      </c>
      <c r="F10" s="152">
        <f t="shared" ca="1" si="0"/>
        <v>87.693787097483465</v>
      </c>
      <c r="G10" s="153">
        <f t="shared" ca="1" si="1"/>
        <v>61.901496774694209</v>
      </c>
      <c r="H10" s="199">
        <f ca="1">INDIRECT(ADDRESS(ROW($B8),COLUMN(D$4),1,,$B$4))</f>
        <v>72.218412903809906</v>
      </c>
      <c r="I10" s="152">
        <f t="shared" ca="1" si="2"/>
        <v>91.181388366456034</v>
      </c>
      <c r="J10" s="153">
        <f t="shared" ca="1" si="3"/>
        <v>64.363332964557202</v>
      </c>
      <c r="K10" s="199">
        <f ca="1">INDIRECT(ADDRESS(ROW($B8),COLUMN(E$4),1,,$B$4))</f>
        <v>75.090555125316726</v>
      </c>
      <c r="L10" s="152">
        <f t="shared" ca="1" si="4"/>
        <v>94.807692307692321</v>
      </c>
      <c r="M10" s="153">
        <f t="shared" ca="1" si="5"/>
        <v>66.923076923076934</v>
      </c>
      <c r="N10" s="199">
        <f ca="1">INDIRECT(ADDRESS(ROW($B8),COLUMN(F$4),1,,$B$4))</f>
        <v>78.07692307692308</v>
      </c>
      <c r="O10" s="55" t="s">
        <v>9</v>
      </c>
    </row>
    <row r="11" spans="2:15" x14ac:dyDescent="0.2">
      <c r="B11" s="51" t="s">
        <v>79</v>
      </c>
      <c r="C11" s="147">
        <f>'Overview 2016 (in)'!D76</f>
        <v>8</v>
      </c>
      <c r="D11" s="52">
        <f>'Overview 2016 (in)'!E76</f>
        <v>33.6</v>
      </c>
      <c r="E11" s="53">
        <f>'Overview 2016 (in)'!F76</f>
        <v>15</v>
      </c>
      <c r="F11" s="147">
        <f t="shared" si="0"/>
        <v>8</v>
      </c>
      <c r="G11" s="52">
        <f t="shared" si="1"/>
        <v>33.6</v>
      </c>
      <c r="H11" s="53">
        <f>E11</f>
        <v>15</v>
      </c>
      <c r="I11" s="147">
        <f t="shared" si="2"/>
        <v>8</v>
      </c>
      <c r="J11" s="52">
        <f t="shared" si="3"/>
        <v>33.6</v>
      </c>
      <c r="K11" s="53">
        <f>H11</f>
        <v>15</v>
      </c>
      <c r="L11" s="147">
        <f t="shared" si="4"/>
        <v>8</v>
      </c>
      <c r="M11" s="52">
        <f t="shared" si="5"/>
        <v>33.6</v>
      </c>
      <c r="N11" s="53">
        <f>K11</f>
        <v>15</v>
      </c>
      <c r="O11" s="54" t="s">
        <v>80</v>
      </c>
    </row>
    <row r="12" spans="2:15" x14ac:dyDescent="0.2">
      <c r="B12" s="154" t="s">
        <v>81</v>
      </c>
      <c r="C12" s="148" t="str">
        <f>'Overview 2016 (in)'!D77</f>
        <v>&lt; 0.001</v>
      </c>
      <c r="D12" s="149">
        <f>'Overview 2016 (in)'!E77</f>
        <v>0.02</v>
      </c>
      <c r="E12" s="150">
        <f>'Overview 2016 (in)'!F77</f>
        <v>0.01</v>
      </c>
      <c r="F12" s="148">
        <f t="shared" si="0"/>
        <v>0</v>
      </c>
      <c r="G12" s="149">
        <f t="shared" si="1"/>
        <v>0.02</v>
      </c>
      <c r="H12" s="150">
        <f>E12</f>
        <v>0.01</v>
      </c>
      <c r="I12" s="148">
        <f t="shared" si="2"/>
        <v>0</v>
      </c>
      <c r="J12" s="149">
        <f t="shared" si="3"/>
        <v>0.02</v>
      </c>
      <c r="K12" s="150">
        <f>H12</f>
        <v>0.01</v>
      </c>
      <c r="L12" s="148">
        <f t="shared" si="4"/>
        <v>0</v>
      </c>
      <c r="M12" s="149">
        <f t="shared" si="5"/>
        <v>0.02</v>
      </c>
      <c r="N12" s="150">
        <f>K12</f>
        <v>0.01</v>
      </c>
      <c r="O12" s="155" t="s">
        <v>82</v>
      </c>
    </row>
    <row r="13" spans="2:15" x14ac:dyDescent="0.2">
      <c r="B13" s="156" t="s">
        <v>83</v>
      </c>
      <c r="C13" s="157">
        <f>'Overview 2016 (in)'!D78</f>
        <v>0</v>
      </c>
      <c r="D13" s="58">
        <f>'Overview 2016 (in)'!E78</f>
        <v>0</v>
      </c>
      <c r="E13" s="59">
        <f>'Overview 2016 (in)'!F78</f>
        <v>0</v>
      </c>
      <c r="F13" s="157">
        <f t="shared" si="0"/>
        <v>0</v>
      </c>
      <c r="G13" s="58">
        <f t="shared" si="1"/>
        <v>0</v>
      </c>
      <c r="H13" s="59">
        <f>E13</f>
        <v>0</v>
      </c>
      <c r="I13" s="157">
        <f t="shared" si="2"/>
        <v>0</v>
      </c>
      <c r="J13" s="58">
        <f t="shared" si="3"/>
        <v>0</v>
      </c>
      <c r="K13" s="59">
        <f>H13</f>
        <v>0</v>
      </c>
      <c r="L13" s="157">
        <f t="shared" si="4"/>
        <v>0</v>
      </c>
      <c r="M13" s="58">
        <f t="shared" si="5"/>
        <v>0</v>
      </c>
      <c r="N13" s="59">
        <f>K13</f>
        <v>0</v>
      </c>
      <c r="O13" s="54" t="s">
        <v>7</v>
      </c>
    </row>
    <row r="14" spans="2:15" x14ac:dyDescent="0.2">
      <c r="B14" s="154" t="s">
        <v>2</v>
      </c>
      <c r="C14" s="152">
        <f>'Overview 2016 (in)'!D79</f>
        <v>525</v>
      </c>
      <c r="D14" s="153">
        <f>'Overview 2016 (in)'!E79</f>
        <v>1680</v>
      </c>
      <c r="E14" s="198">
        <f>'Overview 2016 (in)'!F79</f>
        <v>900</v>
      </c>
      <c r="F14" s="152">
        <f t="shared" ca="1" si="0"/>
        <v>386.69927760942699</v>
      </c>
      <c r="G14" s="153">
        <f t="shared" ref="G14:G15" ca="1" si="6">IFERROR(D14*H14/E14,0)</f>
        <v>1237.4376883501664</v>
      </c>
      <c r="H14" s="198">
        <f ca="1">IF(CELL("format",INDIRECT(ADDRESS(ROW($B4),COLUMN(D$4),1,,$B$4)))="W0-",INDIRECT(ADDRESS(ROW($B4),COLUMN(D$4),1,,$B$4))*'Overview 2016 (in)'!$O$7,INDIRECT(ADDRESS(ROW($B4),COLUMN(D$4),1,,$B$4)))</f>
        <v>662.91304733044626</v>
      </c>
      <c r="I14" s="152">
        <f t="shared" ca="1" si="2"/>
        <v>263.87055618830857</v>
      </c>
      <c r="J14" s="153">
        <f t="shared" ref="J14:J15" ca="1" si="7">IFERROR(G14*K14/H14,0)</f>
        <v>844.38577980258731</v>
      </c>
      <c r="K14" s="198">
        <f ca="1">IF(CELL("format",INDIRECT(ADDRESS(ROW($B4),COLUMN(E$4),1,,$B$4)))="W0-",INDIRECT(ADDRESS(ROW($B4),COLUMN(E$4),1,,$B$4))*'Overview 2016 (in)'!$O$7,INDIRECT(ADDRESS(ROW($B4),COLUMN(E$4),1,,$B$4)))</f>
        <v>452.34952489424325</v>
      </c>
      <c r="L14" s="152">
        <f t="shared" ca="1" si="4"/>
        <v>180.05637572835727</v>
      </c>
      <c r="M14" s="153">
        <f t="shared" ref="M14:M15" ca="1" si="8">IFERROR(J14*N14/K14,0)</f>
        <v>576.18040233074316</v>
      </c>
      <c r="N14" s="198">
        <f ca="1">IF(CELL("format",INDIRECT(ADDRESS(ROW($B4),COLUMN(F$4),1,,$B$4)))="W0-",INDIRECT(ADDRESS(ROW($B4),COLUMN(F$4),1,,$B$4))*'Overview 2016 (in)'!$O$7,INDIRECT(ADDRESS(ROW($B4),COLUMN(F$4),1,,$B$4)))</f>
        <v>308.66807267718383</v>
      </c>
      <c r="O14" s="155" t="s">
        <v>22</v>
      </c>
    </row>
    <row r="15" spans="2:15" ht="16" thickBot="1" x14ac:dyDescent="0.25">
      <c r="B15" s="158" t="s">
        <v>3</v>
      </c>
      <c r="C15" s="180">
        <f>'Overview 2016 (in)'!D80</f>
        <v>0</v>
      </c>
      <c r="D15" s="180">
        <f>'Overview 2016 (in)'!E80</f>
        <v>0</v>
      </c>
      <c r="E15" s="200">
        <f>'Overview 2016 (in)'!F80</f>
        <v>0</v>
      </c>
      <c r="F15" s="180">
        <f t="shared" ca="1" si="0"/>
        <v>0</v>
      </c>
      <c r="G15" s="180">
        <f t="shared" ca="1" si="6"/>
        <v>0</v>
      </c>
      <c r="H15" s="200">
        <f ca="1">IF(CELL("format",INDIRECT(ADDRESS(ROW($B5),COLUMN(D$4),1,,$B$4)))="W0-",INDIRECT(ADDRESS(ROW($B5),COLUMN(D$4),1,,$B$4))*'Overview 2016 (in)'!$O$7,INDIRECT(ADDRESS(ROW($B5),COLUMN(D$4),1,,$B$4)))</f>
        <v>0</v>
      </c>
      <c r="I15" s="180">
        <f t="shared" ca="1" si="2"/>
        <v>0</v>
      </c>
      <c r="J15" s="180">
        <f t="shared" ca="1" si="7"/>
        <v>0</v>
      </c>
      <c r="K15" s="200">
        <f ca="1">IF(CELL("format",INDIRECT(ADDRESS(ROW($B5),COLUMN(E$4),1,,$B$4)))="W0-",INDIRECT(ADDRESS(ROW($B5),COLUMN(E$4),1,,$B$4))*'Overview 2016 (in)'!$O$7,INDIRECT(ADDRESS(ROW($B5),COLUMN(E$4),1,,$B$4)))</f>
        <v>0</v>
      </c>
      <c r="L15" s="180">
        <f t="shared" ca="1" si="4"/>
        <v>0</v>
      </c>
      <c r="M15" s="180">
        <f t="shared" ca="1" si="8"/>
        <v>0</v>
      </c>
      <c r="N15" s="200">
        <f ca="1">IF(CELL("format",INDIRECT(ADDRESS(ROW($B5),COLUMN(F$4),1,,$B$4)))="W0-",INDIRECT(ADDRESS(ROW($B5),COLUMN(F$4),1,,$B$4))*'Overview 2016 (in)'!$O$7,INDIRECT(ADDRESS(ROW($B5),COLUMN(F$4),1,,$B$4)))</f>
        <v>0</v>
      </c>
      <c r="O15" s="60" t="s">
        <v>23</v>
      </c>
    </row>
    <row r="17" spans="2:3" x14ac:dyDescent="0.2">
      <c r="C17" s="202"/>
    </row>
    <row r="18" spans="2:3" ht="19" x14ac:dyDescent="0.25">
      <c r="B18" s="201"/>
    </row>
    <row r="19" spans="2:3" x14ac:dyDescent="0.2">
      <c r="B19" s="39"/>
    </row>
  </sheetData>
  <mergeCells count="4">
    <mergeCell ref="C3:E3"/>
    <mergeCell ref="F3:H3"/>
    <mergeCell ref="I3:K3"/>
    <mergeCell ref="L3:N3"/>
  </mergeCells>
  <pageMargins left="0.7" right="0.7" top="0.78740157499999996" bottom="0.78740157499999996"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7" tint="0.39997558519241921"/>
  </sheetPr>
  <dimension ref="A2:V59"/>
  <sheetViews>
    <sheetView zoomScale="85" zoomScaleNormal="85" workbookViewId="0"/>
  </sheetViews>
  <sheetFormatPr baseColWidth="10" defaultColWidth="9.1640625" defaultRowHeight="15" x14ac:dyDescent="0.2"/>
  <cols>
    <col min="1" max="1" width="9.1640625" style="146"/>
    <col min="2" max="2" width="26.5" style="146" customWidth="1"/>
    <col min="3" max="7" width="10.6640625" style="146" customWidth="1"/>
    <col min="8" max="8" width="13.83203125" style="146" customWidth="1"/>
    <col min="9" max="9" width="20.33203125" style="146" customWidth="1"/>
    <col min="10" max="12" width="12.6640625" style="146" customWidth="1"/>
    <col min="13" max="16384" width="9.1640625" style="146"/>
  </cols>
  <sheetData>
    <row r="2" spans="1:17" ht="20" thickBot="1" x14ac:dyDescent="0.3">
      <c r="B2" s="170" t="s">
        <v>117</v>
      </c>
      <c r="C2" s="13"/>
      <c r="K2" s="41" t="s">
        <v>0</v>
      </c>
      <c r="N2" s="39"/>
      <c r="O2" s="43"/>
      <c r="P2" s="43"/>
      <c r="Q2" s="43"/>
    </row>
    <row r="3" spans="1:17" x14ac:dyDescent="0.2">
      <c r="B3" s="38"/>
      <c r="C3" s="38">
        <v>2016</v>
      </c>
      <c r="D3" s="367">
        <v>2020</v>
      </c>
      <c r="E3" s="367">
        <v>2025</v>
      </c>
      <c r="F3" s="367">
        <v>2030</v>
      </c>
      <c r="G3" s="38" t="s">
        <v>1</v>
      </c>
      <c r="H3" s="40"/>
      <c r="I3" s="38" t="s">
        <v>17</v>
      </c>
      <c r="J3" s="38" t="s">
        <v>18</v>
      </c>
      <c r="K3" s="38" t="s">
        <v>19</v>
      </c>
      <c r="L3" s="38" t="s">
        <v>20</v>
      </c>
      <c r="N3" s="407"/>
      <c r="O3" s="50"/>
      <c r="P3" s="50"/>
      <c r="Q3" s="43"/>
    </row>
    <row r="4" spans="1:17" x14ac:dyDescent="0.2">
      <c r="B4" s="37" t="s">
        <v>2</v>
      </c>
      <c r="C4" s="164"/>
      <c r="D4" s="68"/>
      <c r="E4" s="68"/>
      <c r="F4" s="164"/>
      <c r="G4" s="146" t="s">
        <v>22</v>
      </c>
      <c r="I4" s="79"/>
      <c r="J4" s="42"/>
      <c r="K4" s="42"/>
      <c r="L4" s="42"/>
      <c r="N4" s="407">
        <f>1-(F5/C5)^(1/(F$3-C$3))</f>
        <v>6.4943705965653686E-2</v>
      </c>
      <c r="O4" s="43"/>
      <c r="P4" s="43"/>
      <c r="Q4" s="43"/>
    </row>
    <row r="5" spans="1:17" x14ac:dyDescent="0.2">
      <c r="B5" s="40" t="s">
        <v>3</v>
      </c>
      <c r="C5" s="164">
        <f>'Overview 2016 (in)'!I80</f>
        <v>155.4</v>
      </c>
      <c r="D5" s="68">
        <f t="shared" ref="D5:E8" si="0">$C5*(1-$N4)^(D$3-$C$3)</f>
        <v>118.79606244817263</v>
      </c>
      <c r="E5" s="68">
        <f t="shared" si="0"/>
        <v>84.916255556905867</v>
      </c>
      <c r="F5" s="68">
        <f>C5*D57</f>
        <v>60.698732846903894</v>
      </c>
      <c r="G5" s="146" t="s">
        <v>23</v>
      </c>
      <c r="I5" s="79" t="s">
        <v>52</v>
      </c>
      <c r="J5" s="42" t="s">
        <v>53</v>
      </c>
      <c r="K5" s="42" t="s">
        <v>53</v>
      </c>
      <c r="L5" s="42" t="s">
        <v>53</v>
      </c>
      <c r="N5" s="407"/>
      <c r="O5" s="43"/>
      <c r="P5" s="43"/>
      <c r="Q5" s="43"/>
    </row>
    <row r="6" spans="1:17" x14ac:dyDescent="0.2">
      <c r="B6" s="37" t="s">
        <v>4</v>
      </c>
      <c r="C6" s="99"/>
      <c r="D6" s="73">
        <f t="shared" si="0"/>
        <v>0</v>
      </c>
      <c r="E6" s="73">
        <f t="shared" si="0"/>
        <v>0</v>
      </c>
      <c r="F6" s="99"/>
      <c r="G6" s="146" t="s">
        <v>5</v>
      </c>
      <c r="I6" s="79"/>
      <c r="J6" s="42"/>
      <c r="K6" s="42"/>
      <c r="L6" s="42"/>
      <c r="N6" s="407">
        <f t="shared" ref="N6:N7" si="1">1-(F7/C7)^(1/(F$3-C$3))</f>
        <v>-3.6907971868644252E-2</v>
      </c>
      <c r="O6" s="43"/>
      <c r="P6" s="43"/>
      <c r="Q6" s="43"/>
    </row>
    <row r="7" spans="1:17" x14ac:dyDescent="0.2">
      <c r="B7" s="37" t="s">
        <v>6</v>
      </c>
      <c r="C7" s="127">
        <f>'Overview 2016 (in)'!I73</f>
        <v>12</v>
      </c>
      <c r="D7" s="85">
        <f t="shared" si="0"/>
        <v>13.872096447633822</v>
      </c>
      <c r="E7" s="85">
        <f t="shared" si="0"/>
        <v>16.62812063566918</v>
      </c>
      <c r="F7" s="127">
        <f>C7*F57</f>
        <v>19.931695033848257</v>
      </c>
      <c r="G7" s="146" t="s">
        <v>7</v>
      </c>
      <c r="I7" s="79" t="s">
        <v>52</v>
      </c>
      <c r="J7" s="42">
        <v>1</v>
      </c>
      <c r="K7" s="42">
        <v>1</v>
      </c>
      <c r="L7" s="42">
        <v>1</v>
      </c>
      <c r="N7" s="407">
        <f t="shared" si="1"/>
        <v>0</v>
      </c>
      <c r="O7" s="43"/>
      <c r="P7" s="43"/>
      <c r="Q7" s="43"/>
    </row>
    <row r="8" spans="1:17" ht="16" thickBot="1" x14ac:dyDescent="0.25">
      <c r="B8" s="6" t="s">
        <v>8</v>
      </c>
      <c r="C8" s="78">
        <f>'Overview 2016 (in)'!I75</f>
        <v>95</v>
      </c>
      <c r="D8" s="78">
        <f t="shared" si="0"/>
        <v>95</v>
      </c>
      <c r="E8" s="78">
        <f t="shared" si="0"/>
        <v>95</v>
      </c>
      <c r="F8" s="78">
        <f t="shared" ref="F8" si="2">$C$8</f>
        <v>95</v>
      </c>
      <c r="G8" s="7" t="s">
        <v>9</v>
      </c>
      <c r="H8" s="39"/>
      <c r="I8" s="80" t="s">
        <v>52</v>
      </c>
      <c r="J8" s="83"/>
      <c r="K8" s="83"/>
      <c r="L8" s="83"/>
      <c r="N8" s="39"/>
      <c r="O8" s="43"/>
      <c r="P8" s="43"/>
      <c r="Q8" s="43"/>
    </row>
    <row r="9" spans="1:17" x14ac:dyDescent="0.2">
      <c r="B9" s="37"/>
      <c r="C9" s="44"/>
      <c r="J9" s="39"/>
      <c r="K9" s="39"/>
      <c r="L9" s="39"/>
      <c r="M9" s="39"/>
      <c r="N9" s="39"/>
      <c r="O9" s="43"/>
      <c r="P9" s="43"/>
      <c r="Q9" s="43"/>
    </row>
    <row r="10" spans="1:17" ht="16" x14ac:dyDescent="0.2">
      <c r="A10" s="42"/>
      <c r="B10" s="141"/>
      <c r="C10" s="142"/>
      <c r="D10" s="142"/>
      <c r="E10" s="43"/>
      <c r="F10" s="43"/>
      <c r="G10" s="43"/>
      <c r="H10" s="39"/>
      <c r="I10" s="39"/>
      <c r="J10" s="39"/>
      <c r="K10" s="39"/>
      <c r="L10" s="39"/>
      <c r="M10" s="39"/>
      <c r="N10" s="39"/>
    </row>
    <row r="11" spans="1:17" x14ac:dyDescent="0.2">
      <c r="A11" s="42"/>
      <c r="B11" s="43"/>
      <c r="C11" s="43"/>
      <c r="D11" s="39"/>
      <c r="E11" s="39"/>
      <c r="F11" s="39"/>
      <c r="G11" s="39"/>
      <c r="H11" s="39"/>
      <c r="J11" s="43"/>
      <c r="K11" s="2" t="s">
        <v>68</v>
      </c>
      <c r="L11" s="43"/>
      <c r="M11" s="43"/>
      <c r="N11" s="43"/>
    </row>
    <row r="12" spans="1:17" ht="20" thickBot="1" x14ac:dyDescent="0.3">
      <c r="B12" s="41" t="s">
        <v>10</v>
      </c>
      <c r="J12" s="42"/>
      <c r="K12" s="18" t="s">
        <v>69</v>
      </c>
      <c r="L12" s="42"/>
      <c r="M12" s="42"/>
      <c r="N12" s="42"/>
    </row>
    <row r="13" spans="1:17" x14ac:dyDescent="0.2">
      <c r="B13" s="98" t="s">
        <v>11</v>
      </c>
      <c r="C13" s="98" t="s">
        <v>12</v>
      </c>
      <c r="D13" s="98" t="s">
        <v>13</v>
      </c>
      <c r="E13" s="98" t="s">
        <v>225</v>
      </c>
      <c r="F13" s="100" t="s">
        <v>64</v>
      </c>
      <c r="G13" s="98"/>
      <c r="H13" s="100" t="s">
        <v>89</v>
      </c>
      <c r="J13" s="42"/>
      <c r="K13" s="93" t="s">
        <v>71</v>
      </c>
      <c r="L13" s="93"/>
      <c r="M13" s="42"/>
      <c r="N13" s="42"/>
    </row>
    <row r="14" spans="1:17" x14ac:dyDescent="0.2">
      <c r="B14" s="308">
        <v>1</v>
      </c>
      <c r="C14" s="308" t="s">
        <v>233</v>
      </c>
      <c r="D14" s="308"/>
      <c r="E14" s="303"/>
      <c r="F14" s="174" t="s">
        <v>87</v>
      </c>
      <c r="G14" s="308"/>
      <c r="H14" s="169" t="s">
        <v>88</v>
      </c>
      <c r="J14" s="42"/>
      <c r="K14" s="42"/>
      <c r="L14" s="42"/>
      <c r="M14" s="42"/>
      <c r="N14" s="42"/>
    </row>
    <row r="15" spans="1:17" x14ac:dyDescent="0.2">
      <c r="B15" s="146">
        <v>2</v>
      </c>
      <c r="C15" s="146" t="s">
        <v>58</v>
      </c>
      <c r="D15" s="146" t="s">
        <v>59</v>
      </c>
      <c r="E15" s="303" t="s">
        <v>228</v>
      </c>
      <c r="F15" s="174" t="s">
        <v>63</v>
      </c>
      <c r="H15" s="169" t="s">
        <v>88</v>
      </c>
      <c r="J15" s="42"/>
      <c r="K15" s="42"/>
      <c r="L15" s="42"/>
      <c r="M15" s="42"/>
      <c r="N15" s="42"/>
      <c r="O15" s="42"/>
    </row>
    <row r="16" spans="1:17" x14ac:dyDescent="0.2">
      <c r="B16" s="146">
        <v>3</v>
      </c>
      <c r="C16" s="146" t="s">
        <v>29</v>
      </c>
      <c r="D16" s="146" t="s">
        <v>30</v>
      </c>
      <c r="E16" s="303" t="s">
        <v>230</v>
      </c>
      <c r="F16" s="174" t="s">
        <v>65</v>
      </c>
      <c r="H16" s="169" t="s">
        <v>90</v>
      </c>
      <c r="J16" s="42"/>
      <c r="K16" s="42"/>
      <c r="L16" s="42"/>
      <c r="M16" s="42"/>
      <c r="N16" s="136"/>
      <c r="O16" s="42"/>
    </row>
    <row r="17" spans="1:22" x14ac:dyDescent="0.2">
      <c r="B17" s="146">
        <v>4</v>
      </c>
      <c r="C17" s="146" t="s">
        <v>91</v>
      </c>
      <c r="E17" s="320"/>
      <c r="F17" s="174" t="s">
        <v>92</v>
      </c>
      <c r="H17" s="169" t="s">
        <v>93</v>
      </c>
      <c r="J17" s="42"/>
      <c r="K17" s="42"/>
      <c r="L17" s="42"/>
      <c r="M17" s="42"/>
      <c r="N17" s="136"/>
      <c r="O17" s="42"/>
    </row>
    <row r="18" spans="1:22" x14ac:dyDescent="0.2">
      <c r="H18" s="39"/>
      <c r="J18" s="42"/>
      <c r="K18" s="42"/>
      <c r="L18" s="42"/>
      <c r="M18" s="42"/>
      <c r="N18" s="42"/>
      <c r="O18" s="42"/>
    </row>
    <row r="19" spans="1:22" x14ac:dyDescent="0.2">
      <c r="A19" s="304" t="s">
        <v>232</v>
      </c>
      <c r="I19" s="372"/>
      <c r="J19" s="372"/>
      <c r="L19" s="42"/>
      <c r="M19" s="42"/>
      <c r="N19" s="42"/>
      <c r="O19" s="43"/>
      <c r="P19" s="43"/>
      <c r="Q19" s="43"/>
      <c r="R19" s="43"/>
      <c r="S19" s="43"/>
      <c r="T19" s="43"/>
      <c r="U19" s="43"/>
      <c r="V19" s="43"/>
    </row>
    <row r="20" spans="1:22" ht="16" thickBot="1" x14ac:dyDescent="0.25">
      <c r="A20" s="304" t="s">
        <v>47</v>
      </c>
      <c r="B20" s="42"/>
      <c r="C20" s="332" t="s">
        <v>183</v>
      </c>
      <c r="D20" s="333" t="s">
        <v>234</v>
      </c>
      <c r="E20" s="320"/>
      <c r="F20" s="320"/>
      <c r="G20" s="320"/>
      <c r="H20" s="320"/>
      <c r="I20" s="372"/>
      <c r="J20" s="372"/>
      <c r="K20" s="320"/>
      <c r="L20" s="320"/>
      <c r="M20" s="320"/>
      <c r="N20" s="136"/>
      <c r="O20" s="43"/>
      <c r="P20" s="43"/>
      <c r="Q20" s="43"/>
      <c r="R20" s="43"/>
      <c r="S20" s="43"/>
      <c r="T20" s="43"/>
      <c r="U20" s="43"/>
      <c r="V20" s="43"/>
    </row>
    <row r="21" spans="1:22" x14ac:dyDescent="0.2">
      <c r="A21" s="65" t="s">
        <v>49</v>
      </c>
      <c r="B21" s="38"/>
      <c r="C21" s="49">
        <v>2016</v>
      </c>
      <c r="D21" s="360"/>
      <c r="E21" s="62">
        <v>2020</v>
      </c>
      <c r="F21" s="360">
        <v>2024</v>
      </c>
      <c r="G21" s="62">
        <v>2025</v>
      </c>
      <c r="H21" s="62">
        <v>2030</v>
      </c>
      <c r="I21" s="360">
        <v>2034</v>
      </c>
      <c r="J21" s="360" t="s">
        <v>1</v>
      </c>
      <c r="K21" s="48" t="s">
        <v>54</v>
      </c>
      <c r="L21" s="38" t="s">
        <v>55</v>
      </c>
      <c r="M21" s="320"/>
      <c r="N21" s="136"/>
      <c r="O21" s="50"/>
      <c r="P21" s="50"/>
      <c r="Q21" s="50"/>
      <c r="R21" s="50"/>
      <c r="S21" s="50"/>
      <c r="T21" s="43"/>
      <c r="U21" s="43"/>
      <c r="V21" s="43"/>
    </row>
    <row r="22" spans="1:22" x14ac:dyDescent="0.2">
      <c r="B22" s="37" t="s">
        <v>2</v>
      </c>
      <c r="C22" s="340"/>
      <c r="D22" s="438"/>
      <c r="E22" s="167"/>
      <c r="F22" s="438"/>
      <c r="G22" s="167"/>
      <c r="H22" s="167"/>
      <c r="I22" s="438"/>
      <c r="J22" s="372" t="s">
        <v>22</v>
      </c>
      <c r="K22" s="312"/>
      <c r="L22" s="95"/>
      <c r="M22" s="320"/>
      <c r="N22" s="136"/>
      <c r="O22" s="72"/>
      <c r="P22" s="72"/>
      <c r="Q22" s="72"/>
      <c r="R22" s="72"/>
      <c r="S22" s="43"/>
      <c r="T22" s="43"/>
      <c r="U22" s="43"/>
      <c r="V22" s="43"/>
    </row>
    <row r="23" spans="1:22" x14ac:dyDescent="0.2">
      <c r="B23" s="40" t="s">
        <v>3</v>
      </c>
      <c r="C23" s="328">
        <f>C5/'Overview 2016 (in)'!$O$7</f>
        <v>148</v>
      </c>
      <c r="D23" s="361"/>
      <c r="E23" s="172">
        <f>$C23*(1-$K23)^(E$21-$C$21)</f>
        <v>103.94229168149027</v>
      </c>
      <c r="F23" s="361">
        <v>73</v>
      </c>
      <c r="G23" s="172">
        <f>$F23*(1-$L23)^(G$21-$F$21)</f>
        <v>69.855460492810536</v>
      </c>
      <c r="H23" s="172">
        <f>$F23*(1-$L23)^(H$21-$F$21)</f>
        <v>56.051579957830647</v>
      </c>
      <c r="I23" s="361">
        <v>47</v>
      </c>
      <c r="J23" s="372" t="s">
        <v>23</v>
      </c>
      <c r="K23" s="312">
        <f>1-(F23/C23)^(1/(F$21-C$21))</f>
        <v>8.4554186117567487E-2</v>
      </c>
      <c r="L23" s="95">
        <f>1-(I23/F23)^(1/(I$21-F$21))</f>
        <v>4.3075883660129599E-2</v>
      </c>
      <c r="M23" s="320"/>
      <c r="N23" s="136"/>
      <c r="O23" s="72"/>
      <c r="P23" s="72"/>
      <c r="Q23" s="72"/>
      <c r="R23" s="72"/>
      <c r="S23" s="43"/>
      <c r="T23" s="43"/>
      <c r="U23" s="43"/>
      <c r="V23" s="43"/>
    </row>
    <row r="24" spans="1:22" x14ac:dyDescent="0.2">
      <c r="B24" s="37" t="s">
        <v>4</v>
      </c>
      <c r="C24" s="341"/>
      <c r="D24" s="399"/>
      <c r="E24" s="124"/>
      <c r="F24" s="398"/>
      <c r="G24" s="124"/>
      <c r="H24" s="124"/>
      <c r="I24" s="410"/>
      <c r="J24" s="372" t="s">
        <v>5</v>
      </c>
      <c r="K24" s="312"/>
      <c r="L24" s="95"/>
      <c r="M24" s="320"/>
      <c r="N24" s="136"/>
      <c r="O24" s="73"/>
      <c r="P24" s="73"/>
      <c r="Q24" s="73"/>
      <c r="R24" s="74"/>
      <c r="S24" s="43"/>
      <c r="T24" s="43"/>
      <c r="U24" s="43"/>
      <c r="V24" s="43"/>
    </row>
    <row r="25" spans="1:22" x14ac:dyDescent="0.2">
      <c r="B25" s="37" t="s">
        <v>6</v>
      </c>
      <c r="C25" s="329">
        <f>C7</f>
        <v>12</v>
      </c>
      <c r="D25" s="362"/>
      <c r="E25" s="111">
        <f>$C25*(1-$K25)^(E$21-$C$21)</f>
        <v>18.000000000000011</v>
      </c>
      <c r="F25" s="386">
        <v>27</v>
      </c>
      <c r="G25" s="111">
        <f>$F25*(1-$L25)^(G$21-$F$21)</f>
        <v>27.46264642970274</v>
      </c>
      <c r="H25" s="111">
        <f>$F25*(1-$L25)^(H$21-$F$21)</f>
        <v>29.8975425507724</v>
      </c>
      <c r="I25" s="109">
        <v>32</v>
      </c>
      <c r="J25" s="372" t="s">
        <v>7</v>
      </c>
      <c r="K25" s="312">
        <f>1-(F25/C25)^(1/(F$21-C$21))</f>
        <v>-0.1066819197003217</v>
      </c>
      <c r="L25" s="95">
        <f>1-(I25/F25)^(1/(I$21-F$21))</f>
        <v>-1.7135052951953389E-2</v>
      </c>
      <c r="M25" s="320"/>
      <c r="N25" s="136"/>
      <c r="O25" s="73"/>
      <c r="P25" s="73"/>
      <c r="Q25" s="73"/>
      <c r="R25" s="74"/>
      <c r="S25" s="43"/>
      <c r="T25" s="43"/>
      <c r="U25" s="43"/>
      <c r="V25" s="43"/>
    </row>
    <row r="26" spans="1:22" ht="16" thickBot="1" x14ac:dyDescent="0.25">
      <c r="B26" s="6" t="s">
        <v>8</v>
      </c>
      <c r="C26" s="342"/>
      <c r="D26" s="439"/>
      <c r="E26" s="130"/>
      <c r="F26" s="409"/>
      <c r="G26" s="130"/>
      <c r="H26" s="130"/>
      <c r="I26" s="411"/>
      <c r="J26" s="373" t="s">
        <v>9</v>
      </c>
      <c r="K26" s="313"/>
      <c r="L26" s="309"/>
      <c r="M26" s="320"/>
      <c r="N26" s="136"/>
      <c r="O26" s="73"/>
      <c r="P26" s="73"/>
      <c r="Q26" s="73"/>
      <c r="R26" s="74"/>
      <c r="S26" s="43"/>
      <c r="T26" s="43"/>
      <c r="U26" s="43"/>
      <c r="V26" s="43"/>
    </row>
    <row r="27" spans="1:22" ht="16" thickBot="1" x14ac:dyDescent="0.25">
      <c r="C27" s="213"/>
      <c r="D27" s="372"/>
      <c r="E27" s="320"/>
      <c r="F27" s="372"/>
      <c r="G27" s="320"/>
      <c r="H27" s="320"/>
      <c r="I27" s="372"/>
      <c r="J27" s="372"/>
      <c r="K27" s="312"/>
      <c r="L27" s="95"/>
      <c r="M27" s="320"/>
      <c r="N27" s="136"/>
      <c r="O27" s="43"/>
      <c r="P27" s="43"/>
      <c r="Q27" s="43"/>
      <c r="R27" s="43"/>
      <c r="S27" s="43"/>
      <c r="T27" s="43"/>
      <c r="U27" s="43"/>
      <c r="V27" s="43"/>
    </row>
    <row r="28" spans="1:22" x14ac:dyDescent="0.2">
      <c r="A28" s="65" t="s">
        <v>56</v>
      </c>
      <c r="B28" s="38"/>
      <c r="C28" s="49">
        <v>2016</v>
      </c>
      <c r="D28" s="360">
        <v>2013</v>
      </c>
      <c r="E28" s="62">
        <v>2020</v>
      </c>
      <c r="F28" s="360">
        <v>2023</v>
      </c>
      <c r="G28" s="62">
        <v>2025</v>
      </c>
      <c r="H28" s="62">
        <v>2030</v>
      </c>
      <c r="I28" s="360">
        <v>2050</v>
      </c>
      <c r="J28" s="360" t="s">
        <v>1</v>
      </c>
      <c r="K28" s="314"/>
      <c r="L28" s="310"/>
      <c r="M28" s="320"/>
      <c r="N28" s="136"/>
      <c r="O28" s="50"/>
      <c r="P28" s="50"/>
      <c r="Q28" s="50"/>
      <c r="R28" s="50"/>
      <c r="S28" s="50"/>
      <c r="T28" s="43"/>
      <c r="U28" s="43"/>
      <c r="V28" s="43"/>
    </row>
    <row r="29" spans="1:22" x14ac:dyDescent="0.2">
      <c r="B29" s="37" t="s">
        <v>2</v>
      </c>
      <c r="C29" s="340"/>
      <c r="D29" s="438"/>
      <c r="E29" s="167"/>
      <c r="F29" s="438"/>
      <c r="G29" s="167"/>
      <c r="H29" s="167"/>
      <c r="I29" s="438"/>
      <c r="J29" s="372" t="s">
        <v>247</v>
      </c>
      <c r="K29" s="312"/>
      <c r="L29" s="95"/>
      <c r="M29" s="320"/>
      <c r="N29" s="136"/>
      <c r="O29" s="72"/>
      <c r="P29" s="72"/>
      <c r="Q29" s="72"/>
      <c r="R29" s="72"/>
      <c r="S29" s="43"/>
      <c r="T29" s="43"/>
      <c r="U29" s="43"/>
      <c r="V29" s="43"/>
    </row>
    <row r="30" spans="1:22" x14ac:dyDescent="0.2">
      <c r="B30" s="40" t="s">
        <v>3</v>
      </c>
      <c r="C30" s="328">
        <f>C5/'Overview 2016 (in)'!$O$7</f>
        <v>148</v>
      </c>
      <c r="D30" s="361">
        <v>160</v>
      </c>
      <c r="E30" s="172">
        <f>$D30*(1-$K30)^(E$28-$D$28)</f>
        <v>92.37660494695217</v>
      </c>
      <c r="F30" s="361">
        <v>73</v>
      </c>
      <c r="G30" s="172">
        <f>$F30*(1-$L30)^(G$28-$F$28)</f>
        <v>70.43023391094664</v>
      </c>
      <c r="H30" s="172">
        <f>$F30*(1-$L30)^(H$28-$F$28)</f>
        <v>64.394653012185955</v>
      </c>
      <c r="I30" s="361">
        <v>45</v>
      </c>
      <c r="J30" s="372" t="s">
        <v>248</v>
      </c>
      <c r="K30" s="312">
        <f>1-(F30/D30)^(1/(F$28-D$28))</f>
        <v>7.5471533516690448E-2</v>
      </c>
      <c r="L30" s="95">
        <f>1-(I30/F30)^(1/(I$28-F$28))</f>
        <v>1.7758825538509493E-2</v>
      </c>
      <c r="M30" s="354" t="s">
        <v>273</v>
      </c>
      <c r="N30" s="136"/>
      <c r="O30" s="72"/>
      <c r="P30" s="72"/>
      <c r="Q30" s="72"/>
      <c r="R30" s="72"/>
      <c r="S30" s="43"/>
      <c r="T30" s="43"/>
      <c r="U30" s="43"/>
      <c r="V30" s="43"/>
    </row>
    <row r="31" spans="1:22" x14ac:dyDescent="0.2">
      <c r="B31" s="37" t="s">
        <v>4</v>
      </c>
      <c r="C31" s="341"/>
      <c r="D31" s="399"/>
      <c r="E31" s="124"/>
      <c r="F31" s="398"/>
      <c r="G31" s="124"/>
      <c r="H31" s="124"/>
      <c r="I31" s="399"/>
      <c r="J31" s="372" t="s">
        <v>5</v>
      </c>
      <c r="K31" s="312"/>
      <c r="L31" s="95"/>
      <c r="M31" s="320"/>
      <c r="N31" s="136"/>
      <c r="O31" s="73"/>
      <c r="P31" s="73"/>
      <c r="Q31" s="73"/>
      <c r="R31" s="74"/>
      <c r="S31" s="43"/>
      <c r="T31" s="43"/>
      <c r="U31" s="43"/>
      <c r="V31" s="43"/>
    </row>
    <row r="32" spans="1:22" x14ac:dyDescent="0.2">
      <c r="B32" s="37" t="s">
        <v>6</v>
      </c>
      <c r="C32" s="343"/>
      <c r="D32" s="398"/>
      <c r="E32" s="124"/>
      <c r="F32" s="398"/>
      <c r="G32" s="124"/>
      <c r="H32" s="124"/>
      <c r="I32" s="398"/>
      <c r="J32" s="372" t="s">
        <v>7</v>
      </c>
      <c r="K32" s="312"/>
      <c r="L32" s="95"/>
      <c r="M32" s="320"/>
      <c r="N32" s="136"/>
      <c r="O32" s="73"/>
      <c r="P32" s="73"/>
      <c r="Q32" s="73"/>
      <c r="R32" s="74"/>
      <c r="S32" s="43"/>
      <c r="T32" s="43"/>
      <c r="U32" s="43"/>
      <c r="V32" s="43"/>
    </row>
    <row r="33" spans="1:22" ht="16" thickBot="1" x14ac:dyDescent="0.25">
      <c r="B33" s="6" t="s">
        <v>8</v>
      </c>
      <c r="C33" s="344"/>
      <c r="D33" s="409"/>
      <c r="E33" s="130"/>
      <c r="F33" s="409"/>
      <c r="G33" s="130"/>
      <c r="H33" s="130"/>
      <c r="I33" s="409"/>
      <c r="J33" s="373" t="s">
        <v>9</v>
      </c>
      <c r="K33" s="313"/>
      <c r="L33" s="309"/>
      <c r="M33" s="320"/>
      <c r="N33" s="136"/>
      <c r="O33" s="73"/>
      <c r="P33" s="73"/>
      <c r="Q33" s="73"/>
      <c r="R33" s="74"/>
      <c r="S33" s="43"/>
      <c r="T33" s="43"/>
      <c r="U33" s="43"/>
      <c r="V33" s="43"/>
    </row>
    <row r="34" spans="1:22" ht="16" thickBot="1" x14ac:dyDescent="0.25">
      <c r="C34" s="213"/>
      <c r="D34" s="372"/>
      <c r="E34" s="320"/>
      <c r="F34" s="372"/>
      <c r="G34" s="320"/>
      <c r="H34" s="320"/>
      <c r="I34" s="372"/>
      <c r="J34" s="372"/>
      <c r="K34" s="312"/>
      <c r="L34" s="95"/>
      <c r="M34" s="320"/>
      <c r="N34" s="136"/>
      <c r="O34" s="43"/>
      <c r="P34" s="43"/>
      <c r="Q34" s="43"/>
      <c r="R34" s="43"/>
      <c r="S34" s="43"/>
      <c r="T34" s="43"/>
      <c r="U34" s="43"/>
      <c r="V34" s="43"/>
    </row>
    <row r="35" spans="1:22" x14ac:dyDescent="0.2">
      <c r="A35" s="65" t="s">
        <v>48</v>
      </c>
      <c r="B35" s="357"/>
      <c r="C35" s="49">
        <v>2016</v>
      </c>
      <c r="D35" s="360">
        <v>2015</v>
      </c>
      <c r="E35" s="62">
        <v>2020</v>
      </c>
      <c r="F35" s="360">
        <v>2023</v>
      </c>
      <c r="G35" s="62">
        <v>2025</v>
      </c>
      <c r="H35" s="62">
        <v>2030</v>
      </c>
      <c r="I35" s="360">
        <v>2050</v>
      </c>
      <c r="J35" s="360" t="s">
        <v>1</v>
      </c>
      <c r="K35" s="314"/>
      <c r="L35" s="310"/>
      <c r="M35" s="320"/>
      <c r="N35" s="136"/>
      <c r="O35" s="43"/>
      <c r="P35" s="43"/>
      <c r="Q35" s="43"/>
      <c r="R35" s="43"/>
      <c r="S35" s="43"/>
      <c r="T35" s="43"/>
      <c r="U35" s="43"/>
      <c r="V35" s="43"/>
    </row>
    <row r="36" spans="1:22" x14ac:dyDescent="0.2">
      <c r="B36" s="37" t="s">
        <v>2</v>
      </c>
      <c r="C36" s="340"/>
      <c r="D36" s="438"/>
      <c r="E36" s="167"/>
      <c r="F36" s="438"/>
      <c r="G36" s="167"/>
      <c r="H36" s="167"/>
      <c r="I36" s="438"/>
      <c r="J36" s="372" t="s">
        <v>247</v>
      </c>
      <c r="K36" s="312"/>
      <c r="L36" s="95"/>
      <c r="M36" s="320"/>
      <c r="N36" s="320"/>
      <c r="O36" s="320"/>
      <c r="P36" s="320"/>
      <c r="Q36" s="320"/>
      <c r="R36" s="320"/>
      <c r="S36" s="320"/>
      <c r="T36" s="320"/>
    </row>
    <row r="37" spans="1:22" x14ac:dyDescent="0.2">
      <c r="B37" s="40" t="s">
        <v>3</v>
      </c>
      <c r="C37" s="328">
        <f>C5/'Overview 2016 (in)'!$O$7</f>
        <v>148</v>
      </c>
      <c r="D37" s="361">
        <v>125</v>
      </c>
      <c r="E37" s="441">
        <v>92.5</v>
      </c>
      <c r="F37" s="440"/>
      <c r="G37" s="441">
        <v>75</v>
      </c>
      <c r="H37" s="421">
        <f>$E37*(1-$L37)^(H$35-$E$35)</f>
        <v>60.810810810810828</v>
      </c>
      <c r="I37" s="438"/>
      <c r="J37" s="372" t="s">
        <v>248</v>
      </c>
      <c r="K37" s="312"/>
      <c r="L37" s="95">
        <f>1-(G37/E37)^(1/(G$35-E$35))</f>
        <v>4.1076623050496641E-2</v>
      </c>
      <c r="M37" s="354" t="s">
        <v>274</v>
      </c>
      <c r="N37" s="320"/>
      <c r="O37" s="320"/>
      <c r="P37" s="320"/>
      <c r="Q37" s="320"/>
      <c r="R37" s="320"/>
      <c r="S37" s="320"/>
      <c r="T37" s="320"/>
    </row>
    <row r="38" spans="1:22" x14ac:dyDescent="0.2">
      <c r="B38" s="37" t="s">
        <v>4</v>
      </c>
      <c r="C38" s="341"/>
      <c r="D38" s="399"/>
      <c r="E38" s="124"/>
      <c r="F38" s="398"/>
      <c r="G38" s="124"/>
      <c r="H38" s="124"/>
      <c r="I38" s="399"/>
      <c r="J38" s="372" t="s">
        <v>5</v>
      </c>
      <c r="K38" s="312"/>
      <c r="L38" s="95"/>
      <c r="M38" s="320"/>
      <c r="N38" s="320"/>
      <c r="O38" s="320"/>
      <c r="P38" s="320"/>
      <c r="Q38" s="320"/>
      <c r="R38" s="320"/>
      <c r="S38" s="320"/>
      <c r="T38" s="320"/>
    </row>
    <row r="39" spans="1:22" x14ac:dyDescent="0.2">
      <c r="B39" s="37" t="s">
        <v>6</v>
      </c>
      <c r="C39" s="343"/>
      <c r="D39" s="398"/>
      <c r="E39" s="124"/>
      <c r="F39" s="398"/>
      <c r="G39" s="124"/>
      <c r="H39" s="124"/>
      <c r="I39" s="398"/>
      <c r="J39" s="372" t="s">
        <v>7</v>
      </c>
      <c r="K39" s="312"/>
      <c r="L39" s="95"/>
      <c r="M39" s="320"/>
      <c r="N39" s="320"/>
      <c r="O39" s="320"/>
      <c r="P39" s="320"/>
      <c r="Q39" s="320"/>
      <c r="R39" s="320"/>
      <c r="S39" s="320"/>
      <c r="T39" s="320"/>
    </row>
    <row r="40" spans="1:22" ht="16" thickBot="1" x14ac:dyDescent="0.25">
      <c r="B40" s="6" t="s">
        <v>8</v>
      </c>
      <c r="C40" s="344"/>
      <c r="D40" s="409"/>
      <c r="E40" s="130"/>
      <c r="F40" s="90"/>
      <c r="G40" s="130"/>
      <c r="H40" s="130"/>
      <c r="I40" s="409"/>
      <c r="J40" s="373" t="s">
        <v>9</v>
      </c>
      <c r="K40" s="313"/>
      <c r="L40" s="309"/>
      <c r="M40" s="320"/>
      <c r="N40" s="320"/>
      <c r="O40" s="320"/>
      <c r="P40" s="320"/>
      <c r="Q40" s="320"/>
      <c r="R40" s="320"/>
      <c r="S40" s="320"/>
      <c r="T40" s="320"/>
    </row>
    <row r="41" spans="1:22" ht="16" thickBot="1" x14ac:dyDescent="0.25">
      <c r="B41" s="40"/>
      <c r="C41" s="337"/>
      <c r="D41" s="84"/>
      <c r="E41" s="73"/>
      <c r="F41" s="73"/>
      <c r="G41" s="85"/>
      <c r="H41" s="85"/>
      <c r="I41" s="433"/>
      <c r="J41" s="429"/>
      <c r="K41" s="312"/>
      <c r="L41" s="311"/>
      <c r="M41" s="320"/>
      <c r="N41" s="320"/>
      <c r="O41" s="320"/>
      <c r="P41" s="320"/>
      <c r="Q41" s="320"/>
      <c r="R41" s="320"/>
      <c r="S41" s="320"/>
      <c r="T41" s="320"/>
    </row>
    <row r="42" spans="1:22" x14ac:dyDescent="0.2">
      <c r="A42" s="65" t="s">
        <v>51</v>
      </c>
      <c r="B42" s="38"/>
      <c r="C42" s="49">
        <v>2016</v>
      </c>
      <c r="D42" s="38"/>
      <c r="E42" s="62">
        <v>2020</v>
      </c>
      <c r="F42" s="38">
        <v>2023</v>
      </c>
      <c r="G42" s="62">
        <v>2025</v>
      </c>
      <c r="H42" s="62">
        <v>2030</v>
      </c>
      <c r="I42" s="360">
        <v>2050</v>
      </c>
      <c r="J42" s="360" t="s">
        <v>1</v>
      </c>
      <c r="K42" s="314"/>
      <c r="L42" s="310"/>
      <c r="M42" s="320"/>
      <c r="N42" s="320"/>
      <c r="O42" s="320"/>
      <c r="P42" s="320"/>
      <c r="Q42" s="320"/>
      <c r="R42" s="320"/>
      <c r="S42" s="320"/>
      <c r="T42" s="320"/>
    </row>
    <row r="43" spans="1:22" x14ac:dyDescent="0.2">
      <c r="B43" s="37" t="s">
        <v>2</v>
      </c>
      <c r="C43" s="340"/>
      <c r="D43" s="166"/>
      <c r="E43" s="167"/>
      <c r="F43" s="166"/>
      <c r="G43" s="167"/>
      <c r="H43" s="167"/>
      <c r="I43" s="438"/>
      <c r="J43" s="372" t="s">
        <v>22</v>
      </c>
      <c r="K43" s="312"/>
      <c r="L43" s="95"/>
      <c r="M43" s="320"/>
      <c r="N43" s="320"/>
      <c r="O43" s="320"/>
      <c r="P43" s="320"/>
      <c r="Q43" s="320"/>
      <c r="R43" s="320"/>
      <c r="S43" s="320"/>
      <c r="T43" s="320"/>
    </row>
    <row r="44" spans="1:22" x14ac:dyDescent="0.2">
      <c r="B44" s="40" t="s">
        <v>3</v>
      </c>
      <c r="C44" s="328">
        <f>C5/'Overview 2016 (in)'!$O$7</f>
        <v>148</v>
      </c>
      <c r="D44" s="20"/>
      <c r="E44" s="173">
        <v>95</v>
      </c>
      <c r="F44" s="87"/>
      <c r="G44" s="173">
        <v>69</v>
      </c>
      <c r="H44" s="173">
        <v>53</v>
      </c>
      <c r="I44" s="397"/>
      <c r="J44" s="372" t="s">
        <v>23</v>
      </c>
      <c r="K44" s="312"/>
      <c r="L44" s="95"/>
      <c r="M44" s="320"/>
      <c r="N44" s="320"/>
      <c r="O44" s="320"/>
      <c r="P44" s="320"/>
      <c r="Q44" s="320"/>
      <c r="R44" s="320"/>
      <c r="S44" s="320"/>
      <c r="T44" s="320"/>
    </row>
    <row r="45" spans="1:22" x14ac:dyDescent="0.2">
      <c r="B45" s="37" t="s">
        <v>4</v>
      </c>
      <c r="C45" s="345"/>
      <c r="D45" s="87"/>
      <c r="E45" s="124"/>
      <c r="F45" s="88"/>
      <c r="G45" s="124"/>
      <c r="H45" s="124"/>
      <c r="I45" s="399"/>
      <c r="J45" s="372" t="s">
        <v>5</v>
      </c>
      <c r="K45" s="312"/>
      <c r="L45" s="95"/>
      <c r="M45" s="320"/>
      <c r="N45" s="320"/>
      <c r="O45" s="320"/>
      <c r="P45" s="320"/>
      <c r="Q45" s="320"/>
      <c r="R45" s="320"/>
      <c r="S45" s="320"/>
      <c r="T45" s="320"/>
    </row>
    <row r="46" spans="1:22" x14ac:dyDescent="0.2">
      <c r="B46" s="37" t="s">
        <v>6</v>
      </c>
      <c r="C46" s="345"/>
      <c r="D46" s="87"/>
      <c r="E46" s="124"/>
      <c r="F46" s="88"/>
      <c r="G46" s="124"/>
      <c r="H46" s="124"/>
      <c r="I46" s="398"/>
      <c r="J46" s="372" t="s">
        <v>7</v>
      </c>
      <c r="K46" s="312"/>
      <c r="L46" s="95"/>
      <c r="M46" s="320"/>
      <c r="N46" s="320"/>
      <c r="O46" s="320"/>
      <c r="P46" s="320"/>
      <c r="Q46" s="320"/>
      <c r="R46" s="320"/>
      <c r="S46" s="320"/>
      <c r="T46" s="320"/>
    </row>
    <row r="47" spans="1:22" ht="16" thickBot="1" x14ac:dyDescent="0.25">
      <c r="B47" s="6" t="s">
        <v>8</v>
      </c>
      <c r="C47" s="346"/>
      <c r="D47" s="319"/>
      <c r="E47" s="130"/>
      <c r="F47" s="90"/>
      <c r="G47" s="130"/>
      <c r="H47" s="130"/>
      <c r="I47" s="409"/>
      <c r="J47" s="373" t="s">
        <v>9</v>
      </c>
      <c r="K47" s="313"/>
      <c r="L47" s="309"/>
      <c r="M47" s="320"/>
      <c r="N47" s="320"/>
      <c r="O47" s="320"/>
      <c r="P47" s="320"/>
      <c r="Q47" s="320"/>
      <c r="R47" s="320"/>
      <c r="S47" s="320"/>
      <c r="T47" s="320"/>
    </row>
    <row r="48" spans="1:22" x14ac:dyDescent="0.2">
      <c r="D48" s="320"/>
      <c r="E48" s="320"/>
      <c r="F48" s="320"/>
      <c r="G48" s="320"/>
      <c r="H48" s="320"/>
      <c r="I48" s="372"/>
      <c r="J48" s="372"/>
      <c r="K48" s="320"/>
      <c r="L48" s="320"/>
      <c r="M48" s="320"/>
      <c r="N48" s="320"/>
      <c r="O48" s="320"/>
      <c r="P48" s="320"/>
      <c r="Q48" s="320"/>
      <c r="R48" s="320"/>
      <c r="S48" s="320"/>
      <c r="T48" s="320"/>
    </row>
    <row r="49" spans="1:20" x14ac:dyDescent="0.2">
      <c r="A49" s="43"/>
      <c r="B49" s="43"/>
      <c r="C49" s="43"/>
      <c r="D49" s="43"/>
      <c r="E49" s="43"/>
      <c r="F49" s="43"/>
      <c r="G49" s="43"/>
      <c r="H49" s="43"/>
      <c r="I49" s="136"/>
      <c r="J49" s="372"/>
      <c r="K49" s="320"/>
      <c r="L49" s="320"/>
      <c r="M49" s="320"/>
      <c r="N49" s="320"/>
      <c r="O49" s="320"/>
      <c r="P49" s="320"/>
      <c r="Q49" s="320"/>
      <c r="R49" s="320"/>
      <c r="S49" s="320"/>
      <c r="T49" s="320"/>
    </row>
    <row r="50" spans="1:20" ht="19" x14ac:dyDescent="0.25">
      <c r="A50" s="43"/>
      <c r="B50" s="144"/>
      <c r="C50" s="171"/>
      <c r="D50" s="43"/>
      <c r="E50" s="43"/>
      <c r="F50" s="43"/>
      <c r="G50" s="43"/>
      <c r="H50" s="43"/>
      <c r="I50" s="136"/>
      <c r="J50" s="372"/>
      <c r="K50" s="320"/>
      <c r="L50" s="320"/>
      <c r="M50" s="320"/>
      <c r="N50" s="320"/>
      <c r="O50" s="320"/>
      <c r="P50" s="320"/>
      <c r="Q50" s="320"/>
      <c r="R50" s="320"/>
      <c r="S50" s="320"/>
      <c r="T50" s="320"/>
    </row>
    <row r="51" spans="1:20" x14ac:dyDescent="0.2">
      <c r="A51" s="43"/>
      <c r="B51" s="50"/>
      <c r="C51" s="50"/>
      <c r="D51" s="408" t="s">
        <v>262</v>
      </c>
      <c r="E51" s="408" t="s">
        <v>263</v>
      </c>
      <c r="F51" s="408" t="s">
        <v>264</v>
      </c>
      <c r="G51" s="408" t="s">
        <v>265</v>
      </c>
      <c r="H51" s="436"/>
      <c r="I51" s="50"/>
      <c r="J51" s="320"/>
      <c r="K51" s="320"/>
      <c r="L51" s="320"/>
      <c r="M51" s="320"/>
      <c r="N51" s="320"/>
      <c r="O51" s="320"/>
      <c r="P51" s="320"/>
      <c r="Q51" s="320"/>
      <c r="R51" s="320"/>
      <c r="S51" s="320"/>
      <c r="T51" s="320"/>
    </row>
    <row r="52" spans="1:20" x14ac:dyDescent="0.2">
      <c r="A52" s="43"/>
      <c r="B52" s="50"/>
      <c r="C52" s="72"/>
      <c r="D52" s="406">
        <f>H23/C23</f>
        <v>0.37872689160696382</v>
      </c>
      <c r="E52" s="406"/>
      <c r="F52" s="406">
        <f>H25/E25</f>
        <v>1.6609745861540213</v>
      </c>
      <c r="G52" s="406"/>
      <c r="H52" s="437"/>
      <c r="I52" s="43"/>
      <c r="J52" s="320"/>
      <c r="K52" s="320"/>
      <c r="L52" s="320"/>
      <c r="M52" s="320"/>
      <c r="N52" s="320"/>
      <c r="O52" s="320"/>
      <c r="P52" s="320"/>
      <c r="Q52" s="320"/>
      <c r="R52" s="320"/>
      <c r="S52" s="320"/>
      <c r="T52" s="320"/>
    </row>
    <row r="53" spans="1:20" x14ac:dyDescent="0.2">
      <c r="A53" s="43"/>
      <c r="B53" s="50"/>
      <c r="C53" s="72"/>
      <c r="D53" s="406">
        <f>H30/D30</f>
        <v>0.4024665813261622</v>
      </c>
      <c r="E53" s="406"/>
      <c r="F53" s="406"/>
      <c r="G53" s="406"/>
      <c r="H53" s="437"/>
      <c r="I53" s="43"/>
      <c r="J53" s="320"/>
      <c r="K53" s="320"/>
      <c r="L53" s="320"/>
      <c r="M53" s="320"/>
      <c r="N53" s="320"/>
      <c r="O53" s="320"/>
      <c r="P53" s="320"/>
      <c r="Q53" s="320"/>
      <c r="R53" s="320"/>
      <c r="S53" s="320"/>
      <c r="T53" s="320"/>
    </row>
    <row r="54" spans="1:20" x14ac:dyDescent="0.2">
      <c r="A54" s="43"/>
      <c r="B54" s="50"/>
      <c r="C54" s="74"/>
      <c r="D54" s="406">
        <f>H37/D37</f>
        <v>0.48648648648648662</v>
      </c>
      <c r="E54" s="406"/>
      <c r="F54" s="406"/>
      <c r="G54" s="406"/>
      <c r="H54" s="43"/>
      <c r="I54" s="43"/>
      <c r="J54" s="320"/>
      <c r="K54" s="320"/>
      <c r="L54" s="320"/>
      <c r="M54" s="320"/>
      <c r="N54" s="320"/>
      <c r="O54" s="320"/>
      <c r="P54" s="320"/>
      <c r="Q54" s="320"/>
      <c r="R54" s="320"/>
      <c r="S54" s="320"/>
      <c r="T54" s="320"/>
    </row>
    <row r="55" spans="1:20" x14ac:dyDescent="0.2">
      <c r="A55" s="43"/>
      <c r="B55" s="50"/>
      <c r="C55" s="74"/>
      <c r="D55" s="406">
        <f>H44/C44</f>
        <v>0.35810810810810811</v>
      </c>
      <c r="E55" s="406"/>
      <c r="F55" s="406"/>
      <c r="G55" s="406"/>
      <c r="H55" s="43"/>
      <c r="I55" s="43"/>
      <c r="J55" s="320"/>
      <c r="K55" s="320"/>
      <c r="L55" s="320"/>
      <c r="M55" s="320"/>
      <c r="N55" s="320"/>
      <c r="O55" s="320"/>
      <c r="P55" s="320"/>
      <c r="Q55" s="320"/>
      <c r="R55" s="320"/>
      <c r="S55" s="320"/>
      <c r="T55" s="320"/>
    </row>
    <row r="56" spans="1:20" x14ac:dyDescent="0.2">
      <c r="A56" s="43"/>
      <c r="B56" s="50"/>
      <c r="C56" s="74"/>
      <c r="D56" s="408" t="s">
        <v>261</v>
      </c>
      <c r="E56" s="408" t="s">
        <v>261</v>
      </c>
      <c r="F56" s="408" t="s">
        <v>261</v>
      </c>
      <c r="G56" s="408" t="s">
        <v>261</v>
      </c>
      <c r="H56" s="408"/>
      <c r="I56" s="43"/>
      <c r="J56" s="308"/>
      <c r="K56" s="308"/>
      <c r="L56" s="308"/>
      <c r="M56" s="308"/>
      <c r="N56" s="308"/>
      <c r="O56" s="308"/>
      <c r="P56" s="308"/>
      <c r="Q56" s="308"/>
    </row>
    <row r="57" spans="1:20" x14ac:dyDescent="0.2">
      <c r="A57" s="43"/>
      <c r="B57" s="50"/>
      <c r="C57" s="143"/>
      <c r="D57" s="406">
        <f>AVERAGE(D52:D53)</f>
        <v>0.39059673646656301</v>
      </c>
      <c r="E57" s="406"/>
      <c r="F57" s="406">
        <f>AVERAGE(F52:F55)</f>
        <v>1.6609745861540213</v>
      </c>
      <c r="G57" s="406"/>
      <c r="H57" s="406"/>
      <c r="I57" s="43"/>
      <c r="J57" s="308"/>
      <c r="K57" s="308"/>
      <c r="L57" s="308"/>
      <c r="M57" s="308"/>
      <c r="N57" s="308"/>
      <c r="O57" s="308"/>
      <c r="P57" s="308"/>
      <c r="Q57" s="308"/>
    </row>
    <row r="58" spans="1:20" x14ac:dyDescent="0.2">
      <c r="A58" s="43"/>
      <c r="B58" s="43"/>
      <c r="C58" s="43"/>
      <c r="D58" s="43"/>
      <c r="E58" s="43"/>
      <c r="F58" s="43"/>
      <c r="G58" s="43"/>
      <c r="H58" s="43"/>
      <c r="I58" s="43"/>
      <c r="J58" s="308"/>
      <c r="K58" s="308"/>
      <c r="L58" s="308"/>
      <c r="M58" s="308"/>
      <c r="N58" s="308"/>
      <c r="O58" s="308"/>
      <c r="P58" s="308"/>
      <c r="Q58" s="308"/>
    </row>
    <row r="59" spans="1:20" x14ac:dyDescent="0.2">
      <c r="A59" s="43"/>
      <c r="B59" s="43"/>
      <c r="C59" s="43"/>
      <c r="D59" s="43"/>
      <c r="E59" s="43"/>
      <c r="F59" s="43"/>
      <c r="G59" s="43"/>
      <c r="H59" s="43"/>
      <c r="I59" s="43"/>
      <c r="J59" s="43"/>
    </row>
  </sheetData>
  <hyperlinks>
    <hyperlink ref="E15" r:id="rId1" xr:uid="{00000000-0004-0000-2200-000000000000}"/>
    <hyperlink ref="E16" r:id="rId2" xr:uid="{00000000-0004-0000-2200-000001000000}"/>
  </hyperlinks>
  <pageMargins left="0.7" right="0.7" top="0.75" bottom="0.75" header="0.3" footer="0.3"/>
  <pageSetup paperSize="9" orientation="portrait" r:id="rId3"/>
  <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7" tint="0.39997558519241921"/>
  </sheetPr>
  <dimension ref="B2:O19"/>
  <sheetViews>
    <sheetView zoomScale="85" zoomScaleNormal="85" workbookViewId="0"/>
  </sheetViews>
  <sheetFormatPr baseColWidth="10" defaultColWidth="11.5" defaultRowHeight="15" x14ac:dyDescent="0.2"/>
  <cols>
    <col min="1" max="1" width="11.5" style="192"/>
    <col min="2" max="2" width="27.6640625" style="192" bestFit="1" customWidth="1"/>
    <col min="3" max="5" width="11.5" style="192"/>
    <col min="6" max="6" width="11.5" style="192" customWidth="1"/>
    <col min="7" max="14" width="11.5" style="192"/>
    <col min="15" max="15" width="20.1640625" style="192" bestFit="1" customWidth="1"/>
    <col min="16" max="16384" width="11.5" style="192"/>
  </cols>
  <sheetData>
    <row r="2" spans="2:15" x14ac:dyDescent="0.2">
      <c r="C2" s="39"/>
      <c r="D2" s="39"/>
      <c r="E2" s="39"/>
      <c r="F2" s="39"/>
      <c r="G2" s="39"/>
      <c r="H2" s="39"/>
      <c r="I2" s="39"/>
      <c r="J2" s="39"/>
      <c r="K2" s="39"/>
      <c r="L2" s="39"/>
    </row>
    <row r="3" spans="2:15" x14ac:dyDescent="0.2">
      <c r="B3" s="45"/>
      <c r="C3" s="588">
        <v>2016</v>
      </c>
      <c r="D3" s="588"/>
      <c r="E3" s="588"/>
      <c r="F3" s="589">
        <v>2020</v>
      </c>
      <c r="G3" s="589"/>
      <c r="H3" s="589"/>
      <c r="I3" s="589">
        <v>2025</v>
      </c>
      <c r="J3" s="589"/>
      <c r="K3" s="589"/>
      <c r="L3" s="590">
        <v>2030</v>
      </c>
      <c r="M3" s="590"/>
      <c r="N3" s="590"/>
      <c r="O3" s="195"/>
    </row>
    <row r="4" spans="2:15" ht="20" thickBot="1" x14ac:dyDescent="0.3">
      <c r="B4" s="259" t="s">
        <v>209</v>
      </c>
      <c r="C4" s="196" t="s">
        <v>72</v>
      </c>
      <c r="D4" s="196" t="s">
        <v>73</v>
      </c>
      <c r="E4" s="196" t="s">
        <v>178</v>
      </c>
      <c r="F4" s="196" t="s">
        <v>72</v>
      </c>
      <c r="G4" s="196" t="s">
        <v>73</v>
      </c>
      <c r="H4" s="196" t="s">
        <v>178</v>
      </c>
      <c r="I4" s="196" t="s">
        <v>72</v>
      </c>
      <c r="J4" s="196" t="s">
        <v>73</v>
      </c>
      <c r="K4" s="196" t="s">
        <v>178</v>
      </c>
      <c r="L4" s="196" t="s">
        <v>72</v>
      </c>
      <c r="M4" s="196" t="s">
        <v>73</v>
      </c>
      <c r="N4" s="196" t="s">
        <v>178</v>
      </c>
      <c r="O4" s="196" t="s">
        <v>1</v>
      </c>
    </row>
    <row r="5" spans="2:15" x14ac:dyDescent="0.2">
      <c r="B5" s="51" t="s">
        <v>74</v>
      </c>
      <c r="C5" s="147">
        <f>'Overview 2016 (in)'!G70</f>
        <v>0</v>
      </c>
      <c r="D5" s="52">
        <f>'Overview 2016 (in)'!H70</f>
        <v>0</v>
      </c>
      <c r="E5" s="53">
        <f>'Overview 2016 (in)'!I70</f>
        <v>0</v>
      </c>
      <c r="F5" s="147">
        <f>IFERROR(C5*H5/E5,0)</f>
        <v>0</v>
      </c>
      <c r="G5" s="52">
        <f>IFERROR(D5*H5/E5, 0)</f>
        <v>0</v>
      </c>
      <c r="H5" s="53">
        <f>E5</f>
        <v>0</v>
      </c>
      <c r="I5" s="147">
        <f>IFERROR(F5*K5/H5,0)</f>
        <v>0</v>
      </c>
      <c r="J5" s="52">
        <f>IFERROR(G5*K5/H5, 0)</f>
        <v>0</v>
      </c>
      <c r="K5" s="53">
        <v>1</v>
      </c>
      <c r="L5" s="147">
        <f>IFERROR(I5*N5/K5,0)</f>
        <v>0</v>
      </c>
      <c r="M5" s="52">
        <f>IFERROR(J5*N5/K5, 0)</f>
        <v>0</v>
      </c>
      <c r="N5" s="53">
        <v>1</v>
      </c>
      <c r="O5" s="54" t="s">
        <v>75</v>
      </c>
    </row>
    <row r="6" spans="2:15" x14ac:dyDescent="0.2">
      <c r="B6" s="37" t="s">
        <v>76</v>
      </c>
      <c r="C6" s="148">
        <f>'Overview 2016 (in)'!G71</f>
        <v>0</v>
      </c>
      <c r="D6" s="149">
        <f>'Overview 2016 (in)'!H71</f>
        <v>0</v>
      </c>
      <c r="E6" s="150">
        <f>'Overview 2016 (in)'!I71</f>
        <v>0</v>
      </c>
      <c r="F6" s="148">
        <f t="shared" ref="F6:F15" si="0">IFERROR(C6*H6/E6,0)</f>
        <v>0</v>
      </c>
      <c r="G6" s="149">
        <f t="shared" ref="G6:G13" si="1">IFERROR(D6*H6/E6, 0)</f>
        <v>0</v>
      </c>
      <c r="H6" s="150">
        <f>E6</f>
        <v>0</v>
      </c>
      <c r="I6" s="148">
        <f t="shared" ref="I6:I15" si="2">IFERROR(F6*K6/H6,0)</f>
        <v>0</v>
      </c>
      <c r="J6" s="149">
        <f t="shared" ref="J6:J13" si="3">IFERROR(G6*K6/H6, 0)</f>
        <v>0</v>
      </c>
      <c r="K6" s="150">
        <v>0.15</v>
      </c>
      <c r="L6" s="148">
        <f t="shared" ref="L6:L15" si="4">IFERROR(I6*N6/K6,0)</f>
        <v>0</v>
      </c>
      <c r="M6" s="149">
        <f t="shared" ref="M6:M13" si="5">IFERROR(J6*N6/K6, 0)</f>
        <v>0</v>
      </c>
      <c r="N6" s="150">
        <v>0.15</v>
      </c>
      <c r="O6" s="55" t="s">
        <v>77</v>
      </c>
    </row>
    <row r="7" spans="2:15" x14ac:dyDescent="0.2">
      <c r="B7" s="51" t="s">
        <v>4</v>
      </c>
      <c r="C7" s="151">
        <f>'Overview 2016 (in)'!G72</f>
        <v>0</v>
      </c>
      <c r="D7" s="56">
        <f>'Overview 2016 (in)'!H72</f>
        <v>0</v>
      </c>
      <c r="E7" s="197">
        <f>'Overview 2016 (in)'!I72</f>
        <v>0</v>
      </c>
      <c r="F7" s="151">
        <f t="shared" ca="1" si="0"/>
        <v>0</v>
      </c>
      <c r="G7" s="56">
        <f t="shared" ca="1" si="1"/>
        <v>0</v>
      </c>
      <c r="H7" s="197">
        <f ca="1">INDIRECT(ADDRESS(ROW($B6),COLUMN(D$4),1,,$B$4))</f>
        <v>0</v>
      </c>
      <c r="I7" s="151">
        <f t="shared" ca="1" si="2"/>
        <v>0</v>
      </c>
      <c r="J7" s="56">
        <f t="shared" ca="1" si="3"/>
        <v>0</v>
      </c>
      <c r="K7" s="197">
        <f ca="1">INDIRECT(ADDRESS(ROW($B6),COLUMN(E$4),1,,$B$4))</f>
        <v>0</v>
      </c>
      <c r="L7" s="151">
        <f t="shared" ca="1" si="4"/>
        <v>0</v>
      </c>
      <c r="M7" s="56">
        <f t="shared" ca="1" si="5"/>
        <v>0</v>
      </c>
      <c r="N7" s="197">
        <f ca="1">INDIRECT(ADDRESS(ROW($B6),COLUMN(F$4),1,,$B$4))</f>
        <v>0</v>
      </c>
      <c r="O7" s="54" t="s">
        <v>5</v>
      </c>
    </row>
    <row r="8" spans="2:15" x14ac:dyDescent="0.2">
      <c r="B8" s="37" t="s">
        <v>6</v>
      </c>
      <c r="C8" s="152">
        <f>'Overview 2016 (in)'!G73</f>
        <v>25</v>
      </c>
      <c r="D8" s="153">
        <f>'Overview 2016 (in)'!H73</f>
        <v>10</v>
      </c>
      <c r="E8" s="199">
        <f>'Overview 2016 (in)'!I73</f>
        <v>12</v>
      </c>
      <c r="F8" s="229">
        <f ca="1">IFERROR(MIN(C8*H8/E8,25),0)</f>
        <v>25</v>
      </c>
      <c r="G8" s="153">
        <f t="shared" ca="1" si="1"/>
        <v>11.560080373028185</v>
      </c>
      <c r="H8" s="199">
        <f ca="1">INDIRECT(ADDRESS(ROW($B7),COLUMN(D$4),1,,$B$4))</f>
        <v>13.872096447633822</v>
      </c>
      <c r="I8" s="229">
        <f ca="1">IFERROR(MIN(F8*K8/H8,25),0)</f>
        <v>25</v>
      </c>
      <c r="J8" s="153">
        <f t="shared" ca="1" si="3"/>
        <v>13.856767196390983</v>
      </c>
      <c r="K8" s="199">
        <f ca="1">INDIRECT(ADDRESS(ROW($B7),COLUMN(E$4),1,,$B$4))</f>
        <v>16.62812063566918</v>
      </c>
      <c r="L8" s="229">
        <f ca="1">IFERROR(MIN(I8*N8/K8,25),0)</f>
        <v>25</v>
      </c>
      <c r="M8" s="153">
        <f t="shared" ca="1" si="5"/>
        <v>16.609745861540215</v>
      </c>
      <c r="N8" s="199">
        <f ca="1">INDIRECT(ADDRESS(ROW($B7),COLUMN(F$4),1,,$B$4))</f>
        <v>19.931695033848257</v>
      </c>
      <c r="O8" s="55" t="s">
        <v>7</v>
      </c>
    </row>
    <row r="9" spans="2:15" x14ac:dyDescent="0.2">
      <c r="B9" s="51" t="s">
        <v>78</v>
      </c>
      <c r="C9" s="151">
        <f>'Overview 2016 (in)'!G74</f>
        <v>0</v>
      </c>
      <c r="D9" s="56">
        <f>'Overview 2016 (in)'!H74</f>
        <v>0</v>
      </c>
      <c r="E9" s="57">
        <f>'Overview 2016 (in)'!I74</f>
        <v>0</v>
      </c>
      <c r="F9" s="151">
        <f t="shared" si="0"/>
        <v>0</v>
      </c>
      <c r="G9" s="56">
        <f t="shared" si="1"/>
        <v>0</v>
      </c>
      <c r="H9" s="57">
        <f>E9</f>
        <v>0</v>
      </c>
      <c r="I9" s="151">
        <f t="shared" si="2"/>
        <v>0</v>
      </c>
      <c r="J9" s="56">
        <f t="shared" si="3"/>
        <v>0</v>
      </c>
      <c r="K9" s="57">
        <v>0</v>
      </c>
      <c r="L9" s="151">
        <f t="shared" si="4"/>
        <v>0</v>
      </c>
      <c r="M9" s="56">
        <f t="shared" si="5"/>
        <v>0</v>
      </c>
      <c r="N9" s="57">
        <v>0</v>
      </c>
      <c r="O9" s="54" t="s">
        <v>9</v>
      </c>
    </row>
    <row r="10" spans="2:15" x14ac:dyDescent="0.2">
      <c r="B10" s="37" t="s">
        <v>8</v>
      </c>
      <c r="C10" s="148">
        <f>'Overview 2016 (in)'!G75</f>
        <v>97</v>
      </c>
      <c r="D10" s="149">
        <f>'Overview 2016 (in)'!H75</f>
        <v>93</v>
      </c>
      <c r="E10" s="210">
        <f>'Overview 2016 (in)'!I75</f>
        <v>95</v>
      </c>
      <c r="F10" s="148">
        <f t="shared" ca="1" si="0"/>
        <v>97</v>
      </c>
      <c r="G10" s="149">
        <f t="shared" ca="1" si="1"/>
        <v>93</v>
      </c>
      <c r="H10" s="210">
        <f ca="1">INDIRECT(ADDRESS(ROW($B8),COLUMN(D$4),1,,$B$4))</f>
        <v>95</v>
      </c>
      <c r="I10" s="148">
        <f t="shared" ca="1" si="2"/>
        <v>97</v>
      </c>
      <c r="J10" s="149">
        <f t="shared" ca="1" si="3"/>
        <v>93</v>
      </c>
      <c r="K10" s="210">
        <f ca="1">INDIRECT(ADDRESS(ROW($B8),COLUMN(E$4),1,,$B$4))</f>
        <v>95</v>
      </c>
      <c r="L10" s="148">
        <f t="shared" ca="1" si="4"/>
        <v>97</v>
      </c>
      <c r="M10" s="149">
        <f t="shared" ca="1" si="5"/>
        <v>93</v>
      </c>
      <c r="N10" s="210">
        <f ca="1">INDIRECT(ADDRESS(ROW($B8),COLUMN(F$4),1,,$B$4))</f>
        <v>95</v>
      </c>
      <c r="O10" s="55" t="s">
        <v>9</v>
      </c>
    </row>
    <row r="11" spans="2:15" x14ac:dyDescent="0.2">
      <c r="B11" s="51" t="s">
        <v>79</v>
      </c>
      <c r="C11" s="147">
        <f>'Overview 2016 (in)'!G76</f>
        <v>0</v>
      </c>
      <c r="D11" s="52">
        <f>'Overview 2016 (in)'!H76</f>
        <v>0</v>
      </c>
      <c r="E11" s="53">
        <f>'Overview 2016 (in)'!I76</f>
        <v>0</v>
      </c>
      <c r="F11" s="147">
        <f t="shared" si="0"/>
        <v>0</v>
      </c>
      <c r="G11" s="52">
        <f t="shared" si="1"/>
        <v>0</v>
      </c>
      <c r="H11" s="53">
        <f>E11</f>
        <v>0</v>
      </c>
      <c r="I11" s="147">
        <f t="shared" si="2"/>
        <v>0</v>
      </c>
      <c r="J11" s="52">
        <f t="shared" si="3"/>
        <v>0</v>
      </c>
      <c r="K11" s="53">
        <v>0.01</v>
      </c>
      <c r="L11" s="147">
        <f t="shared" si="4"/>
        <v>0</v>
      </c>
      <c r="M11" s="52">
        <f t="shared" si="5"/>
        <v>0</v>
      </c>
      <c r="N11" s="53">
        <v>0.01</v>
      </c>
      <c r="O11" s="54" t="s">
        <v>80</v>
      </c>
    </row>
    <row r="12" spans="2:15" x14ac:dyDescent="0.2">
      <c r="B12" s="154" t="s">
        <v>81</v>
      </c>
      <c r="C12" s="148" t="str">
        <f>'Overview 2016 (in)'!G77</f>
        <v>-</v>
      </c>
      <c r="D12" s="149" t="str">
        <f>'Overview 2016 (in)'!H77</f>
        <v>-</v>
      </c>
      <c r="E12" s="150">
        <f>'Overview 2016 (in)'!I77</f>
        <v>0.02</v>
      </c>
      <c r="F12" s="148">
        <f t="shared" si="0"/>
        <v>0</v>
      </c>
      <c r="G12" s="149">
        <f t="shared" si="1"/>
        <v>0</v>
      </c>
      <c r="H12" s="150">
        <f>E12</f>
        <v>0.02</v>
      </c>
      <c r="I12" s="148">
        <f t="shared" si="2"/>
        <v>0</v>
      </c>
      <c r="J12" s="149">
        <f t="shared" si="3"/>
        <v>0</v>
      </c>
      <c r="K12" s="150">
        <v>30</v>
      </c>
      <c r="L12" s="148">
        <f t="shared" si="4"/>
        <v>0</v>
      </c>
      <c r="M12" s="149">
        <f t="shared" si="5"/>
        <v>0</v>
      </c>
      <c r="N12" s="150">
        <v>30</v>
      </c>
      <c r="O12" s="155" t="s">
        <v>82</v>
      </c>
    </row>
    <row r="13" spans="2:15" x14ac:dyDescent="0.2">
      <c r="B13" s="156" t="s">
        <v>83</v>
      </c>
      <c r="C13" s="157">
        <f>'Overview 2016 (in)'!G78</f>
        <v>0</v>
      </c>
      <c r="D13" s="58">
        <f>'Overview 2016 (in)'!H78</f>
        <v>0</v>
      </c>
      <c r="E13" s="59">
        <f>'Overview 2016 (in)'!I78</f>
        <v>0</v>
      </c>
      <c r="F13" s="157">
        <f t="shared" si="0"/>
        <v>0</v>
      </c>
      <c r="G13" s="58">
        <f t="shared" si="1"/>
        <v>0</v>
      </c>
      <c r="H13" s="59">
        <f>E13</f>
        <v>0</v>
      </c>
      <c r="I13" s="157">
        <f t="shared" si="2"/>
        <v>0</v>
      </c>
      <c r="J13" s="58">
        <f t="shared" si="3"/>
        <v>0</v>
      </c>
      <c r="K13" s="59" t="s">
        <v>188</v>
      </c>
      <c r="L13" s="157">
        <f t="shared" si="4"/>
        <v>0</v>
      </c>
      <c r="M13" s="58">
        <f t="shared" si="5"/>
        <v>0</v>
      </c>
      <c r="N13" s="59" t="s">
        <v>188</v>
      </c>
      <c r="O13" s="54" t="s">
        <v>7</v>
      </c>
    </row>
    <row r="14" spans="2:15" x14ac:dyDescent="0.2">
      <c r="B14" s="154" t="s">
        <v>2</v>
      </c>
      <c r="C14" s="152">
        <f>'Overview 2016 (in)'!G79</f>
        <v>0</v>
      </c>
      <c r="D14" s="153">
        <f>'Overview 2016 (in)'!H79</f>
        <v>0</v>
      </c>
      <c r="E14" s="198">
        <f>'Overview 2016 (in)'!I79</f>
        <v>0</v>
      </c>
      <c r="F14" s="152">
        <f t="shared" ca="1" si="0"/>
        <v>0</v>
      </c>
      <c r="G14" s="153">
        <f t="shared" ref="G14:G15" ca="1" si="6">IFERROR(D14*H14/E14,0)</f>
        <v>0</v>
      </c>
      <c r="H14" s="198">
        <f ca="1">IF(CELL("format",INDIRECT(ADDRESS(ROW($B4),COLUMN(D$4),1,,$B$4)))="W0-",INDIRECT(ADDRESS(ROW($B4),COLUMN(D$4),1,,$B$4))*'Overview 2016 (in)'!$O$7,INDIRECT(ADDRESS(ROW($B4),COLUMN(D$4),1,,$B$4)))</f>
        <v>0</v>
      </c>
      <c r="I14" s="152">
        <f t="shared" ca="1" si="2"/>
        <v>0</v>
      </c>
      <c r="J14" s="153">
        <f t="shared" ref="J14:J15" ca="1" si="7">IFERROR(G14*K14/H14,0)</f>
        <v>0</v>
      </c>
      <c r="K14" s="198">
        <f ca="1">IF(CELL("format",INDIRECT(ADDRESS(ROW($B4),COLUMN(E$4),1,,$B$4)))="W0-",INDIRECT(ADDRESS(ROW($B4),COLUMN(E$4),1,,$B$4))*'Overview 2016 (in)'!$O$7,INDIRECT(ADDRESS(ROW($B4),COLUMN(E$4),1,,$B$4)))</f>
        <v>0</v>
      </c>
      <c r="L14" s="152">
        <f t="shared" ca="1" si="4"/>
        <v>0</v>
      </c>
      <c r="M14" s="153">
        <f t="shared" ref="M14:M15" ca="1" si="8">IFERROR(J14*N14/K14,0)</f>
        <v>0</v>
      </c>
      <c r="N14" s="198">
        <f ca="1">IF(CELL("format",INDIRECT(ADDRESS(ROW($B4),COLUMN(F$4),1,,$B$4)))="W0-",INDIRECT(ADDRESS(ROW($B4),COLUMN(F$4),1,,$B$4))*'Overview 2016 (in)'!$O$7,INDIRECT(ADDRESS(ROW($B4),COLUMN(F$4),1,,$B$4)))</f>
        <v>0</v>
      </c>
      <c r="O14" s="155" t="s">
        <v>22</v>
      </c>
    </row>
    <row r="15" spans="2:15" ht="16" thickBot="1" x14ac:dyDescent="0.25">
      <c r="B15" s="158" t="s">
        <v>3</v>
      </c>
      <c r="C15" s="180">
        <f>'Overview 2016 (in)'!G80</f>
        <v>105</v>
      </c>
      <c r="D15" s="180">
        <f>'Overview 2016 (in)'!H80</f>
        <v>290</v>
      </c>
      <c r="E15" s="200">
        <f>'Overview 2016 (in)'!I80</f>
        <v>155.4</v>
      </c>
      <c r="F15" s="180">
        <f t="shared" ca="1" si="0"/>
        <v>80.267609762278809</v>
      </c>
      <c r="G15" s="180">
        <f t="shared" ca="1" si="6"/>
        <v>221.69149362915095</v>
      </c>
      <c r="H15" s="200">
        <f ca="1">IF(CELL("format",INDIRECT(ADDRESS(ROW($B5),COLUMN(D$4),1,,$B$4)))="W0-",INDIRECT(ADDRESS(ROW($B5),COLUMN(D$4),1,,$B$4))*'Overview 2016 (in)'!$O$7,INDIRECT(ADDRESS(ROW($B5),COLUMN(D$4),1,,$B$4)))</f>
        <v>118.79606244817263</v>
      </c>
      <c r="I15" s="180">
        <f t="shared" ca="1" si="2"/>
        <v>57.375848349260721</v>
      </c>
      <c r="J15" s="180">
        <f t="shared" ca="1" si="7"/>
        <v>158.46662877414863</v>
      </c>
      <c r="K15" s="200">
        <f ca="1">IF(CELL("format",INDIRECT(ADDRESS(ROW($B5),COLUMN(E$4),1,,$B$4)))="W0-",INDIRECT(ADDRESS(ROW($B5),COLUMN(E$4),1,,$B$4))*'Overview 2016 (in)'!$O$7,INDIRECT(ADDRESS(ROW($B5),COLUMN(E$4),1,,$B$4)))</f>
        <v>84.916255556905867</v>
      </c>
      <c r="L15" s="180">
        <f t="shared" ca="1" si="4"/>
        <v>41.012657328989121</v>
      </c>
      <c r="M15" s="180">
        <f t="shared" ca="1" si="8"/>
        <v>113.27305357530325</v>
      </c>
      <c r="N15" s="200">
        <f ca="1">IF(CELL("format",INDIRECT(ADDRESS(ROW($B5),COLUMN(F$4),1,,$B$4)))="W0-",INDIRECT(ADDRESS(ROW($B5),COLUMN(F$4),1,,$B$4))*'Overview 2016 (in)'!$O$7,INDIRECT(ADDRESS(ROW($B5),COLUMN(F$4),1,,$B$4)))</f>
        <v>60.698732846903894</v>
      </c>
      <c r="O15" s="60" t="s">
        <v>23</v>
      </c>
    </row>
    <row r="17" spans="2:3" x14ac:dyDescent="0.2">
      <c r="C17" s="202"/>
    </row>
    <row r="18" spans="2:3" ht="19" x14ac:dyDescent="0.25">
      <c r="B18" s="201"/>
    </row>
    <row r="19" spans="2:3" x14ac:dyDescent="0.2">
      <c r="B19" s="39"/>
    </row>
  </sheetData>
  <mergeCells count="4">
    <mergeCell ref="C3:E3"/>
    <mergeCell ref="F3:H3"/>
    <mergeCell ref="I3:K3"/>
    <mergeCell ref="L3:N3"/>
  </mergeCells>
  <pageMargins left="0.7" right="0.7" top="0.78740157499999996" bottom="0.78740157499999996"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7" tint="0.39997558519241921"/>
  </sheetPr>
  <dimension ref="A2:AA62"/>
  <sheetViews>
    <sheetView zoomScale="85" zoomScaleNormal="85" workbookViewId="0"/>
  </sheetViews>
  <sheetFormatPr baseColWidth="10" defaultColWidth="9.1640625" defaultRowHeight="15" x14ac:dyDescent="0.2"/>
  <cols>
    <col min="1" max="1" width="9.1640625" style="146"/>
    <col min="2" max="2" width="26.5" style="146" customWidth="1"/>
    <col min="3" max="7" width="10.6640625" style="146" customWidth="1"/>
    <col min="8" max="8" width="13.83203125" style="146" customWidth="1"/>
    <col min="9" max="9" width="20.33203125" style="146" customWidth="1"/>
    <col min="10" max="12" width="12.6640625" style="146" customWidth="1"/>
    <col min="13" max="16384" width="9.1640625" style="146"/>
  </cols>
  <sheetData>
    <row r="2" spans="1:17" ht="20" thickBot="1" x14ac:dyDescent="0.3">
      <c r="B2" s="170" t="s">
        <v>128</v>
      </c>
      <c r="C2" s="13"/>
      <c r="K2" s="41" t="s">
        <v>0</v>
      </c>
      <c r="N2" s="39"/>
      <c r="O2" s="43"/>
      <c r="P2" s="43"/>
      <c r="Q2" s="43"/>
    </row>
    <row r="3" spans="1:17" x14ac:dyDescent="0.2">
      <c r="B3" s="38"/>
      <c r="C3" s="38">
        <v>2016</v>
      </c>
      <c r="D3" s="367">
        <v>2020</v>
      </c>
      <c r="E3" s="367">
        <v>2025</v>
      </c>
      <c r="F3" s="367">
        <v>2030</v>
      </c>
      <c r="G3" s="38" t="s">
        <v>1</v>
      </c>
      <c r="H3" s="40"/>
      <c r="I3" s="38" t="s">
        <v>17</v>
      </c>
      <c r="J3" s="38" t="s">
        <v>18</v>
      </c>
      <c r="K3" s="38" t="s">
        <v>19</v>
      </c>
      <c r="L3" s="38" t="s">
        <v>20</v>
      </c>
      <c r="N3" s="407"/>
      <c r="O3" s="50"/>
      <c r="P3" s="50"/>
      <c r="Q3" s="43"/>
    </row>
    <row r="4" spans="1:17" x14ac:dyDescent="0.2">
      <c r="B4" s="37" t="s">
        <v>2</v>
      </c>
      <c r="C4" s="164"/>
      <c r="D4" s="68"/>
      <c r="E4" s="68"/>
      <c r="F4" s="164"/>
      <c r="G4" s="146" t="s">
        <v>22</v>
      </c>
      <c r="I4" s="79"/>
      <c r="J4" s="42"/>
      <c r="K4" s="42"/>
      <c r="L4" s="42"/>
      <c r="N4" s="407">
        <f t="shared" ref="N4:N7" si="0">1-(F5/C5)^(1/(F$3-C$3))</f>
        <v>5.0865545561390335E-2</v>
      </c>
      <c r="O4" s="43"/>
      <c r="P4" s="43"/>
      <c r="Q4" s="43"/>
    </row>
    <row r="5" spans="1:17" x14ac:dyDescent="0.2">
      <c r="B5" s="40" t="s">
        <v>3</v>
      </c>
      <c r="C5" s="164">
        <f>'Overview 2016 (in)'!L80</f>
        <v>105</v>
      </c>
      <c r="D5" s="68">
        <f>$C5*(1-$N4)^(D$3-$C$3)</f>
        <v>85.211901157370349</v>
      </c>
      <c r="E5" s="68">
        <f>$C5*(1-$N4)^(E$3-$C$3)</f>
        <v>65.635522939493967</v>
      </c>
      <c r="F5" s="68">
        <f>C5*D57</f>
        <v>50.556574997484603</v>
      </c>
      <c r="G5" s="146" t="s">
        <v>23</v>
      </c>
      <c r="I5" s="79" t="s">
        <v>52</v>
      </c>
      <c r="J5" s="42" t="s">
        <v>53</v>
      </c>
      <c r="K5" s="42" t="s">
        <v>53</v>
      </c>
      <c r="L5" s="42" t="s">
        <v>53</v>
      </c>
      <c r="N5" s="407"/>
      <c r="O5" s="43"/>
      <c r="P5" s="43"/>
      <c r="Q5" s="43"/>
    </row>
    <row r="6" spans="1:17" x14ac:dyDescent="0.2">
      <c r="B6" s="37" t="s">
        <v>4</v>
      </c>
      <c r="C6" s="99"/>
      <c r="D6" s="73"/>
      <c r="E6" s="73"/>
      <c r="F6" s="99"/>
      <c r="G6" s="146" t="s">
        <v>5</v>
      </c>
      <c r="I6" s="79"/>
      <c r="J6" s="42"/>
      <c r="K6" s="42"/>
      <c r="L6" s="42"/>
      <c r="N6" s="407">
        <f>1-(F7/C7)^(1/(F$3-C$3))</f>
        <v>-2.8677264979018346E-2</v>
      </c>
      <c r="O6" s="43"/>
      <c r="P6" s="43"/>
      <c r="Q6" s="43"/>
    </row>
    <row r="7" spans="1:17" x14ac:dyDescent="0.2">
      <c r="B7" s="37" t="s">
        <v>6</v>
      </c>
      <c r="C7" s="99">
        <f>'Overview 2016 (in)'!L73</f>
        <v>15</v>
      </c>
      <c r="D7" s="85">
        <f>$C7*(1-$N6)^(D$3-$C$3)</f>
        <v>16.796075766971139</v>
      </c>
      <c r="E7" s="85">
        <f>$C7*(1-$N6)^(E$3-$C$3)</f>
        <v>19.346550110696409</v>
      </c>
      <c r="F7" s="127">
        <f>C7*F57</f>
        <v>22.284312501239846</v>
      </c>
      <c r="G7" s="146" t="s">
        <v>7</v>
      </c>
      <c r="I7" s="79" t="s">
        <v>52</v>
      </c>
      <c r="J7" s="42">
        <v>1</v>
      </c>
      <c r="K7" s="42">
        <v>1</v>
      </c>
      <c r="L7" s="42">
        <v>1</v>
      </c>
      <c r="N7" s="407">
        <f t="shared" si="0"/>
        <v>0</v>
      </c>
      <c r="O7" s="43"/>
      <c r="P7" s="43"/>
      <c r="Q7" s="43"/>
    </row>
    <row r="8" spans="1:17" ht="16" thickBot="1" x14ac:dyDescent="0.25">
      <c r="B8" s="6" t="s">
        <v>8</v>
      </c>
      <c r="C8" s="19">
        <f>'Overview 2016 (in)'!L75</f>
        <v>98</v>
      </c>
      <c r="D8" s="78">
        <f>$C8*(1-$N7)^(D$3-$C$3)</f>
        <v>98</v>
      </c>
      <c r="E8" s="78">
        <f>$C8*(1-$N7)^(E$3-$C$3)</f>
        <v>98</v>
      </c>
      <c r="F8" s="78">
        <f t="shared" ref="F8" si="1">$C$8</f>
        <v>98</v>
      </c>
      <c r="G8" s="7" t="s">
        <v>9</v>
      </c>
      <c r="H8" s="39"/>
      <c r="I8" s="80" t="s">
        <v>52</v>
      </c>
      <c r="J8" s="83"/>
      <c r="K8" s="83"/>
      <c r="L8" s="83"/>
      <c r="N8" s="39"/>
      <c r="O8" s="43"/>
      <c r="P8" s="43"/>
      <c r="Q8" s="43"/>
    </row>
    <row r="9" spans="1:17" x14ac:dyDescent="0.2">
      <c r="B9" s="37"/>
      <c r="C9" s="44"/>
      <c r="J9" s="39"/>
      <c r="K9" s="39"/>
      <c r="L9" s="39"/>
      <c r="M9" s="39"/>
      <c r="N9" s="39"/>
      <c r="O9" s="43"/>
      <c r="P9" s="43"/>
      <c r="Q9" s="43"/>
    </row>
    <row r="10" spans="1:17" x14ac:dyDescent="0.2">
      <c r="A10" s="42"/>
      <c r="B10" s="315"/>
      <c r="C10" s="315"/>
      <c r="D10" s="315"/>
      <c r="E10" s="315"/>
      <c r="F10" s="315"/>
      <c r="G10" s="315"/>
      <c r="H10" s="315"/>
      <c r="I10" s="315"/>
      <c r="J10" s="315"/>
      <c r="K10" s="39"/>
      <c r="L10" s="39"/>
      <c r="M10" s="39"/>
      <c r="N10" s="39"/>
    </row>
    <row r="11" spans="1:17" x14ac:dyDescent="0.2">
      <c r="A11" s="42"/>
      <c r="B11" s="43"/>
      <c r="C11" s="43"/>
      <c r="D11" s="39"/>
      <c r="E11" s="39"/>
      <c r="F11" s="39"/>
      <c r="G11" s="39"/>
      <c r="H11" s="39"/>
      <c r="J11" s="43"/>
      <c r="K11" s="2" t="s">
        <v>68</v>
      </c>
      <c r="L11" s="43"/>
      <c r="M11" s="43"/>
      <c r="N11" s="43"/>
    </row>
    <row r="12" spans="1:17" ht="20" thickBot="1" x14ac:dyDescent="0.3">
      <c r="B12" s="41" t="s">
        <v>10</v>
      </c>
      <c r="J12" s="42"/>
      <c r="K12" s="18" t="s">
        <v>69</v>
      </c>
      <c r="L12" s="42"/>
      <c r="M12" s="42"/>
      <c r="N12" s="42"/>
    </row>
    <row r="13" spans="1:17" x14ac:dyDescent="0.2">
      <c r="B13" s="98" t="s">
        <v>11</v>
      </c>
      <c r="C13" s="98" t="s">
        <v>12</v>
      </c>
      <c r="D13" s="98" t="s">
        <v>13</v>
      </c>
      <c r="E13" s="98" t="s">
        <v>225</v>
      </c>
      <c r="F13" s="100" t="s">
        <v>64</v>
      </c>
      <c r="G13" s="98"/>
      <c r="H13" s="100" t="s">
        <v>89</v>
      </c>
      <c r="I13" s="302"/>
      <c r="J13" s="42"/>
      <c r="K13" s="93" t="s">
        <v>71</v>
      </c>
      <c r="L13" s="93"/>
      <c r="M13" s="42"/>
      <c r="N13" s="42"/>
    </row>
    <row r="14" spans="1:17" x14ac:dyDescent="0.2">
      <c r="B14" s="308">
        <v>1</v>
      </c>
      <c r="C14" s="308" t="s">
        <v>233</v>
      </c>
      <c r="D14" s="308"/>
      <c r="E14" s="303"/>
      <c r="F14" s="174" t="s">
        <v>87</v>
      </c>
      <c r="G14" s="308"/>
      <c r="H14" s="169" t="s">
        <v>88</v>
      </c>
      <c r="I14" s="302"/>
      <c r="J14" s="42"/>
      <c r="K14" s="42"/>
      <c r="L14" s="42"/>
      <c r="M14" s="42"/>
      <c r="N14" s="42"/>
    </row>
    <row r="15" spans="1:17" x14ac:dyDescent="0.2">
      <c r="B15" s="146">
        <v>2</v>
      </c>
      <c r="C15" s="146" t="s">
        <v>58</v>
      </c>
      <c r="D15" s="146" t="s">
        <v>59</v>
      </c>
      <c r="E15" s="303" t="s">
        <v>228</v>
      </c>
      <c r="F15" s="174" t="s">
        <v>63</v>
      </c>
      <c r="G15" s="302"/>
      <c r="H15" s="169" t="s">
        <v>88</v>
      </c>
      <c r="I15" s="302"/>
      <c r="J15" s="42"/>
      <c r="K15" s="42"/>
      <c r="L15" s="42"/>
      <c r="M15" s="42"/>
      <c r="N15" s="42"/>
      <c r="O15" s="42"/>
    </row>
    <row r="16" spans="1:17" x14ac:dyDescent="0.2">
      <c r="B16" s="146">
        <v>3</v>
      </c>
      <c r="C16" s="146" t="s">
        <v>29</v>
      </c>
      <c r="D16" s="146" t="s">
        <v>30</v>
      </c>
      <c r="E16" s="303" t="s">
        <v>230</v>
      </c>
      <c r="F16" s="174" t="s">
        <v>65</v>
      </c>
      <c r="G16" s="302"/>
      <c r="H16" s="169" t="s">
        <v>90</v>
      </c>
      <c r="I16" s="302"/>
      <c r="J16" s="42"/>
      <c r="K16" s="42"/>
      <c r="L16" s="42"/>
      <c r="M16" s="42"/>
      <c r="N16" s="136"/>
      <c r="O16" s="42"/>
    </row>
    <row r="17" spans="1:27" x14ac:dyDescent="0.2">
      <c r="B17" s="146">
        <v>4</v>
      </c>
      <c r="C17" s="146" t="s">
        <v>91</v>
      </c>
      <c r="E17" s="320"/>
      <c r="F17" s="174" t="s">
        <v>92</v>
      </c>
      <c r="G17" s="302"/>
      <c r="H17" s="169" t="s">
        <v>93</v>
      </c>
      <c r="I17" s="302"/>
      <c r="J17" s="42"/>
      <c r="K17" s="42"/>
      <c r="L17" s="42"/>
      <c r="M17" s="42"/>
      <c r="N17" s="136"/>
      <c r="O17" s="42"/>
    </row>
    <row r="18" spans="1:27" x14ac:dyDescent="0.2">
      <c r="H18" s="39"/>
      <c r="J18" s="42"/>
      <c r="K18" s="42"/>
      <c r="L18" s="42"/>
      <c r="M18" s="42"/>
      <c r="N18" s="42"/>
      <c r="O18" s="42"/>
    </row>
    <row r="19" spans="1:27" x14ac:dyDescent="0.2">
      <c r="A19" s="304" t="s">
        <v>232</v>
      </c>
      <c r="L19" s="42"/>
      <c r="M19" s="42"/>
      <c r="N19" s="42"/>
      <c r="O19" s="43"/>
      <c r="P19" s="43"/>
      <c r="Q19" s="43"/>
      <c r="R19" s="43"/>
      <c r="S19" s="43"/>
      <c r="T19" s="43"/>
      <c r="U19" s="43"/>
      <c r="V19" s="43"/>
    </row>
    <row r="20" spans="1:27" ht="16" thickBot="1" x14ac:dyDescent="0.25">
      <c r="A20" s="304" t="s">
        <v>47</v>
      </c>
      <c r="B20" s="42"/>
      <c r="C20" s="332" t="s">
        <v>183</v>
      </c>
      <c r="D20" s="333" t="s">
        <v>234</v>
      </c>
      <c r="E20" s="320"/>
      <c r="F20" s="320"/>
      <c r="G20" s="320"/>
      <c r="H20" s="320"/>
      <c r="I20" s="372"/>
      <c r="J20" s="372"/>
      <c r="K20" s="320"/>
      <c r="L20" s="320"/>
      <c r="M20" s="320"/>
      <c r="N20" s="136"/>
      <c r="O20" s="43"/>
      <c r="P20" s="43"/>
      <c r="Q20" s="43"/>
      <c r="R20" s="43"/>
      <c r="S20" s="43"/>
      <c r="T20" s="43"/>
      <c r="U20" s="43"/>
      <c r="V20" s="43"/>
      <c r="W20" s="320"/>
      <c r="X20" s="320"/>
      <c r="Y20" s="320"/>
      <c r="Z20" s="320"/>
      <c r="AA20" s="320"/>
    </row>
    <row r="21" spans="1:27" x14ac:dyDescent="0.2">
      <c r="A21" s="65" t="s">
        <v>49</v>
      </c>
      <c r="B21" s="38"/>
      <c r="C21" s="49">
        <v>2016</v>
      </c>
      <c r="D21" s="360"/>
      <c r="E21" s="62">
        <v>2020</v>
      </c>
      <c r="F21" s="360">
        <v>2024</v>
      </c>
      <c r="G21" s="62">
        <v>2025</v>
      </c>
      <c r="H21" s="62">
        <v>2030</v>
      </c>
      <c r="I21" s="360">
        <v>2034</v>
      </c>
      <c r="J21" s="360" t="s">
        <v>1</v>
      </c>
      <c r="K21" s="48" t="s">
        <v>54</v>
      </c>
      <c r="L21" s="38" t="s">
        <v>55</v>
      </c>
      <c r="M21" s="320"/>
      <c r="N21" s="136"/>
      <c r="O21" s="50"/>
      <c r="P21" s="50"/>
      <c r="Q21" s="50"/>
      <c r="R21" s="50"/>
      <c r="S21" s="50"/>
      <c r="T21" s="43"/>
      <c r="U21" s="43"/>
      <c r="V21" s="43"/>
      <c r="W21" s="320"/>
      <c r="X21" s="320"/>
      <c r="Y21" s="320"/>
      <c r="Z21" s="320"/>
      <c r="AA21" s="320"/>
    </row>
    <row r="22" spans="1:27" x14ac:dyDescent="0.2">
      <c r="B22" s="37" t="s">
        <v>2</v>
      </c>
      <c r="C22" s="340"/>
      <c r="D22" s="438"/>
      <c r="E22" s="167"/>
      <c r="F22" s="438"/>
      <c r="G22" s="167"/>
      <c r="H22" s="167"/>
      <c r="I22" s="438"/>
      <c r="J22" s="372" t="s">
        <v>22</v>
      </c>
      <c r="K22" s="312"/>
      <c r="L22" s="95"/>
      <c r="M22" s="320"/>
      <c r="N22" s="136"/>
      <c r="O22" s="72"/>
      <c r="P22" s="72"/>
      <c r="Q22" s="72"/>
      <c r="R22" s="72"/>
      <c r="S22" s="43"/>
      <c r="T22" s="43"/>
      <c r="U22" s="43"/>
      <c r="V22" s="43"/>
      <c r="W22" s="320"/>
      <c r="X22" s="320"/>
      <c r="Y22" s="320"/>
      <c r="Z22" s="320"/>
      <c r="AA22" s="320"/>
    </row>
    <row r="23" spans="1:27" x14ac:dyDescent="0.2">
      <c r="B23" s="40" t="s">
        <v>3</v>
      </c>
      <c r="C23" s="328">
        <f>C5/'Overview 2016 (in)'!$O$7</f>
        <v>100</v>
      </c>
      <c r="D23" s="361"/>
      <c r="E23" s="172">
        <f>$C23*(1-$K23)^(E$21-$C$21)</f>
        <v>85.440037453175322</v>
      </c>
      <c r="F23" s="361">
        <v>73</v>
      </c>
      <c r="G23" s="172">
        <f>$F23*(1-$L23)^(G$21-$F$21)</f>
        <v>69.855460492810536</v>
      </c>
      <c r="H23" s="172">
        <f>$F23*(1-$L23)^(H$21-$F$21)</f>
        <v>56.051579957830647</v>
      </c>
      <c r="I23" s="361">
        <v>47</v>
      </c>
      <c r="J23" s="372" t="s">
        <v>23</v>
      </c>
      <c r="K23" s="312">
        <f>1-(F23/C23)^(1/(F$21-C$21))</f>
        <v>3.8575118244820406E-2</v>
      </c>
      <c r="L23" s="95">
        <f>1-(I23/F23)^(1/(I$21-F$21))</f>
        <v>4.3075883660129599E-2</v>
      </c>
      <c r="M23" s="320"/>
      <c r="N23" s="136"/>
      <c r="O23" s="72"/>
      <c r="P23" s="72"/>
      <c r="Q23" s="72"/>
      <c r="R23" s="72"/>
      <c r="S23" s="43"/>
      <c r="T23" s="43"/>
      <c r="U23" s="43"/>
      <c r="V23" s="43"/>
      <c r="W23" s="320"/>
      <c r="X23" s="320"/>
      <c r="Y23" s="320"/>
      <c r="Z23" s="320"/>
      <c r="AA23" s="320"/>
    </row>
    <row r="24" spans="1:27" x14ac:dyDescent="0.2">
      <c r="B24" s="37" t="s">
        <v>4</v>
      </c>
      <c r="C24" s="341"/>
      <c r="D24" s="399"/>
      <c r="E24" s="124"/>
      <c r="F24" s="398"/>
      <c r="G24" s="124"/>
      <c r="H24" s="124"/>
      <c r="I24" s="410"/>
      <c r="J24" s="372" t="s">
        <v>5</v>
      </c>
      <c r="K24" s="312"/>
      <c r="L24" s="95"/>
      <c r="M24" s="320"/>
      <c r="N24" s="136"/>
      <c r="O24" s="73"/>
      <c r="P24" s="73"/>
      <c r="Q24" s="73"/>
      <c r="R24" s="74"/>
      <c r="S24" s="43"/>
      <c r="T24" s="43"/>
      <c r="U24" s="43"/>
      <c r="V24" s="43"/>
      <c r="W24" s="320"/>
      <c r="X24" s="320"/>
      <c r="Y24" s="320"/>
      <c r="Z24" s="320"/>
      <c r="AA24" s="320"/>
    </row>
    <row r="25" spans="1:27" x14ac:dyDescent="0.2">
      <c r="B25" s="37" t="s">
        <v>6</v>
      </c>
      <c r="C25" s="329">
        <f>C7</f>
        <v>15</v>
      </c>
      <c r="D25" s="362"/>
      <c r="E25" s="111">
        <f>$C25*(1-$K25)^(E$21-$C$21)</f>
        <v>20.124611797498108</v>
      </c>
      <c r="F25" s="386">
        <v>27</v>
      </c>
      <c r="G25" s="111">
        <f>$F25*(1-$L25)^(G$21-$F$21)</f>
        <v>27.46264642970274</v>
      </c>
      <c r="H25" s="111">
        <f>$F25*(1-$L25)^(H$21-$F$21)</f>
        <v>29.8975425507724</v>
      </c>
      <c r="I25" s="109">
        <v>32</v>
      </c>
      <c r="J25" s="372" t="s">
        <v>7</v>
      </c>
      <c r="K25" s="312">
        <f>1-(F25/C25)^(1/(F$21-C$21))</f>
        <v>-7.6239836322865795E-2</v>
      </c>
      <c r="L25" s="95">
        <f>1-(I25/F25)^(1/(I$21-F$21))</f>
        <v>-1.7135052951953389E-2</v>
      </c>
      <c r="M25" s="320"/>
      <c r="N25" s="136"/>
      <c r="O25" s="73"/>
      <c r="P25" s="73"/>
      <c r="Q25" s="73"/>
      <c r="R25" s="74"/>
      <c r="S25" s="43"/>
      <c r="T25" s="43"/>
      <c r="U25" s="43"/>
      <c r="V25" s="43"/>
      <c r="W25" s="320"/>
      <c r="X25" s="320"/>
      <c r="Y25" s="320"/>
      <c r="Z25" s="320"/>
      <c r="AA25" s="320"/>
    </row>
    <row r="26" spans="1:27" ht="16" thickBot="1" x14ac:dyDescent="0.25">
      <c r="B26" s="6" t="s">
        <v>8</v>
      </c>
      <c r="C26" s="342"/>
      <c r="D26" s="439"/>
      <c r="E26" s="130"/>
      <c r="F26" s="409"/>
      <c r="G26" s="130"/>
      <c r="H26" s="130"/>
      <c r="I26" s="411"/>
      <c r="J26" s="373" t="s">
        <v>9</v>
      </c>
      <c r="K26" s="313"/>
      <c r="L26" s="309"/>
      <c r="M26" s="320"/>
      <c r="N26" s="136"/>
      <c r="O26" s="73"/>
      <c r="P26" s="73"/>
      <c r="Q26" s="73"/>
      <c r="R26" s="74"/>
      <c r="S26" s="43"/>
      <c r="T26" s="43"/>
      <c r="U26" s="43"/>
      <c r="V26" s="43"/>
      <c r="W26" s="320"/>
      <c r="X26" s="320"/>
      <c r="Y26" s="320"/>
      <c r="Z26" s="320"/>
      <c r="AA26" s="320"/>
    </row>
    <row r="27" spans="1:27" ht="16" thickBot="1" x14ac:dyDescent="0.25">
      <c r="C27" s="213"/>
      <c r="D27" s="372"/>
      <c r="E27" s="320"/>
      <c r="F27" s="372"/>
      <c r="G27" s="320"/>
      <c r="H27" s="320"/>
      <c r="I27" s="372"/>
      <c r="J27" s="372"/>
      <c r="K27" s="312"/>
      <c r="L27" s="95"/>
      <c r="M27" s="320"/>
      <c r="N27" s="136"/>
      <c r="O27" s="43"/>
      <c r="P27" s="43"/>
      <c r="Q27" s="43"/>
      <c r="R27" s="43"/>
      <c r="S27" s="43"/>
      <c r="T27" s="43"/>
      <c r="U27" s="43"/>
      <c r="V27" s="43"/>
      <c r="W27" s="320"/>
      <c r="X27" s="320"/>
      <c r="Y27" s="320"/>
      <c r="Z27" s="320"/>
      <c r="AA27" s="320"/>
    </row>
    <row r="28" spans="1:27" x14ac:dyDescent="0.2">
      <c r="A28" s="65" t="s">
        <v>56</v>
      </c>
      <c r="B28" s="38"/>
      <c r="C28" s="49">
        <v>2016</v>
      </c>
      <c r="D28" s="360">
        <v>2013</v>
      </c>
      <c r="E28" s="62">
        <v>2020</v>
      </c>
      <c r="F28" s="360">
        <v>2023</v>
      </c>
      <c r="G28" s="62">
        <v>2025</v>
      </c>
      <c r="H28" s="62">
        <v>2030</v>
      </c>
      <c r="I28" s="360">
        <v>2050</v>
      </c>
      <c r="J28" s="360" t="s">
        <v>1</v>
      </c>
      <c r="K28" s="314"/>
      <c r="L28" s="310"/>
      <c r="M28" s="320"/>
      <c r="N28" s="136"/>
      <c r="O28" s="50"/>
      <c r="P28" s="50"/>
      <c r="Q28" s="50"/>
      <c r="R28" s="50"/>
      <c r="S28" s="50"/>
      <c r="T28" s="43"/>
      <c r="U28" s="43"/>
      <c r="V28" s="43"/>
      <c r="W28" s="320"/>
      <c r="X28" s="320"/>
      <c r="Y28" s="320"/>
      <c r="Z28" s="320"/>
      <c r="AA28" s="320"/>
    </row>
    <row r="29" spans="1:27" x14ac:dyDescent="0.2">
      <c r="B29" s="37" t="s">
        <v>2</v>
      </c>
      <c r="C29" s="340"/>
      <c r="D29" s="438"/>
      <c r="E29" s="167"/>
      <c r="F29" s="438"/>
      <c r="G29" s="167"/>
      <c r="H29" s="167"/>
      <c r="I29" s="438"/>
      <c r="J29" s="372" t="s">
        <v>247</v>
      </c>
      <c r="K29" s="312"/>
      <c r="L29" s="95"/>
      <c r="M29" s="320"/>
      <c r="N29" s="136"/>
      <c r="O29" s="72"/>
      <c r="P29" s="72"/>
      <c r="Q29" s="72"/>
      <c r="R29" s="72"/>
      <c r="S29" s="43"/>
      <c r="T29" s="43"/>
      <c r="U29" s="43"/>
      <c r="V29" s="43"/>
      <c r="W29" s="320"/>
      <c r="X29" s="320"/>
      <c r="Y29" s="320"/>
      <c r="Z29" s="320"/>
      <c r="AA29" s="320"/>
    </row>
    <row r="30" spans="1:27" x14ac:dyDescent="0.2">
      <c r="B30" s="40" t="s">
        <v>3</v>
      </c>
      <c r="C30" s="328">
        <f>C5/'Overview 2016 (in)'!$O$7</f>
        <v>100</v>
      </c>
      <c r="D30" s="361">
        <v>160</v>
      </c>
      <c r="E30" s="172">
        <f>$D30*(1-$K30)^(E$28-$D$28)</f>
        <v>92.37660494695217</v>
      </c>
      <c r="F30" s="361">
        <v>73</v>
      </c>
      <c r="G30" s="172">
        <f>$F30*(1-$L30)^(G$28-$F$28)</f>
        <v>70.43023391094664</v>
      </c>
      <c r="H30" s="172">
        <f>$F30*(1-$L30)^(H$28-$F$28)</f>
        <v>64.394653012185955</v>
      </c>
      <c r="I30" s="361">
        <v>45</v>
      </c>
      <c r="J30" s="372" t="s">
        <v>248</v>
      </c>
      <c r="K30" s="312">
        <f>1-(F30/D30)^(1/(F$28-D$28))</f>
        <v>7.5471533516690448E-2</v>
      </c>
      <c r="L30" s="95">
        <f>1-(I30/F30)^(1/(I$28-F$28))</f>
        <v>1.7758825538509493E-2</v>
      </c>
      <c r="M30" s="354" t="s">
        <v>273</v>
      </c>
      <c r="N30" s="136"/>
      <c r="O30" s="72"/>
      <c r="P30" s="72"/>
      <c r="Q30" s="72"/>
      <c r="R30" s="72"/>
      <c r="S30" s="43"/>
      <c r="T30" s="43"/>
      <c r="U30" s="43"/>
      <c r="V30" s="43"/>
      <c r="W30" s="320"/>
      <c r="X30" s="320"/>
      <c r="Y30" s="320"/>
      <c r="Z30" s="320"/>
      <c r="AA30" s="320"/>
    </row>
    <row r="31" spans="1:27" x14ac:dyDescent="0.2">
      <c r="B31" s="37" t="s">
        <v>4</v>
      </c>
      <c r="C31" s="341"/>
      <c r="D31" s="399"/>
      <c r="E31" s="124"/>
      <c r="F31" s="398"/>
      <c r="G31" s="124"/>
      <c r="H31" s="124"/>
      <c r="I31" s="399"/>
      <c r="J31" s="372" t="s">
        <v>5</v>
      </c>
      <c r="K31" s="312"/>
      <c r="L31" s="95"/>
      <c r="M31" s="320"/>
      <c r="N31" s="136"/>
      <c r="O31" s="73"/>
      <c r="P31" s="73"/>
      <c r="Q31" s="73"/>
      <c r="R31" s="74"/>
      <c r="S31" s="43"/>
      <c r="T31" s="43"/>
      <c r="U31" s="43"/>
      <c r="V31" s="43"/>
      <c r="W31" s="320"/>
      <c r="X31" s="320"/>
      <c r="Y31" s="320"/>
      <c r="Z31" s="320"/>
      <c r="AA31" s="320"/>
    </row>
    <row r="32" spans="1:27" x14ac:dyDescent="0.2">
      <c r="B32" s="37" t="s">
        <v>6</v>
      </c>
      <c r="C32" s="343"/>
      <c r="D32" s="398"/>
      <c r="E32" s="124"/>
      <c r="F32" s="398"/>
      <c r="G32" s="124"/>
      <c r="H32" s="124"/>
      <c r="I32" s="398"/>
      <c r="J32" s="372" t="s">
        <v>7</v>
      </c>
      <c r="K32" s="312"/>
      <c r="L32" s="95"/>
      <c r="M32" s="320"/>
      <c r="N32" s="136"/>
      <c r="O32" s="73"/>
      <c r="P32" s="73"/>
      <c r="Q32" s="73"/>
      <c r="R32" s="74"/>
      <c r="S32" s="43"/>
      <c r="T32" s="43"/>
      <c r="U32" s="43"/>
      <c r="V32" s="43"/>
      <c r="W32" s="320"/>
      <c r="X32" s="320"/>
      <c r="Y32" s="320"/>
      <c r="Z32" s="320"/>
      <c r="AA32" s="320"/>
    </row>
    <row r="33" spans="1:27" ht="16" thickBot="1" x14ac:dyDescent="0.25">
      <c r="B33" s="6" t="s">
        <v>8</v>
      </c>
      <c r="C33" s="344"/>
      <c r="D33" s="409"/>
      <c r="E33" s="130"/>
      <c r="F33" s="409"/>
      <c r="G33" s="130"/>
      <c r="H33" s="130"/>
      <c r="I33" s="409"/>
      <c r="J33" s="373" t="s">
        <v>9</v>
      </c>
      <c r="K33" s="313"/>
      <c r="L33" s="309"/>
      <c r="M33" s="320"/>
      <c r="N33" s="136"/>
      <c r="O33" s="73"/>
      <c r="P33" s="73"/>
      <c r="Q33" s="73"/>
      <c r="R33" s="74"/>
      <c r="S33" s="43"/>
      <c r="T33" s="43"/>
      <c r="U33" s="43"/>
      <c r="V33" s="43"/>
      <c r="W33" s="320"/>
      <c r="X33" s="320"/>
      <c r="Y33" s="320"/>
      <c r="Z33" s="320"/>
      <c r="AA33" s="320"/>
    </row>
    <row r="34" spans="1:27" ht="16" thickBot="1" x14ac:dyDescent="0.25">
      <c r="C34" s="213"/>
      <c r="D34" s="372"/>
      <c r="E34" s="320"/>
      <c r="F34" s="372"/>
      <c r="G34" s="320"/>
      <c r="H34" s="320"/>
      <c r="I34" s="372"/>
      <c r="J34" s="372"/>
      <c r="K34" s="312"/>
      <c r="L34" s="95"/>
      <c r="M34" s="320"/>
      <c r="N34" s="136"/>
      <c r="O34" s="43"/>
      <c r="P34" s="43"/>
      <c r="Q34" s="43"/>
      <c r="R34" s="43"/>
      <c r="S34" s="43"/>
      <c r="T34" s="43"/>
      <c r="U34" s="43"/>
      <c r="V34" s="43"/>
      <c r="W34" s="320"/>
      <c r="X34" s="320"/>
      <c r="Y34" s="320"/>
      <c r="Z34" s="320"/>
      <c r="AA34" s="320"/>
    </row>
    <row r="35" spans="1:27" x14ac:dyDescent="0.2">
      <c r="A35" s="65" t="s">
        <v>48</v>
      </c>
      <c r="B35" s="38"/>
      <c r="C35" s="49">
        <v>2016</v>
      </c>
      <c r="D35" s="360">
        <v>2015</v>
      </c>
      <c r="E35" s="62">
        <v>2020</v>
      </c>
      <c r="F35" s="360">
        <v>2023</v>
      </c>
      <c r="G35" s="62">
        <v>2025</v>
      </c>
      <c r="H35" s="62">
        <v>2030</v>
      </c>
      <c r="I35" s="360">
        <v>2050</v>
      </c>
      <c r="J35" s="360" t="s">
        <v>1</v>
      </c>
      <c r="K35" s="314"/>
      <c r="L35" s="310"/>
      <c r="M35" s="320"/>
      <c r="N35" s="136"/>
      <c r="O35" s="43"/>
      <c r="P35" s="43"/>
      <c r="Q35" s="43"/>
      <c r="R35" s="43"/>
      <c r="S35" s="43"/>
      <c r="T35" s="43"/>
      <c r="U35" s="43"/>
      <c r="V35" s="43"/>
      <c r="W35" s="320"/>
      <c r="X35" s="320"/>
      <c r="Y35" s="320"/>
      <c r="Z35" s="320"/>
      <c r="AA35" s="320"/>
    </row>
    <row r="36" spans="1:27" x14ac:dyDescent="0.2">
      <c r="B36" s="37" t="s">
        <v>2</v>
      </c>
      <c r="C36" s="340"/>
      <c r="D36" s="438"/>
      <c r="E36" s="167"/>
      <c r="F36" s="438"/>
      <c r="G36" s="167"/>
      <c r="H36" s="167"/>
      <c r="I36" s="438"/>
      <c r="J36" s="372" t="s">
        <v>247</v>
      </c>
      <c r="K36" s="312"/>
      <c r="L36" s="95"/>
      <c r="M36" s="320"/>
      <c r="N36" s="320"/>
      <c r="O36" s="320"/>
      <c r="P36" s="320"/>
      <c r="Q36" s="320"/>
      <c r="R36" s="320"/>
      <c r="S36" s="320"/>
      <c r="T36" s="320"/>
      <c r="U36" s="320"/>
      <c r="V36" s="320"/>
      <c r="W36" s="320"/>
      <c r="X36" s="320"/>
      <c r="Y36" s="320"/>
      <c r="Z36" s="320"/>
      <c r="AA36" s="320"/>
    </row>
    <row r="37" spans="1:27" x14ac:dyDescent="0.2">
      <c r="B37" s="40" t="s">
        <v>3</v>
      </c>
      <c r="C37" s="328">
        <f>C5/'Overview 2016 (in)'!$O$7</f>
        <v>100</v>
      </c>
      <c r="D37" s="361">
        <v>125</v>
      </c>
      <c r="E37" s="441">
        <v>92.5</v>
      </c>
      <c r="F37" s="440"/>
      <c r="G37" s="441">
        <v>75</v>
      </c>
      <c r="H37" s="421">
        <f>$E37*(1-$L37)^(H$35-$E$35)</f>
        <v>60.810810810810828</v>
      </c>
      <c r="I37" s="438"/>
      <c r="J37" s="372" t="s">
        <v>248</v>
      </c>
      <c r="K37" s="312"/>
      <c r="L37" s="95">
        <f>1-(G37/E37)^(1/(G$35-E$35))</f>
        <v>4.1076623050496641E-2</v>
      </c>
      <c r="M37" s="354" t="s">
        <v>274</v>
      </c>
      <c r="N37" s="320"/>
      <c r="O37" s="320"/>
      <c r="P37" s="320"/>
      <c r="Q37" s="320"/>
      <c r="R37" s="320"/>
      <c r="S37" s="320"/>
      <c r="T37" s="320"/>
      <c r="U37" s="320"/>
      <c r="V37" s="320"/>
      <c r="W37" s="320"/>
      <c r="X37" s="320"/>
      <c r="Y37" s="320"/>
      <c r="Z37" s="320"/>
      <c r="AA37" s="320"/>
    </row>
    <row r="38" spans="1:27" x14ac:dyDescent="0.2">
      <c r="B38" s="37" t="s">
        <v>4</v>
      </c>
      <c r="C38" s="341"/>
      <c r="D38" s="399"/>
      <c r="E38" s="124"/>
      <c r="F38" s="398"/>
      <c r="G38" s="124"/>
      <c r="H38" s="124"/>
      <c r="I38" s="399"/>
      <c r="J38" s="372" t="s">
        <v>5</v>
      </c>
      <c r="K38" s="312"/>
      <c r="L38" s="95"/>
      <c r="M38" s="320"/>
      <c r="N38" s="320"/>
      <c r="O38" s="320"/>
      <c r="P38" s="320"/>
      <c r="Q38" s="320"/>
      <c r="R38" s="320"/>
      <c r="S38" s="320"/>
      <c r="T38" s="320"/>
      <c r="U38" s="320"/>
      <c r="V38" s="320"/>
      <c r="W38" s="320"/>
      <c r="X38" s="320"/>
      <c r="Y38" s="320"/>
      <c r="Z38" s="320"/>
      <c r="AA38" s="320"/>
    </row>
    <row r="39" spans="1:27" x14ac:dyDescent="0.2">
      <c r="B39" s="37" t="s">
        <v>6</v>
      </c>
      <c r="C39" s="343"/>
      <c r="D39" s="398"/>
      <c r="E39" s="124"/>
      <c r="F39" s="398"/>
      <c r="G39" s="124"/>
      <c r="H39" s="124"/>
      <c r="I39" s="398"/>
      <c r="J39" s="372" t="s">
        <v>7</v>
      </c>
      <c r="K39" s="312"/>
      <c r="L39" s="95"/>
      <c r="M39" s="320"/>
      <c r="N39" s="320"/>
      <c r="O39" s="320"/>
      <c r="P39" s="320"/>
      <c r="Q39" s="320"/>
      <c r="R39" s="320"/>
      <c r="S39" s="320"/>
      <c r="T39" s="320"/>
      <c r="U39" s="320"/>
      <c r="V39" s="320"/>
      <c r="W39" s="320"/>
      <c r="X39" s="320"/>
      <c r="Y39" s="320"/>
      <c r="Z39" s="320"/>
      <c r="AA39" s="320"/>
    </row>
    <row r="40" spans="1:27" ht="16" thickBot="1" x14ac:dyDescent="0.25">
      <c r="B40" s="6" t="s">
        <v>8</v>
      </c>
      <c r="C40" s="344"/>
      <c r="D40" s="409"/>
      <c r="E40" s="130"/>
      <c r="F40" s="90"/>
      <c r="G40" s="130"/>
      <c r="H40" s="130"/>
      <c r="I40" s="409"/>
      <c r="J40" s="373" t="s">
        <v>9</v>
      </c>
      <c r="K40" s="313"/>
      <c r="L40" s="309"/>
      <c r="M40" s="320"/>
      <c r="N40" s="320"/>
      <c r="O40" s="320"/>
      <c r="P40" s="320"/>
      <c r="Q40" s="320"/>
      <c r="R40" s="320"/>
      <c r="S40" s="320"/>
      <c r="T40" s="320"/>
      <c r="U40" s="320"/>
      <c r="V40" s="320"/>
      <c r="W40" s="320"/>
      <c r="X40" s="320"/>
      <c r="Y40" s="320"/>
      <c r="Z40" s="320"/>
      <c r="AA40" s="320"/>
    </row>
    <row r="41" spans="1:27" ht="16" thickBot="1" x14ac:dyDescent="0.25">
      <c r="B41" s="40"/>
      <c r="C41" s="337"/>
      <c r="D41" s="84"/>
      <c r="E41" s="73"/>
      <c r="F41" s="73"/>
      <c r="G41" s="85"/>
      <c r="H41" s="85"/>
      <c r="I41" s="433"/>
      <c r="J41" s="429"/>
      <c r="K41" s="312"/>
      <c r="L41" s="311"/>
      <c r="M41" s="320"/>
      <c r="N41" s="320"/>
      <c r="O41" s="320"/>
      <c r="P41" s="320"/>
      <c r="Q41" s="320"/>
      <c r="R41" s="320"/>
      <c r="S41" s="320"/>
      <c r="T41" s="320"/>
      <c r="U41" s="320"/>
      <c r="V41" s="320"/>
      <c r="W41" s="320"/>
      <c r="X41" s="320"/>
      <c r="Y41" s="320"/>
      <c r="Z41" s="320"/>
      <c r="AA41" s="320"/>
    </row>
    <row r="42" spans="1:27" x14ac:dyDescent="0.2">
      <c r="A42" s="65" t="s">
        <v>51</v>
      </c>
      <c r="B42" s="38"/>
      <c r="C42" s="49">
        <v>2016</v>
      </c>
      <c r="D42" s="38"/>
      <c r="E42" s="62">
        <v>2020</v>
      </c>
      <c r="F42" s="38">
        <v>2023</v>
      </c>
      <c r="G42" s="62">
        <v>2025</v>
      </c>
      <c r="H42" s="62">
        <v>2030</v>
      </c>
      <c r="I42" s="360">
        <v>2050</v>
      </c>
      <c r="J42" s="360" t="s">
        <v>1</v>
      </c>
      <c r="K42" s="314"/>
      <c r="L42" s="310"/>
      <c r="M42" s="320"/>
      <c r="N42" s="320"/>
      <c r="O42" s="320"/>
      <c r="P42" s="320"/>
      <c r="Q42" s="320"/>
      <c r="R42" s="320"/>
      <c r="S42" s="320"/>
      <c r="T42" s="320"/>
      <c r="U42" s="320"/>
      <c r="V42" s="320"/>
      <c r="W42" s="320"/>
      <c r="X42" s="320"/>
      <c r="Y42" s="320"/>
      <c r="Z42" s="320"/>
      <c r="AA42" s="320"/>
    </row>
    <row r="43" spans="1:27" x14ac:dyDescent="0.2">
      <c r="B43" s="37" t="s">
        <v>2</v>
      </c>
      <c r="C43" s="340"/>
      <c r="D43" s="166"/>
      <c r="E43" s="167"/>
      <c r="F43" s="166"/>
      <c r="G43" s="167"/>
      <c r="H43" s="167"/>
      <c r="I43" s="438"/>
      <c r="J43" s="372" t="s">
        <v>22</v>
      </c>
      <c r="K43" s="312"/>
      <c r="L43" s="95"/>
      <c r="M43" s="320"/>
      <c r="N43" s="320"/>
      <c r="O43" s="320"/>
      <c r="P43" s="320"/>
      <c r="Q43" s="320"/>
      <c r="R43" s="320"/>
      <c r="S43" s="320"/>
      <c r="T43" s="320"/>
      <c r="U43" s="320"/>
      <c r="V43" s="320"/>
      <c r="W43" s="320"/>
      <c r="X43" s="320"/>
      <c r="Y43" s="320"/>
      <c r="Z43" s="320"/>
      <c r="AA43" s="320"/>
    </row>
    <row r="44" spans="1:27" x14ac:dyDescent="0.2">
      <c r="B44" s="40" t="s">
        <v>3</v>
      </c>
      <c r="C44" s="328">
        <f>C5/'Overview 2016 (in)'!$O$7</f>
        <v>100</v>
      </c>
      <c r="D44" s="20"/>
      <c r="E44" s="173">
        <v>95</v>
      </c>
      <c r="F44" s="87"/>
      <c r="G44" s="173">
        <v>69</v>
      </c>
      <c r="H44" s="173">
        <v>53</v>
      </c>
      <c r="I44" s="397"/>
      <c r="J44" s="372" t="s">
        <v>23</v>
      </c>
      <c r="K44" s="312"/>
      <c r="L44" s="95"/>
      <c r="M44" s="320"/>
      <c r="N44" s="320"/>
      <c r="O44" s="320"/>
      <c r="P44" s="320"/>
      <c r="Q44" s="320"/>
      <c r="R44" s="320"/>
      <c r="S44" s="320"/>
      <c r="T44" s="320"/>
      <c r="U44" s="320"/>
      <c r="V44" s="320"/>
      <c r="W44" s="320"/>
      <c r="X44" s="320"/>
      <c r="Y44" s="320"/>
      <c r="Z44" s="320"/>
      <c r="AA44" s="320"/>
    </row>
    <row r="45" spans="1:27" x14ac:dyDescent="0.2">
      <c r="B45" s="37" t="s">
        <v>4</v>
      </c>
      <c r="C45" s="345"/>
      <c r="D45" s="87"/>
      <c r="E45" s="124"/>
      <c r="F45" s="88"/>
      <c r="G45" s="124"/>
      <c r="H45" s="124"/>
      <c r="I45" s="399"/>
      <c r="J45" s="372" t="s">
        <v>5</v>
      </c>
      <c r="K45" s="312"/>
      <c r="L45" s="95"/>
      <c r="M45" s="320"/>
      <c r="N45" s="320"/>
      <c r="O45" s="320"/>
      <c r="P45" s="320"/>
      <c r="Q45" s="320"/>
      <c r="R45" s="320"/>
      <c r="S45" s="320"/>
      <c r="T45" s="320"/>
      <c r="U45" s="320"/>
      <c r="V45" s="320"/>
      <c r="W45" s="320"/>
      <c r="X45" s="320"/>
      <c r="Y45" s="320"/>
      <c r="Z45" s="320"/>
      <c r="AA45" s="320"/>
    </row>
    <row r="46" spans="1:27" x14ac:dyDescent="0.2">
      <c r="B46" s="37" t="s">
        <v>6</v>
      </c>
      <c r="C46" s="345"/>
      <c r="D46" s="87"/>
      <c r="E46" s="124"/>
      <c r="F46" s="88"/>
      <c r="G46" s="124"/>
      <c r="H46" s="124"/>
      <c r="I46" s="398"/>
      <c r="J46" s="372" t="s">
        <v>7</v>
      </c>
      <c r="K46" s="312"/>
      <c r="L46" s="95"/>
      <c r="M46" s="320"/>
      <c r="N46" s="320"/>
      <c r="O46" s="320"/>
      <c r="P46" s="320"/>
      <c r="Q46" s="320"/>
      <c r="R46" s="320"/>
      <c r="S46" s="320"/>
      <c r="T46" s="320"/>
      <c r="U46" s="320"/>
      <c r="V46" s="320"/>
      <c r="W46" s="320"/>
      <c r="X46" s="320"/>
      <c r="Y46" s="320"/>
      <c r="Z46" s="320"/>
      <c r="AA46" s="320"/>
    </row>
    <row r="47" spans="1:27" ht="16" thickBot="1" x14ac:dyDescent="0.25">
      <c r="B47" s="6" t="s">
        <v>8</v>
      </c>
      <c r="C47" s="346"/>
      <c r="D47" s="319"/>
      <c r="E47" s="130"/>
      <c r="F47" s="90"/>
      <c r="G47" s="130"/>
      <c r="H47" s="130"/>
      <c r="I47" s="409"/>
      <c r="J47" s="373" t="s">
        <v>9</v>
      </c>
      <c r="K47" s="313"/>
      <c r="L47" s="309"/>
      <c r="M47" s="320"/>
      <c r="N47" s="320"/>
      <c r="O47" s="320"/>
      <c r="P47" s="320"/>
      <c r="Q47" s="320"/>
      <c r="R47" s="320"/>
      <c r="S47" s="320"/>
      <c r="T47" s="320"/>
      <c r="U47" s="320"/>
      <c r="V47" s="320"/>
      <c r="W47" s="320"/>
      <c r="X47" s="320"/>
      <c r="Y47" s="320"/>
      <c r="Z47" s="320"/>
      <c r="AA47" s="320"/>
    </row>
    <row r="48" spans="1:27" x14ac:dyDescent="0.2">
      <c r="D48" s="320"/>
      <c r="E48" s="320"/>
      <c r="F48" s="320"/>
      <c r="G48" s="320"/>
      <c r="H48" s="320"/>
      <c r="I48" s="372"/>
      <c r="J48" s="372"/>
      <c r="K48" s="320"/>
      <c r="L48" s="320"/>
      <c r="M48" s="320"/>
      <c r="N48" s="320"/>
      <c r="O48" s="320"/>
      <c r="P48" s="320"/>
      <c r="Q48" s="320"/>
      <c r="R48" s="320"/>
      <c r="S48" s="320"/>
      <c r="T48" s="320"/>
      <c r="U48" s="320"/>
      <c r="V48" s="320"/>
      <c r="W48" s="320"/>
      <c r="X48" s="320"/>
      <c r="Y48" s="320"/>
      <c r="Z48" s="320"/>
      <c r="AA48" s="320"/>
    </row>
    <row r="49" spans="1:27" x14ac:dyDescent="0.2">
      <c r="A49" s="43"/>
      <c r="B49" s="43"/>
      <c r="C49" s="43"/>
      <c r="D49" s="43"/>
      <c r="E49" s="43"/>
      <c r="F49" s="43"/>
      <c r="G49" s="43"/>
      <c r="H49" s="43"/>
      <c r="I49" s="136"/>
      <c r="J49" s="372"/>
      <c r="K49" s="320"/>
      <c r="L49" s="320"/>
      <c r="M49" s="320"/>
      <c r="N49" s="320"/>
      <c r="O49" s="320"/>
      <c r="P49" s="320"/>
      <c r="Q49" s="320"/>
      <c r="R49" s="320"/>
      <c r="S49" s="320"/>
      <c r="T49" s="320"/>
      <c r="U49" s="320"/>
      <c r="V49" s="320"/>
      <c r="W49" s="320"/>
      <c r="X49" s="320"/>
      <c r="Y49" s="320"/>
      <c r="Z49" s="320"/>
      <c r="AA49" s="320"/>
    </row>
    <row r="50" spans="1:27" ht="19" x14ac:dyDescent="0.25">
      <c r="A50" s="43"/>
      <c r="B50" s="144"/>
      <c r="C50" s="171"/>
      <c r="D50" s="43"/>
      <c r="E50" s="43"/>
      <c r="F50" s="43"/>
      <c r="G50" s="43"/>
      <c r="H50" s="43"/>
      <c r="I50" s="136"/>
      <c r="J50" s="372"/>
      <c r="K50" s="320"/>
      <c r="L50" s="320"/>
      <c r="M50" s="320"/>
      <c r="N50" s="320"/>
      <c r="O50" s="320"/>
      <c r="P50" s="320"/>
      <c r="Q50" s="320"/>
      <c r="R50" s="320"/>
      <c r="S50" s="320"/>
      <c r="T50" s="320"/>
      <c r="U50" s="320"/>
      <c r="V50" s="320"/>
      <c r="W50" s="320"/>
      <c r="X50" s="320"/>
      <c r="Y50" s="320"/>
      <c r="Z50" s="320"/>
      <c r="AA50" s="320"/>
    </row>
    <row r="51" spans="1:27" x14ac:dyDescent="0.2">
      <c r="A51" s="43"/>
      <c r="B51" s="50"/>
      <c r="C51" s="50"/>
      <c r="D51" s="408" t="s">
        <v>262</v>
      </c>
      <c r="E51" s="408" t="s">
        <v>263</v>
      </c>
      <c r="F51" s="408" t="s">
        <v>264</v>
      </c>
      <c r="G51" s="408" t="s">
        <v>265</v>
      </c>
      <c r="H51" s="436"/>
      <c r="I51" s="50"/>
      <c r="J51" s="320"/>
      <c r="K51" s="320"/>
      <c r="L51" s="320"/>
      <c r="M51" s="320"/>
      <c r="N51" s="320"/>
      <c r="O51" s="320"/>
      <c r="P51" s="320"/>
      <c r="Q51" s="320"/>
      <c r="R51" s="320"/>
      <c r="S51" s="320"/>
      <c r="T51" s="320"/>
      <c r="U51" s="320"/>
      <c r="V51" s="320"/>
      <c r="W51" s="320"/>
      <c r="X51" s="320"/>
      <c r="Y51" s="320"/>
      <c r="Z51" s="320"/>
      <c r="AA51" s="320"/>
    </row>
    <row r="52" spans="1:27" x14ac:dyDescent="0.2">
      <c r="A52" s="43"/>
      <c r="B52" s="50"/>
      <c r="C52" s="72"/>
      <c r="D52" s="406">
        <f>H23/C23</f>
        <v>0.56051579957830644</v>
      </c>
      <c r="E52" s="406"/>
      <c r="F52" s="406">
        <f>H25/E25</f>
        <v>1.4856208334159897</v>
      </c>
      <c r="G52" s="406"/>
      <c r="H52" s="437"/>
      <c r="I52" s="43"/>
      <c r="J52" s="320"/>
      <c r="K52" s="320"/>
      <c r="L52" s="320"/>
      <c r="M52" s="320"/>
      <c r="N52" s="320"/>
      <c r="O52" s="320"/>
      <c r="P52" s="320"/>
      <c r="Q52" s="320"/>
      <c r="R52" s="320"/>
      <c r="S52" s="320"/>
      <c r="T52" s="320"/>
      <c r="U52" s="320"/>
      <c r="V52" s="320"/>
      <c r="W52" s="320"/>
      <c r="X52" s="320"/>
      <c r="Y52" s="320"/>
      <c r="Z52" s="320"/>
      <c r="AA52" s="320"/>
    </row>
    <row r="53" spans="1:27" x14ac:dyDescent="0.2">
      <c r="A53" s="43"/>
      <c r="B53" s="50"/>
      <c r="C53" s="72"/>
      <c r="D53" s="406">
        <f>H30/D30</f>
        <v>0.4024665813261622</v>
      </c>
      <c r="E53" s="406"/>
      <c r="F53" s="406"/>
      <c r="G53" s="406"/>
      <c r="H53" s="437"/>
      <c r="I53" s="43"/>
      <c r="J53" s="320"/>
      <c r="K53" s="320"/>
      <c r="L53" s="320"/>
      <c r="M53" s="320"/>
      <c r="N53" s="320"/>
      <c r="O53" s="320"/>
      <c r="P53" s="320"/>
      <c r="Q53" s="320"/>
      <c r="R53" s="320"/>
      <c r="S53" s="320"/>
      <c r="T53" s="320"/>
      <c r="U53" s="320"/>
      <c r="V53" s="320"/>
      <c r="W53" s="320"/>
      <c r="X53" s="320"/>
      <c r="Y53" s="320"/>
      <c r="Z53" s="320"/>
      <c r="AA53" s="320"/>
    </row>
    <row r="54" spans="1:27" x14ac:dyDescent="0.2">
      <c r="A54" s="43"/>
      <c r="B54" s="50"/>
      <c r="C54" s="74"/>
      <c r="D54" s="406">
        <f>H37/D37</f>
        <v>0.48648648648648662</v>
      </c>
      <c r="E54" s="406"/>
      <c r="F54" s="406"/>
      <c r="G54" s="406"/>
      <c r="H54" s="43"/>
      <c r="I54" s="43"/>
      <c r="J54" s="320"/>
      <c r="K54" s="320"/>
      <c r="L54" s="320"/>
      <c r="M54" s="320"/>
      <c r="N54" s="320"/>
      <c r="O54" s="320"/>
      <c r="P54" s="320"/>
      <c r="Q54" s="320"/>
      <c r="R54" s="320"/>
      <c r="S54" s="320"/>
      <c r="T54" s="320"/>
      <c r="U54" s="320"/>
      <c r="V54" s="320"/>
      <c r="W54" s="320"/>
      <c r="X54" s="320"/>
      <c r="Y54" s="320"/>
      <c r="Z54" s="320"/>
      <c r="AA54" s="320"/>
    </row>
    <row r="55" spans="1:27" x14ac:dyDescent="0.2">
      <c r="A55" s="43"/>
      <c r="B55" s="50"/>
      <c r="C55" s="74"/>
      <c r="D55" s="406">
        <f>H44/C44</f>
        <v>0.53</v>
      </c>
      <c r="E55" s="406"/>
      <c r="F55" s="406"/>
      <c r="G55" s="406"/>
      <c r="H55" s="43"/>
      <c r="I55" s="43"/>
      <c r="J55" s="320"/>
      <c r="K55" s="320"/>
      <c r="L55" s="320"/>
      <c r="M55" s="320"/>
      <c r="N55" s="320"/>
      <c r="O55" s="320"/>
      <c r="P55" s="320"/>
      <c r="Q55" s="320"/>
      <c r="R55" s="320"/>
      <c r="S55" s="320"/>
      <c r="T55" s="320"/>
      <c r="U55" s="320"/>
      <c r="V55" s="320"/>
      <c r="W55" s="320"/>
      <c r="X55" s="320"/>
      <c r="Y55" s="320"/>
      <c r="Z55" s="320"/>
      <c r="AA55" s="320"/>
    </row>
    <row r="56" spans="1:27" x14ac:dyDescent="0.2">
      <c r="A56" s="43"/>
      <c r="B56" s="50"/>
      <c r="C56" s="74"/>
      <c r="D56" s="408" t="s">
        <v>261</v>
      </c>
      <c r="E56" s="408" t="s">
        <v>261</v>
      </c>
      <c r="F56" s="408" t="s">
        <v>261</v>
      </c>
      <c r="G56" s="408" t="s">
        <v>261</v>
      </c>
      <c r="H56" s="408"/>
      <c r="I56" s="43"/>
      <c r="J56" s="320"/>
      <c r="K56" s="320"/>
      <c r="L56" s="320"/>
      <c r="M56" s="320"/>
      <c r="N56" s="320"/>
      <c r="O56" s="320"/>
      <c r="P56" s="320"/>
      <c r="Q56" s="320"/>
      <c r="R56" s="320"/>
      <c r="S56" s="320"/>
      <c r="T56" s="320"/>
      <c r="U56" s="320"/>
      <c r="V56" s="320"/>
      <c r="W56" s="320"/>
      <c r="X56" s="320"/>
      <c r="Y56" s="320"/>
      <c r="Z56" s="320"/>
      <c r="AA56" s="320"/>
    </row>
    <row r="57" spans="1:27" x14ac:dyDescent="0.2">
      <c r="A57" s="43"/>
      <c r="B57" s="50"/>
      <c r="C57" s="143"/>
      <c r="D57" s="406">
        <f>AVERAGE(D52:D53)</f>
        <v>0.48149119045223432</v>
      </c>
      <c r="E57" s="406"/>
      <c r="F57" s="406">
        <f>AVERAGE(F52:F55)</f>
        <v>1.4856208334159897</v>
      </c>
      <c r="G57" s="406"/>
      <c r="H57" s="406"/>
      <c r="I57" s="43"/>
      <c r="J57" s="320"/>
      <c r="K57" s="320"/>
      <c r="L57" s="320"/>
      <c r="M57" s="320"/>
      <c r="N57" s="320"/>
      <c r="O57" s="320"/>
      <c r="P57" s="320"/>
      <c r="Q57" s="320"/>
      <c r="R57" s="320"/>
      <c r="S57" s="320"/>
      <c r="T57" s="320"/>
      <c r="U57" s="320"/>
      <c r="V57" s="320"/>
      <c r="W57" s="320"/>
      <c r="X57" s="320"/>
      <c r="Y57" s="320"/>
      <c r="Z57" s="320"/>
      <c r="AA57" s="320"/>
    </row>
    <row r="58" spans="1:27" x14ac:dyDescent="0.2">
      <c r="A58" s="43"/>
      <c r="B58" s="43"/>
      <c r="C58" s="43"/>
      <c r="D58" s="43"/>
      <c r="E58" s="43"/>
      <c r="F58" s="43"/>
      <c r="G58" s="43"/>
      <c r="H58" s="43"/>
      <c r="I58" s="43"/>
      <c r="J58" s="320"/>
      <c r="K58" s="320"/>
      <c r="L58" s="320"/>
      <c r="M58" s="320"/>
      <c r="N58" s="320"/>
      <c r="O58" s="320"/>
      <c r="P58" s="320"/>
      <c r="Q58" s="320"/>
      <c r="R58" s="320"/>
      <c r="S58" s="320"/>
      <c r="T58" s="320"/>
      <c r="U58" s="320"/>
      <c r="V58" s="320"/>
      <c r="W58" s="320"/>
      <c r="X58" s="320"/>
      <c r="Y58" s="320"/>
      <c r="Z58" s="320"/>
      <c r="AA58" s="320"/>
    </row>
    <row r="59" spans="1:27" x14ac:dyDescent="0.2">
      <c r="A59" s="43"/>
      <c r="B59" s="43"/>
      <c r="C59" s="43"/>
      <c r="D59" s="43"/>
      <c r="E59" s="43"/>
      <c r="F59" s="43"/>
      <c r="G59" s="43"/>
      <c r="H59" s="43"/>
      <c r="I59" s="43"/>
      <c r="J59" s="43"/>
      <c r="K59" s="320"/>
      <c r="L59" s="320"/>
      <c r="M59" s="320"/>
      <c r="N59" s="320"/>
      <c r="O59" s="320"/>
      <c r="P59" s="320"/>
      <c r="Q59" s="320"/>
      <c r="R59" s="320"/>
      <c r="S59" s="320"/>
      <c r="T59" s="320"/>
      <c r="U59" s="320"/>
      <c r="V59" s="320"/>
      <c r="W59" s="320"/>
      <c r="X59" s="320"/>
      <c r="Y59" s="320"/>
      <c r="Z59" s="320"/>
      <c r="AA59" s="320"/>
    </row>
    <row r="60" spans="1:27" x14ac:dyDescent="0.2">
      <c r="D60" s="320"/>
      <c r="E60" s="320"/>
      <c r="F60" s="320"/>
      <c r="G60" s="320"/>
      <c r="H60" s="320"/>
      <c r="I60" s="320"/>
      <c r="J60" s="320"/>
      <c r="K60" s="320"/>
      <c r="L60" s="320"/>
      <c r="M60" s="320"/>
      <c r="N60" s="320"/>
      <c r="O60" s="320"/>
      <c r="P60" s="320"/>
      <c r="Q60" s="320"/>
      <c r="R60" s="320"/>
      <c r="S60" s="320"/>
      <c r="T60" s="320"/>
      <c r="U60" s="320"/>
      <c r="V60" s="320"/>
      <c r="W60" s="320"/>
      <c r="X60" s="320"/>
      <c r="Y60" s="320"/>
      <c r="Z60" s="320"/>
      <c r="AA60" s="320"/>
    </row>
    <row r="61" spans="1:27" x14ac:dyDescent="0.2">
      <c r="D61" s="320"/>
      <c r="E61" s="320"/>
      <c r="F61" s="320"/>
      <c r="G61" s="320"/>
      <c r="H61" s="320"/>
      <c r="I61" s="320"/>
      <c r="J61" s="320"/>
      <c r="K61" s="320"/>
      <c r="L61" s="320"/>
      <c r="M61" s="320"/>
      <c r="N61" s="320"/>
      <c r="O61" s="320"/>
      <c r="P61" s="320"/>
      <c r="Q61" s="320"/>
      <c r="R61" s="320"/>
      <c r="S61" s="320"/>
      <c r="T61" s="320"/>
      <c r="U61" s="320"/>
      <c r="V61" s="320"/>
      <c r="W61" s="320"/>
      <c r="X61" s="320"/>
      <c r="Y61" s="320"/>
      <c r="Z61" s="320"/>
      <c r="AA61" s="320"/>
    </row>
    <row r="62" spans="1:27" x14ac:dyDescent="0.2">
      <c r="D62" s="320"/>
      <c r="E62" s="320"/>
      <c r="F62" s="320"/>
      <c r="G62" s="320"/>
      <c r="H62" s="320"/>
      <c r="I62" s="320"/>
      <c r="J62" s="320"/>
      <c r="K62" s="320"/>
      <c r="L62" s="320"/>
      <c r="M62" s="320"/>
      <c r="N62" s="320"/>
      <c r="O62" s="320"/>
      <c r="P62" s="320"/>
      <c r="Q62" s="320"/>
      <c r="R62" s="320"/>
      <c r="S62" s="320"/>
      <c r="T62" s="320"/>
      <c r="U62" s="320"/>
      <c r="V62" s="320"/>
      <c r="W62" s="320"/>
      <c r="X62" s="320"/>
      <c r="Y62" s="320"/>
      <c r="Z62" s="320"/>
      <c r="AA62" s="320"/>
    </row>
  </sheetData>
  <hyperlinks>
    <hyperlink ref="E15" r:id="rId1" xr:uid="{00000000-0004-0000-2400-000000000000}"/>
    <hyperlink ref="E16" r:id="rId2" xr:uid="{00000000-0004-0000-2400-000001000000}"/>
  </hyperlinks>
  <pageMargins left="0.7" right="0.7" top="0.75" bottom="0.75" header="0.3" footer="0.3"/>
  <pageSetup paperSize="9" orientation="portrait" r:id="rId3"/>
  <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7" tint="0.39997558519241921"/>
  </sheetPr>
  <dimension ref="B2:O19"/>
  <sheetViews>
    <sheetView zoomScale="85" zoomScaleNormal="85" workbookViewId="0"/>
  </sheetViews>
  <sheetFormatPr baseColWidth="10" defaultColWidth="11.5" defaultRowHeight="15" x14ac:dyDescent="0.2"/>
  <cols>
    <col min="1" max="1" width="11.5" style="192"/>
    <col min="2" max="2" width="27.6640625" style="192" bestFit="1" customWidth="1"/>
    <col min="3" max="5" width="11.5" style="192"/>
    <col min="6" max="6" width="11.5" style="192" customWidth="1"/>
    <col min="7" max="14" width="11.5" style="192"/>
    <col min="15" max="15" width="20.1640625" style="192" bestFit="1" customWidth="1"/>
    <col min="16" max="16384" width="11.5" style="192"/>
  </cols>
  <sheetData>
    <row r="2" spans="2:15" x14ac:dyDescent="0.2">
      <c r="C2" s="39"/>
      <c r="D2" s="39"/>
      <c r="E2" s="39"/>
      <c r="F2" s="39"/>
      <c r="G2" s="39"/>
      <c r="H2" s="39"/>
      <c r="I2" s="39"/>
      <c r="J2" s="39"/>
      <c r="K2" s="39"/>
      <c r="L2" s="39"/>
    </row>
    <row r="3" spans="2:15" x14ac:dyDescent="0.2">
      <c r="C3" s="588">
        <v>2016</v>
      </c>
      <c r="D3" s="588"/>
      <c r="E3" s="588"/>
      <c r="F3" s="589">
        <v>2020</v>
      </c>
      <c r="G3" s="589"/>
      <c r="H3" s="589"/>
      <c r="I3" s="589">
        <v>2025</v>
      </c>
      <c r="J3" s="589"/>
      <c r="K3" s="589"/>
      <c r="L3" s="590">
        <v>2030</v>
      </c>
      <c r="M3" s="590"/>
      <c r="N3" s="590"/>
      <c r="O3" s="195"/>
    </row>
    <row r="4" spans="2:15" ht="20" thickBot="1" x14ac:dyDescent="0.3">
      <c r="B4" s="194" t="s">
        <v>210</v>
      </c>
      <c r="C4" s="196" t="s">
        <v>72</v>
      </c>
      <c r="D4" s="196" t="s">
        <v>73</v>
      </c>
      <c r="E4" s="196" t="s">
        <v>178</v>
      </c>
      <c r="F4" s="196" t="s">
        <v>72</v>
      </c>
      <c r="G4" s="196" t="s">
        <v>73</v>
      </c>
      <c r="H4" s="196" t="s">
        <v>178</v>
      </c>
      <c r="I4" s="196" t="s">
        <v>72</v>
      </c>
      <c r="J4" s="196" t="s">
        <v>73</v>
      </c>
      <c r="K4" s="196" t="s">
        <v>178</v>
      </c>
      <c r="L4" s="196" t="s">
        <v>72</v>
      </c>
      <c r="M4" s="196" t="s">
        <v>73</v>
      </c>
      <c r="N4" s="196" t="s">
        <v>178</v>
      </c>
      <c r="O4" s="196" t="s">
        <v>1</v>
      </c>
    </row>
    <row r="5" spans="2:15" x14ac:dyDescent="0.2">
      <c r="B5" s="51" t="s">
        <v>74</v>
      </c>
      <c r="C5" s="147">
        <f>'Overview 2016 (in)'!J70</f>
        <v>0</v>
      </c>
      <c r="D5" s="52">
        <f>'Overview 2016 (in)'!K70</f>
        <v>0</v>
      </c>
      <c r="E5" s="53">
        <f>'Overview 2016 (in)'!L70</f>
        <v>0</v>
      </c>
      <c r="F5" s="147">
        <f>IFERROR(C5*H5/E5,0)</f>
        <v>0</v>
      </c>
      <c r="G5" s="52">
        <f>IFERROR(D5*H5/E5, 0)</f>
        <v>0</v>
      </c>
      <c r="H5" s="53">
        <f>E5</f>
        <v>0</v>
      </c>
      <c r="I5" s="147">
        <f>IFERROR(F5*K5/H5,0)</f>
        <v>0</v>
      </c>
      <c r="J5" s="52">
        <f>IFERROR(G5*K5/H5, 0)</f>
        <v>0</v>
      </c>
      <c r="K5" s="53">
        <v>1</v>
      </c>
      <c r="L5" s="147">
        <f>IFERROR(I5*N5/K5,0)</f>
        <v>0</v>
      </c>
      <c r="M5" s="52">
        <f>IFERROR(J5*N5/K5, 0)</f>
        <v>0</v>
      </c>
      <c r="N5" s="53">
        <v>1</v>
      </c>
      <c r="O5" s="54" t="s">
        <v>75</v>
      </c>
    </row>
    <row r="6" spans="2:15" x14ac:dyDescent="0.2">
      <c r="B6" s="37" t="s">
        <v>76</v>
      </c>
      <c r="C6" s="148">
        <f>'Overview 2016 (in)'!J71</f>
        <v>0</v>
      </c>
      <c r="D6" s="149">
        <f>'Overview 2016 (in)'!K71</f>
        <v>0</v>
      </c>
      <c r="E6" s="150">
        <f>'Overview 2016 (in)'!L71</f>
        <v>0</v>
      </c>
      <c r="F6" s="148">
        <f t="shared" ref="F6:F15" si="0">IFERROR(C6*H6/E6,0)</f>
        <v>0</v>
      </c>
      <c r="G6" s="149">
        <f t="shared" ref="G6:G13" si="1">IFERROR(D6*H6/E6, 0)</f>
        <v>0</v>
      </c>
      <c r="H6" s="150">
        <f>E6</f>
        <v>0</v>
      </c>
      <c r="I6" s="148">
        <f t="shared" ref="I6:I15" si="2">IFERROR(F6*K6/H6,0)</f>
        <v>0</v>
      </c>
      <c r="J6" s="149">
        <f t="shared" ref="J6:J13" si="3">IFERROR(G6*K6/H6, 0)</f>
        <v>0</v>
      </c>
      <c r="K6" s="150">
        <v>0.15</v>
      </c>
      <c r="L6" s="148">
        <f t="shared" ref="L6:L15" si="4">IFERROR(I6*N6/K6,0)</f>
        <v>0</v>
      </c>
      <c r="M6" s="149">
        <f t="shared" ref="M6:M13" si="5">IFERROR(J6*N6/K6, 0)</f>
        <v>0</v>
      </c>
      <c r="N6" s="150">
        <v>0.15</v>
      </c>
      <c r="O6" s="55" t="s">
        <v>77</v>
      </c>
    </row>
    <row r="7" spans="2:15" x14ac:dyDescent="0.2">
      <c r="B7" s="51" t="s">
        <v>4</v>
      </c>
      <c r="C7" s="151">
        <f>'Overview 2016 (in)'!J72</f>
        <v>0</v>
      </c>
      <c r="D7" s="56">
        <f>'Overview 2016 (in)'!K72</f>
        <v>0</v>
      </c>
      <c r="E7" s="197">
        <f>'Overview 2016 (in)'!L72</f>
        <v>0</v>
      </c>
      <c r="F7" s="151">
        <f t="shared" ca="1" si="0"/>
        <v>0</v>
      </c>
      <c r="G7" s="56">
        <f t="shared" ca="1" si="1"/>
        <v>0</v>
      </c>
      <c r="H7" s="197">
        <f ca="1">INDIRECT(ADDRESS(ROW($B6),COLUMN(D$4),1,,$B$4))</f>
        <v>0</v>
      </c>
      <c r="I7" s="151">
        <f t="shared" ca="1" si="2"/>
        <v>0</v>
      </c>
      <c r="J7" s="56">
        <f t="shared" ca="1" si="3"/>
        <v>0</v>
      </c>
      <c r="K7" s="197">
        <f ca="1">INDIRECT(ADDRESS(ROW($B6),COLUMN(E$4),1,,$B$4))</f>
        <v>0</v>
      </c>
      <c r="L7" s="151">
        <f t="shared" ca="1" si="4"/>
        <v>0</v>
      </c>
      <c r="M7" s="56">
        <f t="shared" ca="1" si="5"/>
        <v>0</v>
      </c>
      <c r="N7" s="197">
        <f ca="1">INDIRECT(ADDRESS(ROW($B6),COLUMN(F$4),1,,$B$4))</f>
        <v>0</v>
      </c>
      <c r="O7" s="54" t="s">
        <v>5</v>
      </c>
    </row>
    <row r="8" spans="2:15" x14ac:dyDescent="0.2">
      <c r="B8" s="37" t="s">
        <v>6</v>
      </c>
      <c r="C8" s="152">
        <f>'Overview 2016 (in)'!J73</f>
        <v>25</v>
      </c>
      <c r="D8" s="153">
        <f>'Overview 2016 (in)'!K73</f>
        <v>12</v>
      </c>
      <c r="E8" s="199">
        <f>'Overview 2016 (in)'!L73</f>
        <v>15</v>
      </c>
      <c r="F8" s="152">
        <f ca="1">IFERROR(MIN(C8*H8/E8,25),0)</f>
        <v>25</v>
      </c>
      <c r="G8" s="153">
        <f t="shared" ca="1" si="1"/>
        <v>13.43686061357691</v>
      </c>
      <c r="H8" s="199">
        <f ca="1">INDIRECT(ADDRESS(ROW($B7),COLUMN(D$4),1,,$B$4))</f>
        <v>16.796075766971139</v>
      </c>
      <c r="I8" s="229">
        <f ca="1">IFERROR(MIN(F8*K8/H8,25),0)</f>
        <v>25</v>
      </c>
      <c r="J8" s="153">
        <f t="shared" ca="1" si="3"/>
        <v>15.477240088557124</v>
      </c>
      <c r="K8" s="199">
        <f ca="1">INDIRECT(ADDRESS(ROW($B7),COLUMN(E$4),1,,$B$4))</f>
        <v>19.346550110696409</v>
      </c>
      <c r="L8" s="229">
        <f ca="1">IFERROR(MIN(I8*N8/K8,25),0)</f>
        <v>25</v>
      </c>
      <c r="M8" s="153">
        <f t="shared" ca="1" si="5"/>
        <v>17.827450000991874</v>
      </c>
      <c r="N8" s="199">
        <f ca="1">INDIRECT(ADDRESS(ROW($B7),COLUMN(F$4),1,,$B$4))</f>
        <v>22.284312501239846</v>
      </c>
      <c r="O8" s="55" t="s">
        <v>7</v>
      </c>
    </row>
    <row r="9" spans="2:15" x14ac:dyDescent="0.2">
      <c r="B9" s="51" t="s">
        <v>78</v>
      </c>
      <c r="C9" s="151">
        <f>'Overview 2016 (in)'!J74</f>
        <v>0</v>
      </c>
      <c r="D9" s="56">
        <f>'Overview 2016 (in)'!K74</f>
        <v>0</v>
      </c>
      <c r="E9" s="57">
        <f>'Overview 2016 (in)'!L74</f>
        <v>0</v>
      </c>
      <c r="F9" s="151">
        <f t="shared" si="0"/>
        <v>0</v>
      </c>
      <c r="G9" s="56">
        <f t="shared" si="1"/>
        <v>0</v>
      </c>
      <c r="H9" s="57">
        <f>E9</f>
        <v>0</v>
      </c>
      <c r="I9" s="151">
        <f t="shared" si="2"/>
        <v>0</v>
      </c>
      <c r="J9" s="56">
        <f t="shared" si="3"/>
        <v>0</v>
      </c>
      <c r="K9" s="57">
        <v>0</v>
      </c>
      <c r="L9" s="151">
        <f t="shared" si="4"/>
        <v>0</v>
      </c>
      <c r="M9" s="56">
        <f t="shared" si="5"/>
        <v>0</v>
      </c>
      <c r="N9" s="57">
        <v>0</v>
      </c>
      <c r="O9" s="54" t="s">
        <v>9</v>
      </c>
    </row>
    <row r="10" spans="2:15" x14ac:dyDescent="0.2">
      <c r="B10" s="37" t="s">
        <v>8</v>
      </c>
      <c r="C10" s="148">
        <f>'Overview 2016 (in)'!J75</f>
        <v>98</v>
      </c>
      <c r="D10" s="149">
        <f>'Overview 2016 (in)'!K75</f>
        <v>98</v>
      </c>
      <c r="E10" s="210">
        <f>'Overview 2016 (in)'!L75</f>
        <v>98</v>
      </c>
      <c r="F10" s="148">
        <f t="shared" ca="1" si="0"/>
        <v>98</v>
      </c>
      <c r="G10" s="149">
        <f t="shared" ca="1" si="1"/>
        <v>98</v>
      </c>
      <c r="H10" s="210">
        <f ca="1">INDIRECT(ADDRESS(ROW($B8),COLUMN(D$4),1,,$B$4))</f>
        <v>98</v>
      </c>
      <c r="I10" s="148">
        <f t="shared" ca="1" si="2"/>
        <v>98</v>
      </c>
      <c r="J10" s="149">
        <f t="shared" ca="1" si="3"/>
        <v>98</v>
      </c>
      <c r="K10" s="210">
        <f ca="1">INDIRECT(ADDRESS(ROW($B8),COLUMN(E$4),1,,$B$4))</f>
        <v>98</v>
      </c>
      <c r="L10" s="148">
        <f t="shared" ca="1" si="4"/>
        <v>98</v>
      </c>
      <c r="M10" s="149">
        <f t="shared" ca="1" si="5"/>
        <v>98</v>
      </c>
      <c r="N10" s="210">
        <f ca="1">INDIRECT(ADDRESS(ROW($B8),COLUMN(F$4),1,,$B$4))</f>
        <v>98</v>
      </c>
      <c r="O10" s="55" t="s">
        <v>9</v>
      </c>
    </row>
    <row r="11" spans="2:15" x14ac:dyDescent="0.2">
      <c r="B11" s="51" t="s">
        <v>79</v>
      </c>
      <c r="C11" s="147">
        <f>'Overview 2016 (in)'!J76</f>
        <v>0</v>
      </c>
      <c r="D11" s="52">
        <f>'Overview 2016 (in)'!K76</f>
        <v>0</v>
      </c>
      <c r="E11" s="53">
        <f>'Overview 2016 (in)'!L76</f>
        <v>0</v>
      </c>
      <c r="F11" s="147">
        <f t="shared" si="0"/>
        <v>0</v>
      </c>
      <c r="G11" s="52">
        <f t="shared" si="1"/>
        <v>0</v>
      </c>
      <c r="H11" s="53">
        <f>E11</f>
        <v>0</v>
      </c>
      <c r="I11" s="147">
        <f t="shared" si="2"/>
        <v>0</v>
      </c>
      <c r="J11" s="52">
        <f t="shared" si="3"/>
        <v>0</v>
      </c>
      <c r="K11" s="53">
        <v>0</v>
      </c>
      <c r="L11" s="147">
        <f t="shared" si="4"/>
        <v>0</v>
      </c>
      <c r="M11" s="52">
        <f t="shared" si="5"/>
        <v>0</v>
      </c>
      <c r="N11" s="53">
        <v>0</v>
      </c>
      <c r="O11" s="54" t="s">
        <v>80</v>
      </c>
    </row>
    <row r="12" spans="2:15" x14ac:dyDescent="0.2">
      <c r="B12" s="154" t="s">
        <v>81</v>
      </c>
      <c r="C12" s="148" t="str">
        <f>'Overview 2016 (in)'!J77</f>
        <v>-</v>
      </c>
      <c r="D12" s="149" t="str">
        <f>'Overview 2016 (in)'!K77</f>
        <v>-</v>
      </c>
      <c r="E12" s="150">
        <f>'Overview 2016 (in)'!L77</f>
        <v>0.02</v>
      </c>
      <c r="F12" s="148">
        <f t="shared" si="0"/>
        <v>0</v>
      </c>
      <c r="G12" s="149">
        <f t="shared" si="1"/>
        <v>0</v>
      </c>
      <c r="H12" s="150">
        <f>E12</f>
        <v>0.02</v>
      </c>
      <c r="I12" s="148">
        <f t="shared" si="2"/>
        <v>0</v>
      </c>
      <c r="J12" s="149">
        <f t="shared" si="3"/>
        <v>0</v>
      </c>
      <c r="K12" s="150">
        <v>30</v>
      </c>
      <c r="L12" s="148">
        <f t="shared" si="4"/>
        <v>0</v>
      </c>
      <c r="M12" s="149">
        <f t="shared" si="5"/>
        <v>0</v>
      </c>
      <c r="N12" s="150">
        <v>30</v>
      </c>
      <c r="O12" s="155" t="s">
        <v>82</v>
      </c>
    </row>
    <row r="13" spans="2:15" x14ac:dyDescent="0.2">
      <c r="B13" s="156" t="s">
        <v>83</v>
      </c>
      <c r="C13" s="157">
        <f>'Overview 2016 (in)'!J78</f>
        <v>0</v>
      </c>
      <c r="D13" s="58">
        <f>'Overview 2016 (in)'!K78</f>
        <v>0</v>
      </c>
      <c r="E13" s="59">
        <f>'Overview 2016 (in)'!L78</f>
        <v>0</v>
      </c>
      <c r="F13" s="157">
        <f t="shared" si="0"/>
        <v>0</v>
      </c>
      <c r="G13" s="58">
        <f t="shared" si="1"/>
        <v>0</v>
      </c>
      <c r="H13" s="59">
        <f>E13</f>
        <v>0</v>
      </c>
      <c r="I13" s="157">
        <f t="shared" si="2"/>
        <v>0</v>
      </c>
      <c r="J13" s="58">
        <f t="shared" si="3"/>
        <v>0</v>
      </c>
      <c r="K13" s="59" t="s">
        <v>188</v>
      </c>
      <c r="L13" s="157">
        <f t="shared" si="4"/>
        <v>0</v>
      </c>
      <c r="M13" s="58">
        <f t="shared" si="5"/>
        <v>0</v>
      </c>
      <c r="N13" s="59" t="s">
        <v>188</v>
      </c>
      <c r="O13" s="54" t="s">
        <v>7</v>
      </c>
    </row>
    <row r="14" spans="2:15" x14ac:dyDescent="0.2">
      <c r="B14" s="154" t="s">
        <v>2</v>
      </c>
      <c r="C14" s="152">
        <f>'Overview 2016 (in)'!J79</f>
        <v>0</v>
      </c>
      <c r="D14" s="153">
        <f>'Overview 2016 (in)'!K79</f>
        <v>0</v>
      </c>
      <c r="E14" s="198">
        <f>'Overview 2016 (in)'!L79</f>
        <v>0</v>
      </c>
      <c r="F14" s="152">
        <f t="shared" ca="1" si="0"/>
        <v>0</v>
      </c>
      <c r="G14" s="153">
        <f t="shared" ref="G14:G15" ca="1" si="6">IFERROR(D14*H14/E14,0)</f>
        <v>0</v>
      </c>
      <c r="H14" s="198">
        <f ca="1">IF(CELL("format",INDIRECT(ADDRESS(ROW($B4),COLUMN(D$4),1,,$B$4)))="W0-",INDIRECT(ADDRESS(ROW($B4),COLUMN(D$4),1,,$B$4))*'Overview 2016 (in)'!$O$7,INDIRECT(ADDRESS(ROW($B4),COLUMN(D$4),1,,$B$4)))</f>
        <v>0</v>
      </c>
      <c r="I14" s="152">
        <f t="shared" ca="1" si="2"/>
        <v>0</v>
      </c>
      <c r="J14" s="153">
        <f t="shared" ref="J14:J15" ca="1" si="7">IFERROR(G14*K14/H14,0)</f>
        <v>0</v>
      </c>
      <c r="K14" s="198">
        <f ca="1">IF(CELL("format",INDIRECT(ADDRESS(ROW($B4),COLUMN(E$4),1,,$B$4)))="W0-",INDIRECT(ADDRESS(ROW($B4),COLUMN(E$4),1,,$B$4))*'Overview 2016 (in)'!$O$7,INDIRECT(ADDRESS(ROW($B4),COLUMN(E$4),1,,$B$4)))</f>
        <v>0</v>
      </c>
      <c r="L14" s="152">
        <f t="shared" ca="1" si="4"/>
        <v>0</v>
      </c>
      <c r="M14" s="153">
        <f t="shared" ref="M14:M15" ca="1" si="8">IFERROR(J14*N14/K14,0)</f>
        <v>0</v>
      </c>
      <c r="N14" s="198">
        <f ca="1">IF(CELL("format",INDIRECT(ADDRESS(ROW($B4),COLUMN(F$4),1,,$B$4)))="W0-",INDIRECT(ADDRESS(ROW($B4),COLUMN(F$4),1,,$B$4))*'Overview 2016 (in)'!$O$7,INDIRECT(ADDRESS(ROW($B4),COLUMN(F$4),1,,$B$4)))</f>
        <v>0</v>
      </c>
      <c r="O14" s="155" t="s">
        <v>22</v>
      </c>
    </row>
    <row r="15" spans="2:15" ht="16" thickBot="1" x14ac:dyDescent="0.25">
      <c r="B15" s="158" t="s">
        <v>3</v>
      </c>
      <c r="C15" s="180">
        <f>'Overview 2016 (in)'!J80</f>
        <v>73.5</v>
      </c>
      <c r="D15" s="180">
        <f>'Overview 2016 (in)'!K80</f>
        <v>189</v>
      </c>
      <c r="E15" s="200">
        <f>'Overview 2016 (in)'!L80</f>
        <v>105</v>
      </c>
      <c r="F15" s="180">
        <f t="shared" ca="1" si="0"/>
        <v>59.648330810159244</v>
      </c>
      <c r="G15" s="180">
        <f t="shared" ca="1" si="6"/>
        <v>153.38142208326664</v>
      </c>
      <c r="H15" s="200">
        <f ca="1">IF(CELL("format",INDIRECT(ADDRESS(ROW($B5),COLUMN(D$4),1,,$B$4)))="W0-",INDIRECT(ADDRESS(ROW($B5),COLUMN(D$4),1,,$B$4))*'Overview 2016 (in)'!$O$7,INDIRECT(ADDRESS(ROW($B5),COLUMN(D$4),1,,$B$4)))</f>
        <v>85.211901157370349</v>
      </c>
      <c r="I15" s="180">
        <f t="shared" ca="1" si="2"/>
        <v>45.944866057645775</v>
      </c>
      <c r="J15" s="180">
        <f t="shared" ca="1" si="7"/>
        <v>118.14394129108915</v>
      </c>
      <c r="K15" s="200">
        <f ca="1">IF(CELL("format",INDIRECT(ADDRESS(ROW($B5),COLUMN(E$4),1,,$B$4)))="W0-",INDIRECT(ADDRESS(ROW($B5),COLUMN(E$4),1,,$B$4))*'Overview 2016 (in)'!$O$7,INDIRECT(ADDRESS(ROW($B5),COLUMN(E$4),1,,$B$4)))</f>
        <v>65.635522939493967</v>
      </c>
      <c r="L15" s="180">
        <f t="shared" ca="1" si="4"/>
        <v>35.389602498239221</v>
      </c>
      <c r="M15" s="180">
        <f t="shared" ca="1" si="8"/>
        <v>91.001834995472294</v>
      </c>
      <c r="N15" s="200">
        <f ca="1">IF(CELL("format",INDIRECT(ADDRESS(ROW($B5),COLUMN(F$4),1,,$B$4)))="W0-",INDIRECT(ADDRESS(ROW($B5),COLUMN(F$4),1,,$B$4))*'Overview 2016 (in)'!$O$7,INDIRECT(ADDRESS(ROW($B5),COLUMN(F$4),1,,$B$4)))</f>
        <v>50.556574997484603</v>
      </c>
      <c r="O15" s="60" t="s">
        <v>23</v>
      </c>
    </row>
    <row r="17" spans="2:3" x14ac:dyDescent="0.2">
      <c r="C17" s="202"/>
    </row>
    <row r="18" spans="2:3" ht="19" x14ac:dyDescent="0.25">
      <c r="B18" s="201"/>
    </row>
    <row r="19" spans="2:3" x14ac:dyDescent="0.2">
      <c r="B19" s="39"/>
    </row>
  </sheetData>
  <mergeCells count="4">
    <mergeCell ref="C3:E3"/>
    <mergeCell ref="F3:H3"/>
    <mergeCell ref="I3:K3"/>
    <mergeCell ref="L3:N3"/>
  </mergeCells>
  <pageMargins left="0.7" right="0.7" top="0.78740157499999996" bottom="0.78740157499999996"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2:O19"/>
  <sheetViews>
    <sheetView zoomScale="85" zoomScaleNormal="85" workbookViewId="0"/>
  </sheetViews>
  <sheetFormatPr baseColWidth="10" defaultColWidth="11.5" defaultRowHeight="15" x14ac:dyDescent="0.2"/>
  <cols>
    <col min="1" max="1" width="11.5" style="192"/>
    <col min="2" max="2" width="27.6640625" style="192" bestFit="1" customWidth="1"/>
    <col min="3" max="5" width="11.5" style="192"/>
    <col min="6" max="6" width="11.5" style="192" customWidth="1"/>
    <col min="7" max="14" width="11.5" style="192"/>
    <col min="15" max="15" width="20.1640625" style="192" bestFit="1" customWidth="1"/>
    <col min="16" max="16384" width="11.5" style="192"/>
  </cols>
  <sheetData>
    <row r="2" spans="2:15" x14ac:dyDescent="0.2">
      <c r="C2" s="39"/>
      <c r="D2" s="39"/>
      <c r="E2" s="39"/>
      <c r="F2" s="39"/>
      <c r="G2" s="39"/>
      <c r="H2" s="39"/>
      <c r="I2" s="39"/>
      <c r="J2" s="39"/>
      <c r="K2" s="39"/>
      <c r="L2" s="39"/>
    </row>
    <row r="3" spans="2:15" x14ac:dyDescent="0.2">
      <c r="C3" s="588">
        <v>2016</v>
      </c>
      <c r="D3" s="588"/>
      <c r="E3" s="588"/>
      <c r="F3" s="589">
        <v>2020</v>
      </c>
      <c r="G3" s="589"/>
      <c r="H3" s="589"/>
      <c r="I3" s="589">
        <v>2025</v>
      </c>
      <c r="J3" s="589"/>
      <c r="K3" s="589"/>
      <c r="L3" s="590">
        <v>2030</v>
      </c>
      <c r="M3" s="590"/>
      <c r="N3" s="590"/>
      <c r="O3" s="195"/>
    </row>
    <row r="4" spans="2:15" ht="20" thickBot="1" x14ac:dyDescent="0.3">
      <c r="B4" s="194" t="s">
        <v>157</v>
      </c>
      <c r="C4" s="196" t="s">
        <v>72</v>
      </c>
      <c r="D4" s="196" t="s">
        <v>73</v>
      </c>
      <c r="E4" s="196" t="s">
        <v>178</v>
      </c>
      <c r="F4" s="196" t="s">
        <v>72</v>
      </c>
      <c r="G4" s="196" t="s">
        <v>73</v>
      </c>
      <c r="H4" s="196" t="s">
        <v>178</v>
      </c>
      <c r="I4" s="196" t="s">
        <v>72</v>
      </c>
      <c r="J4" s="196" t="s">
        <v>73</v>
      </c>
      <c r="K4" s="196" t="s">
        <v>178</v>
      </c>
      <c r="L4" s="196" t="s">
        <v>72</v>
      </c>
      <c r="M4" s="196" t="s">
        <v>73</v>
      </c>
      <c r="N4" s="196" t="s">
        <v>178</v>
      </c>
      <c r="O4" s="196" t="s">
        <v>1</v>
      </c>
    </row>
    <row r="5" spans="2:15" x14ac:dyDescent="0.2">
      <c r="B5" s="51" t="s">
        <v>74</v>
      </c>
      <c r="C5" s="147">
        <v>0</v>
      </c>
      <c r="D5" s="52">
        <v>0</v>
      </c>
      <c r="E5" s="53">
        <v>0</v>
      </c>
      <c r="F5" s="147">
        <v>0</v>
      </c>
      <c r="G5" s="52">
        <v>0</v>
      </c>
      <c r="H5" s="53">
        <v>0</v>
      </c>
      <c r="I5" s="147">
        <v>0</v>
      </c>
      <c r="J5" s="52">
        <v>0</v>
      </c>
      <c r="K5" s="53">
        <v>0</v>
      </c>
      <c r="L5" s="147">
        <v>0</v>
      </c>
      <c r="M5" s="52">
        <v>0</v>
      </c>
      <c r="N5" s="53">
        <v>0</v>
      </c>
      <c r="O5" s="54" t="s">
        <v>75</v>
      </c>
    </row>
    <row r="6" spans="2:15" x14ac:dyDescent="0.2">
      <c r="B6" s="37" t="s">
        <v>76</v>
      </c>
      <c r="C6" s="148">
        <v>0</v>
      </c>
      <c r="D6" s="149">
        <v>0</v>
      </c>
      <c r="E6" s="150">
        <v>0</v>
      </c>
      <c r="F6" s="148">
        <v>0</v>
      </c>
      <c r="G6" s="149">
        <v>0</v>
      </c>
      <c r="H6" s="150">
        <v>0</v>
      </c>
      <c r="I6" s="148">
        <v>0</v>
      </c>
      <c r="J6" s="149">
        <v>0</v>
      </c>
      <c r="K6" s="150">
        <v>0</v>
      </c>
      <c r="L6" s="148">
        <v>0</v>
      </c>
      <c r="M6" s="149">
        <v>0</v>
      </c>
      <c r="N6" s="150">
        <v>0</v>
      </c>
      <c r="O6" s="55" t="s">
        <v>77</v>
      </c>
    </row>
    <row r="7" spans="2:15" x14ac:dyDescent="0.2">
      <c r="B7" s="51" t="s">
        <v>4</v>
      </c>
      <c r="C7" s="151">
        <v>0</v>
      </c>
      <c r="D7" s="56">
        <v>0</v>
      </c>
      <c r="E7" s="197">
        <v>0</v>
      </c>
      <c r="F7" s="151">
        <v>0</v>
      </c>
      <c r="G7" s="56">
        <v>0</v>
      </c>
      <c r="H7" s="197">
        <v>0</v>
      </c>
      <c r="I7" s="151">
        <v>0</v>
      </c>
      <c r="J7" s="56">
        <v>0</v>
      </c>
      <c r="K7" s="197">
        <v>0</v>
      </c>
      <c r="L7" s="151">
        <v>0</v>
      </c>
      <c r="M7" s="56">
        <v>0</v>
      </c>
      <c r="N7" s="197">
        <v>0</v>
      </c>
      <c r="O7" s="54" t="s">
        <v>5</v>
      </c>
    </row>
    <row r="8" spans="2:15" x14ac:dyDescent="0.2">
      <c r="B8" s="37" t="s">
        <v>6</v>
      </c>
      <c r="C8" s="152">
        <v>0</v>
      </c>
      <c r="D8" s="153">
        <v>0</v>
      </c>
      <c r="E8" s="199">
        <v>0</v>
      </c>
      <c r="F8" s="152">
        <v>0</v>
      </c>
      <c r="G8" s="153">
        <v>0</v>
      </c>
      <c r="H8" s="199">
        <v>0</v>
      </c>
      <c r="I8" s="152">
        <v>0</v>
      </c>
      <c r="J8" s="153">
        <v>0</v>
      </c>
      <c r="K8" s="199">
        <v>0</v>
      </c>
      <c r="L8" s="152">
        <v>0</v>
      </c>
      <c r="M8" s="153">
        <v>0</v>
      </c>
      <c r="N8" s="199">
        <v>0</v>
      </c>
      <c r="O8" s="55" t="s">
        <v>7</v>
      </c>
    </row>
    <row r="9" spans="2:15" x14ac:dyDescent="0.2">
      <c r="B9" s="51" t="s">
        <v>78</v>
      </c>
      <c r="C9" s="151">
        <v>0</v>
      </c>
      <c r="D9" s="56">
        <v>0</v>
      </c>
      <c r="E9" s="57">
        <v>0</v>
      </c>
      <c r="F9" s="151">
        <v>0</v>
      </c>
      <c r="G9" s="56">
        <v>0</v>
      </c>
      <c r="H9" s="57">
        <v>0</v>
      </c>
      <c r="I9" s="151">
        <v>0</v>
      </c>
      <c r="J9" s="56">
        <v>0</v>
      </c>
      <c r="K9" s="57">
        <v>0</v>
      </c>
      <c r="L9" s="151">
        <v>0</v>
      </c>
      <c r="M9" s="56">
        <v>0</v>
      </c>
      <c r="N9" s="57">
        <v>0</v>
      </c>
      <c r="O9" s="54" t="s">
        <v>9</v>
      </c>
    </row>
    <row r="10" spans="2:15" x14ac:dyDescent="0.2">
      <c r="B10" s="37" t="s">
        <v>8</v>
      </c>
      <c r="C10" s="152">
        <v>100</v>
      </c>
      <c r="D10" s="153">
        <v>100</v>
      </c>
      <c r="E10" s="199">
        <v>100</v>
      </c>
      <c r="F10" s="152">
        <v>100</v>
      </c>
      <c r="G10" s="153">
        <v>100</v>
      </c>
      <c r="H10" s="199">
        <v>100</v>
      </c>
      <c r="I10" s="152">
        <v>100</v>
      </c>
      <c r="J10" s="153">
        <v>100</v>
      </c>
      <c r="K10" s="199">
        <v>100</v>
      </c>
      <c r="L10" s="152">
        <v>100</v>
      </c>
      <c r="M10" s="153">
        <v>100</v>
      </c>
      <c r="N10" s="199">
        <v>100</v>
      </c>
      <c r="O10" s="55" t="s">
        <v>9</v>
      </c>
    </row>
    <row r="11" spans="2:15" x14ac:dyDescent="0.2">
      <c r="B11" s="51" t="s">
        <v>79</v>
      </c>
      <c r="C11" s="147">
        <v>0</v>
      </c>
      <c r="D11" s="52">
        <v>0</v>
      </c>
      <c r="E11" s="53">
        <v>0</v>
      </c>
      <c r="F11" s="147">
        <v>0</v>
      </c>
      <c r="G11" s="52">
        <v>0</v>
      </c>
      <c r="H11" s="53">
        <v>0</v>
      </c>
      <c r="I11" s="147">
        <v>0</v>
      </c>
      <c r="J11" s="52">
        <v>0</v>
      </c>
      <c r="K11" s="53">
        <v>0</v>
      </c>
      <c r="L11" s="147">
        <v>0</v>
      </c>
      <c r="M11" s="52">
        <v>0</v>
      </c>
      <c r="N11" s="53">
        <v>0</v>
      </c>
      <c r="O11" s="54" t="s">
        <v>80</v>
      </c>
    </row>
    <row r="12" spans="2:15" x14ac:dyDescent="0.2">
      <c r="B12" s="154" t="s">
        <v>81</v>
      </c>
      <c r="C12" s="148">
        <v>0</v>
      </c>
      <c r="D12" s="149">
        <v>0</v>
      </c>
      <c r="E12" s="150">
        <v>0</v>
      </c>
      <c r="F12" s="148">
        <v>0</v>
      </c>
      <c r="G12" s="149">
        <v>0</v>
      </c>
      <c r="H12" s="150">
        <v>0</v>
      </c>
      <c r="I12" s="148">
        <v>0</v>
      </c>
      <c r="J12" s="149">
        <v>0</v>
      </c>
      <c r="K12" s="150">
        <v>0</v>
      </c>
      <c r="L12" s="148">
        <v>0</v>
      </c>
      <c r="M12" s="149">
        <v>0</v>
      </c>
      <c r="N12" s="150">
        <v>0</v>
      </c>
      <c r="O12" s="155" t="s">
        <v>82</v>
      </c>
    </row>
    <row r="13" spans="2:15" x14ac:dyDescent="0.2">
      <c r="B13" s="156" t="s">
        <v>83</v>
      </c>
      <c r="C13" s="157">
        <v>0</v>
      </c>
      <c r="D13" s="58">
        <v>0</v>
      </c>
      <c r="E13" s="59">
        <v>0</v>
      </c>
      <c r="F13" s="157">
        <v>0</v>
      </c>
      <c r="G13" s="58">
        <v>0</v>
      </c>
      <c r="H13" s="59">
        <v>0</v>
      </c>
      <c r="I13" s="157">
        <v>0</v>
      </c>
      <c r="J13" s="58">
        <v>0</v>
      </c>
      <c r="K13" s="59">
        <v>0</v>
      </c>
      <c r="L13" s="157">
        <v>0</v>
      </c>
      <c r="M13" s="58">
        <v>0</v>
      </c>
      <c r="N13" s="59">
        <v>0</v>
      </c>
      <c r="O13" s="54" t="s">
        <v>7</v>
      </c>
    </row>
    <row r="14" spans="2:15" x14ac:dyDescent="0.2">
      <c r="B14" s="154" t="s">
        <v>2</v>
      </c>
      <c r="C14" s="152">
        <v>0</v>
      </c>
      <c r="D14" s="153">
        <v>0</v>
      </c>
      <c r="E14" s="198">
        <v>0</v>
      </c>
      <c r="F14" s="152">
        <v>0</v>
      </c>
      <c r="G14" s="153">
        <v>0</v>
      </c>
      <c r="H14" s="198">
        <v>0</v>
      </c>
      <c r="I14" s="152">
        <v>0</v>
      </c>
      <c r="J14" s="153">
        <v>0</v>
      </c>
      <c r="K14" s="198">
        <v>0</v>
      </c>
      <c r="L14" s="152">
        <v>0</v>
      </c>
      <c r="M14" s="153">
        <v>0</v>
      </c>
      <c r="N14" s="198">
        <v>0</v>
      </c>
      <c r="O14" s="155" t="s">
        <v>22</v>
      </c>
    </row>
    <row r="15" spans="2:15" ht="16" thickBot="1" x14ac:dyDescent="0.25">
      <c r="B15" s="158" t="s">
        <v>3</v>
      </c>
      <c r="C15" s="180">
        <v>0</v>
      </c>
      <c r="D15" s="180">
        <v>0</v>
      </c>
      <c r="E15" s="200">
        <v>0</v>
      </c>
      <c r="F15" s="180">
        <v>0</v>
      </c>
      <c r="G15" s="180">
        <v>0</v>
      </c>
      <c r="H15" s="200">
        <v>0</v>
      </c>
      <c r="I15" s="180">
        <v>0</v>
      </c>
      <c r="J15" s="180">
        <v>0</v>
      </c>
      <c r="K15" s="200">
        <v>0</v>
      </c>
      <c r="L15" s="180">
        <v>0</v>
      </c>
      <c r="M15" s="180">
        <v>0</v>
      </c>
      <c r="N15" s="200">
        <v>0</v>
      </c>
      <c r="O15" s="60" t="s">
        <v>23</v>
      </c>
    </row>
    <row r="17" spans="2:3" x14ac:dyDescent="0.2">
      <c r="C17" s="202"/>
    </row>
    <row r="18" spans="2:3" ht="19" x14ac:dyDescent="0.25">
      <c r="B18" s="201"/>
    </row>
    <row r="19" spans="2:3" x14ac:dyDescent="0.2">
      <c r="B19" s="39"/>
    </row>
  </sheetData>
  <mergeCells count="4">
    <mergeCell ref="C3:E3"/>
    <mergeCell ref="F3:H3"/>
    <mergeCell ref="I3:K3"/>
    <mergeCell ref="L3:N3"/>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5"/>
  <sheetViews>
    <sheetView workbookViewId="0"/>
  </sheetViews>
  <sheetFormatPr baseColWidth="10" defaultColWidth="8.83203125" defaultRowHeight="15" x14ac:dyDescent="0.2"/>
  <cols>
    <col min="1" max="1" width="16.5" style="442" customWidth="1"/>
    <col min="2" max="2" width="15" bestFit="1" customWidth="1"/>
    <col min="3" max="3" width="18.83203125" bestFit="1" customWidth="1"/>
    <col min="4" max="6" width="13.5" bestFit="1" customWidth="1"/>
    <col min="7" max="7" width="14" bestFit="1" customWidth="1"/>
    <col min="8" max="8" width="14.5" bestFit="1" customWidth="1"/>
    <col min="9" max="9" width="17.5" bestFit="1" customWidth="1"/>
    <col min="10" max="11" width="13.5" bestFit="1" customWidth="1"/>
    <col min="12" max="12" width="17.1640625" bestFit="1" customWidth="1"/>
    <col min="13" max="13" width="13.5" bestFit="1" customWidth="1"/>
    <col min="16" max="16" width="22.5" customWidth="1"/>
  </cols>
  <sheetData>
    <row r="1" spans="1:13" x14ac:dyDescent="0.2">
      <c r="A1" s="442" t="s">
        <v>26</v>
      </c>
      <c r="B1" t="s">
        <v>32</v>
      </c>
      <c r="C1" t="s">
        <v>33</v>
      </c>
      <c r="D1" t="s">
        <v>35</v>
      </c>
      <c r="E1" t="s">
        <v>36</v>
      </c>
      <c r="F1" t="s">
        <v>84</v>
      </c>
      <c r="G1" t="s">
        <v>85</v>
      </c>
      <c r="H1" t="s">
        <v>57</v>
      </c>
      <c r="I1" t="s">
        <v>86</v>
      </c>
      <c r="J1" t="s">
        <v>43</v>
      </c>
      <c r="K1" t="s">
        <v>44</v>
      </c>
      <c r="L1" t="s">
        <v>50</v>
      </c>
      <c r="M1" t="s">
        <v>159</v>
      </c>
    </row>
    <row r="2" spans="1:13" x14ac:dyDescent="0.2">
      <c r="A2" s="442" t="s">
        <v>171</v>
      </c>
      <c r="B2" t="s">
        <v>172</v>
      </c>
      <c r="C2" t="s">
        <v>173</v>
      </c>
      <c r="D2" s="442" t="s">
        <v>117</v>
      </c>
      <c r="E2" t="s">
        <v>117</v>
      </c>
      <c r="F2" t="s">
        <v>117</v>
      </c>
      <c r="G2" t="s">
        <v>117</v>
      </c>
      <c r="H2" t="s">
        <v>117</v>
      </c>
      <c r="I2" t="s">
        <v>117</v>
      </c>
      <c r="J2" t="s">
        <v>117</v>
      </c>
      <c r="K2" t="s">
        <v>117</v>
      </c>
      <c r="L2" t="s">
        <v>117</v>
      </c>
      <c r="M2" t="s">
        <v>117</v>
      </c>
    </row>
    <row r="3" spans="1:13" x14ac:dyDescent="0.2">
      <c r="D3" s="442" t="s">
        <v>128</v>
      </c>
      <c r="E3" t="s">
        <v>128</v>
      </c>
      <c r="F3" t="s">
        <v>128</v>
      </c>
      <c r="G3" t="s">
        <v>128</v>
      </c>
      <c r="H3" t="s">
        <v>128</v>
      </c>
      <c r="I3" t="s">
        <v>128</v>
      </c>
      <c r="J3" t="s">
        <v>128</v>
      </c>
      <c r="K3" t="s">
        <v>128</v>
      </c>
      <c r="L3" t="s">
        <v>128</v>
      </c>
      <c r="M3" t="s">
        <v>128</v>
      </c>
    </row>
    <row r="4" spans="1:13" x14ac:dyDescent="0.2">
      <c r="D4" s="442" t="s">
        <v>157</v>
      </c>
      <c r="E4" t="s">
        <v>157</v>
      </c>
      <c r="F4" t="s">
        <v>157</v>
      </c>
      <c r="G4" t="s">
        <v>157</v>
      </c>
      <c r="H4" t="s">
        <v>157</v>
      </c>
      <c r="I4" t="s">
        <v>157</v>
      </c>
      <c r="J4" t="s">
        <v>157</v>
      </c>
      <c r="K4" t="s">
        <v>157</v>
      </c>
      <c r="L4" t="s">
        <v>157</v>
      </c>
      <c r="M4" t="s">
        <v>157</v>
      </c>
    </row>
    <row r="5" spans="1:13" x14ac:dyDescent="0.2">
      <c r="D5" s="442"/>
    </row>
  </sheetData>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B2:O19"/>
  <sheetViews>
    <sheetView zoomScale="85" zoomScaleNormal="85" workbookViewId="0"/>
  </sheetViews>
  <sheetFormatPr baseColWidth="10" defaultColWidth="11.5" defaultRowHeight="15" x14ac:dyDescent="0.2"/>
  <cols>
    <col min="1" max="1" width="11.5" style="216"/>
    <col min="2" max="2" width="27.6640625" style="216" bestFit="1" customWidth="1"/>
    <col min="3" max="5" width="11.5" style="216"/>
    <col min="6" max="6" width="11.5" style="216" customWidth="1"/>
    <col min="7" max="14" width="11.5" style="216"/>
    <col min="15" max="15" width="20.1640625" style="216" bestFit="1" customWidth="1"/>
    <col min="16" max="16384" width="11.5" style="216"/>
  </cols>
  <sheetData>
    <row r="2" spans="2:15" x14ac:dyDescent="0.2">
      <c r="C2" s="39"/>
      <c r="D2" s="39"/>
      <c r="E2" s="39"/>
      <c r="F2" s="39"/>
      <c r="G2" s="39"/>
      <c r="H2" s="39"/>
      <c r="I2" s="39"/>
      <c r="J2" s="39"/>
      <c r="K2" s="39"/>
      <c r="L2" s="39"/>
    </row>
    <row r="3" spans="2:15" x14ac:dyDescent="0.2">
      <c r="C3" s="588">
        <v>2016</v>
      </c>
      <c r="D3" s="588"/>
      <c r="E3" s="588"/>
      <c r="F3" s="589">
        <v>2020</v>
      </c>
      <c r="G3" s="589"/>
      <c r="H3" s="589"/>
      <c r="I3" s="589">
        <v>2025</v>
      </c>
      <c r="J3" s="589"/>
      <c r="K3" s="589"/>
      <c r="L3" s="590">
        <v>2030</v>
      </c>
      <c r="M3" s="590"/>
      <c r="N3" s="590"/>
      <c r="O3" s="195"/>
    </row>
    <row r="4" spans="2:15" ht="20" thickBot="1" x14ac:dyDescent="0.3">
      <c r="B4" s="194" t="s">
        <v>171</v>
      </c>
      <c r="C4" s="196" t="s">
        <v>72</v>
      </c>
      <c r="D4" s="196" t="s">
        <v>73</v>
      </c>
      <c r="E4" s="196" t="s">
        <v>178</v>
      </c>
      <c r="F4" s="196" t="s">
        <v>72</v>
      </c>
      <c r="G4" s="196" t="s">
        <v>73</v>
      </c>
      <c r="H4" s="196" t="s">
        <v>178</v>
      </c>
      <c r="I4" s="196" t="s">
        <v>72</v>
      </c>
      <c r="J4" s="196" t="s">
        <v>73</v>
      </c>
      <c r="K4" s="196" t="s">
        <v>178</v>
      </c>
      <c r="L4" s="196" t="s">
        <v>72</v>
      </c>
      <c r="M4" s="196" t="s">
        <v>73</v>
      </c>
      <c r="N4" s="196" t="s">
        <v>178</v>
      </c>
      <c r="O4" s="196" t="s">
        <v>1</v>
      </c>
    </row>
    <row r="5" spans="2:15" x14ac:dyDescent="0.2">
      <c r="B5" s="51" t="s">
        <v>74</v>
      </c>
      <c r="C5" s="147">
        <v>0</v>
      </c>
      <c r="D5" s="52">
        <v>0</v>
      </c>
      <c r="E5" s="53">
        <v>0</v>
      </c>
      <c r="F5" s="147">
        <v>0</v>
      </c>
      <c r="G5" s="52">
        <v>0</v>
      </c>
      <c r="H5" s="53">
        <v>0</v>
      </c>
      <c r="I5" s="147">
        <v>0</v>
      </c>
      <c r="J5" s="52">
        <v>0</v>
      </c>
      <c r="K5" s="53">
        <v>0</v>
      </c>
      <c r="L5" s="147">
        <v>0</v>
      </c>
      <c r="M5" s="52">
        <v>0</v>
      </c>
      <c r="N5" s="53">
        <v>0</v>
      </c>
      <c r="O5" s="54" t="s">
        <v>75</v>
      </c>
    </row>
    <row r="6" spans="2:15" x14ac:dyDescent="0.2">
      <c r="B6" s="37" t="s">
        <v>76</v>
      </c>
      <c r="C6" s="148">
        <v>0</v>
      </c>
      <c r="D6" s="149">
        <v>0</v>
      </c>
      <c r="E6" s="150">
        <v>0</v>
      </c>
      <c r="F6" s="148">
        <v>0</v>
      </c>
      <c r="G6" s="149">
        <v>0</v>
      </c>
      <c r="H6" s="150">
        <v>0</v>
      </c>
      <c r="I6" s="148">
        <v>0</v>
      </c>
      <c r="J6" s="149">
        <v>0</v>
      </c>
      <c r="K6" s="150">
        <v>0</v>
      </c>
      <c r="L6" s="148">
        <v>0</v>
      </c>
      <c r="M6" s="149">
        <v>0</v>
      </c>
      <c r="N6" s="150">
        <v>0</v>
      </c>
      <c r="O6" s="55" t="s">
        <v>77</v>
      </c>
    </row>
    <row r="7" spans="2:15" x14ac:dyDescent="0.2">
      <c r="B7" s="51" t="s">
        <v>4</v>
      </c>
      <c r="C7" s="151">
        <v>0</v>
      </c>
      <c r="D7" s="56">
        <v>0</v>
      </c>
      <c r="E7" s="197">
        <v>0</v>
      </c>
      <c r="F7" s="151">
        <v>0</v>
      </c>
      <c r="G7" s="56">
        <v>0</v>
      </c>
      <c r="H7" s="197">
        <v>0</v>
      </c>
      <c r="I7" s="151">
        <v>0</v>
      </c>
      <c r="J7" s="56">
        <v>0</v>
      </c>
      <c r="K7" s="197">
        <v>0</v>
      </c>
      <c r="L7" s="151">
        <v>0</v>
      </c>
      <c r="M7" s="56">
        <v>0</v>
      </c>
      <c r="N7" s="197">
        <v>0</v>
      </c>
      <c r="O7" s="54" t="s">
        <v>5</v>
      </c>
    </row>
    <row r="8" spans="2:15" x14ac:dyDescent="0.2">
      <c r="B8" s="37" t="s">
        <v>6</v>
      </c>
      <c r="C8" s="223">
        <v>80</v>
      </c>
      <c r="D8" s="224">
        <v>40</v>
      </c>
      <c r="E8" s="225">
        <v>50</v>
      </c>
      <c r="F8" s="223">
        <v>80</v>
      </c>
      <c r="G8" s="224">
        <v>40</v>
      </c>
      <c r="H8" s="225">
        <v>50</v>
      </c>
      <c r="I8" s="223">
        <v>80</v>
      </c>
      <c r="J8" s="224">
        <v>40</v>
      </c>
      <c r="K8" s="225">
        <v>50</v>
      </c>
      <c r="L8" s="223">
        <v>80</v>
      </c>
      <c r="M8" s="224">
        <v>40</v>
      </c>
      <c r="N8" s="225">
        <v>50</v>
      </c>
      <c r="O8" s="55" t="s">
        <v>7</v>
      </c>
    </row>
    <row r="9" spans="2:15" x14ac:dyDescent="0.2">
      <c r="B9" s="51" t="s">
        <v>78</v>
      </c>
      <c r="C9" s="226">
        <v>0</v>
      </c>
      <c r="D9" s="227">
        <v>0</v>
      </c>
      <c r="E9" s="197">
        <v>0</v>
      </c>
      <c r="F9" s="151">
        <v>0</v>
      </c>
      <c r="G9" s="56">
        <v>0</v>
      </c>
      <c r="H9" s="57">
        <v>0</v>
      </c>
      <c r="I9" s="151">
        <v>0</v>
      </c>
      <c r="J9" s="56">
        <v>0</v>
      </c>
      <c r="K9" s="57">
        <v>0</v>
      </c>
      <c r="L9" s="151">
        <v>0</v>
      </c>
      <c r="M9" s="56">
        <v>0</v>
      </c>
      <c r="N9" s="57">
        <v>0</v>
      </c>
      <c r="O9" s="54" t="s">
        <v>9</v>
      </c>
    </row>
    <row r="10" spans="2:15" x14ac:dyDescent="0.2">
      <c r="B10" s="37" t="s">
        <v>8</v>
      </c>
      <c r="C10" s="223">
        <v>100</v>
      </c>
      <c r="D10" s="224">
        <v>100</v>
      </c>
      <c r="E10" s="225">
        <v>100</v>
      </c>
      <c r="F10" s="223">
        <v>100</v>
      </c>
      <c r="G10" s="224">
        <v>100</v>
      </c>
      <c r="H10" s="225">
        <v>100</v>
      </c>
      <c r="I10" s="223">
        <v>100</v>
      </c>
      <c r="J10" s="224">
        <v>100</v>
      </c>
      <c r="K10" s="225">
        <v>100</v>
      </c>
      <c r="L10" s="223">
        <v>100</v>
      </c>
      <c r="M10" s="224">
        <v>100</v>
      </c>
      <c r="N10" s="225">
        <v>100</v>
      </c>
      <c r="O10" s="55" t="s">
        <v>9</v>
      </c>
    </row>
    <row r="11" spans="2:15" x14ac:dyDescent="0.2">
      <c r="B11" s="51" t="s">
        <v>79</v>
      </c>
      <c r="C11" s="147">
        <v>0</v>
      </c>
      <c r="D11" s="52">
        <v>0</v>
      </c>
      <c r="E11" s="53">
        <v>0</v>
      </c>
      <c r="F11" s="147">
        <v>0</v>
      </c>
      <c r="G11" s="52">
        <v>0</v>
      </c>
      <c r="H11" s="53">
        <v>0</v>
      </c>
      <c r="I11" s="147">
        <v>0</v>
      </c>
      <c r="J11" s="52">
        <v>0</v>
      </c>
      <c r="K11" s="53">
        <v>0</v>
      </c>
      <c r="L11" s="147">
        <v>0</v>
      </c>
      <c r="M11" s="52">
        <v>0</v>
      </c>
      <c r="N11" s="53">
        <v>0</v>
      </c>
      <c r="O11" s="54" t="s">
        <v>80</v>
      </c>
    </row>
    <row r="12" spans="2:15" x14ac:dyDescent="0.2">
      <c r="B12" s="154" t="s">
        <v>81</v>
      </c>
      <c r="C12" s="148">
        <v>0</v>
      </c>
      <c r="D12" s="149">
        <v>0</v>
      </c>
      <c r="E12" s="150">
        <v>0</v>
      </c>
      <c r="F12" s="148">
        <v>0</v>
      </c>
      <c r="G12" s="149">
        <v>0</v>
      </c>
      <c r="H12" s="150">
        <v>0</v>
      </c>
      <c r="I12" s="148">
        <v>0</v>
      </c>
      <c r="J12" s="149">
        <v>0</v>
      </c>
      <c r="K12" s="150">
        <v>0</v>
      </c>
      <c r="L12" s="148">
        <v>0</v>
      </c>
      <c r="M12" s="149">
        <v>0</v>
      </c>
      <c r="N12" s="150">
        <v>0</v>
      </c>
      <c r="O12" s="155" t="s">
        <v>82</v>
      </c>
    </row>
    <row r="13" spans="2:15" x14ac:dyDescent="0.2">
      <c r="B13" s="156" t="s">
        <v>83</v>
      </c>
      <c r="C13" s="157">
        <v>0</v>
      </c>
      <c r="D13" s="58">
        <v>0</v>
      </c>
      <c r="E13" s="59">
        <v>0</v>
      </c>
      <c r="F13" s="157">
        <v>0</v>
      </c>
      <c r="G13" s="58">
        <v>0</v>
      </c>
      <c r="H13" s="59">
        <v>0</v>
      </c>
      <c r="I13" s="157">
        <v>0</v>
      </c>
      <c r="J13" s="58">
        <v>0</v>
      </c>
      <c r="K13" s="59">
        <v>0</v>
      </c>
      <c r="L13" s="157">
        <v>0</v>
      </c>
      <c r="M13" s="58">
        <v>0</v>
      </c>
      <c r="N13" s="59">
        <v>0</v>
      </c>
      <c r="O13" s="54" t="s">
        <v>7</v>
      </c>
    </row>
    <row r="14" spans="2:15" x14ac:dyDescent="0.2">
      <c r="B14" s="154" t="s">
        <v>2</v>
      </c>
      <c r="C14" s="148">
        <v>0</v>
      </c>
      <c r="D14" s="149">
        <v>0</v>
      </c>
      <c r="E14" s="217">
        <v>0</v>
      </c>
      <c r="F14" s="148">
        <v>0</v>
      </c>
      <c r="G14" s="149">
        <v>0</v>
      </c>
      <c r="H14" s="217">
        <v>0</v>
      </c>
      <c r="I14" s="148">
        <v>0</v>
      </c>
      <c r="J14" s="149">
        <v>0</v>
      </c>
      <c r="K14" s="217">
        <v>0</v>
      </c>
      <c r="L14" s="148">
        <v>0</v>
      </c>
      <c r="M14" s="149">
        <v>0</v>
      </c>
      <c r="N14" s="217">
        <v>0</v>
      </c>
      <c r="O14" s="155" t="s">
        <v>22</v>
      </c>
    </row>
    <row r="15" spans="2:15" ht="16" thickBot="1" x14ac:dyDescent="0.25">
      <c r="B15" s="158" t="s">
        <v>3</v>
      </c>
      <c r="C15" s="218">
        <f ca="1">'Cost-of-Service'!C15</f>
        <v>0</v>
      </c>
      <c r="D15" s="218">
        <f ca="1">'Cost-of-Service'!D15</f>
        <v>0</v>
      </c>
      <c r="E15" s="219">
        <f ca="1">'Cost-of-Service'!E15</f>
        <v>0</v>
      </c>
      <c r="F15" s="218">
        <f ca="1">'Cost-of-Service'!F15</f>
        <v>0</v>
      </c>
      <c r="G15" s="218">
        <f ca="1">'Cost-of-Service'!G15</f>
        <v>0</v>
      </c>
      <c r="H15" s="219">
        <f ca="1">'Cost-of-Service'!H15</f>
        <v>0</v>
      </c>
      <c r="I15" s="218">
        <f ca="1">'Cost-of-Service'!I15</f>
        <v>0</v>
      </c>
      <c r="J15" s="218">
        <f ca="1">'Cost-of-Service'!J15</f>
        <v>0</v>
      </c>
      <c r="K15" s="219">
        <f ca="1">'Cost-of-Service'!K15</f>
        <v>0</v>
      </c>
      <c r="L15" s="218">
        <f ca="1">'Cost-of-Service'!L15</f>
        <v>0</v>
      </c>
      <c r="M15" s="218">
        <f ca="1">'Cost-of-Service'!M15</f>
        <v>0</v>
      </c>
      <c r="N15" s="218">
        <f ca="1">'Cost-of-Service'!N15</f>
        <v>0</v>
      </c>
      <c r="O15" s="60" t="s">
        <v>23</v>
      </c>
    </row>
    <row r="17" spans="2:6" x14ac:dyDescent="0.2">
      <c r="C17" s="202"/>
      <c r="F17" s="202" t="s">
        <v>174</v>
      </c>
    </row>
    <row r="18" spans="2:6" ht="19" x14ac:dyDescent="0.25">
      <c r="B18" s="201"/>
    </row>
    <row r="19" spans="2:6" x14ac:dyDescent="0.2">
      <c r="B19" s="39"/>
    </row>
  </sheetData>
  <mergeCells count="4">
    <mergeCell ref="C3:E3"/>
    <mergeCell ref="F3:H3"/>
    <mergeCell ref="I3:K3"/>
    <mergeCell ref="L3:N3"/>
  </mergeCells>
  <pageMargins left="0.7" right="0.7" top="0.78740157499999996" bottom="0.78740157499999996"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B2:O19"/>
  <sheetViews>
    <sheetView zoomScale="85" zoomScaleNormal="85" workbookViewId="0"/>
  </sheetViews>
  <sheetFormatPr baseColWidth="10" defaultColWidth="11.5" defaultRowHeight="15" x14ac:dyDescent="0.2"/>
  <cols>
    <col min="1" max="1" width="11.5" style="234"/>
    <col min="2" max="2" width="27.6640625" style="234" bestFit="1" customWidth="1"/>
    <col min="3" max="5" width="11.5" style="234"/>
    <col min="6" max="6" width="11.5" style="234" customWidth="1"/>
    <col min="7" max="14" width="11.5" style="234"/>
    <col min="15" max="15" width="20.1640625" style="234" bestFit="1" customWidth="1"/>
    <col min="16" max="16384" width="11.5" style="234"/>
  </cols>
  <sheetData>
    <row r="2" spans="2:15" x14ac:dyDescent="0.2">
      <c r="C2" s="39"/>
      <c r="D2" s="39"/>
      <c r="E2" s="39"/>
      <c r="F2" s="39"/>
      <c r="G2" s="39"/>
      <c r="H2" s="39"/>
      <c r="I2" s="39"/>
      <c r="J2" s="39"/>
      <c r="K2" s="39"/>
      <c r="L2" s="39"/>
    </row>
    <row r="3" spans="2:15" x14ac:dyDescent="0.2">
      <c r="C3" s="588">
        <v>2016</v>
      </c>
      <c r="D3" s="588"/>
      <c r="E3" s="588"/>
      <c r="F3" s="589">
        <v>2020</v>
      </c>
      <c r="G3" s="589"/>
      <c r="H3" s="589"/>
      <c r="I3" s="589">
        <v>2025</v>
      </c>
      <c r="J3" s="589"/>
      <c r="K3" s="589"/>
      <c r="L3" s="590">
        <v>2030</v>
      </c>
      <c r="M3" s="590"/>
      <c r="N3" s="590"/>
      <c r="O3" s="195"/>
    </row>
    <row r="4" spans="2:15" ht="20" thickBot="1" x14ac:dyDescent="0.3">
      <c r="B4" s="194" t="s">
        <v>172</v>
      </c>
      <c r="C4" s="196" t="s">
        <v>72</v>
      </c>
      <c r="D4" s="196" t="s">
        <v>73</v>
      </c>
      <c r="E4" s="196" t="s">
        <v>178</v>
      </c>
      <c r="F4" s="196" t="s">
        <v>72</v>
      </c>
      <c r="G4" s="196" t="s">
        <v>73</v>
      </c>
      <c r="H4" s="196" t="s">
        <v>178</v>
      </c>
      <c r="I4" s="196" t="s">
        <v>72</v>
      </c>
      <c r="J4" s="196" t="s">
        <v>73</v>
      </c>
      <c r="K4" s="196" t="s">
        <v>178</v>
      </c>
      <c r="L4" s="196" t="s">
        <v>72</v>
      </c>
      <c r="M4" s="196" t="s">
        <v>73</v>
      </c>
      <c r="N4" s="196" t="s">
        <v>178</v>
      </c>
      <c r="O4" s="196" t="s">
        <v>1</v>
      </c>
    </row>
    <row r="5" spans="2:15" x14ac:dyDescent="0.2">
      <c r="B5" s="51" t="s">
        <v>74</v>
      </c>
      <c r="C5" s="220">
        <v>0</v>
      </c>
      <c r="D5" s="221">
        <v>0</v>
      </c>
      <c r="E5" s="222">
        <v>0</v>
      </c>
      <c r="F5" s="220">
        <v>0</v>
      </c>
      <c r="G5" s="221">
        <v>0</v>
      </c>
      <c r="H5" s="222">
        <v>0</v>
      </c>
      <c r="I5" s="220">
        <v>0</v>
      </c>
      <c r="J5" s="221">
        <v>0</v>
      </c>
      <c r="K5" s="222">
        <v>0</v>
      </c>
      <c r="L5" s="220">
        <v>0</v>
      </c>
      <c r="M5" s="221">
        <v>0</v>
      </c>
      <c r="N5" s="222">
        <v>0</v>
      </c>
      <c r="O5" s="54" t="s">
        <v>75</v>
      </c>
    </row>
    <row r="6" spans="2:15" x14ac:dyDescent="0.2">
      <c r="B6" s="37" t="s">
        <v>76</v>
      </c>
      <c r="C6" s="223">
        <v>0</v>
      </c>
      <c r="D6" s="224">
        <v>0</v>
      </c>
      <c r="E6" s="225">
        <v>0</v>
      </c>
      <c r="F6" s="223">
        <v>0</v>
      </c>
      <c r="G6" s="224">
        <v>0</v>
      </c>
      <c r="H6" s="225">
        <v>0</v>
      </c>
      <c r="I6" s="223">
        <v>0</v>
      </c>
      <c r="J6" s="224">
        <v>0</v>
      </c>
      <c r="K6" s="225">
        <v>0</v>
      </c>
      <c r="L6" s="223">
        <v>0</v>
      </c>
      <c r="M6" s="224">
        <v>0</v>
      </c>
      <c r="N6" s="225">
        <v>0</v>
      </c>
      <c r="O6" s="55" t="s">
        <v>77</v>
      </c>
    </row>
    <row r="7" spans="2:15" x14ac:dyDescent="0.2">
      <c r="B7" s="51" t="s">
        <v>4</v>
      </c>
      <c r="C7" s="226">
        <v>0</v>
      </c>
      <c r="D7" s="227">
        <v>0</v>
      </c>
      <c r="E7" s="197">
        <v>0</v>
      </c>
      <c r="F7" s="226">
        <v>0</v>
      </c>
      <c r="G7" s="227">
        <v>0</v>
      </c>
      <c r="H7" s="197">
        <v>0</v>
      </c>
      <c r="I7" s="226">
        <v>0</v>
      </c>
      <c r="J7" s="227">
        <v>0</v>
      </c>
      <c r="K7" s="197">
        <v>0</v>
      </c>
      <c r="L7" s="226">
        <v>0</v>
      </c>
      <c r="M7" s="227">
        <v>0</v>
      </c>
      <c r="N7" s="197">
        <v>0</v>
      </c>
      <c r="O7" s="54" t="s">
        <v>5</v>
      </c>
    </row>
    <row r="8" spans="2:15" x14ac:dyDescent="0.2">
      <c r="B8" s="37" t="s">
        <v>6</v>
      </c>
      <c r="C8" s="223">
        <v>80</v>
      </c>
      <c r="D8" s="224">
        <v>40</v>
      </c>
      <c r="E8" s="225">
        <v>50</v>
      </c>
      <c r="F8" s="223">
        <v>80</v>
      </c>
      <c r="G8" s="224">
        <v>40</v>
      </c>
      <c r="H8" s="225">
        <v>50</v>
      </c>
      <c r="I8" s="223">
        <v>80</v>
      </c>
      <c r="J8" s="224">
        <v>40</v>
      </c>
      <c r="K8" s="225">
        <v>50</v>
      </c>
      <c r="L8" s="223">
        <v>80</v>
      </c>
      <c r="M8" s="224">
        <v>40</v>
      </c>
      <c r="N8" s="225">
        <v>50</v>
      </c>
      <c r="O8" s="55" t="s">
        <v>7</v>
      </c>
    </row>
    <row r="9" spans="2:15" x14ac:dyDescent="0.2">
      <c r="B9" s="51" t="s">
        <v>78</v>
      </c>
      <c r="C9" s="226">
        <v>0</v>
      </c>
      <c r="D9" s="227">
        <v>0</v>
      </c>
      <c r="E9" s="197">
        <v>0</v>
      </c>
      <c r="F9" s="226">
        <v>0</v>
      </c>
      <c r="G9" s="227">
        <v>0</v>
      </c>
      <c r="H9" s="228">
        <v>0</v>
      </c>
      <c r="I9" s="226">
        <v>0</v>
      </c>
      <c r="J9" s="227">
        <v>0</v>
      </c>
      <c r="K9" s="228">
        <v>0</v>
      </c>
      <c r="L9" s="226">
        <v>0</v>
      </c>
      <c r="M9" s="227">
        <v>0</v>
      </c>
      <c r="N9" s="228">
        <v>0</v>
      </c>
      <c r="O9" s="54" t="s">
        <v>9</v>
      </c>
    </row>
    <row r="10" spans="2:15" x14ac:dyDescent="0.2">
      <c r="B10" s="37" t="s">
        <v>8</v>
      </c>
      <c r="C10" s="223">
        <v>100</v>
      </c>
      <c r="D10" s="224">
        <v>100</v>
      </c>
      <c r="E10" s="225">
        <v>100</v>
      </c>
      <c r="F10" s="223">
        <v>100</v>
      </c>
      <c r="G10" s="224">
        <v>100</v>
      </c>
      <c r="H10" s="225">
        <v>100</v>
      </c>
      <c r="I10" s="223">
        <v>100</v>
      </c>
      <c r="J10" s="224">
        <v>100</v>
      </c>
      <c r="K10" s="225">
        <v>100</v>
      </c>
      <c r="L10" s="223">
        <v>100</v>
      </c>
      <c r="M10" s="224">
        <v>100</v>
      </c>
      <c r="N10" s="225">
        <v>100</v>
      </c>
      <c r="O10" s="55" t="s">
        <v>9</v>
      </c>
    </row>
    <row r="11" spans="2:15" x14ac:dyDescent="0.2">
      <c r="B11" s="51" t="s">
        <v>79</v>
      </c>
      <c r="C11" s="220">
        <v>0</v>
      </c>
      <c r="D11" s="221">
        <v>0</v>
      </c>
      <c r="E11" s="222">
        <v>0</v>
      </c>
      <c r="F11" s="220">
        <v>0</v>
      </c>
      <c r="G11" s="221">
        <v>0</v>
      </c>
      <c r="H11" s="222">
        <v>0</v>
      </c>
      <c r="I11" s="220">
        <v>0</v>
      </c>
      <c r="J11" s="221">
        <v>0</v>
      </c>
      <c r="K11" s="222">
        <v>0</v>
      </c>
      <c r="L11" s="220">
        <v>0</v>
      </c>
      <c r="M11" s="221">
        <v>0</v>
      </c>
      <c r="N11" s="222">
        <v>0</v>
      </c>
      <c r="O11" s="54" t="s">
        <v>80</v>
      </c>
    </row>
    <row r="12" spans="2:15" x14ac:dyDescent="0.2">
      <c r="B12" s="154" t="s">
        <v>81</v>
      </c>
      <c r="C12" s="223">
        <v>0</v>
      </c>
      <c r="D12" s="224">
        <v>0</v>
      </c>
      <c r="E12" s="225">
        <v>0</v>
      </c>
      <c r="F12" s="223">
        <v>0</v>
      </c>
      <c r="G12" s="224">
        <v>0</v>
      </c>
      <c r="H12" s="225">
        <v>0</v>
      </c>
      <c r="I12" s="223">
        <v>0</v>
      </c>
      <c r="J12" s="224">
        <v>0</v>
      </c>
      <c r="K12" s="225">
        <v>0</v>
      </c>
      <c r="L12" s="223">
        <v>0</v>
      </c>
      <c r="M12" s="224">
        <v>0</v>
      </c>
      <c r="N12" s="225">
        <v>0</v>
      </c>
      <c r="O12" s="155" t="s">
        <v>82</v>
      </c>
    </row>
    <row r="13" spans="2:15" x14ac:dyDescent="0.2">
      <c r="B13" s="156" t="s">
        <v>83</v>
      </c>
      <c r="C13" s="231">
        <v>0</v>
      </c>
      <c r="D13" s="232">
        <v>0</v>
      </c>
      <c r="E13" s="233">
        <v>0</v>
      </c>
      <c r="F13" s="231">
        <v>0</v>
      </c>
      <c r="G13" s="232">
        <v>0</v>
      </c>
      <c r="H13" s="233">
        <v>0</v>
      </c>
      <c r="I13" s="231">
        <v>0</v>
      </c>
      <c r="J13" s="232">
        <v>0</v>
      </c>
      <c r="K13" s="233">
        <v>0</v>
      </c>
      <c r="L13" s="231">
        <v>0</v>
      </c>
      <c r="M13" s="232">
        <v>0</v>
      </c>
      <c r="N13" s="233">
        <v>0</v>
      </c>
      <c r="O13" s="54" t="s">
        <v>7</v>
      </c>
    </row>
    <row r="14" spans="2:15" x14ac:dyDescent="0.2">
      <c r="B14" s="154" t="s">
        <v>2</v>
      </c>
      <c r="C14" s="223">
        <v>0</v>
      </c>
      <c r="D14" s="224">
        <v>0</v>
      </c>
      <c r="E14" s="217">
        <v>0</v>
      </c>
      <c r="F14" s="223">
        <v>0</v>
      </c>
      <c r="G14" s="224">
        <v>0</v>
      </c>
      <c r="H14" s="217">
        <v>0</v>
      </c>
      <c r="I14" s="223">
        <v>0</v>
      </c>
      <c r="J14" s="224">
        <v>0</v>
      </c>
      <c r="K14" s="217">
        <v>0</v>
      </c>
      <c r="L14" s="223">
        <v>0</v>
      </c>
      <c r="M14" s="224">
        <v>0</v>
      </c>
      <c r="N14" s="217">
        <v>0</v>
      </c>
      <c r="O14" s="155" t="s">
        <v>22</v>
      </c>
    </row>
    <row r="15" spans="2:15" ht="16" thickBot="1" x14ac:dyDescent="0.25">
      <c r="B15" s="158" t="s">
        <v>3</v>
      </c>
      <c r="C15" s="218">
        <f>'Overview 2016 (in)'!G16</f>
        <v>400</v>
      </c>
      <c r="D15" s="218">
        <f>'Overview 2016 (in)'!H16</f>
        <v>1050</v>
      </c>
      <c r="E15" s="219">
        <f>'Overview 2016 (in)'!I16</f>
        <v>945</v>
      </c>
      <c r="F15" s="218">
        <f ca="1">'Cost-of-Service'!F15</f>
        <v>0</v>
      </c>
      <c r="G15" s="218">
        <f ca="1">'Cost-of-Service'!G15</f>
        <v>0</v>
      </c>
      <c r="H15" s="219">
        <f ca="1">'Cost-of-Service'!H15</f>
        <v>0</v>
      </c>
      <c r="I15" s="218">
        <f ca="1">'Cost-of-Service'!I15</f>
        <v>0</v>
      </c>
      <c r="J15" s="218">
        <f ca="1">'Cost-of-Service'!J15</f>
        <v>0</v>
      </c>
      <c r="K15" s="219">
        <f ca="1">'Cost-of-Service'!K15</f>
        <v>0</v>
      </c>
      <c r="L15" s="218">
        <f ca="1">'Cost-of-Service'!L15</f>
        <v>0</v>
      </c>
      <c r="M15" s="218">
        <f ca="1">'Cost-of-Service'!M15</f>
        <v>0</v>
      </c>
      <c r="N15" s="218">
        <f ca="1">'Cost-of-Service'!N15</f>
        <v>0</v>
      </c>
      <c r="O15" s="60" t="s">
        <v>23</v>
      </c>
    </row>
    <row r="17" spans="2:6" x14ac:dyDescent="0.2">
      <c r="C17" s="202"/>
      <c r="F17" s="202" t="s">
        <v>174</v>
      </c>
    </row>
    <row r="18" spans="2:6" ht="19" x14ac:dyDescent="0.25">
      <c r="B18" s="201"/>
    </row>
    <row r="19" spans="2:6" x14ac:dyDescent="0.2">
      <c r="B19" s="39"/>
    </row>
  </sheetData>
  <mergeCells count="4">
    <mergeCell ref="C3:E3"/>
    <mergeCell ref="F3:H3"/>
    <mergeCell ref="I3:K3"/>
    <mergeCell ref="L3:N3"/>
  </mergeCells>
  <pageMargins left="0.7" right="0.7" top="0.78740157499999996" bottom="0.78740157499999996"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B2:O19"/>
  <sheetViews>
    <sheetView zoomScale="85" zoomScaleNormal="85" workbookViewId="0"/>
  </sheetViews>
  <sheetFormatPr baseColWidth="10" defaultColWidth="11.5" defaultRowHeight="15" x14ac:dyDescent="0.2"/>
  <cols>
    <col min="1" max="1" width="11.5" style="234"/>
    <col min="2" max="2" width="27.6640625" style="234" bestFit="1" customWidth="1"/>
    <col min="3" max="5" width="11.5" style="234"/>
    <col min="6" max="6" width="11.5" style="234" customWidth="1"/>
    <col min="7" max="14" width="11.5" style="234"/>
    <col min="15" max="15" width="20.1640625" style="234" bestFit="1" customWidth="1"/>
    <col min="16" max="16384" width="11.5" style="234"/>
  </cols>
  <sheetData>
    <row r="2" spans="2:15" x14ac:dyDescent="0.2">
      <c r="C2" s="39"/>
      <c r="D2" s="39"/>
      <c r="E2" s="39"/>
      <c r="F2" s="39"/>
      <c r="G2" s="39"/>
      <c r="H2" s="39"/>
      <c r="I2" s="39"/>
      <c r="J2" s="39"/>
      <c r="K2" s="39"/>
      <c r="L2" s="39"/>
    </row>
    <row r="3" spans="2:15" x14ac:dyDescent="0.2">
      <c r="C3" s="588">
        <v>2016</v>
      </c>
      <c r="D3" s="588"/>
      <c r="E3" s="588"/>
      <c r="F3" s="589">
        <v>2020</v>
      </c>
      <c r="G3" s="589"/>
      <c r="H3" s="589"/>
      <c r="I3" s="589">
        <v>2025</v>
      </c>
      <c r="J3" s="589"/>
      <c r="K3" s="589"/>
      <c r="L3" s="590">
        <v>2030</v>
      </c>
      <c r="M3" s="590"/>
      <c r="N3" s="590"/>
      <c r="O3" s="195"/>
    </row>
    <row r="4" spans="2:15" ht="20" thickBot="1" x14ac:dyDescent="0.3">
      <c r="B4" s="194" t="s">
        <v>173</v>
      </c>
      <c r="C4" s="196" t="s">
        <v>72</v>
      </c>
      <c r="D4" s="196" t="s">
        <v>73</v>
      </c>
      <c r="E4" s="196" t="s">
        <v>178</v>
      </c>
      <c r="F4" s="196" t="s">
        <v>72</v>
      </c>
      <c r="G4" s="196" t="s">
        <v>73</v>
      </c>
      <c r="H4" s="196" t="s">
        <v>178</v>
      </c>
      <c r="I4" s="196" t="s">
        <v>72</v>
      </c>
      <c r="J4" s="196" t="s">
        <v>73</v>
      </c>
      <c r="K4" s="196" t="s">
        <v>178</v>
      </c>
      <c r="L4" s="196" t="s">
        <v>72</v>
      </c>
      <c r="M4" s="196" t="s">
        <v>73</v>
      </c>
      <c r="N4" s="196" t="s">
        <v>178</v>
      </c>
      <c r="O4" s="196" t="s">
        <v>1</v>
      </c>
    </row>
    <row r="5" spans="2:15" x14ac:dyDescent="0.2">
      <c r="B5" s="51" t="s">
        <v>74</v>
      </c>
      <c r="C5" s="220">
        <v>0</v>
      </c>
      <c r="D5" s="221">
        <v>0</v>
      </c>
      <c r="E5" s="222">
        <v>0</v>
      </c>
      <c r="F5" s="220">
        <v>0</v>
      </c>
      <c r="G5" s="221">
        <v>0</v>
      </c>
      <c r="H5" s="222">
        <v>0</v>
      </c>
      <c r="I5" s="220">
        <v>0</v>
      </c>
      <c r="J5" s="221">
        <v>0</v>
      </c>
      <c r="K5" s="222">
        <v>0</v>
      </c>
      <c r="L5" s="220">
        <v>0</v>
      </c>
      <c r="M5" s="221">
        <v>0</v>
      </c>
      <c r="N5" s="222">
        <v>0</v>
      </c>
      <c r="O5" s="54" t="s">
        <v>75</v>
      </c>
    </row>
    <row r="6" spans="2:15" x14ac:dyDescent="0.2">
      <c r="B6" s="37" t="s">
        <v>76</v>
      </c>
      <c r="C6" s="223">
        <v>0</v>
      </c>
      <c r="D6" s="224">
        <v>0</v>
      </c>
      <c r="E6" s="225">
        <v>0</v>
      </c>
      <c r="F6" s="223">
        <v>0</v>
      </c>
      <c r="G6" s="224">
        <v>0</v>
      </c>
      <c r="H6" s="225">
        <v>0</v>
      </c>
      <c r="I6" s="223">
        <v>0</v>
      </c>
      <c r="J6" s="224">
        <v>0</v>
      </c>
      <c r="K6" s="225">
        <v>0</v>
      </c>
      <c r="L6" s="223">
        <v>0</v>
      </c>
      <c r="M6" s="224">
        <v>0</v>
      </c>
      <c r="N6" s="225">
        <v>0</v>
      </c>
      <c r="O6" s="55" t="s">
        <v>77</v>
      </c>
    </row>
    <row r="7" spans="2:15" x14ac:dyDescent="0.2">
      <c r="B7" s="51" t="s">
        <v>4</v>
      </c>
      <c r="C7" s="226">
        <v>0</v>
      </c>
      <c r="D7" s="227">
        <v>0</v>
      </c>
      <c r="E7" s="197">
        <v>0</v>
      </c>
      <c r="F7" s="226">
        <v>0</v>
      </c>
      <c r="G7" s="227">
        <v>0</v>
      </c>
      <c r="H7" s="197">
        <v>0</v>
      </c>
      <c r="I7" s="226">
        <v>0</v>
      </c>
      <c r="J7" s="227">
        <v>0</v>
      </c>
      <c r="K7" s="197">
        <v>0</v>
      </c>
      <c r="L7" s="226">
        <v>0</v>
      </c>
      <c r="M7" s="227">
        <v>0</v>
      </c>
      <c r="N7" s="197">
        <v>0</v>
      </c>
      <c r="O7" s="54" t="s">
        <v>5</v>
      </c>
    </row>
    <row r="8" spans="2:15" x14ac:dyDescent="0.2">
      <c r="B8" s="37" t="s">
        <v>6</v>
      </c>
      <c r="C8" s="229">
        <f>'Overview 2016 (in)'!J9</f>
        <v>25</v>
      </c>
      <c r="D8" s="230">
        <f>'Overview 2016 (in)'!K9</f>
        <v>15</v>
      </c>
      <c r="E8" s="199">
        <f>'Overview 2016 (in)'!L9</f>
        <v>20</v>
      </c>
      <c r="F8" s="223">
        <v>80</v>
      </c>
      <c r="G8" s="224">
        <v>40</v>
      </c>
      <c r="H8" s="225">
        <v>50</v>
      </c>
      <c r="I8" s="223">
        <v>80</v>
      </c>
      <c r="J8" s="224">
        <v>40</v>
      </c>
      <c r="K8" s="225">
        <v>50</v>
      </c>
      <c r="L8" s="223">
        <v>80</v>
      </c>
      <c r="M8" s="224">
        <v>40</v>
      </c>
      <c r="N8" s="225">
        <v>50</v>
      </c>
      <c r="O8" s="55" t="s">
        <v>7</v>
      </c>
    </row>
    <row r="9" spans="2:15" x14ac:dyDescent="0.2">
      <c r="B9" s="51" t="s">
        <v>78</v>
      </c>
      <c r="C9" s="226">
        <v>0</v>
      </c>
      <c r="D9" s="227">
        <v>0</v>
      </c>
      <c r="E9" s="197">
        <v>0</v>
      </c>
      <c r="F9" s="226">
        <v>0</v>
      </c>
      <c r="G9" s="227">
        <v>0</v>
      </c>
      <c r="H9" s="228">
        <v>0</v>
      </c>
      <c r="I9" s="226">
        <v>0</v>
      </c>
      <c r="J9" s="227">
        <v>0</v>
      </c>
      <c r="K9" s="228">
        <v>0</v>
      </c>
      <c r="L9" s="226">
        <v>0</v>
      </c>
      <c r="M9" s="227">
        <v>0</v>
      </c>
      <c r="N9" s="228">
        <v>0</v>
      </c>
      <c r="O9" s="54" t="s">
        <v>9</v>
      </c>
    </row>
    <row r="10" spans="2:15" x14ac:dyDescent="0.2">
      <c r="B10" s="37" t="s">
        <v>8</v>
      </c>
      <c r="C10" s="223">
        <v>100</v>
      </c>
      <c r="D10" s="224">
        <v>100</v>
      </c>
      <c r="E10" s="225">
        <v>100</v>
      </c>
      <c r="F10" s="223">
        <v>100</v>
      </c>
      <c r="G10" s="224">
        <v>100</v>
      </c>
      <c r="H10" s="225">
        <v>100</v>
      </c>
      <c r="I10" s="223">
        <v>100</v>
      </c>
      <c r="J10" s="224">
        <v>100</v>
      </c>
      <c r="K10" s="225">
        <v>100</v>
      </c>
      <c r="L10" s="223">
        <v>100</v>
      </c>
      <c r="M10" s="224">
        <v>100</v>
      </c>
      <c r="N10" s="225">
        <v>100</v>
      </c>
      <c r="O10" s="55" t="s">
        <v>9</v>
      </c>
    </row>
    <row r="11" spans="2:15" x14ac:dyDescent="0.2">
      <c r="B11" s="51" t="s">
        <v>79</v>
      </c>
      <c r="C11" s="220">
        <v>0</v>
      </c>
      <c r="D11" s="221">
        <v>0</v>
      </c>
      <c r="E11" s="222">
        <v>0</v>
      </c>
      <c r="F11" s="220">
        <v>0</v>
      </c>
      <c r="G11" s="221">
        <v>0</v>
      </c>
      <c r="H11" s="222">
        <v>0</v>
      </c>
      <c r="I11" s="220">
        <v>0</v>
      </c>
      <c r="J11" s="221">
        <v>0</v>
      </c>
      <c r="K11" s="222">
        <v>0</v>
      </c>
      <c r="L11" s="220">
        <v>0</v>
      </c>
      <c r="M11" s="221">
        <v>0</v>
      </c>
      <c r="N11" s="222">
        <v>0</v>
      </c>
      <c r="O11" s="54" t="s">
        <v>80</v>
      </c>
    </row>
    <row r="12" spans="2:15" x14ac:dyDescent="0.2">
      <c r="B12" s="154" t="s">
        <v>81</v>
      </c>
      <c r="C12" s="223">
        <v>0</v>
      </c>
      <c r="D12" s="224">
        <v>0</v>
      </c>
      <c r="E12" s="225">
        <v>0</v>
      </c>
      <c r="F12" s="223">
        <v>0</v>
      </c>
      <c r="G12" s="224">
        <v>0</v>
      </c>
      <c r="H12" s="225">
        <v>0</v>
      </c>
      <c r="I12" s="223">
        <v>0</v>
      </c>
      <c r="J12" s="224">
        <v>0</v>
      </c>
      <c r="K12" s="225">
        <v>0</v>
      </c>
      <c r="L12" s="223">
        <v>0</v>
      </c>
      <c r="M12" s="224">
        <v>0</v>
      </c>
      <c r="N12" s="225">
        <v>0</v>
      </c>
      <c r="O12" s="155" t="s">
        <v>82</v>
      </c>
    </row>
    <row r="13" spans="2:15" x14ac:dyDescent="0.2">
      <c r="B13" s="156" t="s">
        <v>83</v>
      </c>
      <c r="C13" s="231">
        <v>0</v>
      </c>
      <c r="D13" s="232">
        <v>0</v>
      </c>
      <c r="E13" s="233">
        <v>0</v>
      </c>
      <c r="F13" s="231">
        <v>0</v>
      </c>
      <c r="G13" s="232">
        <v>0</v>
      </c>
      <c r="H13" s="233">
        <v>0</v>
      </c>
      <c r="I13" s="231">
        <v>0</v>
      </c>
      <c r="J13" s="232">
        <v>0</v>
      </c>
      <c r="K13" s="233">
        <v>0</v>
      </c>
      <c r="L13" s="231">
        <v>0</v>
      </c>
      <c r="M13" s="232">
        <v>0</v>
      </c>
      <c r="N13" s="233">
        <v>0</v>
      </c>
      <c r="O13" s="54" t="s">
        <v>7</v>
      </c>
    </row>
    <row r="14" spans="2:15" x14ac:dyDescent="0.2">
      <c r="B14" s="154" t="s">
        <v>2</v>
      </c>
      <c r="C14" s="223">
        <v>0</v>
      </c>
      <c r="D14" s="224">
        <v>0</v>
      </c>
      <c r="E14" s="217">
        <v>0</v>
      </c>
      <c r="F14" s="223">
        <v>0</v>
      </c>
      <c r="G14" s="224">
        <v>0</v>
      </c>
      <c r="H14" s="217">
        <v>0</v>
      </c>
      <c r="I14" s="223">
        <v>0</v>
      </c>
      <c r="J14" s="224">
        <v>0</v>
      </c>
      <c r="K14" s="217">
        <v>0</v>
      </c>
      <c r="L14" s="223">
        <v>0</v>
      </c>
      <c r="M14" s="224">
        <v>0</v>
      </c>
      <c r="N14" s="217">
        <v>0</v>
      </c>
      <c r="O14" s="155" t="s">
        <v>22</v>
      </c>
    </row>
    <row r="15" spans="2:15" ht="16" thickBot="1" x14ac:dyDescent="0.25">
      <c r="B15" s="158" t="s">
        <v>3</v>
      </c>
      <c r="C15" s="218">
        <f ca="1">'Cost-of-Service'!C15</f>
        <v>0</v>
      </c>
      <c r="D15" s="218">
        <f ca="1">'Cost-of-Service'!D15</f>
        <v>0</v>
      </c>
      <c r="E15" s="219">
        <f ca="1">'Cost-of-Service'!E15</f>
        <v>0</v>
      </c>
      <c r="F15" s="218">
        <f ca="1">'Cost-of-Service'!F15</f>
        <v>0</v>
      </c>
      <c r="G15" s="218">
        <f ca="1">'Cost-of-Service'!G15</f>
        <v>0</v>
      </c>
      <c r="H15" s="219">
        <f ca="1">'Cost-of-Service'!H15</f>
        <v>0</v>
      </c>
      <c r="I15" s="218">
        <f ca="1">'Cost-of-Service'!I15</f>
        <v>0</v>
      </c>
      <c r="J15" s="218">
        <f ca="1">'Cost-of-Service'!J15</f>
        <v>0</v>
      </c>
      <c r="K15" s="219">
        <f ca="1">'Cost-of-Service'!K15</f>
        <v>0</v>
      </c>
      <c r="L15" s="218">
        <f ca="1">'Cost-of-Service'!L15</f>
        <v>0</v>
      </c>
      <c r="M15" s="218">
        <f ca="1">'Cost-of-Service'!M15</f>
        <v>0</v>
      </c>
      <c r="N15" s="218">
        <f ca="1">'Cost-of-Service'!N15</f>
        <v>0</v>
      </c>
      <c r="O15" s="60" t="s">
        <v>23</v>
      </c>
    </row>
    <row r="17" spans="2:6" x14ac:dyDescent="0.2">
      <c r="C17" s="202"/>
      <c r="F17" s="202" t="s">
        <v>174</v>
      </c>
    </row>
    <row r="18" spans="2:6" ht="19" x14ac:dyDescent="0.25">
      <c r="B18" s="201"/>
    </row>
    <row r="19" spans="2:6" x14ac:dyDescent="0.2">
      <c r="B19" s="39"/>
    </row>
  </sheetData>
  <mergeCells count="4">
    <mergeCell ref="C3:E3"/>
    <mergeCell ref="F3:H3"/>
    <mergeCell ref="I3:K3"/>
    <mergeCell ref="L3:N3"/>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61"/>
  <sheetViews>
    <sheetView zoomScale="85" zoomScaleNormal="85" workbookViewId="0"/>
  </sheetViews>
  <sheetFormatPr baseColWidth="10" defaultColWidth="11.5" defaultRowHeight="15" x14ac:dyDescent="0.2"/>
  <cols>
    <col min="1" max="1" width="11.5" style="45"/>
    <col min="2" max="2" width="20.83203125" style="45" customWidth="1"/>
    <col min="3" max="5" width="11.5" style="45"/>
    <col min="6" max="6" width="13.83203125" style="45" bestFit="1" customWidth="1"/>
    <col min="7" max="7" width="14.33203125" style="45" customWidth="1"/>
    <col min="8" max="25" width="11.5" style="45"/>
  </cols>
  <sheetData>
    <row r="1" spans="19:25" s="254" customFormat="1" x14ac:dyDescent="0.2">
      <c r="S1" s="45"/>
      <c r="T1" s="45"/>
      <c r="U1" s="45"/>
      <c r="V1" s="45"/>
      <c r="W1" s="45"/>
      <c r="X1" s="45"/>
      <c r="Y1" s="45"/>
    </row>
    <row r="2" spans="19:25" s="254" customFormat="1" x14ac:dyDescent="0.2">
      <c r="S2" s="45"/>
      <c r="T2" s="45"/>
      <c r="U2" s="45"/>
      <c r="V2" s="45"/>
      <c r="W2" s="45"/>
      <c r="X2" s="45"/>
      <c r="Y2" s="45"/>
    </row>
    <row r="3" spans="19:25" s="254" customFormat="1" x14ac:dyDescent="0.2">
      <c r="S3" s="45"/>
      <c r="T3" s="45"/>
      <c r="U3" s="45"/>
      <c r="V3" s="45"/>
      <c r="W3" s="45"/>
      <c r="X3" s="45"/>
      <c r="Y3" s="45"/>
    </row>
    <row r="35" s="45" customFormat="1" x14ac:dyDescent="0.2"/>
    <row r="36" s="45" customFormat="1" x14ac:dyDescent="0.2"/>
    <row r="37" s="45" customFormat="1" x14ac:dyDescent="0.2"/>
    <row r="38" s="45" customFormat="1" x14ac:dyDescent="0.2"/>
    <row r="39" s="45" customFormat="1" x14ac:dyDescent="0.2"/>
    <row r="40" s="45" customFormat="1" x14ac:dyDescent="0.2"/>
    <row r="41" s="45" customFormat="1" x14ac:dyDescent="0.2"/>
    <row r="42" s="45" customFormat="1" x14ac:dyDescent="0.2"/>
    <row r="43" s="45" customFormat="1" x14ac:dyDescent="0.2"/>
    <row r="44" s="45" customFormat="1" x14ac:dyDescent="0.2"/>
    <row r="45" s="45" customFormat="1" x14ac:dyDescent="0.2"/>
    <row r="46" s="45" customFormat="1" x14ac:dyDescent="0.2"/>
    <row r="47" s="45" customFormat="1" x14ac:dyDescent="0.2"/>
    <row r="48" s="45" customFormat="1" x14ac:dyDescent="0.2"/>
    <row r="49" s="45" customFormat="1" x14ac:dyDescent="0.2"/>
    <row r="50" s="45" customFormat="1" x14ac:dyDescent="0.2"/>
    <row r="51" s="45" customFormat="1" x14ac:dyDescent="0.2"/>
    <row r="52" s="45" customFormat="1" x14ac:dyDescent="0.2"/>
    <row r="53" s="45" customFormat="1" x14ac:dyDescent="0.2"/>
    <row r="54" s="45" customFormat="1" x14ac:dyDescent="0.2"/>
    <row r="55" s="45" customFormat="1" x14ac:dyDescent="0.2"/>
    <row r="56" s="45" customFormat="1" x14ac:dyDescent="0.2"/>
    <row r="57" s="45" customFormat="1" x14ac:dyDescent="0.2"/>
    <row r="58" s="45" customFormat="1" x14ac:dyDescent="0.2"/>
    <row r="59" s="45" customFormat="1" x14ac:dyDescent="0.2"/>
    <row r="60" s="45" customFormat="1" x14ac:dyDescent="0.2"/>
    <row r="61" s="45" customFormat="1" x14ac:dyDescent="0.2"/>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K40"/>
  <sheetViews>
    <sheetView showGridLines="0" zoomScale="85" zoomScaleNormal="85" workbookViewId="0"/>
  </sheetViews>
  <sheetFormatPr baseColWidth="10" defaultColWidth="11.5" defaultRowHeight="15" x14ac:dyDescent="0.2"/>
  <cols>
    <col min="2" max="2" width="34.5" bestFit="1" customWidth="1"/>
    <col min="3" max="3" width="8" bestFit="1" customWidth="1"/>
    <col min="4" max="4" width="12" bestFit="1" customWidth="1"/>
    <col min="5" max="5" width="13.5" bestFit="1" customWidth="1"/>
    <col min="6" max="6" width="16.1640625" bestFit="1" customWidth="1"/>
    <col min="7" max="7" width="62.1640625" customWidth="1"/>
    <col min="8" max="8" width="22.83203125" bestFit="1" customWidth="1"/>
    <col min="9" max="9" width="12.5" bestFit="1" customWidth="1"/>
    <col min="10" max="10" width="11.83203125" bestFit="1" customWidth="1"/>
    <col min="11" max="11" width="15.83203125" bestFit="1" customWidth="1"/>
    <col min="13" max="13" width="10.1640625" bestFit="1" customWidth="1"/>
  </cols>
  <sheetData>
    <row r="2" spans="2:11" x14ac:dyDescent="0.2">
      <c r="B2" s="204"/>
      <c r="C2" s="205" t="s">
        <v>160</v>
      </c>
      <c r="D2" s="205" t="s">
        <v>161</v>
      </c>
      <c r="E2" s="205" t="s">
        <v>162</v>
      </c>
      <c r="F2" s="205" t="s">
        <v>311</v>
      </c>
      <c r="G2" s="214"/>
    </row>
    <row r="3" spans="2:11" x14ac:dyDescent="0.2">
      <c r="B3" s="444" t="s">
        <v>289</v>
      </c>
      <c r="C3" s="40" t="s">
        <v>120</v>
      </c>
      <c r="D3" s="40" t="s">
        <v>121</v>
      </c>
      <c r="E3" s="40" t="s">
        <v>122</v>
      </c>
      <c r="F3" s="40" t="s">
        <v>123</v>
      </c>
      <c r="G3" s="445" t="s">
        <v>179</v>
      </c>
      <c r="J3" s="50"/>
      <c r="K3" s="50"/>
    </row>
    <row r="4" spans="2:11" x14ac:dyDescent="0.2">
      <c r="B4" s="553" t="s">
        <v>146</v>
      </c>
      <c r="C4" s="554">
        <v>5000</v>
      </c>
      <c r="D4" s="554">
        <v>1</v>
      </c>
      <c r="E4" s="554">
        <v>1</v>
      </c>
      <c r="F4" s="554">
        <v>3</v>
      </c>
      <c r="G4" s="446" t="s">
        <v>216</v>
      </c>
    </row>
    <row r="5" spans="2:11" x14ac:dyDescent="0.2">
      <c r="B5" s="555" t="s">
        <v>147</v>
      </c>
      <c r="C5" s="556">
        <v>5000</v>
      </c>
      <c r="D5" s="556">
        <v>1.33</v>
      </c>
      <c r="E5" s="556">
        <v>1</v>
      </c>
      <c r="F5" s="556">
        <v>3</v>
      </c>
      <c r="G5" s="447" t="s">
        <v>216</v>
      </c>
    </row>
    <row r="6" spans="2:11" x14ac:dyDescent="0.2">
      <c r="B6" s="555" t="s">
        <v>148</v>
      </c>
      <c r="C6" s="556">
        <v>15000</v>
      </c>
      <c r="D6" s="556">
        <v>2</v>
      </c>
      <c r="E6" s="556">
        <v>0.5</v>
      </c>
      <c r="F6" s="556">
        <v>3</v>
      </c>
      <c r="G6" s="447"/>
    </row>
    <row r="7" spans="2:11" x14ac:dyDescent="0.2">
      <c r="B7" s="555" t="s">
        <v>149</v>
      </c>
      <c r="C7" s="556">
        <v>1060000</v>
      </c>
      <c r="D7" s="556">
        <v>8.0188679245283012</v>
      </c>
      <c r="E7" s="556">
        <v>0.8</v>
      </c>
      <c r="F7" s="556">
        <v>3</v>
      </c>
      <c r="G7" s="447" t="s">
        <v>184</v>
      </c>
    </row>
    <row r="8" spans="2:11" x14ac:dyDescent="0.2">
      <c r="B8" s="557" t="s">
        <v>150</v>
      </c>
      <c r="C8" s="558">
        <v>2.5</v>
      </c>
      <c r="D8" s="558">
        <v>2</v>
      </c>
      <c r="E8" s="558">
        <f>220/365</f>
        <v>0.60273972602739723</v>
      </c>
      <c r="F8" s="558">
        <v>29</v>
      </c>
      <c r="G8" s="447" t="s">
        <v>276</v>
      </c>
    </row>
    <row r="9" spans="2:11" x14ac:dyDescent="0.2">
      <c r="B9" s="557" t="s">
        <v>151</v>
      </c>
      <c r="C9" s="558">
        <v>224</v>
      </c>
      <c r="D9" s="558">
        <f>191.36/224</f>
        <v>0.85428571428571431</v>
      </c>
      <c r="E9" s="558">
        <v>1</v>
      </c>
      <c r="F9" s="558">
        <v>29</v>
      </c>
      <c r="G9" s="447" t="s">
        <v>217</v>
      </c>
    </row>
    <row r="10" spans="2:11" x14ac:dyDescent="0.2">
      <c r="B10" s="557" t="s">
        <v>152</v>
      </c>
      <c r="C10" s="558">
        <v>12</v>
      </c>
      <c r="D10" s="558">
        <v>2</v>
      </c>
      <c r="E10" s="558">
        <v>0.1</v>
      </c>
      <c r="F10" s="558">
        <v>29</v>
      </c>
      <c r="G10" s="447"/>
    </row>
    <row r="11" spans="2:11" x14ac:dyDescent="0.2">
      <c r="B11" s="557" t="s">
        <v>153</v>
      </c>
      <c r="C11" s="558">
        <v>200</v>
      </c>
      <c r="D11" s="558">
        <v>0.3</v>
      </c>
      <c r="E11" s="558">
        <f>20/365</f>
        <v>5.4794520547945202E-2</v>
      </c>
      <c r="F11" s="558">
        <v>18</v>
      </c>
      <c r="G11" s="447"/>
    </row>
    <row r="12" spans="2:11" x14ac:dyDescent="0.2">
      <c r="B12" s="557" t="s">
        <v>154</v>
      </c>
      <c r="C12" s="558">
        <v>5</v>
      </c>
      <c r="D12" s="558">
        <v>4</v>
      </c>
      <c r="E12" s="558">
        <v>1</v>
      </c>
      <c r="F12" s="558">
        <v>20</v>
      </c>
      <c r="G12" s="447"/>
    </row>
    <row r="13" spans="2:11" x14ac:dyDescent="0.2">
      <c r="B13" s="448" t="s">
        <v>163</v>
      </c>
      <c r="C13" s="449">
        <v>0.2</v>
      </c>
      <c r="D13" s="449">
        <v>2</v>
      </c>
      <c r="E13" s="449">
        <v>0.85</v>
      </c>
      <c r="F13" s="449">
        <v>100</v>
      </c>
      <c r="G13" s="447" t="s">
        <v>218</v>
      </c>
    </row>
    <row r="14" spans="2:11" x14ac:dyDescent="0.2">
      <c r="B14" s="448" t="s">
        <v>155</v>
      </c>
      <c r="C14" s="449">
        <v>50</v>
      </c>
      <c r="D14" s="449">
        <v>2.5</v>
      </c>
      <c r="E14" s="449">
        <v>0.9</v>
      </c>
      <c r="F14" s="449">
        <v>100</v>
      </c>
      <c r="G14" s="447" t="s">
        <v>219</v>
      </c>
    </row>
    <row r="15" spans="2:11" x14ac:dyDescent="0.2">
      <c r="B15" s="448" t="s">
        <v>156</v>
      </c>
      <c r="C15" s="449">
        <v>800</v>
      </c>
      <c r="D15" s="449">
        <f>2800/800</f>
        <v>3.5</v>
      </c>
      <c r="E15" s="449">
        <v>1</v>
      </c>
      <c r="F15" s="449">
        <v>100</v>
      </c>
      <c r="G15" s="447" t="s">
        <v>215</v>
      </c>
    </row>
    <row r="16" spans="2:11" x14ac:dyDescent="0.2">
      <c r="B16" s="450"/>
      <c r="C16" s="451"/>
      <c r="D16" s="451"/>
      <c r="E16" s="451"/>
      <c r="F16" s="451"/>
      <c r="G16" s="452"/>
    </row>
    <row r="17" spans="2:7" x14ac:dyDescent="0.2">
      <c r="B17" s="453"/>
      <c r="C17" s="451"/>
      <c r="D17" s="451"/>
      <c r="E17" s="451"/>
      <c r="F17" s="451"/>
      <c r="G17" s="452"/>
    </row>
    <row r="18" spans="2:7" x14ac:dyDescent="0.2">
      <c r="B18" s="454"/>
      <c r="C18" s="451"/>
      <c r="D18" s="451"/>
      <c r="E18" s="451"/>
      <c r="F18" s="451"/>
      <c r="G18" s="452"/>
    </row>
    <row r="19" spans="2:7" x14ac:dyDescent="0.2">
      <c r="B19" s="454"/>
      <c r="C19" s="451"/>
      <c r="D19" s="451"/>
      <c r="E19" s="451"/>
      <c r="F19" s="451"/>
      <c r="G19" s="452"/>
    </row>
    <row r="20" spans="2:7" x14ac:dyDescent="0.2">
      <c r="B20" s="454"/>
      <c r="C20" s="451"/>
      <c r="D20" s="451"/>
      <c r="E20" s="451"/>
      <c r="F20" s="451"/>
      <c r="G20" s="452"/>
    </row>
    <row r="21" spans="2:7" x14ac:dyDescent="0.2">
      <c r="B21" s="454"/>
      <c r="C21" s="451"/>
      <c r="D21" s="451"/>
      <c r="E21" s="451"/>
      <c r="F21" s="451"/>
      <c r="G21" s="452"/>
    </row>
    <row r="22" spans="2:7" x14ac:dyDescent="0.2">
      <c r="B22" s="454"/>
      <c r="C22" s="451"/>
      <c r="D22" s="451"/>
      <c r="E22" s="451"/>
      <c r="F22" s="451"/>
      <c r="G22" s="452"/>
    </row>
    <row r="23" spans="2:7" x14ac:dyDescent="0.2">
      <c r="B23" s="454"/>
      <c r="C23" s="451"/>
      <c r="D23" s="451"/>
      <c r="E23" s="451"/>
      <c r="F23" s="451"/>
      <c r="G23" s="452"/>
    </row>
    <row r="24" spans="2:7" x14ac:dyDescent="0.2">
      <c r="B24" s="454"/>
      <c r="C24" s="451"/>
      <c r="D24" s="451"/>
      <c r="E24" s="451"/>
      <c r="F24" s="451"/>
      <c r="G24" s="452"/>
    </row>
    <row r="25" spans="2:7" x14ac:dyDescent="0.2">
      <c r="B25" s="454"/>
      <c r="C25" s="451"/>
      <c r="D25" s="451"/>
      <c r="E25" s="451"/>
      <c r="F25" s="451"/>
      <c r="G25" s="452"/>
    </row>
    <row r="26" spans="2:7" x14ac:dyDescent="0.2">
      <c r="B26" s="454"/>
      <c r="C26" s="451"/>
      <c r="D26" s="451"/>
      <c r="E26" s="451"/>
      <c r="F26" s="451"/>
      <c r="G26" s="452"/>
    </row>
    <row r="27" spans="2:7" x14ac:dyDescent="0.2">
      <c r="B27" s="454"/>
      <c r="C27" s="451"/>
      <c r="D27" s="451"/>
      <c r="E27" s="451"/>
      <c r="F27" s="451"/>
      <c r="G27" s="452"/>
    </row>
    <row r="28" spans="2:7" x14ac:dyDescent="0.2">
      <c r="B28" s="454"/>
      <c r="C28" s="451"/>
      <c r="D28" s="451"/>
      <c r="E28" s="451"/>
      <c r="F28" s="451"/>
      <c r="G28" s="452"/>
    </row>
    <row r="29" spans="2:7" x14ac:dyDescent="0.2">
      <c r="B29" s="454"/>
      <c r="C29" s="451"/>
      <c r="D29" s="451"/>
      <c r="E29" s="451"/>
      <c r="F29" s="451"/>
      <c r="G29" s="452"/>
    </row>
    <row r="30" spans="2:7" x14ac:dyDescent="0.2">
      <c r="B30" s="454"/>
      <c r="C30" s="451"/>
      <c r="D30" s="451"/>
      <c r="E30" s="451"/>
      <c r="F30" s="451"/>
      <c r="G30" s="452"/>
    </row>
    <row r="31" spans="2:7" x14ac:dyDescent="0.2">
      <c r="B31" s="454"/>
      <c r="C31" s="451"/>
      <c r="D31" s="451"/>
      <c r="E31" s="451"/>
      <c r="F31" s="451"/>
      <c r="G31" s="452"/>
    </row>
    <row r="32" spans="2:7" x14ac:dyDescent="0.2">
      <c r="B32" s="454"/>
      <c r="C32" s="451"/>
      <c r="D32" s="451"/>
      <c r="E32" s="451"/>
      <c r="F32" s="451"/>
      <c r="G32" s="452"/>
    </row>
    <row r="33" spans="2:7" x14ac:dyDescent="0.2">
      <c r="B33" s="454"/>
      <c r="C33" s="451"/>
      <c r="D33" s="451"/>
      <c r="E33" s="451"/>
      <c r="F33" s="451"/>
      <c r="G33" s="452"/>
    </row>
    <row r="34" spans="2:7" x14ac:dyDescent="0.2">
      <c r="B34" s="454"/>
      <c r="C34" s="451"/>
      <c r="D34" s="451"/>
      <c r="E34" s="451"/>
      <c r="F34" s="451"/>
      <c r="G34" s="452"/>
    </row>
    <row r="35" spans="2:7" x14ac:dyDescent="0.2">
      <c r="B35" s="454"/>
      <c r="C35" s="451"/>
      <c r="D35" s="451"/>
      <c r="E35" s="451"/>
      <c r="F35" s="451"/>
      <c r="G35" s="452"/>
    </row>
    <row r="36" spans="2:7" x14ac:dyDescent="0.2">
      <c r="B36" s="454"/>
      <c r="C36" s="451"/>
      <c r="D36" s="451"/>
      <c r="E36" s="451"/>
      <c r="F36" s="451"/>
      <c r="G36" s="452"/>
    </row>
    <row r="37" spans="2:7" x14ac:dyDescent="0.2">
      <c r="B37" s="454"/>
      <c r="C37" s="451"/>
      <c r="D37" s="451"/>
      <c r="E37" s="451"/>
      <c r="F37" s="451"/>
      <c r="G37" s="452"/>
    </row>
    <row r="38" spans="2:7" x14ac:dyDescent="0.2">
      <c r="B38" s="454"/>
      <c r="C38" s="451"/>
      <c r="D38" s="451"/>
      <c r="E38" s="451"/>
      <c r="F38" s="451"/>
      <c r="G38" s="452"/>
    </row>
    <row r="39" spans="2:7" x14ac:dyDescent="0.2">
      <c r="B39" s="454"/>
      <c r="C39" s="451"/>
      <c r="D39" s="451"/>
      <c r="E39" s="451"/>
      <c r="F39" s="451"/>
      <c r="G39" s="452"/>
    </row>
    <row r="40" spans="2:7" x14ac:dyDescent="0.2">
      <c r="B40" s="455"/>
      <c r="C40" s="456"/>
      <c r="D40" s="456"/>
      <c r="E40" s="456"/>
      <c r="F40" s="456"/>
      <c r="G40" s="457"/>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0"/>
  <sheetViews>
    <sheetView zoomScale="85" zoomScaleNormal="85" workbookViewId="0"/>
  </sheetViews>
  <sheetFormatPr baseColWidth="10" defaultColWidth="11.5" defaultRowHeight="15" x14ac:dyDescent="0.2"/>
  <cols>
    <col min="1" max="1" width="20.1640625" bestFit="1" customWidth="1"/>
  </cols>
  <sheetData>
    <row r="1" spans="1:3" x14ac:dyDescent="0.2">
      <c r="A1" s="211" t="s">
        <v>26</v>
      </c>
    </row>
    <row r="2" spans="1:3" x14ac:dyDescent="0.2">
      <c r="A2" s="211" t="s">
        <v>32</v>
      </c>
      <c r="C2" s="39"/>
    </row>
    <row r="3" spans="1:3" x14ac:dyDescent="0.2">
      <c r="A3" s="211" t="s">
        <v>33</v>
      </c>
      <c r="C3" s="39"/>
    </row>
    <row r="4" spans="1:3" x14ac:dyDescent="0.2">
      <c r="A4" s="211" t="s">
        <v>35</v>
      </c>
      <c r="B4" s="252"/>
      <c r="C4" s="39"/>
    </row>
    <row r="5" spans="1:3" x14ac:dyDescent="0.2">
      <c r="A5" s="211" t="s">
        <v>36</v>
      </c>
      <c r="C5" s="39"/>
    </row>
    <row r="6" spans="1:3" x14ac:dyDescent="0.2">
      <c r="A6" s="211" t="s">
        <v>84</v>
      </c>
      <c r="B6" s="252"/>
      <c r="C6" s="39"/>
    </row>
    <row r="7" spans="1:3" x14ac:dyDescent="0.2">
      <c r="A7" s="211" t="s">
        <v>85</v>
      </c>
      <c r="B7" s="252"/>
      <c r="C7" s="39"/>
    </row>
    <row r="8" spans="1:3" x14ac:dyDescent="0.2">
      <c r="A8" s="211" t="s">
        <v>57</v>
      </c>
      <c r="B8" s="252"/>
      <c r="C8" s="39"/>
    </row>
    <row r="9" spans="1:3" x14ac:dyDescent="0.2">
      <c r="A9" s="211" t="s">
        <v>86</v>
      </c>
      <c r="B9" s="252"/>
      <c r="C9" s="39"/>
    </row>
    <row r="10" spans="1:3" x14ac:dyDescent="0.2">
      <c r="A10" s="211" t="s">
        <v>43</v>
      </c>
      <c r="B10" s="252"/>
      <c r="C10" s="39"/>
    </row>
    <row r="11" spans="1:3" x14ac:dyDescent="0.2">
      <c r="A11" s="211" t="s">
        <v>44</v>
      </c>
      <c r="B11" s="252"/>
      <c r="C11" s="39"/>
    </row>
    <row r="12" spans="1:3" x14ac:dyDescent="0.2">
      <c r="A12" s="213" t="s">
        <v>50</v>
      </c>
      <c r="B12" s="39"/>
      <c r="C12" s="39"/>
    </row>
    <row r="13" spans="1:3" x14ac:dyDescent="0.2">
      <c r="A13" s="211" t="s">
        <v>159</v>
      </c>
      <c r="B13" s="252"/>
      <c r="C13" s="39"/>
    </row>
    <row r="14" spans="1:3" x14ac:dyDescent="0.2">
      <c r="A14" s="211"/>
      <c r="B14" s="202" t="s">
        <v>194</v>
      </c>
      <c r="C14" s="39"/>
    </row>
    <row r="15" spans="1:3" x14ac:dyDescent="0.2">
      <c r="A15" s="211"/>
      <c r="C15" s="39"/>
    </row>
    <row r="16" spans="1:3" x14ac:dyDescent="0.2">
      <c r="A16" s="211"/>
      <c r="C16" s="39"/>
    </row>
    <row r="17" spans="1:1" x14ac:dyDescent="0.2">
      <c r="A17" s="211"/>
    </row>
    <row r="18" spans="1:1" x14ac:dyDescent="0.2">
      <c r="A18" s="211"/>
    </row>
    <row r="19" spans="1:1" x14ac:dyDescent="0.2">
      <c r="A19" s="211"/>
    </row>
    <row r="20" spans="1:1" x14ac:dyDescent="0.2">
      <c r="A20" s="211"/>
    </row>
    <row r="21" spans="1:1" x14ac:dyDescent="0.2">
      <c r="A21" s="211"/>
    </row>
    <row r="22" spans="1:1" x14ac:dyDescent="0.2">
      <c r="A22" s="211"/>
    </row>
    <row r="23" spans="1:1" x14ac:dyDescent="0.2">
      <c r="A23" s="211"/>
    </row>
    <row r="24" spans="1:1" x14ac:dyDescent="0.2">
      <c r="A24" s="211"/>
    </row>
    <row r="25" spans="1:1" x14ac:dyDescent="0.2">
      <c r="A25" s="211"/>
    </row>
    <row r="26" spans="1:1" x14ac:dyDescent="0.2">
      <c r="A26" s="211"/>
    </row>
    <row r="27" spans="1:1" x14ac:dyDescent="0.2">
      <c r="A27" s="211"/>
    </row>
    <row r="28" spans="1:1" x14ac:dyDescent="0.2">
      <c r="A28" s="211"/>
    </row>
    <row r="29" spans="1:1" x14ac:dyDescent="0.2">
      <c r="A29" s="211"/>
    </row>
    <row r="30" spans="1:1" x14ac:dyDescent="0.2">
      <c r="A30" s="211"/>
    </row>
    <row r="31" spans="1:1" x14ac:dyDescent="0.2">
      <c r="A31" s="211"/>
    </row>
    <row r="32" spans="1:1" x14ac:dyDescent="0.2">
      <c r="A32" s="211"/>
    </row>
    <row r="33" spans="1:1" x14ac:dyDescent="0.2">
      <c r="A33" s="211"/>
    </row>
    <row r="34" spans="1:1" x14ac:dyDescent="0.2">
      <c r="A34" s="211"/>
    </row>
    <row r="35" spans="1:1" x14ac:dyDescent="0.2">
      <c r="A35" s="211"/>
    </row>
    <row r="36" spans="1:1" x14ac:dyDescent="0.2">
      <c r="A36" s="211"/>
    </row>
    <row r="37" spans="1:1" x14ac:dyDescent="0.2">
      <c r="A37" s="211"/>
    </row>
    <row r="38" spans="1:1" x14ac:dyDescent="0.2">
      <c r="A38" s="211"/>
    </row>
    <row r="39" spans="1:1" x14ac:dyDescent="0.2">
      <c r="A39" s="211"/>
    </row>
    <row r="40" spans="1:1" x14ac:dyDescent="0.2">
      <c r="A40" s="212"/>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AB80"/>
  <sheetViews>
    <sheetView zoomScale="85" zoomScaleNormal="85" workbookViewId="0"/>
  </sheetViews>
  <sheetFormatPr baseColWidth="10" defaultColWidth="11.5" defaultRowHeight="15" x14ac:dyDescent="0.2"/>
  <cols>
    <col min="1" max="2" width="11.5" style="215"/>
    <col min="3" max="3" width="27.1640625" style="215" customWidth="1"/>
    <col min="4" max="12" width="12.6640625" style="215" customWidth="1"/>
    <col min="13" max="13" width="20.6640625" style="215" customWidth="1"/>
    <col min="14" max="15" width="11.5" style="215"/>
    <col min="16" max="16" width="20.5" style="215" customWidth="1"/>
    <col min="17" max="17" width="11.5" style="215" bestFit="1" customWidth="1"/>
    <col min="18" max="18" width="11.5" style="215"/>
    <col min="19" max="19" width="21.6640625" style="215" bestFit="1" customWidth="1"/>
    <col min="20" max="21" width="11.5" style="215"/>
    <col min="22" max="22" width="10.6640625" style="215" bestFit="1" customWidth="1"/>
    <col min="23" max="23" width="11.33203125" style="215" bestFit="1" customWidth="1"/>
    <col min="24" max="26" width="14.6640625" style="215" bestFit="1" customWidth="1"/>
    <col min="27" max="16384" width="11.5" style="215"/>
  </cols>
  <sheetData>
    <row r="3" spans="3:28" ht="16" x14ac:dyDescent="0.2">
      <c r="C3" s="45"/>
      <c r="D3" s="584" t="s">
        <v>31</v>
      </c>
      <c r="E3" s="584"/>
      <c r="F3" s="584"/>
      <c r="G3" s="584"/>
      <c r="H3" s="584"/>
      <c r="I3" s="584"/>
      <c r="J3" s="584"/>
      <c r="K3" s="584"/>
      <c r="L3" s="584"/>
      <c r="M3" s="46"/>
    </row>
    <row r="4" spans="3:28" ht="17" thickBot="1" x14ac:dyDescent="0.25">
      <c r="C4" s="45"/>
      <c r="D4" s="582" t="s">
        <v>26</v>
      </c>
      <c r="E4" s="582"/>
      <c r="F4" s="582"/>
      <c r="G4" s="582" t="s">
        <v>32</v>
      </c>
      <c r="H4" s="582"/>
      <c r="I4" s="582"/>
      <c r="J4" s="582" t="s">
        <v>33</v>
      </c>
      <c r="K4" s="582"/>
      <c r="L4" s="582"/>
      <c r="M4" s="61"/>
      <c r="U4" s="39"/>
      <c r="V4" s="47"/>
      <c r="W4" s="39"/>
      <c r="X4" s="39"/>
      <c r="Y4" s="39"/>
      <c r="Z4" s="39"/>
      <c r="AA4" s="39"/>
      <c r="AB4" s="39"/>
    </row>
    <row r="5" spans="3:28" ht="16" thickBot="1" x14ac:dyDescent="0.25">
      <c r="C5" s="38"/>
      <c r="D5" s="48" t="s">
        <v>72</v>
      </c>
      <c r="E5" s="38" t="s">
        <v>73</v>
      </c>
      <c r="F5" s="49" t="s">
        <v>178</v>
      </c>
      <c r="G5" s="38" t="s">
        <v>72</v>
      </c>
      <c r="H5" s="38" t="s">
        <v>73</v>
      </c>
      <c r="I5" s="38" t="s">
        <v>178</v>
      </c>
      <c r="J5" s="48" t="s">
        <v>72</v>
      </c>
      <c r="K5" s="38" t="s">
        <v>73</v>
      </c>
      <c r="L5" s="49" t="s">
        <v>178</v>
      </c>
      <c r="M5" s="38" t="s">
        <v>1</v>
      </c>
      <c r="U5" s="39"/>
      <c r="V5" s="40"/>
      <c r="W5" s="40"/>
      <c r="X5" s="40"/>
      <c r="Y5" s="40"/>
      <c r="Z5" s="40"/>
      <c r="AA5" s="39"/>
      <c r="AB5" s="39"/>
    </row>
    <row r="6" spans="3:28" ht="19" x14ac:dyDescent="0.25">
      <c r="C6" s="280" t="s">
        <v>74</v>
      </c>
      <c r="D6" s="287">
        <v>2</v>
      </c>
      <c r="E6" s="288">
        <v>0.2</v>
      </c>
      <c r="F6" s="289">
        <v>1</v>
      </c>
      <c r="G6" s="288">
        <v>6</v>
      </c>
      <c r="H6" s="295">
        <v>2</v>
      </c>
      <c r="I6" s="289">
        <v>3</v>
      </c>
      <c r="J6" s="288">
        <v>200</v>
      </c>
      <c r="K6" s="288">
        <v>20</v>
      </c>
      <c r="L6" s="289">
        <v>80</v>
      </c>
      <c r="M6" s="281" t="s">
        <v>75</v>
      </c>
      <c r="N6" s="235"/>
      <c r="O6" s="175" t="s">
        <v>97</v>
      </c>
      <c r="P6" s="176"/>
      <c r="U6" s="39"/>
      <c r="V6" s="39"/>
      <c r="W6" s="39"/>
      <c r="X6" s="39"/>
      <c r="Y6" s="39"/>
      <c r="Z6" s="39"/>
      <c r="AA6" s="39"/>
      <c r="AB6" s="39"/>
    </row>
    <row r="7" spans="3:28" ht="20" thickBot="1" x14ac:dyDescent="0.3">
      <c r="C7" s="280" t="s">
        <v>76</v>
      </c>
      <c r="D7" s="290">
        <v>0.2</v>
      </c>
      <c r="E7" s="291">
        <v>0.1</v>
      </c>
      <c r="F7" s="292">
        <v>0.15</v>
      </c>
      <c r="G7" s="296">
        <v>0.6</v>
      </c>
      <c r="H7" s="296">
        <v>0.2</v>
      </c>
      <c r="I7" s="297">
        <v>0.4</v>
      </c>
      <c r="J7" s="296">
        <v>10000</v>
      </c>
      <c r="K7" s="296">
        <v>5000</v>
      </c>
      <c r="L7" s="299">
        <v>7500</v>
      </c>
      <c r="M7" s="282" t="s">
        <v>77</v>
      </c>
      <c r="N7" s="235"/>
      <c r="O7" s="177">
        <v>1.05</v>
      </c>
      <c r="P7" s="178"/>
      <c r="Q7" s="179">
        <v>42737</v>
      </c>
      <c r="U7" s="39"/>
      <c r="V7" s="39"/>
      <c r="W7" s="39"/>
      <c r="X7" s="39"/>
      <c r="Y7" s="39"/>
      <c r="Z7" s="39"/>
      <c r="AA7" s="39"/>
      <c r="AB7" s="39"/>
    </row>
    <row r="8" spans="3:28" x14ac:dyDescent="0.2">
      <c r="C8" s="280" t="s">
        <v>4</v>
      </c>
      <c r="D8" s="287">
        <v>100000</v>
      </c>
      <c r="E8" s="288">
        <v>12000</v>
      </c>
      <c r="F8" s="289">
        <v>50000</v>
      </c>
      <c r="G8" s="288">
        <v>100000</v>
      </c>
      <c r="H8" s="288">
        <v>10000</v>
      </c>
      <c r="I8" s="289">
        <v>50000</v>
      </c>
      <c r="J8" s="288">
        <v>1000000</v>
      </c>
      <c r="K8" s="288">
        <v>100000</v>
      </c>
      <c r="L8" s="289">
        <v>200000</v>
      </c>
      <c r="M8" s="281" t="s">
        <v>5</v>
      </c>
      <c r="N8" s="235"/>
      <c r="U8" s="39"/>
      <c r="V8" s="39"/>
      <c r="W8" s="39"/>
      <c r="X8" s="39"/>
      <c r="Y8" s="39"/>
      <c r="Z8" s="39"/>
      <c r="AA8" s="39"/>
      <c r="AB8" s="39"/>
    </row>
    <row r="9" spans="3:28" x14ac:dyDescent="0.2">
      <c r="C9" s="280" t="s">
        <v>6</v>
      </c>
      <c r="D9" s="290">
        <v>100</v>
      </c>
      <c r="E9" s="291">
        <v>30</v>
      </c>
      <c r="F9" s="292">
        <v>60</v>
      </c>
      <c r="G9" s="296">
        <v>100</v>
      </c>
      <c r="H9" s="296">
        <v>20</v>
      </c>
      <c r="I9" s="297">
        <v>50</v>
      </c>
      <c r="J9" s="296">
        <v>25</v>
      </c>
      <c r="K9" s="296">
        <v>15</v>
      </c>
      <c r="L9" s="299">
        <v>20</v>
      </c>
      <c r="M9" s="282" t="s">
        <v>7</v>
      </c>
      <c r="N9" s="235"/>
      <c r="O9" s="204" t="str">
        <f ca="1">CELL("format",Q9)</f>
        <v>,0-</v>
      </c>
      <c r="P9" s="205" t="s">
        <v>98</v>
      </c>
      <c r="Q9" s="206">
        <v>1</v>
      </c>
      <c r="U9" s="39"/>
      <c r="V9" s="39"/>
      <c r="W9" s="39"/>
      <c r="X9" s="39"/>
      <c r="Y9" s="39"/>
      <c r="Z9" s="39"/>
      <c r="AA9" s="39"/>
      <c r="AB9" s="39"/>
    </row>
    <row r="10" spans="3:28" x14ac:dyDescent="0.2">
      <c r="C10" s="280" t="s">
        <v>78</v>
      </c>
      <c r="D10" s="287">
        <v>100</v>
      </c>
      <c r="E10" s="288">
        <v>80</v>
      </c>
      <c r="F10" s="289">
        <v>90</v>
      </c>
      <c r="G10" s="288">
        <v>50</v>
      </c>
      <c r="H10" s="288">
        <v>35</v>
      </c>
      <c r="I10" s="289">
        <v>40</v>
      </c>
      <c r="J10" s="288">
        <v>90</v>
      </c>
      <c r="K10" s="288">
        <v>75</v>
      </c>
      <c r="L10" s="289">
        <v>85</v>
      </c>
      <c r="M10" s="281" t="s">
        <v>9</v>
      </c>
      <c r="N10" s="235"/>
      <c r="O10" s="207" t="str">
        <f ca="1">CELL("format",Q10)</f>
        <v>,0</v>
      </c>
      <c r="P10" s="208" t="s">
        <v>99</v>
      </c>
      <c r="Q10" s="209" t="s">
        <v>158</v>
      </c>
      <c r="U10" s="39"/>
      <c r="V10" s="39"/>
      <c r="W10" s="39"/>
      <c r="X10" s="39"/>
      <c r="Y10" s="39"/>
      <c r="Z10" s="39"/>
      <c r="AA10" s="39"/>
      <c r="AB10" s="39"/>
    </row>
    <row r="11" spans="3:28" x14ac:dyDescent="0.2">
      <c r="C11" s="280" t="s">
        <v>8</v>
      </c>
      <c r="D11" s="290">
        <v>84</v>
      </c>
      <c r="E11" s="291">
        <v>70</v>
      </c>
      <c r="F11" s="292">
        <v>80</v>
      </c>
      <c r="G11" s="296">
        <v>75</v>
      </c>
      <c r="H11" s="296">
        <v>40</v>
      </c>
      <c r="I11" s="297">
        <v>60</v>
      </c>
      <c r="J11" s="296">
        <v>99</v>
      </c>
      <c r="K11" s="296">
        <v>70</v>
      </c>
      <c r="L11" s="299">
        <v>84</v>
      </c>
      <c r="M11" s="282" t="s">
        <v>9</v>
      </c>
      <c r="N11" s="235"/>
      <c r="U11" s="39"/>
      <c r="V11" s="39"/>
      <c r="W11" s="39"/>
      <c r="X11" s="39"/>
      <c r="Y11" s="39"/>
      <c r="Z11" s="39"/>
      <c r="AA11" s="39"/>
      <c r="AB11" s="39"/>
    </row>
    <row r="12" spans="3:28" x14ac:dyDescent="0.2">
      <c r="C12" s="280" t="s">
        <v>79</v>
      </c>
      <c r="D12" s="287">
        <v>0</v>
      </c>
      <c r="E12" s="288">
        <v>0.02</v>
      </c>
      <c r="F12" s="289">
        <v>0.01</v>
      </c>
      <c r="G12" s="288">
        <v>0</v>
      </c>
      <c r="H12" s="288">
        <v>1</v>
      </c>
      <c r="I12" s="289">
        <v>0.5</v>
      </c>
      <c r="J12" s="288">
        <v>20</v>
      </c>
      <c r="K12" s="288">
        <v>100</v>
      </c>
      <c r="L12" s="289">
        <v>60</v>
      </c>
      <c r="M12" s="281" t="s">
        <v>80</v>
      </c>
      <c r="N12" s="235"/>
      <c r="U12" s="39"/>
      <c r="V12" s="39"/>
      <c r="W12" s="39"/>
      <c r="X12" s="39"/>
      <c r="Y12" s="39"/>
      <c r="Z12" s="39"/>
      <c r="AA12" s="39"/>
      <c r="AB12" s="39"/>
    </row>
    <row r="13" spans="3:28" x14ac:dyDescent="0.2">
      <c r="C13" s="280" t="s">
        <v>81</v>
      </c>
      <c r="D13" s="290">
        <v>15</v>
      </c>
      <c r="E13" s="291">
        <v>500</v>
      </c>
      <c r="F13" s="292">
        <v>30</v>
      </c>
      <c r="G13" s="296" t="s">
        <v>221</v>
      </c>
      <c r="H13" s="296">
        <v>900</v>
      </c>
      <c r="I13" s="297">
        <v>480</v>
      </c>
      <c r="J13" s="296" t="s">
        <v>222</v>
      </c>
      <c r="K13" s="296" t="s">
        <v>221</v>
      </c>
      <c r="L13" s="299">
        <v>0.05</v>
      </c>
      <c r="M13" s="283" t="s">
        <v>82</v>
      </c>
      <c r="N13" s="235"/>
      <c r="U13" s="39"/>
      <c r="V13" s="39"/>
      <c r="W13" s="39"/>
      <c r="X13" s="39"/>
      <c r="Y13" s="39"/>
      <c r="Z13" s="39"/>
      <c r="AA13" s="39"/>
      <c r="AB13" s="39"/>
    </row>
    <row r="14" spans="3:28" x14ac:dyDescent="0.2">
      <c r="C14" s="285" t="s">
        <v>83</v>
      </c>
      <c r="D14" s="293">
        <v>5</v>
      </c>
      <c r="E14" s="288">
        <v>25</v>
      </c>
      <c r="F14" s="289">
        <v>15</v>
      </c>
      <c r="G14" s="288">
        <v>0</v>
      </c>
      <c r="H14" s="288">
        <v>0</v>
      </c>
      <c r="I14" s="289">
        <v>0</v>
      </c>
      <c r="J14" s="288">
        <v>0</v>
      </c>
      <c r="K14" s="288">
        <v>0</v>
      </c>
      <c r="L14" s="289">
        <v>0</v>
      </c>
      <c r="M14" s="281" t="s">
        <v>7</v>
      </c>
      <c r="N14" s="235"/>
      <c r="U14" s="39"/>
      <c r="V14" s="39"/>
      <c r="W14" s="39"/>
      <c r="X14" s="39"/>
      <c r="Y14" s="39"/>
      <c r="Z14" s="39"/>
      <c r="AA14" s="39"/>
      <c r="AB14" s="39"/>
    </row>
    <row r="15" spans="3:28" x14ac:dyDescent="0.2">
      <c r="C15" s="280" t="s">
        <v>2</v>
      </c>
      <c r="D15" s="290">
        <v>5.25</v>
      </c>
      <c r="E15" s="291">
        <v>100</v>
      </c>
      <c r="F15" s="291">
        <v>21</v>
      </c>
      <c r="G15" s="290">
        <v>2</v>
      </c>
      <c r="H15" s="291">
        <v>84</v>
      </c>
      <c r="I15" s="292">
        <v>52.5</v>
      </c>
      <c r="J15" s="290">
        <v>1500</v>
      </c>
      <c r="K15" s="291">
        <v>6000</v>
      </c>
      <c r="L15" s="292">
        <v>3000</v>
      </c>
      <c r="M15" s="283" t="s">
        <v>22</v>
      </c>
      <c r="N15" s="235"/>
      <c r="U15" s="39"/>
      <c r="V15" s="39"/>
      <c r="W15" s="39"/>
      <c r="X15" s="39"/>
      <c r="Y15" s="39"/>
      <c r="Z15" s="39"/>
      <c r="AA15" s="39"/>
      <c r="AB15" s="39"/>
    </row>
    <row r="16" spans="3:28" ht="16" thickBot="1" x14ac:dyDescent="0.25">
      <c r="C16" s="286" t="s">
        <v>3</v>
      </c>
      <c r="D16" s="294">
        <v>525</v>
      </c>
      <c r="E16" s="294">
        <v>2000</v>
      </c>
      <c r="F16" s="294">
        <v>840</v>
      </c>
      <c r="G16" s="298">
        <v>400</v>
      </c>
      <c r="H16" s="294">
        <v>1050</v>
      </c>
      <c r="I16" s="294">
        <v>945</v>
      </c>
      <c r="J16" s="298">
        <v>315</v>
      </c>
      <c r="K16" s="294">
        <v>1050</v>
      </c>
      <c r="L16" s="294">
        <v>300</v>
      </c>
      <c r="M16" s="284" t="s">
        <v>23</v>
      </c>
      <c r="N16" s="235"/>
      <c r="U16" s="39"/>
      <c r="V16" s="39"/>
      <c r="W16" s="39"/>
      <c r="X16" s="39"/>
      <c r="Y16" s="39"/>
      <c r="Z16" s="39"/>
      <c r="AA16" s="39"/>
      <c r="AB16" s="39"/>
    </row>
    <row r="17" spans="3:28" x14ac:dyDescent="0.2">
      <c r="U17" s="39"/>
      <c r="V17" s="39"/>
      <c r="W17" s="39"/>
      <c r="X17" s="39"/>
      <c r="Y17" s="39"/>
      <c r="Z17" s="39"/>
      <c r="AA17" s="39"/>
      <c r="AB17" s="39"/>
    </row>
    <row r="18" spans="3:28" x14ac:dyDescent="0.2">
      <c r="U18" s="39"/>
      <c r="V18" s="39"/>
      <c r="W18" s="39"/>
      <c r="X18" s="39"/>
      <c r="Y18" s="39"/>
      <c r="Z18" s="39"/>
      <c r="AA18" s="39"/>
      <c r="AB18" s="39"/>
    </row>
    <row r="19" spans="3:28" ht="16" x14ac:dyDescent="0.2">
      <c r="C19" s="45"/>
      <c r="D19" s="584" t="s">
        <v>34</v>
      </c>
      <c r="E19" s="584"/>
      <c r="F19" s="584"/>
      <c r="G19" s="584"/>
      <c r="H19" s="584"/>
      <c r="I19" s="584"/>
      <c r="J19" s="584" t="s">
        <v>27</v>
      </c>
      <c r="K19" s="584"/>
      <c r="L19" s="584"/>
      <c r="M19" s="46"/>
      <c r="U19" s="39"/>
      <c r="V19" s="39"/>
      <c r="W19" s="39"/>
      <c r="X19" s="39"/>
      <c r="Y19" s="39"/>
      <c r="Z19" s="39"/>
      <c r="AA19" s="39"/>
      <c r="AB19" s="39"/>
    </row>
    <row r="20" spans="3:28" ht="16" thickBot="1" x14ac:dyDescent="0.25">
      <c r="C20" s="45"/>
      <c r="D20" s="587" t="s">
        <v>35</v>
      </c>
      <c r="E20" s="587"/>
      <c r="F20" s="587"/>
      <c r="G20" s="582" t="s">
        <v>36</v>
      </c>
      <c r="H20" s="582"/>
      <c r="I20" s="582"/>
      <c r="J20" s="582" t="s">
        <v>37</v>
      </c>
      <c r="K20" s="582"/>
      <c r="L20" s="582"/>
      <c r="M20" s="61"/>
      <c r="U20" s="39"/>
      <c r="V20" s="39"/>
      <c r="W20" s="39"/>
      <c r="X20" s="39"/>
      <c r="Y20" s="39"/>
      <c r="Z20" s="39"/>
      <c r="AA20" s="39"/>
      <c r="AB20" s="39"/>
    </row>
    <row r="21" spans="3:28" x14ac:dyDescent="0.2">
      <c r="C21" s="38"/>
      <c r="D21" s="48" t="s">
        <v>72</v>
      </c>
      <c r="E21" s="38" t="s">
        <v>73</v>
      </c>
      <c r="F21" s="49" t="s">
        <v>183</v>
      </c>
      <c r="G21" s="38" t="s">
        <v>72</v>
      </c>
      <c r="H21" s="38" t="s">
        <v>73</v>
      </c>
      <c r="I21" s="49" t="s">
        <v>183</v>
      </c>
      <c r="J21" s="38" t="s">
        <v>72</v>
      </c>
      <c r="K21" s="38" t="s">
        <v>73</v>
      </c>
      <c r="L21" s="49" t="s">
        <v>183</v>
      </c>
      <c r="M21" s="48" t="s">
        <v>1</v>
      </c>
      <c r="U21" s="39"/>
      <c r="V21" s="39"/>
      <c r="W21" s="39"/>
      <c r="X21" s="39"/>
      <c r="Y21" s="39"/>
      <c r="Z21" s="39"/>
      <c r="AA21" s="39"/>
      <c r="AB21" s="39"/>
    </row>
    <row r="22" spans="3:28" x14ac:dyDescent="0.2">
      <c r="C22" s="280" t="s">
        <v>74</v>
      </c>
      <c r="D22" s="287">
        <v>100</v>
      </c>
      <c r="E22" s="288">
        <v>50</v>
      </c>
      <c r="F22" s="289">
        <v>80</v>
      </c>
      <c r="G22" s="288">
        <v>100</v>
      </c>
      <c r="H22" s="295">
        <v>50</v>
      </c>
      <c r="I22" s="289">
        <v>80</v>
      </c>
      <c r="J22" s="288">
        <v>735</v>
      </c>
      <c r="K22" s="288">
        <v>200</v>
      </c>
      <c r="L22" s="289">
        <v>468</v>
      </c>
      <c r="M22" s="281" t="s">
        <v>75</v>
      </c>
      <c r="U22" s="39"/>
      <c r="V22" s="39"/>
      <c r="W22" s="39"/>
      <c r="X22" s="39"/>
      <c r="Y22" s="39"/>
      <c r="Z22" s="39"/>
      <c r="AA22" s="39"/>
      <c r="AB22" s="39"/>
    </row>
    <row r="23" spans="3:28" x14ac:dyDescent="0.2">
      <c r="C23" s="280" t="s">
        <v>76</v>
      </c>
      <c r="D23" s="290">
        <v>700</v>
      </c>
      <c r="E23" s="291">
        <v>10</v>
      </c>
      <c r="F23" s="292">
        <v>350</v>
      </c>
      <c r="G23" s="296">
        <v>700</v>
      </c>
      <c r="H23" s="296">
        <v>10</v>
      </c>
      <c r="I23" s="297">
        <v>350</v>
      </c>
      <c r="J23" s="296">
        <v>10000</v>
      </c>
      <c r="K23" s="296">
        <v>100</v>
      </c>
      <c r="L23" s="299">
        <v>3500</v>
      </c>
      <c r="M23" s="282" t="s">
        <v>77</v>
      </c>
      <c r="U23" s="39"/>
      <c r="V23" s="39"/>
      <c r="W23" s="39"/>
      <c r="X23" s="39"/>
      <c r="Y23" s="39"/>
      <c r="Z23" s="39"/>
      <c r="AA23" s="39"/>
      <c r="AB23" s="39"/>
    </row>
    <row r="24" spans="3:28" x14ac:dyDescent="0.2">
      <c r="C24" s="280" t="s">
        <v>4</v>
      </c>
      <c r="D24" s="287">
        <v>2500</v>
      </c>
      <c r="E24" s="288">
        <v>250</v>
      </c>
      <c r="F24" s="289">
        <v>1500</v>
      </c>
      <c r="G24" s="288">
        <v>2500</v>
      </c>
      <c r="H24" s="288">
        <v>250</v>
      </c>
      <c r="I24" s="289">
        <v>1500</v>
      </c>
      <c r="J24" s="288">
        <v>4000</v>
      </c>
      <c r="K24" s="288">
        <v>500</v>
      </c>
      <c r="L24" s="289">
        <v>2000</v>
      </c>
      <c r="M24" s="281" t="s">
        <v>5</v>
      </c>
      <c r="U24" s="39"/>
      <c r="V24" s="39"/>
      <c r="W24" s="39"/>
      <c r="X24" s="39"/>
      <c r="Y24" s="39"/>
      <c r="Z24" s="39"/>
      <c r="AA24" s="39"/>
      <c r="AB24" s="39"/>
    </row>
    <row r="25" spans="3:28" x14ac:dyDescent="0.2">
      <c r="C25" s="280" t="s">
        <v>6</v>
      </c>
      <c r="D25" s="290">
        <v>15</v>
      </c>
      <c r="E25" s="291">
        <v>3</v>
      </c>
      <c r="F25" s="292">
        <v>9</v>
      </c>
      <c r="G25" s="296">
        <v>15</v>
      </c>
      <c r="H25" s="296">
        <v>3</v>
      </c>
      <c r="I25" s="297">
        <v>9</v>
      </c>
      <c r="J25" s="296">
        <v>20</v>
      </c>
      <c r="K25" s="296">
        <v>5</v>
      </c>
      <c r="L25" s="299">
        <v>12</v>
      </c>
      <c r="M25" s="282" t="s">
        <v>7</v>
      </c>
      <c r="U25" s="39"/>
      <c r="V25" s="39"/>
      <c r="W25" s="39"/>
      <c r="X25" s="39"/>
      <c r="Y25" s="39"/>
      <c r="Z25" s="39"/>
      <c r="AA25" s="39"/>
      <c r="AB25" s="39"/>
    </row>
    <row r="26" spans="3:28" x14ac:dyDescent="0.2">
      <c r="C26" s="280" t="s">
        <v>78</v>
      </c>
      <c r="D26" s="287">
        <v>50</v>
      </c>
      <c r="E26" s="288">
        <v>60</v>
      </c>
      <c r="F26" s="289">
        <v>50</v>
      </c>
      <c r="G26" s="288">
        <v>50</v>
      </c>
      <c r="H26" s="288">
        <v>60</v>
      </c>
      <c r="I26" s="289">
        <v>50</v>
      </c>
      <c r="J26" s="288">
        <v>100</v>
      </c>
      <c r="K26" s="288">
        <v>84</v>
      </c>
      <c r="L26" s="289">
        <v>90</v>
      </c>
      <c r="M26" s="281" t="s">
        <v>9</v>
      </c>
      <c r="U26" s="39"/>
      <c r="V26" s="39"/>
      <c r="W26" s="39"/>
      <c r="X26" s="39"/>
      <c r="Y26" s="39"/>
      <c r="Z26" s="39"/>
      <c r="AA26" s="39"/>
      <c r="AB26" s="39"/>
    </row>
    <row r="27" spans="3:28" x14ac:dyDescent="0.2">
      <c r="C27" s="280" t="s">
        <v>8</v>
      </c>
      <c r="D27" s="290">
        <v>92</v>
      </c>
      <c r="E27" s="291">
        <v>75</v>
      </c>
      <c r="F27" s="292">
        <v>82</v>
      </c>
      <c r="G27" s="296">
        <v>92</v>
      </c>
      <c r="H27" s="296">
        <v>75</v>
      </c>
      <c r="I27" s="297">
        <v>80</v>
      </c>
      <c r="J27" s="296">
        <v>98</v>
      </c>
      <c r="K27" s="296">
        <v>81</v>
      </c>
      <c r="L27" s="299">
        <v>95</v>
      </c>
      <c r="M27" s="282" t="s">
        <v>9</v>
      </c>
      <c r="U27" s="39"/>
      <c r="V27" s="39"/>
      <c r="W27" s="39"/>
      <c r="X27" s="39"/>
      <c r="Y27" s="39"/>
      <c r="Z27" s="39"/>
      <c r="AA27" s="39"/>
      <c r="AB27" s="39"/>
    </row>
    <row r="28" spans="3:28" x14ac:dyDescent="0.2">
      <c r="C28" s="280" t="s">
        <v>79</v>
      </c>
      <c r="D28" s="287">
        <v>0.09</v>
      </c>
      <c r="E28" s="288">
        <v>0.4</v>
      </c>
      <c r="F28" s="289">
        <v>0.25</v>
      </c>
      <c r="G28" s="288">
        <v>0.09</v>
      </c>
      <c r="H28" s="288">
        <v>0.4</v>
      </c>
      <c r="I28" s="289">
        <v>0.25</v>
      </c>
      <c r="J28" s="288">
        <v>0.09</v>
      </c>
      <c r="K28" s="288">
        <v>0.36</v>
      </c>
      <c r="L28" s="289">
        <v>0.1</v>
      </c>
      <c r="M28" s="281" t="s">
        <v>80</v>
      </c>
      <c r="U28" s="39"/>
      <c r="V28" s="39"/>
      <c r="W28" s="39"/>
      <c r="X28" s="39"/>
      <c r="Y28" s="39"/>
      <c r="Z28" s="39"/>
      <c r="AA28" s="39"/>
      <c r="AB28" s="39"/>
    </row>
    <row r="29" spans="3:28" x14ac:dyDescent="0.2">
      <c r="C29" s="280" t="s">
        <v>81</v>
      </c>
      <c r="D29" s="290">
        <v>3.0000000000000001E-3</v>
      </c>
      <c r="E29" s="291">
        <v>0.01</v>
      </c>
      <c r="F29" s="292">
        <v>6.0000000000000001E-3</v>
      </c>
      <c r="G29" s="296">
        <v>3.0000000000000001E-3</v>
      </c>
      <c r="H29" s="296">
        <v>0.01</v>
      </c>
      <c r="I29" s="297">
        <v>6.0000000000000001E-3</v>
      </c>
      <c r="J29" s="296">
        <v>3.0000000000000001E-3</v>
      </c>
      <c r="K29" s="296">
        <v>1</v>
      </c>
      <c r="L29" s="299">
        <v>0.01</v>
      </c>
      <c r="M29" s="283" t="s">
        <v>82</v>
      </c>
      <c r="U29" s="39"/>
      <c r="V29" s="39"/>
      <c r="W29" s="39"/>
      <c r="X29" s="39"/>
      <c r="Y29" s="39"/>
      <c r="Z29" s="39"/>
      <c r="AA29" s="39"/>
      <c r="AB29" s="39"/>
    </row>
    <row r="30" spans="3:28" x14ac:dyDescent="0.2">
      <c r="C30" s="285" t="s">
        <v>83</v>
      </c>
      <c r="D30" s="293">
        <v>0</v>
      </c>
      <c r="E30" s="288">
        <v>0</v>
      </c>
      <c r="F30" s="289">
        <v>0</v>
      </c>
      <c r="G30" s="288">
        <v>0</v>
      </c>
      <c r="H30" s="288">
        <v>0</v>
      </c>
      <c r="I30" s="289">
        <v>0</v>
      </c>
      <c r="J30" s="288">
        <v>0</v>
      </c>
      <c r="K30" s="288">
        <v>0</v>
      </c>
      <c r="L30" s="289">
        <v>0</v>
      </c>
      <c r="M30" s="281" t="s">
        <v>7</v>
      </c>
      <c r="U30" s="39"/>
      <c r="V30" s="39"/>
      <c r="W30" s="39"/>
      <c r="X30" s="39"/>
      <c r="Y30" s="39"/>
      <c r="Z30" s="39"/>
      <c r="AA30" s="39"/>
      <c r="AB30" s="39"/>
    </row>
    <row r="31" spans="3:28" x14ac:dyDescent="0.2">
      <c r="C31" s="280" t="s">
        <v>2</v>
      </c>
      <c r="D31" s="290">
        <v>105</v>
      </c>
      <c r="E31" s="291">
        <v>472.5</v>
      </c>
      <c r="F31" s="291">
        <v>147</v>
      </c>
      <c r="G31" s="290">
        <v>105</v>
      </c>
      <c r="H31" s="291">
        <v>472.5</v>
      </c>
      <c r="I31" s="292">
        <v>262.5</v>
      </c>
      <c r="J31" s="290">
        <v>199.5</v>
      </c>
      <c r="K31" s="291">
        <v>840</v>
      </c>
      <c r="L31" s="292">
        <v>420</v>
      </c>
      <c r="M31" s="283" t="s">
        <v>22</v>
      </c>
      <c r="U31" s="39"/>
      <c r="V31" s="39"/>
      <c r="W31" s="39"/>
      <c r="X31" s="39"/>
      <c r="Y31" s="39"/>
      <c r="Z31" s="39"/>
      <c r="AA31" s="39"/>
      <c r="AB31" s="39"/>
    </row>
    <row r="32" spans="3:28" ht="16" thickBot="1" x14ac:dyDescent="0.25">
      <c r="C32" s="286" t="s">
        <v>3</v>
      </c>
      <c r="D32" s="294">
        <v>0</v>
      </c>
      <c r="E32" s="294">
        <v>0</v>
      </c>
      <c r="F32" s="294">
        <v>0</v>
      </c>
      <c r="G32" s="298">
        <v>0</v>
      </c>
      <c r="H32" s="294">
        <v>0</v>
      </c>
      <c r="I32" s="294">
        <v>0</v>
      </c>
      <c r="J32" s="298">
        <v>0</v>
      </c>
      <c r="K32" s="294">
        <v>0</v>
      </c>
      <c r="L32" s="294">
        <v>0</v>
      </c>
      <c r="M32" s="284" t="s">
        <v>23</v>
      </c>
      <c r="U32" s="39"/>
      <c r="V32" s="39"/>
      <c r="W32" s="39"/>
      <c r="X32" s="39"/>
      <c r="Y32" s="39"/>
      <c r="Z32" s="39"/>
      <c r="AA32" s="39"/>
      <c r="AB32" s="39"/>
    </row>
    <row r="33" spans="2:28" x14ac:dyDescent="0.2">
      <c r="U33" s="39"/>
      <c r="V33" s="39"/>
      <c r="W33" s="39"/>
      <c r="X33" s="39"/>
      <c r="Y33" s="39"/>
      <c r="Z33" s="39"/>
      <c r="AA33" s="39"/>
      <c r="AB33" s="39"/>
    </row>
    <row r="34" spans="2:28" x14ac:dyDescent="0.2">
      <c r="U34" s="39"/>
      <c r="V34" s="39"/>
      <c r="W34" s="39"/>
      <c r="X34" s="39"/>
      <c r="Y34" s="39"/>
      <c r="Z34" s="39"/>
      <c r="AA34" s="39"/>
      <c r="AB34" s="39"/>
    </row>
    <row r="35" spans="2:28" ht="16" x14ac:dyDescent="0.2">
      <c r="C35" s="45"/>
      <c r="D35" s="584" t="s">
        <v>27</v>
      </c>
      <c r="E35" s="584"/>
      <c r="F35" s="584"/>
      <c r="G35" s="584"/>
      <c r="H35" s="584"/>
      <c r="I35" s="584"/>
      <c r="J35" s="584"/>
      <c r="K35" s="584"/>
      <c r="L35" s="584"/>
      <c r="M35" s="46"/>
      <c r="U35" s="39"/>
      <c r="V35" s="39"/>
      <c r="W35" s="39"/>
      <c r="X35" s="39"/>
      <c r="Y35" s="39"/>
      <c r="Z35" s="39"/>
      <c r="AA35" s="39"/>
      <c r="AB35" s="39"/>
    </row>
    <row r="36" spans="2:28" ht="17" thickBot="1" x14ac:dyDescent="0.25">
      <c r="C36" s="45"/>
      <c r="D36" s="587" t="s">
        <v>38</v>
      </c>
      <c r="E36" s="587"/>
      <c r="F36" s="587"/>
      <c r="G36" s="582" t="s">
        <v>39</v>
      </c>
      <c r="H36" s="582"/>
      <c r="I36" s="582"/>
      <c r="J36" s="582" t="s">
        <v>40</v>
      </c>
      <c r="K36" s="582"/>
      <c r="L36" s="582"/>
      <c r="M36" s="61"/>
      <c r="U36" s="39"/>
      <c r="V36" s="585"/>
      <c r="W36" s="585"/>
      <c r="X36" s="586"/>
      <c r="Y36" s="586"/>
      <c r="Z36" s="39"/>
      <c r="AA36" s="39"/>
      <c r="AB36" s="39"/>
    </row>
    <row r="37" spans="2:28" x14ac:dyDescent="0.2">
      <c r="B37" s="39"/>
      <c r="C37" s="38"/>
      <c r="D37" s="48" t="s">
        <v>72</v>
      </c>
      <c r="E37" s="38" t="s">
        <v>73</v>
      </c>
      <c r="F37" s="49" t="s">
        <v>178</v>
      </c>
      <c r="G37" s="38" t="s">
        <v>72</v>
      </c>
      <c r="H37" s="38" t="s">
        <v>73</v>
      </c>
      <c r="I37" s="49" t="s">
        <v>178</v>
      </c>
      <c r="J37" s="38" t="s">
        <v>72</v>
      </c>
      <c r="K37" s="38" t="s">
        <v>73</v>
      </c>
      <c r="L37" s="49" t="s">
        <v>178</v>
      </c>
      <c r="M37" s="48" t="s">
        <v>1</v>
      </c>
      <c r="T37" s="39"/>
      <c r="U37" s="39"/>
      <c r="V37" s="39"/>
      <c r="W37" s="39"/>
      <c r="X37" s="39"/>
      <c r="Y37" s="39"/>
      <c r="Z37" s="39"/>
    </row>
    <row r="38" spans="2:28" x14ac:dyDescent="0.2">
      <c r="B38" s="39"/>
      <c r="C38" s="280" t="s">
        <v>74</v>
      </c>
      <c r="D38" s="287">
        <v>620</v>
      </c>
      <c r="E38" s="288">
        <v>200</v>
      </c>
      <c r="F38" s="289">
        <v>350</v>
      </c>
      <c r="G38" s="288">
        <v>620</v>
      </c>
      <c r="H38" s="295">
        <v>200</v>
      </c>
      <c r="I38" s="289">
        <v>350</v>
      </c>
      <c r="J38" s="288">
        <v>620</v>
      </c>
      <c r="K38" s="288">
        <v>200</v>
      </c>
      <c r="L38" s="289">
        <v>350</v>
      </c>
      <c r="M38" s="281" t="s">
        <v>75</v>
      </c>
      <c r="T38" s="39"/>
      <c r="U38" s="39"/>
      <c r="V38" s="39"/>
      <c r="W38" s="39"/>
      <c r="X38" s="39"/>
      <c r="Y38" s="39"/>
      <c r="Z38" s="39"/>
    </row>
    <row r="39" spans="2:28" x14ac:dyDescent="0.2">
      <c r="B39" s="39"/>
      <c r="C39" s="280" t="s">
        <v>76</v>
      </c>
      <c r="D39" s="290">
        <v>10000</v>
      </c>
      <c r="E39" s="291">
        <v>100</v>
      </c>
      <c r="F39" s="292">
        <v>3500</v>
      </c>
      <c r="G39" s="296">
        <v>10000</v>
      </c>
      <c r="H39" s="296">
        <v>100</v>
      </c>
      <c r="I39" s="297">
        <v>3500</v>
      </c>
      <c r="J39" s="296">
        <v>10000</v>
      </c>
      <c r="K39" s="296">
        <v>100</v>
      </c>
      <c r="L39" s="299">
        <v>3500</v>
      </c>
      <c r="M39" s="282" t="s">
        <v>77</v>
      </c>
      <c r="T39" s="39"/>
      <c r="U39" s="39"/>
      <c r="V39" s="39"/>
      <c r="W39" s="39"/>
      <c r="X39" s="39"/>
      <c r="Y39" s="39"/>
      <c r="Z39" s="39"/>
    </row>
    <row r="40" spans="2:28" x14ac:dyDescent="0.2">
      <c r="B40" s="39"/>
      <c r="C40" s="280" t="s">
        <v>4</v>
      </c>
      <c r="D40" s="287">
        <v>2000</v>
      </c>
      <c r="E40" s="288">
        <v>500</v>
      </c>
      <c r="F40" s="289">
        <v>1000</v>
      </c>
      <c r="G40" s="288">
        <v>10000</v>
      </c>
      <c r="H40" s="288">
        <v>1000</v>
      </c>
      <c r="I40" s="289">
        <v>2500</v>
      </c>
      <c r="J40" s="288">
        <v>20000</v>
      </c>
      <c r="K40" s="288">
        <v>5000</v>
      </c>
      <c r="L40" s="289">
        <v>10000</v>
      </c>
      <c r="M40" s="281" t="s">
        <v>5</v>
      </c>
      <c r="T40" s="39"/>
      <c r="U40" s="39"/>
      <c r="V40" s="39"/>
      <c r="W40" s="39"/>
      <c r="X40" s="39"/>
      <c r="Y40" s="39"/>
      <c r="Z40" s="39"/>
    </row>
    <row r="41" spans="2:28" x14ac:dyDescent="0.2">
      <c r="B41" s="39"/>
      <c r="C41" s="280" t="s">
        <v>6</v>
      </c>
      <c r="D41" s="290">
        <v>20</v>
      </c>
      <c r="E41" s="291">
        <v>5</v>
      </c>
      <c r="F41" s="292">
        <v>12</v>
      </c>
      <c r="G41" s="296">
        <v>20</v>
      </c>
      <c r="H41" s="296">
        <v>5</v>
      </c>
      <c r="I41" s="297">
        <v>12</v>
      </c>
      <c r="J41" s="296">
        <v>20</v>
      </c>
      <c r="K41" s="296">
        <v>10</v>
      </c>
      <c r="L41" s="299">
        <v>15</v>
      </c>
      <c r="M41" s="282" t="s">
        <v>7</v>
      </c>
      <c r="T41" s="39"/>
      <c r="U41" s="39"/>
      <c r="V41" s="39"/>
      <c r="W41" s="39"/>
      <c r="X41" s="39"/>
      <c r="Y41" s="39"/>
      <c r="Z41" s="39"/>
    </row>
    <row r="42" spans="2:28" x14ac:dyDescent="0.2">
      <c r="B42" s="39"/>
      <c r="C42" s="280" t="s">
        <v>78</v>
      </c>
      <c r="D42" s="287">
        <v>100</v>
      </c>
      <c r="E42" s="288">
        <v>84</v>
      </c>
      <c r="F42" s="289">
        <v>90</v>
      </c>
      <c r="G42" s="288">
        <v>100</v>
      </c>
      <c r="H42" s="288">
        <v>84</v>
      </c>
      <c r="I42" s="289">
        <v>90</v>
      </c>
      <c r="J42" s="288">
        <v>100</v>
      </c>
      <c r="K42" s="288">
        <v>84</v>
      </c>
      <c r="L42" s="289">
        <v>95</v>
      </c>
      <c r="M42" s="281" t="s">
        <v>9</v>
      </c>
      <c r="T42" s="39"/>
      <c r="U42" s="39"/>
      <c r="V42" s="39"/>
      <c r="W42" s="39"/>
      <c r="X42" s="39"/>
      <c r="Y42" s="39"/>
      <c r="Z42" s="39"/>
    </row>
    <row r="43" spans="2:28" x14ac:dyDescent="0.2">
      <c r="B43" s="39"/>
      <c r="C43" s="280" t="s">
        <v>8</v>
      </c>
      <c r="D43" s="290">
        <v>98</v>
      </c>
      <c r="E43" s="291">
        <v>81</v>
      </c>
      <c r="F43" s="292">
        <v>95</v>
      </c>
      <c r="G43" s="296">
        <v>94</v>
      </c>
      <c r="H43" s="296">
        <v>81</v>
      </c>
      <c r="I43" s="297">
        <v>92</v>
      </c>
      <c r="J43" s="296">
        <v>98</v>
      </c>
      <c r="K43" s="296">
        <v>81</v>
      </c>
      <c r="L43" s="299">
        <v>96</v>
      </c>
      <c r="M43" s="282" t="s">
        <v>9</v>
      </c>
      <c r="T43" s="39"/>
      <c r="U43" s="39"/>
      <c r="V43" s="39"/>
      <c r="W43" s="39"/>
      <c r="X43" s="39"/>
      <c r="Y43" s="39"/>
      <c r="Z43" s="39"/>
    </row>
    <row r="44" spans="2:28" x14ac:dyDescent="0.2">
      <c r="B44" s="39"/>
      <c r="C44" s="280" t="s">
        <v>79</v>
      </c>
      <c r="D44" s="287">
        <v>0.09</v>
      </c>
      <c r="E44" s="288">
        <v>0.36</v>
      </c>
      <c r="F44" s="289">
        <v>0.2</v>
      </c>
      <c r="G44" s="288">
        <v>0.09</v>
      </c>
      <c r="H44" s="288">
        <v>0.36</v>
      </c>
      <c r="I44" s="289">
        <v>0.1</v>
      </c>
      <c r="J44" s="288">
        <v>0.09</v>
      </c>
      <c r="K44" s="288">
        <v>0.36</v>
      </c>
      <c r="L44" s="289">
        <v>0.05</v>
      </c>
      <c r="M44" s="281" t="s">
        <v>80</v>
      </c>
      <c r="T44" s="39"/>
      <c r="U44" s="39"/>
      <c r="V44" s="39"/>
      <c r="W44" s="39"/>
      <c r="X44" s="39"/>
      <c r="Y44" s="39"/>
      <c r="Z44" s="39"/>
    </row>
    <row r="45" spans="2:28" x14ac:dyDescent="0.2">
      <c r="B45" s="39"/>
      <c r="C45" s="280" t="s">
        <v>81</v>
      </c>
      <c r="D45" s="290">
        <v>3.0000000000000001E-3</v>
      </c>
      <c r="E45" s="291">
        <v>1</v>
      </c>
      <c r="F45" s="292">
        <v>0.01</v>
      </c>
      <c r="G45" s="296">
        <v>3.0000000000000001E-3</v>
      </c>
      <c r="H45" s="296">
        <v>1</v>
      </c>
      <c r="I45" s="297">
        <v>0.01</v>
      </c>
      <c r="J45" s="296">
        <v>3.0000000000000001E-3</v>
      </c>
      <c r="K45" s="296">
        <v>1</v>
      </c>
      <c r="L45" s="299">
        <v>0.01</v>
      </c>
      <c r="M45" s="283" t="s">
        <v>82</v>
      </c>
      <c r="T45" s="39"/>
      <c r="U45" s="39"/>
      <c r="V45" s="39"/>
      <c r="W45" s="39"/>
      <c r="X45" s="39"/>
      <c r="Y45" s="39"/>
      <c r="Z45" s="39"/>
    </row>
    <row r="46" spans="2:28" ht="16" x14ac:dyDescent="0.2">
      <c r="B46" s="39"/>
      <c r="C46" s="285" t="s">
        <v>83</v>
      </c>
      <c r="D46" s="293">
        <v>0</v>
      </c>
      <c r="E46" s="288">
        <v>0</v>
      </c>
      <c r="F46" s="289">
        <v>0</v>
      </c>
      <c r="G46" s="288">
        <v>0</v>
      </c>
      <c r="H46" s="288">
        <v>0</v>
      </c>
      <c r="I46" s="289">
        <v>0</v>
      </c>
      <c r="J46" s="288">
        <v>0</v>
      </c>
      <c r="K46" s="288">
        <v>0</v>
      </c>
      <c r="L46" s="289">
        <v>0</v>
      </c>
      <c r="M46" s="281" t="s">
        <v>7</v>
      </c>
      <c r="T46" s="39"/>
      <c r="U46" s="39"/>
      <c r="V46" s="39"/>
      <c r="W46" s="586"/>
      <c r="X46" s="586"/>
      <c r="Y46" s="586"/>
      <c r="Z46" s="586"/>
    </row>
    <row r="47" spans="2:28" ht="16" x14ac:dyDescent="0.2">
      <c r="B47" s="39"/>
      <c r="C47" s="280" t="s">
        <v>2</v>
      </c>
      <c r="D47" s="290">
        <v>199.5</v>
      </c>
      <c r="E47" s="291">
        <v>840</v>
      </c>
      <c r="F47" s="291">
        <v>351.75</v>
      </c>
      <c r="G47" s="290">
        <v>199.5</v>
      </c>
      <c r="H47" s="291">
        <v>840</v>
      </c>
      <c r="I47" s="292">
        <v>577.5</v>
      </c>
      <c r="J47" s="290">
        <v>472.5</v>
      </c>
      <c r="K47" s="291">
        <v>1260</v>
      </c>
      <c r="L47" s="292">
        <v>1050</v>
      </c>
      <c r="M47" s="283" t="s">
        <v>22</v>
      </c>
      <c r="T47" s="39"/>
      <c r="U47" s="39"/>
      <c r="V47" s="39"/>
      <c r="W47" s="586"/>
      <c r="X47" s="586"/>
      <c r="Y47" s="586"/>
      <c r="Z47" s="586"/>
    </row>
    <row r="48" spans="2:28" ht="16" thickBot="1" x14ac:dyDescent="0.25">
      <c r="C48" s="286" t="s">
        <v>3</v>
      </c>
      <c r="D48" s="294">
        <v>0</v>
      </c>
      <c r="E48" s="294">
        <v>0</v>
      </c>
      <c r="F48" s="294">
        <v>0</v>
      </c>
      <c r="G48" s="298">
        <v>0</v>
      </c>
      <c r="H48" s="294">
        <v>0</v>
      </c>
      <c r="I48" s="294">
        <v>0</v>
      </c>
      <c r="J48" s="298">
        <v>0</v>
      </c>
      <c r="K48" s="294">
        <v>0</v>
      </c>
      <c r="L48" s="294">
        <v>0</v>
      </c>
      <c r="M48" s="284" t="s">
        <v>23</v>
      </c>
      <c r="U48" s="39"/>
      <c r="V48" s="39"/>
      <c r="W48" s="39"/>
      <c r="X48" s="39"/>
      <c r="Y48" s="39"/>
      <c r="Z48" s="39"/>
    </row>
    <row r="49" spans="2:26" x14ac:dyDescent="0.2">
      <c r="U49" s="39"/>
      <c r="V49" s="39"/>
      <c r="W49" s="39"/>
      <c r="X49" s="39"/>
      <c r="Y49" s="39"/>
      <c r="Z49" s="39"/>
    </row>
    <row r="50" spans="2:26" x14ac:dyDescent="0.2">
      <c r="B50" s="39"/>
      <c r="C50" s="39"/>
      <c r="D50" s="39"/>
      <c r="E50" s="39"/>
      <c r="F50" s="39"/>
      <c r="G50" s="39"/>
      <c r="H50" s="39"/>
      <c r="I50" s="39"/>
      <c r="J50" s="39"/>
      <c r="K50" s="39"/>
      <c r="L50" s="39"/>
      <c r="M50" s="39"/>
    </row>
    <row r="51" spans="2:26" ht="16" x14ac:dyDescent="0.2">
      <c r="C51" s="45"/>
      <c r="D51" s="584" t="s">
        <v>41</v>
      </c>
      <c r="E51" s="584"/>
      <c r="F51" s="584"/>
      <c r="G51" s="584"/>
      <c r="H51" s="584"/>
      <c r="I51" s="584"/>
      <c r="J51" s="584" t="s">
        <v>42</v>
      </c>
      <c r="K51" s="584"/>
      <c r="L51" s="584"/>
      <c r="M51" s="46"/>
    </row>
    <row r="52" spans="2:26" ht="16" thickBot="1" x14ac:dyDescent="0.25">
      <c r="C52" s="45"/>
      <c r="D52" s="582" t="s">
        <v>43</v>
      </c>
      <c r="E52" s="582"/>
      <c r="F52" s="582"/>
      <c r="G52" s="582" t="s">
        <v>44</v>
      </c>
      <c r="H52" s="582"/>
      <c r="I52" s="582"/>
      <c r="J52" s="582" t="s">
        <v>45</v>
      </c>
      <c r="K52" s="582"/>
      <c r="L52" s="582"/>
      <c r="M52" s="61"/>
    </row>
    <row r="53" spans="2:26" x14ac:dyDescent="0.2">
      <c r="C53" s="38"/>
      <c r="D53" s="48" t="s">
        <v>72</v>
      </c>
      <c r="E53" s="38" t="s">
        <v>73</v>
      </c>
      <c r="F53" s="49" t="s">
        <v>178</v>
      </c>
      <c r="G53" s="38" t="s">
        <v>72</v>
      </c>
      <c r="H53" s="38" t="s">
        <v>73</v>
      </c>
      <c r="I53" s="49" t="s">
        <v>178</v>
      </c>
      <c r="J53" s="38" t="s">
        <v>72</v>
      </c>
      <c r="K53" s="38" t="s">
        <v>73</v>
      </c>
      <c r="L53" s="49" t="s">
        <v>178</v>
      </c>
      <c r="M53" s="48" t="s">
        <v>1</v>
      </c>
    </row>
    <row r="54" spans="2:26" x14ac:dyDescent="0.2">
      <c r="C54" s="280" t="s">
        <v>74</v>
      </c>
      <c r="D54" s="287">
        <v>280</v>
      </c>
      <c r="E54" s="288">
        <v>150</v>
      </c>
      <c r="F54" s="289">
        <v>215</v>
      </c>
      <c r="G54" s="288">
        <v>300</v>
      </c>
      <c r="H54" s="295">
        <v>140</v>
      </c>
      <c r="I54" s="289">
        <v>250</v>
      </c>
      <c r="J54" s="288">
        <v>70</v>
      </c>
      <c r="K54" s="288">
        <v>15</v>
      </c>
      <c r="L54" s="289">
        <v>45</v>
      </c>
      <c r="M54" s="266" t="s">
        <v>75</v>
      </c>
    </row>
    <row r="55" spans="2:26" x14ac:dyDescent="0.2">
      <c r="C55" s="280" t="s">
        <v>76</v>
      </c>
      <c r="D55" s="290">
        <v>270</v>
      </c>
      <c r="E55" s="291">
        <v>150</v>
      </c>
      <c r="F55" s="292">
        <v>210</v>
      </c>
      <c r="G55" s="296">
        <v>160</v>
      </c>
      <c r="H55" s="296">
        <v>120</v>
      </c>
      <c r="I55" s="297">
        <v>140</v>
      </c>
      <c r="J55" s="296">
        <v>2</v>
      </c>
      <c r="K55" s="296">
        <v>0.5</v>
      </c>
      <c r="L55" s="299">
        <v>1.3</v>
      </c>
      <c r="M55" s="267" t="s">
        <v>77</v>
      </c>
    </row>
    <row r="56" spans="2:26" x14ac:dyDescent="0.2">
      <c r="C56" s="280" t="s">
        <v>4</v>
      </c>
      <c r="D56" s="287">
        <v>7500</v>
      </c>
      <c r="E56" s="288">
        <v>1000</v>
      </c>
      <c r="F56" s="289">
        <v>3000</v>
      </c>
      <c r="G56" s="288">
        <v>10000</v>
      </c>
      <c r="H56" s="288">
        <v>1000</v>
      </c>
      <c r="I56" s="289">
        <v>5000</v>
      </c>
      <c r="J56" s="288">
        <v>14000</v>
      </c>
      <c r="K56" s="288">
        <v>12000</v>
      </c>
      <c r="L56" s="289">
        <v>13000</v>
      </c>
      <c r="M56" s="268" t="s">
        <v>5</v>
      </c>
    </row>
    <row r="57" spans="2:26" x14ac:dyDescent="0.2">
      <c r="C57" s="280" t="s">
        <v>6</v>
      </c>
      <c r="D57" s="290">
        <v>22</v>
      </c>
      <c r="E57" s="291">
        <v>8</v>
      </c>
      <c r="F57" s="292">
        <v>15</v>
      </c>
      <c r="G57" s="296">
        <v>25</v>
      </c>
      <c r="H57" s="296">
        <v>10</v>
      </c>
      <c r="I57" s="297">
        <v>17</v>
      </c>
      <c r="J57" s="296">
        <v>20</v>
      </c>
      <c r="K57" s="296">
        <v>5</v>
      </c>
      <c r="L57" s="299">
        <v>12</v>
      </c>
      <c r="M57" s="267" t="s">
        <v>7</v>
      </c>
    </row>
    <row r="58" spans="2:26" x14ac:dyDescent="0.2">
      <c r="C58" s="280" t="s">
        <v>78</v>
      </c>
      <c r="D58" s="287">
        <v>100</v>
      </c>
      <c r="E58" s="288">
        <v>100</v>
      </c>
      <c r="F58" s="289">
        <v>100</v>
      </c>
      <c r="G58" s="288">
        <v>100</v>
      </c>
      <c r="H58" s="288">
        <v>100</v>
      </c>
      <c r="I58" s="289">
        <v>100</v>
      </c>
      <c r="J58" s="288">
        <v>100</v>
      </c>
      <c r="K58" s="288">
        <v>100</v>
      </c>
      <c r="L58" s="289">
        <v>100</v>
      </c>
      <c r="M58" s="268" t="s">
        <v>9</v>
      </c>
    </row>
    <row r="59" spans="2:26" x14ac:dyDescent="0.2">
      <c r="C59" s="280" t="s">
        <v>8</v>
      </c>
      <c r="D59" s="290">
        <v>92</v>
      </c>
      <c r="E59" s="291">
        <v>80</v>
      </c>
      <c r="F59" s="292">
        <v>84</v>
      </c>
      <c r="G59" s="296">
        <v>90</v>
      </c>
      <c r="H59" s="296">
        <v>70</v>
      </c>
      <c r="I59" s="297">
        <v>80</v>
      </c>
      <c r="J59" s="296">
        <v>85</v>
      </c>
      <c r="K59" s="296">
        <v>60</v>
      </c>
      <c r="L59" s="299">
        <v>70</v>
      </c>
      <c r="M59" s="267" t="s">
        <v>9</v>
      </c>
    </row>
    <row r="60" spans="2:26" x14ac:dyDescent="0.2">
      <c r="C60" s="280" t="s">
        <v>79</v>
      </c>
      <c r="D60" s="287">
        <v>0.05</v>
      </c>
      <c r="E60" s="288">
        <v>15</v>
      </c>
      <c r="F60" s="289">
        <v>5</v>
      </c>
      <c r="G60" s="288">
        <v>0.05</v>
      </c>
      <c r="H60" s="288">
        <v>1</v>
      </c>
      <c r="I60" s="289">
        <v>0.05</v>
      </c>
      <c r="J60" s="288">
        <v>0</v>
      </c>
      <c r="K60" s="288">
        <v>1</v>
      </c>
      <c r="L60" s="289">
        <v>0.15</v>
      </c>
      <c r="M60" s="268" t="s">
        <v>80</v>
      </c>
    </row>
    <row r="61" spans="2:26" x14ac:dyDescent="0.2">
      <c r="C61" s="280" t="s">
        <v>81</v>
      </c>
      <c r="D61" s="290">
        <v>0.1</v>
      </c>
      <c r="E61" s="291" t="s">
        <v>223</v>
      </c>
      <c r="F61" s="292">
        <v>0.5</v>
      </c>
      <c r="G61" s="296">
        <v>3</v>
      </c>
      <c r="H61" s="296">
        <v>20</v>
      </c>
      <c r="I61" s="297">
        <v>10</v>
      </c>
      <c r="J61" s="296" t="s">
        <v>224</v>
      </c>
      <c r="K61" s="296">
        <v>0.02</v>
      </c>
      <c r="L61" s="299">
        <v>0.01</v>
      </c>
      <c r="M61" s="267" t="s">
        <v>82</v>
      </c>
    </row>
    <row r="62" spans="2:26" x14ac:dyDescent="0.2">
      <c r="C62" s="285" t="s">
        <v>83</v>
      </c>
      <c r="D62" s="293">
        <v>0</v>
      </c>
      <c r="E62" s="288">
        <v>0</v>
      </c>
      <c r="F62" s="289">
        <v>0</v>
      </c>
      <c r="G62" s="288">
        <v>0</v>
      </c>
      <c r="H62" s="288">
        <v>0</v>
      </c>
      <c r="I62" s="289">
        <v>0</v>
      </c>
      <c r="J62" s="288">
        <v>0</v>
      </c>
      <c r="K62" s="288">
        <v>0</v>
      </c>
      <c r="L62" s="289">
        <v>0</v>
      </c>
      <c r="M62" s="268" t="s">
        <v>7</v>
      </c>
    </row>
    <row r="63" spans="2:26" x14ac:dyDescent="0.2">
      <c r="C63" s="280" t="s">
        <v>2</v>
      </c>
      <c r="D63" s="290">
        <v>315</v>
      </c>
      <c r="E63" s="291">
        <v>488</v>
      </c>
      <c r="F63" s="291">
        <v>399</v>
      </c>
      <c r="G63" s="290">
        <v>262.5</v>
      </c>
      <c r="H63" s="291">
        <v>735</v>
      </c>
      <c r="I63" s="292">
        <v>367.5</v>
      </c>
      <c r="J63" s="290">
        <v>315</v>
      </c>
      <c r="K63" s="291">
        <v>1050</v>
      </c>
      <c r="L63" s="292">
        <v>346.5</v>
      </c>
      <c r="M63" s="267" t="s">
        <v>22</v>
      </c>
    </row>
    <row r="64" spans="2:26" ht="16" thickBot="1" x14ac:dyDescent="0.25">
      <c r="C64" s="286" t="s">
        <v>3</v>
      </c>
      <c r="D64" s="294">
        <v>0</v>
      </c>
      <c r="E64" s="294">
        <v>0</v>
      </c>
      <c r="F64" s="294">
        <v>0</v>
      </c>
      <c r="G64" s="298">
        <v>0</v>
      </c>
      <c r="H64" s="294">
        <v>0</v>
      </c>
      <c r="I64" s="294">
        <v>0</v>
      </c>
      <c r="J64" s="298">
        <v>1050</v>
      </c>
      <c r="K64" s="294">
        <v>1575</v>
      </c>
      <c r="L64" s="294">
        <v>1312.5</v>
      </c>
      <c r="M64" s="269" t="s">
        <v>23</v>
      </c>
    </row>
    <row r="66" spans="3:22" x14ac:dyDescent="0.2">
      <c r="P66" s="583"/>
      <c r="Q66" s="583"/>
    </row>
    <row r="67" spans="3:22" ht="16" x14ac:dyDescent="0.2">
      <c r="C67" s="45"/>
      <c r="D67" s="584" t="s">
        <v>42</v>
      </c>
      <c r="E67" s="584"/>
      <c r="F67" s="584"/>
      <c r="G67" s="584" t="s">
        <v>94</v>
      </c>
      <c r="H67" s="584"/>
      <c r="I67" s="584"/>
      <c r="J67" s="584"/>
      <c r="K67" s="584"/>
      <c r="L67" s="584"/>
      <c r="M67" s="46"/>
      <c r="T67" s="39"/>
      <c r="U67" s="39"/>
      <c r="V67" s="39"/>
    </row>
    <row r="68" spans="3:22" ht="16" thickBot="1" x14ac:dyDescent="0.25">
      <c r="C68" s="45"/>
      <c r="D68" s="582" t="s">
        <v>46</v>
      </c>
      <c r="E68" s="582"/>
      <c r="F68" s="582"/>
      <c r="G68" s="582" t="s">
        <v>95</v>
      </c>
      <c r="H68" s="582"/>
      <c r="I68" s="582"/>
      <c r="J68" s="582" t="s">
        <v>96</v>
      </c>
      <c r="K68" s="582"/>
      <c r="L68" s="582"/>
      <c r="M68" s="61"/>
      <c r="S68" s="39"/>
    </row>
    <row r="69" spans="3:22" x14ac:dyDescent="0.2">
      <c r="C69" s="38"/>
      <c r="D69" s="38" t="s">
        <v>72</v>
      </c>
      <c r="E69" s="38" t="s">
        <v>73</v>
      </c>
      <c r="F69" s="38" t="s">
        <v>183</v>
      </c>
      <c r="G69" s="38" t="s">
        <v>72</v>
      </c>
      <c r="H69" s="38" t="s">
        <v>73</v>
      </c>
      <c r="I69" s="38" t="s">
        <v>183</v>
      </c>
      <c r="J69" s="38" t="s">
        <v>72</v>
      </c>
      <c r="K69" s="38" t="s">
        <v>73</v>
      </c>
      <c r="L69" s="38" t="s">
        <v>183</v>
      </c>
      <c r="M69" s="38" t="s">
        <v>1</v>
      </c>
      <c r="S69" s="39"/>
    </row>
    <row r="70" spans="3:22" x14ac:dyDescent="0.2">
      <c r="C70" s="280" t="s">
        <v>74</v>
      </c>
      <c r="D70" s="287">
        <v>70</v>
      </c>
      <c r="E70" s="288">
        <v>20</v>
      </c>
      <c r="F70" s="289">
        <v>45</v>
      </c>
      <c r="G70" s="288">
        <v>0</v>
      </c>
      <c r="H70" s="295">
        <v>0</v>
      </c>
      <c r="I70" s="289">
        <v>0</v>
      </c>
      <c r="J70" s="288">
        <v>0</v>
      </c>
      <c r="K70" s="288">
        <v>0</v>
      </c>
      <c r="L70" s="289">
        <v>0</v>
      </c>
      <c r="M70" s="266" t="s">
        <v>75</v>
      </c>
    </row>
    <row r="71" spans="3:22" x14ac:dyDescent="0.2">
      <c r="C71" s="280" t="s">
        <v>76</v>
      </c>
      <c r="D71" s="290">
        <v>25</v>
      </c>
      <c r="E71" s="291">
        <v>0.5</v>
      </c>
      <c r="F71" s="292">
        <v>10</v>
      </c>
      <c r="G71" s="296">
        <v>0</v>
      </c>
      <c r="H71" s="296">
        <v>0</v>
      </c>
      <c r="I71" s="297">
        <v>0</v>
      </c>
      <c r="J71" s="296">
        <v>0</v>
      </c>
      <c r="K71" s="296">
        <v>0</v>
      </c>
      <c r="L71" s="299">
        <v>0</v>
      </c>
      <c r="M71" s="267" t="s">
        <v>77</v>
      </c>
    </row>
    <row r="72" spans="3:22" x14ac:dyDescent="0.2">
      <c r="C72" s="280" t="s">
        <v>4</v>
      </c>
      <c r="D72" s="287">
        <v>14000</v>
      </c>
      <c r="E72" s="288">
        <v>300</v>
      </c>
      <c r="F72" s="289">
        <v>10000</v>
      </c>
      <c r="G72" s="288">
        <v>0</v>
      </c>
      <c r="H72" s="288">
        <v>0</v>
      </c>
      <c r="I72" s="289">
        <v>0</v>
      </c>
      <c r="J72" s="288">
        <v>0</v>
      </c>
      <c r="K72" s="288">
        <v>0</v>
      </c>
      <c r="L72" s="289">
        <v>0</v>
      </c>
      <c r="M72" s="268" t="s">
        <v>5</v>
      </c>
    </row>
    <row r="73" spans="3:22" x14ac:dyDescent="0.2">
      <c r="C73" s="280" t="s">
        <v>6</v>
      </c>
      <c r="D73" s="290">
        <v>20</v>
      </c>
      <c r="E73" s="291">
        <v>5</v>
      </c>
      <c r="F73" s="292">
        <v>10</v>
      </c>
      <c r="G73" s="296">
        <v>25</v>
      </c>
      <c r="H73" s="296">
        <v>10</v>
      </c>
      <c r="I73" s="297">
        <v>12</v>
      </c>
      <c r="J73" s="296">
        <v>25</v>
      </c>
      <c r="K73" s="296">
        <v>12</v>
      </c>
      <c r="L73" s="299">
        <v>15</v>
      </c>
      <c r="M73" s="267" t="s">
        <v>7</v>
      </c>
    </row>
    <row r="74" spans="3:22" x14ac:dyDescent="0.2">
      <c r="C74" s="280" t="s">
        <v>78</v>
      </c>
      <c r="D74" s="287">
        <v>100</v>
      </c>
      <c r="E74" s="288">
        <v>100</v>
      </c>
      <c r="F74" s="289">
        <v>100</v>
      </c>
      <c r="G74" s="288">
        <v>0</v>
      </c>
      <c r="H74" s="288">
        <v>0</v>
      </c>
      <c r="I74" s="289">
        <v>0</v>
      </c>
      <c r="J74" s="288">
        <v>0</v>
      </c>
      <c r="K74" s="288">
        <v>0</v>
      </c>
      <c r="L74" s="289">
        <v>0</v>
      </c>
      <c r="M74" s="268" t="s">
        <v>9</v>
      </c>
    </row>
    <row r="75" spans="3:22" x14ac:dyDescent="0.2">
      <c r="C75" s="280" t="s">
        <v>8</v>
      </c>
      <c r="D75" s="290">
        <v>85</v>
      </c>
      <c r="E75" s="291">
        <v>60</v>
      </c>
      <c r="F75" s="292">
        <v>70</v>
      </c>
      <c r="G75" s="296">
        <v>97</v>
      </c>
      <c r="H75" s="296">
        <v>93</v>
      </c>
      <c r="I75" s="297">
        <v>95</v>
      </c>
      <c r="J75" s="296">
        <v>98</v>
      </c>
      <c r="K75" s="296">
        <v>98</v>
      </c>
      <c r="L75" s="299">
        <v>98</v>
      </c>
      <c r="M75" s="267" t="s">
        <v>9</v>
      </c>
    </row>
    <row r="76" spans="3:22" x14ac:dyDescent="0.2">
      <c r="C76" s="280" t="s">
        <v>79</v>
      </c>
      <c r="D76" s="287">
        <v>8</v>
      </c>
      <c r="E76" s="288">
        <v>33.6</v>
      </c>
      <c r="F76" s="289">
        <v>15</v>
      </c>
      <c r="G76" s="288">
        <v>0</v>
      </c>
      <c r="H76" s="288">
        <v>0</v>
      </c>
      <c r="I76" s="289">
        <v>0</v>
      </c>
      <c r="J76" s="288">
        <v>0</v>
      </c>
      <c r="K76" s="288">
        <v>0</v>
      </c>
      <c r="L76" s="289">
        <v>0</v>
      </c>
      <c r="M76" s="268" t="s">
        <v>80</v>
      </c>
    </row>
    <row r="77" spans="3:22" x14ac:dyDescent="0.2">
      <c r="C77" s="280" t="s">
        <v>81</v>
      </c>
      <c r="D77" s="290" t="s">
        <v>224</v>
      </c>
      <c r="E77" s="291">
        <v>0.02</v>
      </c>
      <c r="F77" s="292">
        <v>0.01</v>
      </c>
      <c r="G77" s="296" t="s">
        <v>188</v>
      </c>
      <c r="H77" s="296" t="s">
        <v>188</v>
      </c>
      <c r="I77" s="297">
        <v>0.02</v>
      </c>
      <c r="J77" s="296" t="s">
        <v>188</v>
      </c>
      <c r="K77" s="296" t="s">
        <v>188</v>
      </c>
      <c r="L77" s="299">
        <v>0.02</v>
      </c>
      <c r="M77" s="267" t="s">
        <v>82</v>
      </c>
    </row>
    <row r="78" spans="3:22" x14ac:dyDescent="0.2">
      <c r="C78" s="285" t="s">
        <v>83</v>
      </c>
      <c r="D78" s="293">
        <v>0</v>
      </c>
      <c r="E78" s="288">
        <v>0</v>
      </c>
      <c r="F78" s="289">
        <v>0</v>
      </c>
      <c r="G78" s="288">
        <v>0</v>
      </c>
      <c r="H78" s="288">
        <v>0</v>
      </c>
      <c r="I78" s="289">
        <v>0</v>
      </c>
      <c r="J78" s="288">
        <v>0</v>
      </c>
      <c r="K78" s="288">
        <v>0</v>
      </c>
      <c r="L78" s="289">
        <v>0</v>
      </c>
      <c r="M78" s="268" t="s">
        <v>7</v>
      </c>
    </row>
    <row r="79" spans="3:22" x14ac:dyDescent="0.2">
      <c r="C79" s="280" t="s">
        <v>2</v>
      </c>
      <c r="D79" s="290">
        <v>525</v>
      </c>
      <c r="E79" s="291">
        <v>1680</v>
      </c>
      <c r="F79" s="291">
        <v>900</v>
      </c>
      <c r="G79" s="290">
        <v>0</v>
      </c>
      <c r="H79" s="291">
        <v>0</v>
      </c>
      <c r="I79" s="292">
        <v>0</v>
      </c>
      <c r="J79" s="290">
        <v>0</v>
      </c>
      <c r="K79" s="291">
        <v>0</v>
      </c>
      <c r="L79" s="292">
        <v>0</v>
      </c>
      <c r="M79" s="267" t="s">
        <v>22</v>
      </c>
    </row>
    <row r="80" spans="3:22" ht="16" thickBot="1" x14ac:dyDescent="0.25">
      <c r="C80" s="286" t="s">
        <v>3</v>
      </c>
      <c r="D80" s="294">
        <v>0</v>
      </c>
      <c r="E80" s="294">
        <v>0</v>
      </c>
      <c r="F80" s="294">
        <v>0</v>
      </c>
      <c r="G80" s="298">
        <v>105</v>
      </c>
      <c r="H80" s="294">
        <v>290</v>
      </c>
      <c r="I80" s="294">
        <v>155.4</v>
      </c>
      <c r="J80" s="298">
        <v>73.5</v>
      </c>
      <c r="K80" s="294">
        <v>189</v>
      </c>
      <c r="L80" s="294">
        <v>105</v>
      </c>
      <c r="M80" s="269" t="s">
        <v>23</v>
      </c>
    </row>
  </sheetData>
  <mergeCells count="29">
    <mergeCell ref="D3:L3"/>
    <mergeCell ref="D4:F4"/>
    <mergeCell ref="G4:I4"/>
    <mergeCell ref="J4:L4"/>
    <mergeCell ref="D19:I19"/>
    <mergeCell ref="J19:L19"/>
    <mergeCell ref="D20:F20"/>
    <mergeCell ref="G20:I20"/>
    <mergeCell ref="J20:L20"/>
    <mergeCell ref="D35:L35"/>
    <mergeCell ref="D36:F36"/>
    <mergeCell ref="G36:I36"/>
    <mergeCell ref="J36:L36"/>
    <mergeCell ref="P66:Q66"/>
    <mergeCell ref="D67:F67"/>
    <mergeCell ref="V36:W36"/>
    <mergeCell ref="X36:Y36"/>
    <mergeCell ref="W46:Z46"/>
    <mergeCell ref="W47:X47"/>
    <mergeCell ref="Y47:Z47"/>
    <mergeCell ref="D51:I51"/>
    <mergeCell ref="J51:L51"/>
    <mergeCell ref="G67:L67"/>
    <mergeCell ref="D68:F68"/>
    <mergeCell ref="G68:I68"/>
    <mergeCell ref="J68:L68"/>
    <mergeCell ref="D52:F52"/>
    <mergeCell ref="G52:I52"/>
    <mergeCell ref="J52:L52"/>
  </mergeCell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Q42"/>
  <sheetViews>
    <sheetView zoomScale="85" zoomScaleNormal="85" workbookViewId="0"/>
  </sheetViews>
  <sheetFormatPr baseColWidth="10" defaultColWidth="9.1640625" defaultRowHeight="15" x14ac:dyDescent="0.2"/>
  <cols>
    <col min="1" max="1" width="11.6640625" customWidth="1"/>
    <col min="2" max="2" width="26.5" customWidth="1"/>
    <col min="3" max="4" width="10.6640625" customWidth="1"/>
    <col min="5" max="5" width="10.6640625" style="21" customWidth="1"/>
    <col min="6" max="7" width="10.6640625" customWidth="1"/>
    <col min="8" max="8" width="10.6640625" style="21" customWidth="1"/>
    <col min="9" max="9" width="20.33203125" customWidth="1"/>
    <col min="10" max="10" width="13.83203125" customWidth="1"/>
    <col min="11" max="12" width="12.6640625" customWidth="1"/>
    <col min="13" max="13" width="12.6640625" style="21" customWidth="1"/>
    <col min="14" max="15" width="12.6640625" customWidth="1"/>
  </cols>
  <sheetData>
    <row r="2" spans="2:17" ht="20" thickBot="1" x14ac:dyDescent="0.3">
      <c r="B2" s="1" t="s">
        <v>26</v>
      </c>
      <c r="C2" s="13"/>
      <c r="D2" s="3"/>
      <c r="F2" s="3"/>
      <c r="G2" s="3"/>
      <c r="I2" s="1" t="s">
        <v>0</v>
      </c>
      <c r="J2" s="3"/>
      <c r="K2" s="3"/>
      <c r="L2" s="21"/>
      <c r="M2" s="3"/>
      <c r="N2" s="3"/>
      <c r="O2" s="3"/>
    </row>
    <row r="3" spans="2:17" x14ac:dyDescent="0.2">
      <c r="B3" s="5"/>
      <c r="C3" s="5">
        <v>2016</v>
      </c>
      <c r="D3" s="5">
        <v>2020</v>
      </c>
      <c r="E3" s="5">
        <v>2025</v>
      </c>
      <c r="F3" s="5">
        <v>2030</v>
      </c>
      <c r="G3" s="5" t="s">
        <v>1</v>
      </c>
      <c r="H3" s="11"/>
      <c r="I3" s="5" t="s">
        <v>17</v>
      </c>
      <c r="J3" s="5" t="s">
        <v>18</v>
      </c>
      <c r="K3" s="5" t="s">
        <v>19</v>
      </c>
      <c r="L3" s="5" t="s">
        <v>20</v>
      </c>
      <c r="M3"/>
    </row>
    <row r="4" spans="2:17" x14ac:dyDescent="0.2">
      <c r="B4" s="4" t="s">
        <v>2</v>
      </c>
      <c r="C4" s="165">
        <f>'Overview 2016 (in)'!F15</f>
        <v>21</v>
      </c>
      <c r="D4" s="165">
        <f>C4</f>
        <v>21</v>
      </c>
      <c r="E4" s="165">
        <f t="shared" ref="E4:F4" si="0">D4</f>
        <v>21</v>
      </c>
      <c r="F4" s="165">
        <f t="shared" si="0"/>
        <v>21</v>
      </c>
      <c r="G4" s="3" t="s">
        <v>22</v>
      </c>
      <c r="H4" s="3"/>
      <c r="I4" s="71">
        <v>2016</v>
      </c>
      <c r="J4" s="3" t="s">
        <v>53</v>
      </c>
      <c r="K4" s="97" t="s">
        <v>53</v>
      </c>
      <c r="L4" s="97" t="s">
        <v>53</v>
      </c>
      <c r="M4"/>
    </row>
    <row r="5" spans="2:17" x14ac:dyDescent="0.2">
      <c r="B5" s="11" t="s">
        <v>3</v>
      </c>
      <c r="C5" s="165">
        <f>'Overview 2016 (in)'!F16</f>
        <v>840</v>
      </c>
      <c r="D5" s="165">
        <f>C5</f>
        <v>840</v>
      </c>
      <c r="E5" s="165">
        <f t="shared" ref="E5:F5" si="1">D5</f>
        <v>840</v>
      </c>
      <c r="F5" s="165">
        <f t="shared" si="1"/>
        <v>840</v>
      </c>
      <c r="G5" s="3" t="s">
        <v>23</v>
      </c>
      <c r="H5" s="3"/>
      <c r="I5" s="71">
        <v>2016</v>
      </c>
      <c r="J5" s="97" t="s">
        <v>53</v>
      </c>
      <c r="K5" s="97" t="s">
        <v>53</v>
      </c>
      <c r="L5" s="97" t="s">
        <v>53</v>
      </c>
      <c r="M5"/>
    </row>
    <row r="6" spans="2:17" x14ac:dyDescent="0.2">
      <c r="B6" s="4" t="s">
        <v>4</v>
      </c>
      <c r="C6" s="99">
        <f>'Overview 2016 (in)'!F8</f>
        <v>50000</v>
      </c>
      <c r="D6" s="99">
        <v>50000</v>
      </c>
      <c r="E6" s="99">
        <v>50000</v>
      </c>
      <c r="F6" s="99">
        <v>50000</v>
      </c>
      <c r="G6" s="3" t="s">
        <v>5</v>
      </c>
      <c r="H6" s="3"/>
      <c r="I6" s="3">
        <v>2016</v>
      </c>
      <c r="J6" s="97" t="s">
        <v>53</v>
      </c>
      <c r="K6" s="97" t="s">
        <v>53</v>
      </c>
      <c r="L6" s="97" t="s">
        <v>53</v>
      </c>
      <c r="M6"/>
    </row>
    <row r="7" spans="2:17" x14ac:dyDescent="0.2">
      <c r="B7" s="4" t="s">
        <v>6</v>
      </c>
      <c r="C7" s="99">
        <f>'Overview 2016 (in)'!F9</f>
        <v>60</v>
      </c>
      <c r="D7" s="99">
        <v>60</v>
      </c>
      <c r="E7" s="99">
        <v>60</v>
      </c>
      <c r="F7" s="99">
        <v>60</v>
      </c>
      <c r="G7" s="3" t="s">
        <v>7</v>
      </c>
      <c r="H7" s="3"/>
      <c r="I7" s="3">
        <v>2016</v>
      </c>
      <c r="J7" s="97" t="s">
        <v>53</v>
      </c>
      <c r="K7" s="97" t="s">
        <v>53</v>
      </c>
      <c r="L7" s="97" t="s">
        <v>53</v>
      </c>
      <c r="M7"/>
    </row>
    <row r="8" spans="2:17" ht="16" thickBot="1" x14ac:dyDescent="0.25">
      <c r="B8" s="6" t="s">
        <v>8</v>
      </c>
      <c r="C8" s="83">
        <f>'Overview 2016 (in)'!F11</f>
        <v>80</v>
      </c>
      <c r="D8" s="83">
        <v>80</v>
      </c>
      <c r="E8" s="83">
        <v>80</v>
      </c>
      <c r="F8" s="83">
        <v>80</v>
      </c>
      <c r="G8" s="7" t="s">
        <v>9</v>
      </c>
      <c r="H8" s="10"/>
      <c r="I8" s="7">
        <v>2016</v>
      </c>
      <c r="J8" s="7" t="s">
        <v>53</v>
      </c>
      <c r="K8" s="7" t="s">
        <v>53</v>
      </c>
      <c r="L8" s="7" t="s">
        <v>53</v>
      </c>
      <c r="M8"/>
    </row>
    <row r="9" spans="2:17" x14ac:dyDescent="0.2">
      <c r="B9" s="4"/>
      <c r="C9" s="14"/>
      <c r="D9" s="3"/>
      <c r="F9" s="3"/>
      <c r="G9" s="3"/>
      <c r="I9" s="3"/>
      <c r="J9" s="10"/>
      <c r="K9" s="10"/>
      <c r="L9" s="25"/>
      <c r="M9" s="3"/>
      <c r="N9" s="3"/>
      <c r="O9" s="3"/>
    </row>
    <row r="10" spans="2:17" x14ac:dyDescent="0.2">
      <c r="B10" s="11"/>
      <c r="C10" s="15"/>
      <c r="D10" s="10"/>
      <c r="E10" s="25"/>
      <c r="F10" s="10"/>
      <c r="G10" s="10"/>
      <c r="H10" s="25"/>
      <c r="I10" s="10"/>
      <c r="J10" s="10"/>
      <c r="K10" s="10"/>
      <c r="L10" s="10"/>
      <c r="M10" s="10"/>
      <c r="N10" s="10"/>
      <c r="O10" s="10"/>
      <c r="P10" s="10"/>
    </row>
    <row r="11" spans="2:17" x14ac:dyDescent="0.2">
      <c r="B11" s="10"/>
      <c r="C11" s="10"/>
      <c r="D11" s="10"/>
      <c r="E11" s="25"/>
      <c r="F11" s="10"/>
      <c r="G11" s="10"/>
      <c r="H11" s="25"/>
      <c r="I11" s="10"/>
      <c r="J11" s="10"/>
      <c r="K11" s="2" t="s">
        <v>68</v>
      </c>
      <c r="L11" s="17"/>
      <c r="M11" s="29"/>
      <c r="N11" s="17"/>
      <c r="O11" s="17"/>
      <c r="P11" s="17"/>
      <c r="Q11" s="17"/>
    </row>
    <row r="12" spans="2:17" ht="20" thickBot="1" x14ac:dyDescent="0.3">
      <c r="B12" s="1" t="s">
        <v>10</v>
      </c>
      <c r="C12" s="3"/>
      <c r="D12" s="3"/>
      <c r="F12" s="3"/>
      <c r="G12" s="3"/>
      <c r="H12" s="39"/>
      <c r="I12" s="3"/>
      <c r="J12" s="3"/>
      <c r="K12" s="18" t="s">
        <v>69</v>
      </c>
      <c r="L12" s="16"/>
      <c r="M12" s="28"/>
      <c r="N12" s="16"/>
      <c r="O12" s="16"/>
      <c r="P12" s="16"/>
      <c r="Q12" s="16"/>
    </row>
    <row r="13" spans="2:17" x14ac:dyDescent="0.2">
      <c r="B13" s="8" t="s">
        <v>11</v>
      </c>
      <c r="C13" s="8" t="s">
        <v>12</v>
      </c>
      <c r="D13" s="8" t="s">
        <v>13</v>
      </c>
      <c r="E13" s="8" t="s">
        <v>225</v>
      </c>
      <c r="F13" s="100" t="s">
        <v>60</v>
      </c>
      <c r="G13" s="8"/>
      <c r="H13" s="39"/>
      <c r="I13" s="39"/>
      <c r="J13" s="3"/>
      <c r="K13" s="93" t="s">
        <v>71</v>
      </c>
      <c r="L13" s="93"/>
      <c r="M13" s="28"/>
      <c r="N13" s="16"/>
      <c r="O13" s="16"/>
      <c r="P13" s="16"/>
      <c r="Q13" s="16"/>
    </row>
    <row r="14" spans="2:17" x14ac:dyDescent="0.2">
      <c r="B14" s="3">
        <v>1</v>
      </c>
      <c r="C14" s="3" t="s">
        <v>15</v>
      </c>
      <c r="D14" s="3" t="s">
        <v>16</v>
      </c>
      <c r="E14" s="303" t="s">
        <v>226</v>
      </c>
      <c r="F14" s="96" t="s">
        <v>61</v>
      </c>
      <c r="G14" s="3"/>
      <c r="I14" s="3"/>
      <c r="J14" s="3"/>
      <c r="K14" s="3"/>
      <c r="L14" s="16"/>
      <c r="M14" s="28"/>
      <c r="N14" s="16"/>
      <c r="O14" s="16"/>
      <c r="P14" s="16"/>
      <c r="Q14" s="16"/>
    </row>
    <row r="15" spans="2:17" x14ac:dyDescent="0.2">
      <c r="B15" s="3">
        <v>2</v>
      </c>
      <c r="C15" s="21" t="s">
        <v>24</v>
      </c>
      <c r="D15" s="21" t="s">
        <v>25</v>
      </c>
      <c r="E15" s="303" t="s">
        <v>227</v>
      </c>
      <c r="F15" s="96" t="s">
        <v>62</v>
      </c>
      <c r="G15" s="3"/>
      <c r="I15" s="3"/>
      <c r="J15" s="3"/>
      <c r="K15" s="3"/>
      <c r="L15" s="16"/>
      <c r="M15" s="28"/>
      <c r="N15" s="16"/>
      <c r="O15" s="16"/>
      <c r="P15" s="16"/>
      <c r="Q15" s="16"/>
    </row>
    <row r="16" spans="2:17" x14ac:dyDescent="0.2">
      <c r="B16" s="3">
        <v>3</v>
      </c>
      <c r="C16" t="s">
        <v>58</v>
      </c>
      <c r="D16" t="s">
        <v>59</v>
      </c>
      <c r="E16" s="303" t="s">
        <v>228</v>
      </c>
      <c r="F16" s="96" t="s">
        <v>63</v>
      </c>
      <c r="I16" s="3"/>
      <c r="J16" s="3"/>
      <c r="K16" s="3"/>
      <c r="L16" s="16"/>
      <c r="M16" s="28"/>
      <c r="N16" s="16"/>
      <c r="O16" s="16"/>
      <c r="P16" s="16"/>
      <c r="Q16" s="16"/>
    </row>
    <row r="17" spans="1:17" x14ac:dyDescent="0.2">
      <c r="B17" s="3"/>
      <c r="C17" s="3"/>
      <c r="D17" s="3"/>
      <c r="F17" s="3"/>
      <c r="G17" s="3"/>
      <c r="H17" s="300"/>
      <c r="I17" s="3"/>
      <c r="J17" s="3"/>
      <c r="K17" s="3"/>
      <c r="L17" s="16"/>
      <c r="M17" s="28"/>
      <c r="N17" s="16"/>
      <c r="O17" s="16"/>
      <c r="P17" s="16"/>
      <c r="Q17" s="16"/>
    </row>
    <row r="18" spans="1:17" x14ac:dyDescent="0.2">
      <c r="B18" s="3"/>
      <c r="C18" s="3"/>
      <c r="D18" s="3"/>
      <c r="F18" s="3"/>
      <c r="G18" s="3"/>
      <c r="I18" s="3"/>
      <c r="J18" s="10"/>
      <c r="K18" s="3"/>
      <c r="L18" s="16"/>
      <c r="M18" s="28"/>
      <c r="N18" s="16"/>
      <c r="O18" s="16"/>
      <c r="P18" s="16"/>
      <c r="Q18" s="16"/>
    </row>
    <row r="19" spans="1:17" x14ac:dyDescent="0.2">
      <c r="A19" s="304" t="s">
        <v>232</v>
      </c>
      <c r="B19" s="71"/>
      <c r="C19" s="71"/>
      <c r="D19" s="71"/>
      <c r="E19" s="71"/>
      <c r="F19" s="71"/>
      <c r="G19" s="71"/>
      <c r="H19" s="71"/>
      <c r="I19" s="71"/>
      <c r="J19" s="71"/>
      <c r="K19" s="71"/>
      <c r="L19" s="42"/>
      <c r="M19" s="28"/>
      <c r="N19" s="16"/>
      <c r="O19" s="16"/>
      <c r="P19" s="16"/>
      <c r="Q19" s="16"/>
    </row>
    <row r="20" spans="1:17" ht="16" thickBot="1" x14ac:dyDescent="0.25">
      <c r="A20" s="304" t="s">
        <v>47</v>
      </c>
      <c r="B20" s="42"/>
      <c r="C20" s="332" t="s">
        <v>183</v>
      </c>
      <c r="D20" s="333" t="s">
        <v>234</v>
      </c>
      <c r="E20" s="71"/>
      <c r="F20" s="71"/>
      <c r="G20" s="71"/>
      <c r="H20" s="71"/>
      <c r="I20" s="71"/>
      <c r="J20" s="71"/>
      <c r="K20" s="71"/>
      <c r="L20" s="71"/>
      <c r="M20" s="28"/>
      <c r="N20" s="16"/>
      <c r="O20" s="16"/>
      <c r="P20" s="16"/>
      <c r="Q20" s="16"/>
    </row>
    <row r="21" spans="1:17" x14ac:dyDescent="0.2">
      <c r="A21" s="65" t="s">
        <v>49</v>
      </c>
      <c r="B21" s="62"/>
      <c r="C21" s="49">
        <v>2016</v>
      </c>
      <c r="D21" s="38">
        <v>2012</v>
      </c>
      <c r="E21" s="38">
        <v>2020</v>
      </c>
      <c r="F21" s="38">
        <v>2023</v>
      </c>
      <c r="G21" s="38">
        <v>2025</v>
      </c>
      <c r="H21" s="38">
        <v>2030</v>
      </c>
      <c r="I21" s="38">
        <v>2033</v>
      </c>
      <c r="J21" s="38" t="s">
        <v>1</v>
      </c>
      <c r="K21" s="48" t="s">
        <v>54</v>
      </c>
      <c r="L21" s="38" t="s">
        <v>55</v>
      </c>
      <c r="M21" s="28" t="s">
        <v>70</v>
      </c>
      <c r="N21" s="16"/>
      <c r="O21" s="16"/>
      <c r="P21" s="16"/>
      <c r="Q21" s="16"/>
    </row>
    <row r="22" spans="1:17" x14ac:dyDescent="0.2">
      <c r="A22" s="71"/>
      <c r="B22" s="37" t="s">
        <v>2</v>
      </c>
      <c r="C22" s="328">
        <f>C4/'Overview 2016 (in)'!$O$7</f>
        <v>20</v>
      </c>
      <c r="D22" s="122">
        <v>12.5</v>
      </c>
      <c r="E22" s="347">
        <f>$D22*(1-$K22)^(E$21-$D$21)</f>
        <v>12.5</v>
      </c>
      <c r="F22" s="87"/>
      <c r="G22" s="347">
        <f>$D22*(1-$K22)^(G$21-$D$21)</f>
        <v>12.5</v>
      </c>
      <c r="H22" s="122">
        <v>12.5</v>
      </c>
      <c r="I22" s="87"/>
      <c r="J22" s="71" t="s">
        <v>22</v>
      </c>
      <c r="K22" s="312">
        <f>1-(H22/D22)^(1/(H$21-D$21))</f>
        <v>0</v>
      </c>
      <c r="L22" s="95"/>
      <c r="N22" s="3"/>
      <c r="O22" s="3"/>
      <c r="P22" s="3"/>
      <c r="Q22" s="3"/>
    </row>
    <row r="23" spans="1:17" x14ac:dyDescent="0.2">
      <c r="A23" s="71"/>
      <c r="B23" s="40" t="s">
        <v>3</v>
      </c>
      <c r="C23" s="328">
        <f>C5/'Overview 2016 (in)'!$O$7</f>
        <v>800</v>
      </c>
      <c r="D23" s="122">
        <v>750</v>
      </c>
      <c r="E23" s="347">
        <f t="shared" ref="E23:E26" si="2">$D23*(1-$K23)^(E$21-$D$21)</f>
        <v>750</v>
      </c>
      <c r="F23" s="87"/>
      <c r="G23" s="347">
        <f t="shared" ref="G23:G26" si="3">$D23*(1-$K23)^(G$21-$D$21)</f>
        <v>750</v>
      </c>
      <c r="H23" s="122">
        <v>750</v>
      </c>
      <c r="I23" s="87"/>
      <c r="J23" s="71" t="s">
        <v>23</v>
      </c>
      <c r="K23" s="312">
        <f t="shared" ref="K23:K26" si="4">1-(H23/D23)^(1/(H$21-D$21))</f>
        <v>0</v>
      </c>
      <c r="L23" s="95"/>
      <c r="N23" s="3"/>
      <c r="O23" s="3"/>
      <c r="P23" s="3"/>
      <c r="Q23" s="3"/>
    </row>
    <row r="24" spans="1:17" x14ac:dyDescent="0.2">
      <c r="A24" s="71"/>
      <c r="B24" s="37" t="s">
        <v>4</v>
      </c>
      <c r="C24" s="329">
        <f>C6</f>
        <v>50000</v>
      </c>
      <c r="D24" s="128">
        <v>9999999</v>
      </c>
      <c r="E24" s="347">
        <f t="shared" si="2"/>
        <v>9999999</v>
      </c>
      <c r="F24" s="88"/>
      <c r="G24" s="347">
        <f t="shared" si="3"/>
        <v>9999999</v>
      </c>
      <c r="H24" s="128">
        <v>9999999</v>
      </c>
      <c r="I24" s="91"/>
      <c r="J24" s="71" t="s">
        <v>5</v>
      </c>
      <c r="K24" s="312">
        <f t="shared" si="4"/>
        <v>0</v>
      </c>
      <c r="L24" s="95"/>
      <c r="N24" s="3"/>
      <c r="O24" s="3"/>
      <c r="P24" s="3"/>
      <c r="Q24" s="3"/>
    </row>
    <row r="25" spans="1:17" x14ac:dyDescent="0.2">
      <c r="A25" s="71"/>
      <c r="B25" s="37" t="s">
        <v>6</v>
      </c>
      <c r="C25" s="329">
        <v>80</v>
      </c>
      <c r="D25" s="128">
        <v>80</v>
      </c>
      <c r="E25" s="347">
        <f t="shared" si="2"/>
        <v>80</v>
      </c>
      <c r="F25" s="88"/>
      <c r="G25" s="347">
        <f t="shared" si="3"/>
        <v>80</v>
      </c>
      <c r="H25" s="128">
        <v>80</v>
      </c>
      <c r="I25" s="91"/>
      <c r="J25" s="71" t="s">
        <v>7</v>
      </c>
      <c r="K25" s="312">
        <f t="shared" si="4"/>
        <v>0</v>
      </c>
      <c r="L25" s="95"/>
      <c r="N25" s="3"/>
      <c r="O25" s="3"/>
      <c r="P25" s="3"/>
      <c r="Q25" s="3"/>
    </row>
    <row r="26" spans="1:17" ht="16" thickBot="1" x14ac:dyDescent="0.25">
      <c r="A26" s="71"/>
      <c r="B26" s="6" t="s">
        <v>8</v>
      </c>
      <c r="C26" s="330">
        <f>C8</f>
        <v>80</v>
      </c>
      <c r="D26" s="129">
        <v>78.5</v>
      </c>
      <c r="E26" s="353">
        <f t="shared" si="2"/>
        <v>78.5</v>
      </c>
      <c r="F26" s="90"/>
      <c r="G26" s="353">
        <f t="shared" si="3"/>
        <v>78.5</v>
      </c>
      <c r="H26" s="129">
        <v>78.5</v>
      </c>
      <c r="I26" s="92"/>
      <c r="J26" s="7" t="s">
        <v>9</v>
      </c>
      <c r="K26" s="313">
        <f t="shared" si="4"/>
        <v>0</v>
      </c>
      <c r="L26" s="309"/>
      <c r="N26" s="3"/>
      <c r="O26" s="3"/>
      <c r="P26" s="3"/>
      <c r="Q26" s="3"/>
    </row>
    <row r="27" spans="1:17" ht="16" thickBot="1" x14ac:dyDescent="0.25">
      <c r="A27" s="71"/>
      <c r="B27" s="71"/>
      <c r="C27" s="213"/>
      <c r="D27" s="320"/>
      <c r="E27" s="71"/>
      <c r="F27" s="71"/>
      <c r="G27" s="71"/>
      <c r="H27" s="71"/>
      <c r="I27" s="71"/>
      <c r="J27" s="71"/>
      <c r="K27" s="312"/>
      <c r="L27" s="95"/>
      <c r="N27" s="3"/>
      <c r="O27" s="3"/>
      <c r="P27" s="3"/>
      <c r="Q27" s="3"/>
    </row>
    <row r="28" spans="1:17" x14ac:dyDescent="0.2">
      <c r="A28" s="65" t="s">
        <v>56</v>
      </c>
      <c r="B28" s="38"/>
      <c r="C28" s="49">
        <v>2016</v>
      </c>
      <c r="D28" s="38">
        <v>2014</v>
      </c>
      <c r="E28" s="38">
        <v>2020</v>
      </c>
      <c r="F28" s="38">
        <v>2023</v>
      </c>
      <c r="G28" s="38">
        <v>2025</v>
      </c>
      <c r="H28" s="38">
        <v>2030</v>
      </c>
      <c r="I28" s="38">
        <v>2050</v>
      </c>
      <c r="J28" s="38" t="s">
        <v>1</v>
      </c>
      <c r="K28" s="314"/>
      <c r="L28" s="310"/>
      <c r="M28" s="21" t="s">
        <v>235</v>
      </c>
    </row>
    <row r="29" spans="1:17" x14ac:dyDescent="0.2">
      <c r="A29" s="71"/>
      <c r="B29" s="37" t="s">
        <v>2</v>
      </c>
      <c r="C29" s="328">
        <v>50</v>
      </c>
      <c r="D29" s="122">
        <v>30</v>
      </c>
      <c r="E29" s="110">
        <f>$C29*(1-$K29)^(E$21-$C$21)</f>
        <v>50</v>
      </c>
      <c r="F29" s="68">
        <v>50</v>
      </c>
      <c r="G29" s="110">
        <f>$F29*(1-$L29)^(G$21-$F$21)</f>
        <v>50</v>
      </c>
      <c r="H29" s="110">
        <f>$F29*(1-$L29)^(H$21-$F$21)</f>
        <v>50</v>
      </c>
      <c r="I29" s="20">
        <v>50</v>
      </c>
      <c r="J29" s="71" t="s">
        <v>22</v>
      </c>
      <c r="K29" s="312">
        <f>1-(F29/C29)^(1/(F$21-C$21))</f>
        <v>0</v>
      </c>
      <c r="L29" s="95">
        <f>1-(I29/F29)^(1/(I$21-F$21))</f>
        <v>0</v>
      </c>
    </row>
    <row r="30" spans="1:17" x14ac:dyDescent="0.2">
      <c r="A30" s="71"/>
      <c r="B30" s="40" t="s">
        <v>3</v>
      </c>
      <c r="C30" s="328">
        <v>1000</v>
      </c>
      <c r="D30" s="122">
        <v>1025</v>
      </c>
      <c r="E30" s="110">
        <f>$C30*(1-$K30)^(E$21-$C$21)</f>
        <v>1000</v>
      </c>
      <c r="F30" s="68">
        <v>1000</v>
      </c>
      <c r="G30" s="110">
        <v>1000</v>
      </c>
      <c r="H30" s="110">
        <v>1000</v>
      </c>
      <c r="I30" s="20">
        <v>1000</v>
      </c>
      <c r="J30" s="71" t="s">
        <v>23</v>
      </c>
      <c r="K30" s="312"/>
      <c r="L30" s="95"/>
      <c r="M30" s="37" t="str">
        <f>"@ Jan - Die Agora Studie bitte erstmal nicht nutzen, da muss ich mir noch was überlegen"</f>
        <v>@ Jan - Die Agora Studie bitte erstmal nicht nutzen, da muss ich mir noch was überlegen</v>
      </c>
    </row>
    <row r="31" spans="1:17" x14ac:dyDescent="0.2">
      <c r="A31" s="71"/>
      <c r="B31" s="37" t="s">
        <v>4</v>
      </c>
      <c r="C31" s="329">
        <f t="shared" ref="C31:C33" si="5">C6</f>
        <v>50000</v>
      </c>
      <c r="D31" s="128">
        <v>9999999</v>
      </c>
      <c r="E31" s="124"/>
      <c r="F31" s="124"/>
      <c r="G31" s="124"/>
      <c r="H31" s="124"/>
      <c r="I31" s="89"/>
      <c r="J31" s="71" t="s">
        <v>5</v>
      </c>
      <c r="K31" s="312"/>
      <c r="L31" s="95"/>
    </row>
    <row r="32" spans="1:17" x14ac:dyDescent="0.2">
      <c r="A32" s="71"/>
      <c r="B32" s="37" t="s">
        <v>6</v>
      </c>
      <c r="C32" s="329">
        <f t="shared" si="5"/>
        <v>60</v>
      </c>
      <c r="D32" s="128">
        <v>60</v>
      </c>
      <c r="E32" s="111">
        <f>$C32*(1-$K32)^(E$21-$C$21)</f>
        <v>60</v>
      </c>
      <c r="F32" s="69">
        <v>60</v>
      </c>
      <c r="G32" s="111">
        <f>$F32*(1-$L32)^(G$21-$F$21)</f>
        <v>60</v>
      </c>
      <c r="H32" s="111">
        <f>$F32*(1-$L32)^(H$21-$F$21)</f>
        <v>60</v>
      </c>
      <c r="I32" s="76">
        <v>60</v>
      </c>
      <c r="J32" s="71" t="s">
        <v>7</v>
      </c>
      <c r="K32" s="312">
        <f>1-(F32/C32)^(1/(F$21-C$21))</f>
        <v>0</v>
      </c>
      <c r="L32" s="95">
        <f>1-(I32/F32)^(1/(I$21-F$21))</f>
        <v>0</v>
      </c>
    </row>
    <row r="33" spans="1:12" ht="16" thickBot="1" x14ac:dyDescent="0.25">
      <c r="A33" s="71"/>
      <c r="B33" s="6" t="s">
        <v>8</v>
      </c>
      <c r="C33" s="330">
        <f t="shared" si="5"/>
        <v>80</v>
      </c>
      <c r="D33" s="129">
        <v>80</v>
      </c>
      <c r="E33" s="112">
        <f>$C33*(1-$K33)^(E$21-$C$21)</f>
        <v>80</v>
      </c>
      <c r="F33" s="70">
        <v>80</v>
      </c>
      <c r="G33" s="112">
        <f>$F33*(1-$L33)^(G$21-$F$21)</f>
        <v>80</v>
      </c>
      <c r="H33" s="112">
        <f>$F33*(1-$L33)^(H$21-$F$21)</f>
        <v>80</v>
      </c>
      <c r="I33" s="77">
        <v>80</v>
      </c>
      <c r="J33" s="7" t="s">
        <v>9</v>
      </c>
      <c r="K33" s="313">
        <f>1-(F33/C33)^(1/(F$21-C$21))</f>
        <v>0</v>
      </c>
      <c r="L33" s="309">
        <f>1-(I33/F33)^(1/(I$21-F$21))</f>
        <v>0</v>
      </c>
    </row>
    <row r="34" spans="1:12" ht="16" thickBot="1" x14ac:dyDescent="0.25">
      <c r="A34" s="71"/>
      <c r="B34" s="71"/>
      <c r="C34" s="213"/>
      <c r="D34" s="320"/>
      <c r="E34" s="71"/>
      <c r="F34" s="71"/>
      <c r="G34" s="71"/>
      <c r="H34" s="71"/>
      <c r="I34" s="71"/>
      <c r="J34" s="71"/>
      <c r="K34" s="48"/>
      <c r="L34" s="38"/>
    </row>
    <row r="35" spans="1:12" x14ac:dyDescent="0.2">
      <c r="A35" s="65" t="s">
        <v>48</v>
      </c>
      <c r="B35" s="38"/>
      <c r="C35" s="49">
        <v>2016</v>
      </c>
      <c r="D35" s="38">
        <v>2015</v>
      </c>
      <c r="E35" s="38">
        <v>2020</v>
      </c>
      <c r="F35" s="38">
        <v>2023</v>
      </c>
      <c r="G35" s="38">
        <v>2025</v>
      </c>
      <c r="H35" s="38">
        <v>2030</v>
      </c>
      <c r="I35" s="38">
        <v>2050</v>
      </c>
      <c r="J35" s="38" t="s">
        <v>1</v>
      </c>
      <c r="K35" s="314"/>
      <c r="L35" s="310"/>
    </row>
    <row r="36" spans="1:12" x14ac:dyDescent="0.2">
      <c r="A36" s="71"/>
      <c r="B36" s="37" t="s">
        <v>2</v>
      </c>
      <c r="C36" s="328">
        <v>50</v>
      </c>
      <c r="D36" s="20">
        <v>78.3</v>
      </c>
      <c r="E36" s="123"/>
      <c r="F36" s="87"/>
      <c r="G36" s="123"/>
      <c r="H36" s="124"/>
      <c r="I36" s="87">
        <v>50</v>
      </c>
      <c r="J36" s="71" t="s">
        <v>22</v>
      </c>
      <c r="K36" s="312">
        <f>1-(I36/C36)^(1/(I$35-C$35))</f>
        <v>0</v>
      </c>
      <c r="L36" s="95"/>
    </row>
    <row r="37" spans="1:12" x14ac:dyDescent="0.2">
      <c r="A37" s="71"/>
      <c r="B37" s="40" t="s">
        <v>3</v>
      </c>
      <c r="C37" s="328">
        <v>850</v>
      </c>
      <c r="D37" s="20"/>
      <c r="E37" s="123"/>
      <c r="F37" s="87"/>
      <c r="G37" s="126"/>
      <c r="H37" s="123"/>
      <c r="I37" s="87">
        <v>850</v>
      </c>
      <c r="J37" s="71" t="s">
        <v>23</v>
      </c>
      <c r="K37" s="312">
        <f>1-(I37/C37)^(1/(I$35-C$35))</f>
        <v>0</v>
      </c>
      <c r="L37" s="95"/>
    </row>
    <row r="38" spans="1:12" x14ac:dyDescent="0.2">
      <c r="A38" s="71"/>
      <c r="B38" s="37" t="s">
        <v>4</v>
      </c>
      <c r="C38" s="329">
        <v>100000</v>
      </c>
      <c r="D38" s="76"/>
      <c r="E38" s="111">
        <f t="shared" ref="E38:H40" si="6">$C38*(1-$K38)^(E$21-$C$21)</f>
        <v>100000</v>
      </c>
      <c r="F38" s="63">
        <f t="shared" si="6"/>
        <v>100000</v>
      </c>
      <c r="G38" s="111">
        <f t="shared" si="6"/>
        <v>100000</v>
      </c>
      <c r="H38" s="111">
        <f t="shared" si="6"/>
        <v>100000</v>
      </c>
      <c r="I38" s="75">
        <v>100000</v>
      </c>
      <c r="J38" s="71" t="s">
        <v>5</v>
      </c>
      <c r="K38" s="312">
        <f>1-(I38/C38)^(1/(I$35-C$35))</f>
        <v>0</v>
      </c>
      <c r="L38" s="95"/>
    </row>
    <row r="39" spans="1:12" x14ac:dyDescent="0.2">
      <c r="A39" s="71"/>
      <c r="B39" s="37" t="s">
        <v>6</v>
      </c>
      <c r="C39" s="329">
        <f t="shared" ref="C39" si="7">C7</f>
        <v>60</v>
      </c>
      <c r="D39" s="76"/>
      <c r="E39" s="111">
        <f t="shared" si="6"/>
        <v>62.065452390603504</v>
      </c>
      <c r="F39" s="63">
        <f t="shared" si="6"/>
        <v>63.661069646174781</v>
      </c>
      <c r="G39" s="111">
        <f t="shared" si="6"/>
        <v>64.747539447550821</v>
      </c>
      <c r="H39" s="111">
        <f t="shared" si="6"/>
        <v>67.545529808251928</v>
      </c>
      <c r="I39" s="75">
        <v>80</v>
      </c>
      <c r="J39" s="71" t="s">
        <v>7</v>
      </c>
      <c r="K39" s="312">
        <f>1-(I39/C39)^(1/(I$35-C$35))</f>
        <v>-8.4971348686027071E-3</v>
      </c>
      <c r="L39" s="95"/>
    </row>
    <row r="40" spans="1:12" ht="16" thickBot="1" x14ac:dyDescent="0.25">
      <c r="A40" s="71"/>
      <c r="B40" s="6" t="s">
        <v>8</v>
      </c>
      <c r="C40" s="331">
        <v>80</v>
      </c>
      <c r="D40" s="67"/>
      <c r="E40" s="112">
        <f t="shared" si="6"/>
        <v>80</v>
      </c>
      <c r="F40" s="64">
        <f t="shared" si="6"/>
        <v>80</v>
      </c>
      <c r="G40" s="112">
        <f t="shared" si="6"/>
        <v>80</v>
      </c>
      <c r="H40" s="112">
        <f t="shared" si="6"/>
        <v>80</v>
      </c>
      <c r="I40" s="70">
        <v>80</v>
      </c>
      <c r="J40" s="7" t="s">
        <v>9</v>
      </c>
      <c r="K40" s="313">
        <f>1-(I40/C40)^(1/(I$35-C$35))</f>
        <v>0</v>
      </c>
      <c r="L40" s="309"/>
    </row>
    <row r="41" spans="1:12" x14ac:dyDescent="0.2">
      <c r="A41" s="71"/>
      <c r="B41" s="40"/>
      <c r="C41" s="84"/>
      <c r="D41" s="73"/>
      <c r="E41" s="73"/>
      <c r="F41" s="85"/>
      <c r="G41" s="85"/>
      <c r="H41" s="86"/>
      <c r="I41" s="39"/>
      <c r="J41" s="71"/>
      <c r="K41" s="71"/>
      <c r="L41" s="71"/>
    </row>
    <row r="42" spans="1:12" x14ac:dyDescent="0.2">
      <c r="A42" s="71"/>
      <c r="B42" s="71"/>
      <c r="C42" s="71"/>
      <c r="D42" s="71"/>
      <c r="E42" s="71"/>
      <c r="F42" s="71"/>
      <c r="G42" s="71"/>
      <c r="H42" s="71"/>
      <c r="I42" s="71"/>
      <c r="J42" s="71"/>
      <c r="K42" s="71"/>
      <c r="L42" s="71"/>
    </row>
  </sheetData>
  <hyperlinks>
    <hyperlink ref="E14" r:id="rId1" xr:uid="{00000000-0004-0000-0800-000000000000}"/>
    <hyperlink ref="E15" r:id="rId2" xr:uid="{00000000-0004-0000-0800-000001000000}"/>
    <hyperlink ref="E16" r:id="rId3" xr:uid="{00000000-0004-0000-0800-000002000000}"/>
  </hyperlinks>
  <pageMargins left="0.7" right="0.7" top="0.75" bottom="0.75" header="0.3" footer="0.3"/>
  <pageSetup paperSize="9" orientation="portrait" r:id="rId4"/>
  <drawing r:id="rId5"/>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42</vt:i4>
      </vt:variant>
      <vt:variant>
        <vt:lpstr>Named Ranges</vt:lpstr>
      </vt:variant>
      <vt:variant>
        <vt:i4>4</vt:i4>
      </vt:variant>
    </vt:vector>
  </HeadingPairs>
  <TitlesOfParts>
    <vt:vector size="46" baseType="lpstr">
      <vt:lpstr>FrontPage</vt:lpstr>
      <vt:lpstr>Instructions</vt:lpstr>
      <vt:lpstr>Cost-of-Service</vt:lpstr>
      <vt:lpstr>Dropdowns</vt:lpstr>
      <vt:lpstr>Visualisation</vt:lpstr>
      <vt:lpstr>Applications</vt:lpstr>
      <vt:lpstr>List of Storage Technologies</vt:lpstr>
      <vt:lpstr>Overview 2016 (in)</vt:lpstr>
      <vt:lpstr>Pumped Hydro (calc)</vt:lpstr>
      <vt:lpstr>Pumped Hydro</vt:lpstr>
      <vt:lpstr>CAES (calc)</vt:lpstr>
      <vt:lpstr>CAES</vt:lpstr>
      <vt:lpstr>Flywheel (calc)</vt:lpstr>
      <vt:lpstr>Flywheel</vt:lpstr>
      <vt:lpstr>Flooded LA (calc)</vt:lpstr>
      <vt:lpstr>Flooded LA</vt:lpstr>
      <vt:lpstr>VRLA (calc)</vt:lpstr>
      <vt:lpstr>VRLA</vt:lpstr>
      <vt:lpstr>Li-Ion (NMC) (calc)</vt:lpstr>
      <vt:lpstr>Li-Ion (NMC)</vt:lpstr>
      <vt:lpstr>Li-Ion (NCA) (calc)</vt:lpstr>
      <vt:lpstr>Li-Ion (NCA)</vt:lpstr>
      <vt:lpstr>Li-Ion (LFP) (calc)</vt:lpstr>
      <vt:lpstr>Li-Ion (LFP)</vt:lpstr>
      <vt:lpstr>Li-Ion (Titanate) (calc)</vt:lpstr>
      <vt:lpstr>Li-Ion (Titanate)</vt:lpstr>
      <vt:lpstr>NaNiCl (calc)</vt:lpstr>
      <vt:lpstr>NaNiCl</vt:lpstr>
      <vt:lpstr>NaS (calc)</vt:lpstr>
      <vt:lpstr>NaS</vt:lpstr>
      <vt:lpstr>Vanadium Flow (calc)</vt:lpstr>
      <vt:lpstr>Vanadium Flow</vt:lpstr>
      <vt:lpstr>ZnBr Flow (calc)</vt:lpstr>
      <vt:lpstr>ZnBr Flow</vt:lpstr>
      <vt:lpstr>Inverter small (calc)</vt:lpstr>
      <vt:lpstr>Inverter small</vt:lpstr>
      <vt:lpstr>Inverter large (calc)</vt:lpstr>
      <vt:lpstr>Inverter large</vt:lpstr>
      <vt:lpstr>No Inverter</vt:lpstr>
      <vt:lpstr>Generator PHS</vt:lpstr>
      <vt:lpstr>Generator CAES</vt:lpstr>
      <vt:lpstr>Generator Flywheel</vt:lpstr>
      <vt:lpstr>Applications</vt:lpstr>
      <vt:lpstr>Speichertechnologien</vt:lpstr>
      <vt:lpstr>tech_choice</vt:lpstr>
      <vt:lpstr>tech_list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2018-11-21T15:00:39Z</dcterms:modified>
</cp:coreProperties>
</file>