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<sst xmlns="http://schemas.openxmlformats.org/spreadsheetml/2006/main" count="3152" uniqueCount="834">
  <si>
    <t xml:space="preserve">Marque</t>
  </si>
  <si>
    <t xml:space="preserve">Ref</t>
  </si>
  <si>
    <t xml:space="preserve">Type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</si>
  <si>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</si>
  <si>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</si>
  <si>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</si>
  <si>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</si>
  <si>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</si>
  <si>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</si>
  <si>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</si>
  <si>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</si>
  <si>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</si>
  <si>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</si>
  <si>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</si>
  <si>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</si>
  <si>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</si>
  <si>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</si>
  <si>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</si>
  <si>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</si>
  <si>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</si>
  <si>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</si>
  <si>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</si>
  <si>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</si>
  <si>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</si>
  <si>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</si>
  <si>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</si>
  <si>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</si>
  <si>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</si>
  <si>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</si>
  <si>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</si>
  <si>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</si>
  <si>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</si>
  <si>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</si>
  <si>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</si>
  <si>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</si>
  <si>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</si>
  <si>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</si>
  <si>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</si>
  <si>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</si>
  <si>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</si>
  <si>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</si>
  <si>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</si>
  <si>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</si>
  <si>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Barre Extra Crunchy Cacahuete</t>
  </si>
  <si>
    <t xml:space="preserve">Barre Extra Mangue Cajou</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</si>
  <si>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</si>
  <si>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</si>
  <si>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</si>
  <si>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</si>
  <si>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</si>
  <si>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</si>
  <si>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</si>
  <si>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</si>
  <si>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</si>
  <si>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</si>
  <si>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</si>
  <si>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</si>
  <si>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</si>
  <si>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</si>
  <si>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</si>
  <si>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</si>
  <si>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</si>
  <si>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</si>
  <si>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</si>
  <si>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</si>
  <si>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</si>
  <si>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</si>
  <si>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</si>
  <si>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</si>
  <si>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</si>
  <si>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</si>
  <si>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</si>
  <si>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</si>
  <si>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</si>
  <si>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</si>
  <si>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</si>
  <si>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</si>
  <si>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</si>
  <si>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</si>
  <si>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</si>
  <si>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</si>
  <si>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</si>
  <si>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</si>
  <si>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</si>
  <si>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</si>
  <si>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</si>
  <si>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</si>
  <si>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</si>
  <si>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</si>
  <si>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</si>
  <si>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</si>
  <si>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</si>
  <si>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</si>
  <si>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</si>
  <si>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</si>
  <si>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</si>
  <si>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</si>
  <si>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</si>
  <si>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</si>
  <si>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</si>
  <si>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</si>
  <si>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</si>
  <si>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</si>
  <si>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</si>
  <si>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</si>
  <si>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</si>
  <si>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</si>
  <si>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</si>
  <si>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</si>
  <si>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</si>
  <si>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</si>
  <si>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</si>
  <si>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</si>
  <si>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</si>
  <si>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</si>
  <si>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</si>
  <si>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</si>
  <si>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</si>
  <si>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</si>
  <si>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</si>
  <si>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</si>
  <si>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</si>
  <si>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</si>
  <si>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</si>
  <si>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</si>
  <si>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</si>
  <si>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</si>
  <si>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</si>
  <si>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</si>
  <si>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</si>
  <si>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</si>
  <si>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</si>
  <si>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</si>
  <si>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</si>
  <si>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</si>
  <si>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</si>
  <si>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</si>
  <si>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</si>
  <si>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</si>
  <si>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</si>
  <si>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</si>
  <si>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</si>
  <si>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</si>
  <si>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</si>
  <si>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</si>
  <si>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</si>
  <si>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</si>
  <si>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</si>
  <si>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</si>
  <si>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</si>
  <si>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</si>
  <si>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</si>
  <si>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</si>
  <si>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</si>
  <si>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</si>
  <si>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</si>
  <si>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</si>
  <si>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</si>
  <si>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</si>
  <si>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</si>
  <si>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</si>
  <si>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</si>
  <si>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</si>
  <si>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</si>
  <si>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</si>
  <si>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</si>
  <si>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</si>
  <si>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</si>
  <si>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</si>
  <si>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</si>
  <si>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</si>
  <si>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</si>
  <si>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</si>
  <si>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</si>
  <si>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</si>
  <si>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</si>
  <si>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</si>
  <si>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</si>
  <si>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</si>
  <si>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</si>
  <si>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</si>
  <si>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</si>
  <si>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</si>
  <si>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</si>
  <si>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</si>
  <si>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</si>
  <si>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</si>
  <si>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</si>
  <si>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</si>
  <si>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</si>
  <si>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</si>
  <si>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</si>
  <si>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</si>
  <si>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</si>
  <si>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Bicarb Gel 40 Citron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</si>
  <si>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</si>
  <si>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</si>
  <si>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</si>
  <si>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</si>
  <si>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</si>
  <si>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</si>
  <si>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</si>
  <si>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</si>
  <si>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</si>
  <si>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</si>
  <si>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</si>
  <si>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</si>
  <si>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</si>
  <si>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</si>
  <si>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</si>
  <si>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</si>
  <si>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</si>
  <si>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</si>
  <si>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</si>
  <si>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</si>
  <si>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</si>
  <si>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</si>
  <si>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</si>
  <si>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</si>
  <si>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</si>
  <si>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</si>
  <si>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</si>
  <si>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</si>
  <si>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</si>
  <si>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</si>
  <si>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</si>
  <si>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</si>
  <si>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</si>
  <si>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</si>
  <si>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</si>
  <si>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Long Distance Gel</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</si>
  <si>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</si>
  <si>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</si>
  <si>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</si>
  <si>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</si>
  <si>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</si>
  <si>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</si>
  <si>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</si>
  <si>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</si>
  <si>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</si>
  <si>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</si>
  <si>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</si>
  <si>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</si>
  <si>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</si>
  <si>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</si>
  <si>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</si>
  <si>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</si>
  <si>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</si>
  <si>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</si>
  <si>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</si>
  <si>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</si>
  <si>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</si>
  <si>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</si>
  <si>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</si>
  <si>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</si>
  <si>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</si>
  <si>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</si>
  <si>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</si>
  <si>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</si>
  <si>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</si>
  <si>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</si>
  <si>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</si>
  <si>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</si>
  <si>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</si>
  <si>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</si>
  <si>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</si>
  <si>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</si>
  <si>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</si>
  <si>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</si>
  <si>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</si>
  <si>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</si>
  <si>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</si>
  <si>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</si>
  <si>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</si>
  <si>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</si>
  <si>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</si>
  <si>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</si>
  <si>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</si>
  <si>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</si>
  <si>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</si>
  <si>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</si>
  <si>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</si>
  <si>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</si>
  <si>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</si>
  <si>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</si>
  <si>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</si>
  <si>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</si>
  <si>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</si>
  <si>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</si>
  <si>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</si>
  <si>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</si>
  <si>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</si>
  <si>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</si>
  <si>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</si>
  <si>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</si>
  <si>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</si>
  <si>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</si>
  <si>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</si>
  <si>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</si>
  <si>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</si>
  <si>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</si>
  <si>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</si>
  <si>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</si>
  <si>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</si>
  <si>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</si>
  <si>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</si>
  <si>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</si>
  <si>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</si>
  <si>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</si>
  <si>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</si>
  <si>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</si>
  <si>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</si>
  <si>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Gourde Mix Salé Pomme Butternut Curcuma</t>
  </si>
  <si>
    <t xml:space="preserve">Gourde Mix Salé Pomme Tomate Poivron</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</si>
  <si>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</si>
  <si>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</si>
  <si>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</si>
  <si>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</si>
  <si>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</si>
  <si>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</si>
  <si>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</si>
  <si>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</si>
  <si>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</si>
  <si>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</si>
  <si>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</si>
  <si>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</si>
  <si>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</si>
  <si>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</si>
  <si>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</si>
  <si>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</si>
  <si>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</si>
  <si>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</si>
  <si>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</si>
  <si>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</si>
  <si>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</si>
  <si>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</si>
  <si>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</si>
  <si>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</si>
  <si>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</si>
  <si>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</si>
  <si>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</si>
  <si>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</si>
  <si>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</si>
  <si>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</si>
  <si>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</si>
  <si>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</si>
  <si>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</si>
  <si>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</si>
  <si>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</si>
  <si>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</si>
  <si>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</si>
  <si>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</si>
  <si>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</si>
  <si>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</si>
  <si>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</si>
  <si>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</si>
  <si>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</si>
  <si>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</si>
  <si>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</si>
  <si>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</si>
  <si>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</si>
  <si>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</si>
  <si>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</si>
  <si>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</si>
  <si>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</si>
  <si>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</si>
  <si>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</si>
  <si>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</si>
  <si>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</si>
  <si>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</si>
  <si>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</si>
  <si>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</si>
  <si>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</si>
  <si>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</si>
  <si>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</si>
  <si>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</si>
  <si>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</si>
  <si>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</si>
  <si>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</si>
  <si>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</si>
  <si>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</si>
  <si>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</si>
  <si>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</si>
  <si>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</si>
  <si>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</si>
  <si>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</si>
  <si>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</si>
  <si>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</si>
  <si>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</si>
  <si>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</si>
  <si>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</si>
  <si>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</si>
  <si>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</si>
  <si>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</si>
  <si>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</si>
  <si>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</si>
  <si>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</si>
  <si>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</si>
  <si>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</si>
  <si>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</si>
  <si>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</si>
  <si>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</si>
  <si>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</si>
  <si>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</si>
  <si>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</si>
  <si>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</si>
  <si>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</si>
  <si>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</si>
  <si>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</si>
  <si>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</si>
  <si>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</si>
  <si>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</si>
  <si>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</si>
  <si>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</si>
  <si>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</si>
  <si>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</si>
  <si>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</si>
  <si>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</si>
  <si>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</si>
  <si>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</si>
  <si>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</si>
  <si>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</si>
  <si>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</si>
  <si>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</si>
  <si>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</si>
  <si>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</si>
  <si>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</si>
  <si>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</si>
  <si>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</si>
  <si>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</si>
  <si>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</si>
  <si>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</si>
  <si>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</si>
  <si>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</si>
  <si>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</si>
  <si>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</si>
  <si>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</si>
  <si>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</si>
  <si>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</si>
  <si>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</si>
  <si>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</si>
  <si>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</si>
  <si>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</si>
  <si>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</si>
  <si>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</si>
  <si>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</si>
  <si>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</si>
  <si>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</si>
  <si>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</si>
  <si>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</si>
  <si>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</si>
  <si>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</si>
  <si>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</si>
  <si>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</si>
  <si>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</si>
  <si>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</si>
  <si>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</si>
  <si>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</si>
  <si>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</si>
  <si>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</si>
  <si>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</si>
  <si>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</si>
  <si>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</si>
  <si>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</si>
  <si>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</si>
  <si>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</si>
  <si>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</si>
  <si>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</si>
  <si>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</si>
  <si>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</si>
  <si>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</si>
  <si>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</si>
  <si>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</si>
  <si>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</si>
  <si>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</si>
  <si>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</si>
  <si>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</si>
  <si>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</si>
  <si>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</si>
  <si>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</si>
  <si>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</si>
  <si>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</si>
  <si>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</si>
  <si>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</si>
  <si>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</si>
  <si>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</si>
  <si>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</si>
  <si>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</si>
  <si>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</si>
  <si>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</si>
  <si>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</si>
  <si>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Ultra Buffer Orange</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</si>
  <si>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</si>
  <si>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</si>
  <si>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</si>
  <si>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</si>
  <si>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</si>
  <si>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</si>
  <si>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</si>
  <si>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</si>
  <si>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</si>
  <si>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</si>
  <si>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</si>
  <si>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</si>
  <si>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</si>
  <si>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</si>
  <si>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</si>
  <si>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</si>
  <si>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</si>
  <si>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</si>
  <si>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</si>
  <si>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</si>
  <si>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</si>
  <si>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</si>
  <si>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</si>
  <si>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</si>
  <si>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</si>
  <si>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</si>
  <si>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</si>
  <si>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</si>
  <si>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</si>
  <si>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</si>
  <si>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</si>
  <si>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</si>
  <si>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</si>
  <si>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</si>
  <si>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</si>
  <si>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</si>
  <si>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</si>
  <si>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</si>
  <si>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</si>
  <si>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</si>
  <si>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</si>
  <si>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</si>
  <si>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</si>
  <si>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</si>
  <si>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</si>
  <si>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</si>
  <si>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</si>
  <si>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</si>
  <si>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</si>
  <si>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</si>
  <si>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</si>
  <si>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</si>
  <si>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</si>
  <si>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</si>
  <si>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</si>
  <si>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</si>
  <si>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</si>
  <si>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</si>
  <si>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</si>
  <si>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</si>
  <si>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</si>
  <si>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</si>
  <si>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</si>
  <si>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</si>
  <si>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</si>
  <si>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</si>
  <si>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</si>
  <si>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</si>
  <si>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</si>
  <si>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</si>
  <si>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</si>
  <si>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</si>
  <si>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</si>
  <si>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</si>
  <si>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</si>
  <si>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</si>
  <si>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</si>
  <si>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</si>
  <si>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</si>
  <si>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</si>
  <si>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</si>
  <si>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</si>
  <si>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</si>
  <si>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</si>
  <si>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</si>
  <si>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</si>
  <si>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</si>
  <si>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</si>
  <si>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</si>
  <si>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</si>
  <si>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</si>
  <si>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</si>
  <si>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</si>
  <si>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</si>
  <si>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</si>
  <si>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</si>
  <si>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</si>
  <si>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</si>
  <si>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</si>
  <si>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</si>
  <si>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</si>
  <si>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</si>
  <si>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</si>
  <si>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</si>
  <si>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</si>
  <si>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</si>
  <si>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</si>
  <si>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</si>
  <si>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</si>
  <si>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</si>
  <si>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</si>
  <si>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</si>
  <si>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</si>
  <si>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</si>
  <si>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</si>
  <si>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</si>
  <si>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</si>
  <si>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</si>
  <si>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</si>
  <si>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</si>
  <si>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</si>
  <si>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</si>
  <si>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</si>
  <si>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</si>
  <si>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</si>
  <si>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</si>
  <si>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</si>
  <si>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</si>
  <si>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</si>
  <si>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</si>
  <si>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</si>
  <si>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</si>
  <si>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</si>
  <si>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</si>
  <si>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</si>
  <si>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</si>
  <si>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</si>
  <si>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</si>
  <si>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</si>
  <si>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</si>
  <si>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</si>
  <si>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</si>
  <si>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</si>
  <si>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</si>
  <si>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</si>
  <si>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</si>
  <si>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</si>
  <si>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</si>
  <si>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</si>
  <si>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</si>
  <si>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</si>
  <si>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</si>
  <si>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</si>
  <si>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</si>
  <si>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</si>
  <si>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</si>
  <si>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</si>
  <si>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</si>
  <si>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</si>
  <si>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</si>
  <si>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</si>
  <si>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</si>
  <si>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</si>
  <si>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</si>
  <si>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</si>
  <si>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</si>
  <si>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</si>
  <si>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</si>
  <si>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</si>
  <si>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</si>
  <si>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</si>
  <si>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</si>
  <si>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</si>
  <si>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</si>
  <si>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</si>
  <si>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</si>
  <si>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</si>
  <si>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</si>
  <si>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</si>
  <si>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</si>
  <si>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</si>
  <si>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</si>
  <si>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</si>
  <si>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</si>
  <si>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</si>
  <si>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</si>
  <si>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</si>
  <si>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</si>
  <si>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</si>
  <si>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</si>
  <si>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</si>
  <si>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</si>
  <si>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</si>
  <si>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</si>
  <si>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</si>
  <si>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</si>
  <si>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</si>
  <si>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</si>
  <si>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</si>
  <si>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</si>
  <si>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</si>
  <si>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</si>
  <si>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</si>
  <si>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</si>
  <si>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</si>
  <si>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</si>
  <si>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</si>
  <si>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</si>
  <si>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</si>
  <si>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</si>
  <si>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</si>
  <si>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</si>
  <si>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</si>
  <si>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</si>
  <si>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</si>
  <si>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</si>
  <si>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</si>
  <si>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</si>
  <si>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</si>
  <si>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</si>
  <si>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</si>
  <si>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</si>
  <si>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</si>
  <si>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</si>
  <si>
    <t xml:space="preserve">Hydrascore</t>
  </si>
  <si>
    <t xml:space="preserve">Hydrascore n°5 Boisson Goût neutre</t>
  </si>
  <si>
    <t xml:space="preserve">L-Citrulline</t>
  </si>
  <si>
    <t xml:space="preserve">Hydrascore n°7 Boisson Orange ou Fruits Exotiques</t>
  </si>
  <si>
    <t xml:space="preserve">Hydrascore n°9 Boisson Thé Pêche ou Fruits Rouges ou Neutre</t>
  </si>
  <si>
    <t xml:space="preserve">Isoxan</t>
  </si>
  <si>
    <t xml:space="preserve">Isoxan Sport Pro</t>
  </si>
  <si>
    <t xml:space="preserve">Squeezy</t>
  </si>
  <si>
    <t xml:space="preserve">Energy Drink Basic Formula</t>
  </si>
  <si>
    <t xml:space="preserve">Energy Drink Cerise ou Orange</t>
  </si>
  <si>
    <t xml:space="preserve">Energy Drink Citron et BCAA</t>
  </si>
  <si>
    <t xml:space="preserve">Energy Gel Basic Formula</t>
  </si>
  <si>
    <t xml:space="preserve">Energy Gel Banane ou Citron ou Framboise ou Orange Pêche</t>
  </si>
  <si>
    <t xml:space="preserve">Energy Gel Caramel Salé</t>
  </si>
  <si>
    <t xml:space="preserve">Energy Gel Citron Caféine ou Cola Caféine</t>
  </si>
  <si>
    <t xml:space="preserve">Liquid Energy Framboise ou Pastèque</t>
  </si>
  <si>
    <t xml:space="preserve">Liquid Energy Citron Cafeine</t>
  </si>
  <si>
    <t xml:space="preserve">Energy Fruit Gums</t>
  </si>
  <si>
    <t xml:space="preserve">Energy Bar Pomme</t>
  </si>
  <si>
    <t xml:space="preserve">Energy Bar Cerise Cafeine</t>
  </si>
  <si>
    <t xml:space="preserve">Crown</t>
  </si>
  <si>
    <t xml:space="preserve">Hyper Bar 45</t>
  </si>
  <si>
    <t xml:space="preserve">Hyper Bar 45 Cafeine</t>
  </si>
  <si>
    <t xml:space="preserve">Energy Bar Double Chocolate ou Yoghurt</t>
  </si>
  <si>
    <t xml:space="preserve">Energy Bar White Chocolate et Banane</t>
  </si>
  <si>
    <t xml:space="preserve">Energy Bar Salty Chocolate</t>
  </si>
  <si>
    <t xml:space="preserve">Energy Bar Salty Peanut</t>
  </si>
  <si>
    <t xml:space="preserve">Energy Bar Strawberry</t>
  </si>
  <si>
    <t xml:space="preserve">Energy Gum Bar Orange ou Pêche</t>
  </si>
  <si>
    <t xml:space="preserve">L-Arginine et Taurine</t>
  </si>
  <si>
    <t xml:space="preserve">Energy Gum Bar Cafeine Cola ou Fraise ou Citron Citron Vert</t>
  </si>
  <si>
    <t xml:space="preserve">Energy Gum Bar Salty Peanut</t>
  </si>
  <si>
    <t xml:space="preserve">Raw Bar Cacao ou Banane</t>
  </si>
  <si>
    <t xml:space="preserve">Vegan Raw Bar Pomme Noisette</t>
  </si>
  <si>
    <t xml:space="preserve">Hyper Gel 45 Neutre ou Citron</t>
  </si>
  <si>
    <t xml:space="preserve">Hyper Gel 45 Cafeine Neutre ou Fraise ou Moka</t>
  </si>
  <si>
    <t xml:space="preserve">Hyper Gel 45 Salty Peanut</t>
  </si>
  <si>
    <t xml:space="preserve">Energy Gel Orange ou Citron</t>
  </si>
  <si>
    <t xml:space="preserve">Energy Gel Caféine Cola et Fruits Rouges</t>
  </si>
  <si>
    <t xml:space="preserve">Hyper Gel 30 Hydro Neutre</t>
  </si>
  <si>
    <t xml:space="preserve">Hyper Gel 30 Hydro Cafeine Neutre</t>
  </si>
  <si>
    <t xml:space="preserve">Isodrink &amp; Energy Mandarine Orange ou Citron ou Fruits Rouges</t>
  </si>
  <si>
    <t xml:space="preserve">Glutamine</t>
  </si>
  <si>
    <t xml:space="preserve">Hyper Drink 90</t>
  </si>
  <si>
    <t xml:space="preserve">Hyper Drink 45</t>
  </si>
  <si>
    <t xml:space="preserve">Finisher</t>
  </si>
  <si>
    <t xml:space="preserve">Caffeine Gel Cola</t>
  </si>
  <si>
    <t xml:space="preserve">Creatine</t>
  </si>
  <si>
    <t xml:space="preserve">Intensity Gel Fraise</t>
  </si>
  <si>
    <t xml:space="preserve">Endurance Gel Citron</t>
  </si>
  <si>
    <t xml:space="preserve">Long Distance Gel Citron</t>
  </si>
  <si>
    <t xml:space="preserve">Gel UCAN</t>
  </si>
  <si>
    <t xml:space="preserve">Boisson Generation UCAN Citron ou Grenade Bleuet</t>
  </si>
  <si>
    <t xml:space="preserve">Bar UCAN Noisette</t>
  </si>
  <si>
    <t xml:space="preserve">Barrita Energetica Chocolat au lait et pepites de chocolat noir</t>
  </si>
  <si>
    <t xml:space="preserve">Barrita Energetica Fruits Rouges et Chocolat Blanc</t>
  </si>
  <si>
    <t xml:space="preserve">Tailwind</t>
  </si>
  <si>
    <t xml:space="preserve">Endurance Fuel Citron ou Mandarine ou Neutre ou Baie ou Dauwaltermelon with Lime ou Cidre</t>
  </si>
  <si>
    <t xml:space="preserve">Endurance Fuel Caféiné Cola ou Framboise ou Tropical ou Thé Matcha</t>
  </si>
  <si>
    <t xml:space="preserve">High Carb Fuel Gingembre Citron Vert ou Limonade</t>
  </si>
  <si>
    <t xml:space="preserve">Skratch Labs</t>
  </si>
  <si>
    <t xml:space="preserve">Hydratation Sport Drink Mix</t>
  </si>
  <si>
    <t xml:space="preserve">Super High Carb Sport Drink Mix</t>
  </si>
  <si>
    <t xml:space="preserve">Energy Chews Sport Fuel Raisin ou Orange ou Framboise </t>
  </si>
  <si>
    <t xml:space="preserve">Energy Chews Sport Fuel Sour Cherry Cafeine</t>
  </si>
  <si>
    <t xml:space="preserve">Energy Chews Sport Fuel Citron Thé Matcha</t>
  </si>
  <si>
    <t xml:space="preserve">Energy Bar Raspberry Lemon</t>
  </si>
  <si>
    <t xml:space="preserve">Energy Bar Peanut Butter Chocolate</t>
  </si>
  <si>
    <t xml:space="preserve">Energy Bar Cherry Pistachio</t>
  </si>
  <si>
    <t xml:space="preserve">Amacx</t>
  </si>
  <si>
    <t xml:space="preserve">Turbo Drink Pastèque ou Citron</t>
  </si>
  <si>
    <t xml:space="preserve">NZVT </t>
  </si>
  <si>
    <t xml:space="preserve">Energy Drink Fruits des Bois ou Citron ou Raisin</t>
  </si>
  <si>
    <t xml:space="preserve">Drink Gel Agrumes ou Fraise ou Framboise ou Orange</t>
  </si>
  <si>
    <t xml:space="preserve">Drink Gel Cola Cafeine</t>
  </si>
  <si>
    <t xml:space="preserve">Energy Ice Gel Citron Citron Vert ou Cola Citron Vert</t>
  </si>
  <si>
    <t xml:space="preserve">Turbo Gel Cola Citron Vert ou Agrumes</t>
  </si>
  <si>
    <t xml:space="preserve">Turbo Gel Cassis Cafeine</t>
  </si>
  <si>
    <t xml:space="preserve">Turbo Ice Gel Cola Citron Vert ou Citron Citron Vert</t>
  </si>
  <si>
    <t xml:space="preserve">Energy Fruit Chew Cassis ou Orange ou Pina</t>
  </si>
  <si>
    <t xml:space="preserve">Energy Nougat Canneberge ou Speculos ou Papaye</t>
  </si>
  <si>
    <t xml:space="preserve">Energy Oat Bar Banane ou Figue ou Noix de Coco</t>
  </si>
  <si>
    <t xml:space="preserve">Energy Oat Bar Citron </t>
  </si>
  <si>
    <t xml:space="preserve">Fast Bar Chocolat ou Citron ou Vanille</t>
  </si>
  <si>
    <t xml:space="preserve">Turbo Fruit Chew Cassis ou Citron </t>
  </si>
  <si>
    <t xml:space="preserve">Fruit i Bee</t>
  </si>
  <si>
    <t xml:space="preserve">Barre Puissance nature pomme miel éclats d’amande</t>
  </si>
  <si>
    <t xml:space="preserve">Barre Puissance nature reine claude miel éclats d’amande</t>
  </si>
  <si>
    <t xml:space="preserve">Barre Puissance nature abricot miel éclats d’amande</t>
  </si>
  <si>
    <t xml:space="preserve">Barre Puissance nature kiwi miel amande</t>
  </si>
  <si>
    <t xml:space="preserve">Barre Puissance nature pomme miel amande éclats de pécan</t>
  </si>
  <si>
    <t xml:space="preserve">Barre Puissance nature prune d’ente miel éclats d’amande</t>
  </si>
  <si>
    <t xml:space="preserve">Barre Puissance nature figue miel éclats de noix</t>
  </si>
  <si>
    <t xml:space="preserve">Barre Puissance nature poire miel amande éclats de noisette</t>
  </si>
  <si>
    <t xml:space="preserve">Barre Puissance nature Amande Miel Fleur de sel du Rousillon</t>
  </si>
  <si>
    <t xml:space="preserve">Barre Puissance nature Amande Miel éclats de noisette Fleur de sel du Rousillon</t>
  </si>
  <si>
    <t xml:space="preserve">Barre Puissance nature Amande Miel Citron Fleur de sel du Rousillon</t>
  </si>
  <si>
    <t xml:space="preserve">Barre Puissance nature Amande Miel Fruits Rouges Fleur de sel du Rousillon</t>
  </si>
  <si>
    <t xml:space="preserve">Barre Puissance nature Amande Miel Abricot Fleur de sel du Rousillon</t>
  </si>
  <si>
    <t xml:space="preserve">Barre Puissance nature Amande Miel Pollen frais Fleur de sel du Rousillon</t>
  </si>
  <si>
    <t xml:space="preserve">Barre Puissance nature Amande Miel Tomate olive Fleur de sel du Rousillon</t>
  </si>
  <si>
    <t xml:space="preserve">Protéalpes</t>
  </si>
  <si>
    <t xml:space="preserve">Boisson Endurance Fruits Rouges ou Menthe</t>
  </si>
  <si>
    <t xml:space="preserve">Ultimum </t>
  </si>
  <si>
    <t xml:space="preserve">Ultimum Sport Banane</t>
  </si>
  <si>
    <t xml:space="preserve">Ultimum Sport Figue</t>
  </si>
  <si>
    <t xml:space="preserve">Ultimum Sport Pruneau</t>
  </si>
  <si>
    <t xml:space="preserve">Ultimum Sport Abricot</t>
  </si>
  <si>
    <t xml:space="preserve">Ultimum Sport Date</t>
  </si>
  <si>
    <t xml:space="preserve">Ultimum Sport Ananas</t>
  </si>
  <si>
    <t xml:space="preserve">Ultimum Sport Mangue</t>
  </si>
  <si>
    <t xml:space="preserve">Ultimum Sport Kiwi ou Pêche  </t>
  </si>
  <si>
    <t xml:space="preserve">Ultimum Sport Mix Pruneau Cranberry ou Banane Cassis ou Date Goji</t>
  </si>
  <si>
    <t xml:space="preserve">Ultimum Oxygen Datte ou Pruneaux ou Abricot</t>
  </si>
  <si>
    <t xml:space="preserve">Ultimum Oxygen Figue</t>
  </si>
  <si>
    <t xml:space="preserve">Ultimum Oxygen Mangue</t>
  </si>
  <si>
    <t xml:space="preserve">Ultimum Mix Salé Petits Pois Kiwi</t>
  </si>
  <si>
    <t xml:space="preserve">Ultimum Mix Salé Tomate Carotte</t>
  </si>
</sst>
</file>

<file path=xl/styles.xml><?xml version="1.0" encoding="utf-8"?>
<styleSheet xmlns="http://schemas.openxmlformats.org/spreadsheetml/2006/main">
  <numFmts count="4">
    <numFmt numFmtId="164" formatCode="General"/>
    <numFmt numFmtId="165" formatCode="0.0000"/>
    <numFmt numFmtId="166" formatCode="0.000"/>
    <numFmt numFmtId="167" formatCod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14"/>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681" activePane="bottomLeft" state="frozen"/>
      <selection pane="topLeft" activeCell="A1" activeCellId="0" sqref="A1"/>
      <selection pane="bottomLeft" activeCell="X707" activeCellId="0" sqref="X707"/>
    </sheetView>
  </sheetViews>
  <sheetFormatPr defaultColWidth="11.9414062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25.38"/>
    <col collapsed="false" customWidth="true" hidden="false" outlineLevel="0" max="5" min="5" style="0" width="11.11"/>
    <col collapsed="false" customWidth="true" hidden="false" outlineLevel="0" max="6" min="6" style="0" width="13.52"/>
    <col collapsed="false" customWidth="true" hidden="false" outlineLevel="0" max="7" min="7" style="1" width="15.19"/>
    <col collapsed="false" customWidth="true" hidden="false" outlineLevel="0" max="8" min="8" style="0" width="9.82"/>
    <col collapsed="false" customWidth="true" hidden="false" outlineLevel="0" max="9" min="9" style="2" width="11.52"/>
    <col collapsed="false" customWidth="true" hidden="false" outlineLevel="0" max="11" min="11" style="0" width="14.81"/>
    <col collapsed="false" customWidth="true" hidden="false" outlineLevel="0" max="21" min="21" style="0" width="21.37"/>
  </cols>
  <sheetData>
    <row r="1" customFormat="false" ht="27.85" hidden="false" customHeight="true" outlineLevel="0" collapsed="false">
      <c r="A1" s="3" t="s">
        <v>0</v>
      </c>
      <c r="B1" s="3" t="s">
        <v>1</v>
      </c>
      <c r="C1" s="3" t="s">
        <v>2</v>
      </c>
      <c r="D1" s="3" t="s">
        <v>3</v>
      </c>
      <c r="E1" s="3" t="s">
        <v>4</v>
      </c>
      <c r="F1" s="3" t="s">
        <v>5</v>
      </c>
      <c r="G1" s="4" t="s">
        <v>6</v>
      </c>
      <c r="H1" s="3" t="s">
        <v>7</v>
      </c>
      <c r="I1" s="5" t="s">
        <v>8</v>
      </c>
      <c r="J1" s="3" t="s">
        <v>9</v>
      </c>
      <c r="K1" s="3" t="s">
        <v>10</v>
      </c>
      <c r="L1" s="3" t="s">
        <v>11</v>
      </c>
      <c r="M1" s="0" t="s">
        <v>12</v>
      </c>
      <c r="N1" s="0" t="s">
        <v>13</v>
      </c>
      <c r="O1" s="0" t="s">
        <v>14</v>
      </c>
      <c r="P1" s="0" t="s">
        <v>15</v>
      </c>
      <c r="Q1" s="0" t="s">
        <v>16</v>
      </c>
      <c r="R1" s="0" t="s">
        <v>17</v>
      </c>
      <c r="V1" s="0" t="s">
        <v>18</v>
      </c>
    </row>
    <row r="2" customFormat="false" ht="12.8" hidden="false" customHeight="false" outlineLevel="0" collapsed="false">
      <c r="A2" s="0" t="s">
        <v>19</v>
      </c>
      <c r="B2" s="0" t="s">
        <v>20</v>
      </c>
      <c r="C2" s="0" t="s">
        <v>21</v>
      </c>
      <c r="D2" s="0" t="s">
        <v>22</v>
      </c>
      <c r="E2" s="0" t="n">
        <v>85</v>
      </c>
      <c r="F2" s="0" t="n">
        <v>35</v>
      </c>
      <c r="G2" s="1" t="n">
        <v>30</v>
      </c>
      <c r="H2" s="0" t="n">
        <v>0.3</v>
      </c>
      <c r="I2" s="2" t="n">
        <f aca="false">(E2/100)*H2</f>
        <v>0.255</v>
      </c>
      <c r="J2" s="0" t="n">
        <v>0</v>
      </c>
      <c r="K2" s="6" t="n">
        <f aca="false">G2/E2</f>
        <v>0.352941176470588</v>
      </c>
      <c r="L2" s="7" t="n">
        <v>0</v>
      </c>
      <c r="M2" s="7" t="n">
        <f aca="false">3.5/G2</f>
        <v>0.116666666666667</v>
      </c>
      <c r="N2" s="0" t="n">
        <v>1</v>
      </c>
      <c r="O2" s="0" t="n">
        <v>0</v>
      </c>
      <c r="P2" s="0" t="n">
        <v>0</v>
      </c>
      <c r="Q2" s="0" t="n">
        <v>0</v>
      </c>
      <c r="V2" s="0" t="n">
        <v>0</v>
      </c>
    </row>
    <row r="3" customFormat="false" ht="12.8" hidden="false" customHeight="false" outlineLevel="0" collapsed="false">
      <c r="A3" s="0" t="s">
        <v>19</v>
      </c>
      <c r="B3" s="0" t="s">
        <v>20</v>
      </c>
      <c r="C3" s="0" t="s">
        <v>21</v>
      </c>
      <c r="D3" s="0" t="s">
        <v>23</v>
      </c>
      <c r="E3" s="0" t="n">
        <v>85</v>
      </c>
      <c r="F3" s="0" t="n">
        <v>37</v>
      </c>
      <c r="G3" s="1" t="n">
        <f aca="false">(E3/100)*F3</f>
        <v>31.45</v>
      </c>
      <c r="H3" s="0" t="n">
        <v>0.2</v>
      </c>
      <c r="I3" s="2" t="n">
        <f aca="false">(E3/100)*H3</f>
        <v>0.17</v>
      </c>
      <c r="J3" s="0" t="n">
        <v>0</v>
      </c>
      <c r="K3" s="6" t="n">
        <f aca="false">G3/E3</f>
        <v>0.37</v>
      </c>
      <c r="L3" s="7" t="n">
        <v>0.004</v>
      </c>
      <c r="M3" s="7" t="n">
        <f aca="false">3.5/G3</f>
        <v>0.111287758346582</v>
      </c>
      <c r="N3" s="0" t="n">
        <v>1</v>
      </c>
      <c r="O3" s="0" t="n">
        <v>0</v>
      </c>
      <c r="P3" s="0" t="n">
        <v>0</v>
      </c>
      <c r="Q3" s="0" t="n">
        <v>0</v>
      </c>
      <c r="V3" s="0" t="n">
        <v>0</v>
      </c>
    </row>
    <row r="4" customFormat="false" ht="12.8" hidden="false" customHeight="false" outlineLevel="0" collapsed="false">
      <c r="A4" s="0" t="s">
        <v>19</v>
      </c>
      <c r="B4" s="0" t="s">
        <v>20</v>
      </c>
      <c r="C4" s="0" t="s">
        <v>21</v>
      </c>
      <c r="D4" s="0" t="s">
        <v>24</v>
      </c>
      <c r="E4" s="0" t="n">
        <v>85</v>
      </c>
      <c r="F4" s="0" t="n">
        <v>37</v>
      </c>
      <c r="G4" s="1" t="n">
        <f aca="false">(E4/100)*F4</f>
        <v>31.45</v>
      </c>
      <c r="H4" s="0" t="n">
        <v>0.2</v>
      </c>
      <c r="I4" s="2" t="n">
        <f aca="false">(E4/100)*H4</f>
        <v>0.17</v>
      </c>
      <c r="J4" s="0" t="n">
        <v>0</v>
      </c>
      <c r="K4" s="6" t="n">
        <f aca="false">G4/E4</f>
        <v>0.37</v>
      </c>
      <c r="L4" s="7" t="n">
        <v>0</v>
      </c>
      <c r="M4" s="7" t="n">
        <f aca="false">3.5/G4</f>
        <v>0.111287758346582</v>
      </c>
      <c r="N4" s="0" t="n">
        <v>1</v>
      </c>
      <c r="O4" s="0" t="n">
        <v>0</v>
      </c>
      <c r="P4" s="0" t="n">
        <v>0</v>
      </c>
      <c r="Q4" s="0" t="n">
        <v>0</v>
      </c>
      <c r="V4" s="0" t="n">
        <v>0</v>
      </c>
    </row>
    <row r="5" customFormat="false" ht="12.8" hidden="false" customHeight="false" outlineLevel="0" collapsed="false">
      <c r="A5" s="0" t="s">
        <v>19</v>
      </c>
      <c r="B5" s="0" t="s">
        <v>25</v>
      </c>
      <c r="C5" s="0" t="s">
        <v>26</v>
      </c>
      <c r="D5" s="0" t="s">
        <v>22</v>
      </c>
      <c r="E5" s="0" t="n">
        <v>85</v>
      </c>
      <c r="F5" s="0" t="n">
        <v>35</v>
      </c>
      <c r="G5" s="1" t="n">
        <v>30</v>
      </c>
      <c r="H5" s="0" t="n">
        <v>0.3</v>
      </c>
      <c r="I5" s="2" t="n">
        <f aca="false">(E5/100)*H5</f>
        <v>0.255</v>
      </c>
      <c r="J5" s="0" t="n">
        <v>0</v>
      </c>
      <c r="K5" s="6" t="n">
        <f aca="false">G5/E5</f>
        <v>0.352941176470588</v>
      </c>
      <c r="L5" s="7" t="n">
        <v>0</v>
      </c>
      <c r="M5" s="7" t="n">
        <f aca="false">3.5/G5</f>
        <v>0.116666666666667</v>
      </c>
      <c r="N5" s="0" t="n">
        <v>1</v>
      </c>
      <c r="O5" s="0" t="n">
        <v>0</v>
      </c>
      <c r="P5" s="0" t="n">
        <v>0</v>
      </c>
      <c r="Q5" s="0" t="n">
        <v>0</v>
      </c>
      <c r="V5" s="0" t="n">
        <v>0</v>
      </c>
    </row>
    <row r="6" customFormat="false" ht="12.8" hidden="false" customHeight="false" outlineLevel="0" collapsed="false">
      <c r="A6" s="0" t="s">
        <v>19</v>
      </c>
      <c r="B6" s="0" t="s">
        <v>25</v>
      </c>
      <c r="C6" s="0" t="s">
        <v>26</v>
      </c>
      <c r="D6" s="0" t="s">
        <v>23</v>
      </c>
      <c r="E6" s="0" t="n">
        <v>85</v>
      </c>
      <c r="F6" s="0" t="n">
        <v>37</v>
      </c>
      <c r="G6" s="1" t="n">
        <f aca="false">(E6/100)*F6</f>
        <v>31.45</v>
      </c>
      <c r="H6" s="0" t="n">
        <v>0.2</v>
      </c>
      <c r="I6" s="2" t="n">
        <f aca="false">(E6/100)*H6</f>
        <v>0.17</v>
      </c>
      <c r="J6" s="0" t="n">
        <v>0</v>
      </c>
      <c r="K6" s="6" t="n">
        <f aca="false">G6/E6</f>
        <v>0.37</v>
      </c>
      <c r="L6" s="7" t="n">
        <v>0.004</v>
      </c>
      <c r="M6" s="7" t="n">
        <f aca="false">3.5/G6</f>
        <v>0.111287758346582</v>
      </c>
      <c r="N6" s="0" t="n">
        <v>1</v>
      </c>
      <c r="O6" s="0" t="n">
        <v>0</v>
      </c>
      <c r="P6" s="0" t="n">
        <v>0</v>
      </c>
      <c r="Q6" s="0" t="n">
        <v>0</v>
      </c>
      <c r="V6" s="0" t="n">
        <v>0</v>
      </c>
    </row>
    <row r="7" customFormat="false" ht="12.8" hidden="false" customHeight="false" outlineLevel="0" collapsed="false">
      <c r="A7" s="0" t="s">
        <v>19</v>
      </c>
      <c r="B7" s="0" t="s">
        <v>25</v>
      </c>
      <c r="C7" s="0" t="s">
        <v>26</v>
      </c>
      <c r="D7" s="0" t="s">
        <v>24</v>
      </c>
      <c r="E7" s="0" t="n">
        <v>85</v>
      </c>
      <c r="F7" s="0" t="n">
        <v>37</v>
      </c>
      <c r="G7" s="1" t="n">
        <f aca="false">(E7/100)*F7</f>
        <v>31.45</v>
      </c>
      <c r="H7" s="0" t="n">
        <v>0.2</v>
      </c>
      <c r="I7" s="2" t="n">
        <f aca="false">(E7/100)*H7</f>
        <v>0.17</v>
      </c>
      <c r="J7" s="0" t="n">
        <v>0</v>
      </c>
      <c r="K7" s="6" t="n">
        <f aca="false">G7/E7</f>
        <v>0.37</v>
      </c>
      <c r="L7" s="7" t="n">
        <v>0</v>
      </c>
      <c r="M7" s="7" t="n">
        <f aca="false">3.5/G7</f>
        <v>0.111287758346582</v>
      </c>
      <c r="N7" s="0" t="n">
        <v>1</v>
      </c>
      <c r="O7" s="0" t="n">
        <v>0</v>
      </c>
      <c r="P7" s="0" t="n">
        <v>0</v>
      </c>
      <c r="Q7" s="0" t="n">
        <v>0</v>
      </c>
      <c r="V7" s="0" t="n">
        <v>0</v>
      </c>
    </row>
    <row r="8" customFormat="false" ht="12.8" hidden="false" customHeight="false" outlineLevel="0" collapsed="false">
      <c r="A8" s="0" t="s">
        <v>19</v>
      </c>
      <c r="B8" s="0" t="s">
        <v>27</v>
      </c>
      <c r="C8" s="0" t="s">
        <v>28</v>
      </c>
      <c r="D8" s="0" t="s">
        <v>29</v>
      </c>
      <c r="E8" s="0" t="n">
        <v>90</v>
      </c>
      <c r="F8" s="0" t="n">
        <v>17</v>
      </c>
      <c r="G8" s="1" t="n">
        <v>15</v>
      </c>
      <c r="H8" s="0" t="n">
        <v>0.8</v>
      </c>
      <c r="I8" s="2" t="n">
        <f aca="false">(E8/100)*H8</f>
        <v>0.72</v>
      </c>
      <c r="J8" s="0" t="n">
        <v>0</v>
      </c>
      <c r="K8" s="6" t="n">
        <f aca="false">G8/E8</f>
        <v>0.166666666666667</v>
      </c>
      <c r="L8" s="7" t="n">
        <v>0</v>
      </c>
      <c r="M8" s="7" t="n">
        <f aca="false">3.25/G8</f>
        <v>0.216666666666667</v>
      </c>
      <c r="N8" s="0" t="n">
        <v>1</v>
      </c>
      <c r="O8" s="0" t="n">
        <v>0</v>
      </c>
      <c r="P8" s="0" t="n">
        <v>0</v>
      </c>
      <c r="Q8" s="0" t="n">
        <v>0</v>
      </c>
      <c r="V8" s="0" t="n">
        <v>0</v>
      </c>
    </row>
    <row r="9" customFormat="false" ht="12.8" hidden="false" customHeight="false" outlineLevel="0" collapsed="false">
      <c r="A9" s="0" t="s">
        <v>19</v>
      </c>
      <c r="B9" s="0" t="s">
        <v>27</v>
      </c>
      <c r="C9" s="0" t="s">
        <v>28</v>
      </c>
      <c r="D9" s="0" t="s">
        <v>30</v>
      </c>
      <c r="E9" s="0" t="n">
        <v>90</v>
      </c>
      <c r="F9" s="0" t="n">
        <v>13</v>
      </c>
      <c r="G9" s="1" t="n">
        <v>11</v>
      </c>
      <c r="H9" s="0" t="n">
        <v>0.3</v>
      </c>
      <c r="I9" s="2" t="n">
        <f aca="false">(E9/100)*H9</f>
        <v>0.27</v>
      </c>
      <c r="J9" s="0" t="n">
        <v>0</v>
      </c>
      <c r="K9" s="6" t="n">
        <f aca="false">G9/E9</f>
        <v>0.122222222222222</v>
      </c>
      <c r="L9" s="7" t="n">
        <v>0</v>
      </c>
      <c r="M9" s="7" t="n">
        <f aca="false">3.25/G9</f>
        <v>0.295454545454545</v>
      </c>
      <c r="N9" s="0" t="n">
        <v>1</v>
      </c>
      <c r="O9" s="0" t="n">
        <v>0</v>
      </c>
      <c r="P9" s="0" t="n">
        <v>0</v>
      </c>
      <c r="Q9" s="0" t="n">
        <v>0</v>
      </c>
      <c r="V9" s="0" t="n">
        <v>0</v>
      </c>
    </row>
    <row r="10" customFormat="false" ht="12.8" hidden="false" customHeight="false" outlineLevel="0" collapsed="false">
      <c r="A10" s="0" t="s">
        <v>19</v>
      </c>
      <c r="B10" s="0" t="s">
        <v>27</v>
      </c>
      <c r="C10" s="0" t="s">
        <v>28</v>
      </c>
      <c r="D10" s="0" t="s">
        <v>31</v>
      </c>
      <c r="E10" s="0" t="n">
        <v>90</v>
      </c>
      <c r="F10" s="0" t="n">
        <v>16</v>
      </c>
      <c r="G10" s="1" t="n">
        <v>15</v>
      </c>
      <c r="H10" s="0" t="n">
        <v>0.7</v>
      </c>
      <c r="I10" s="2" t="n">
        <v>0.6</v>
      </c>
      <c r="J10" s="0" t="n">
        <v>0</v>
      </c>
      <c r="K10" s="6" t="n">
        <f aca="false">G10/E10</f>
        <v>0.166666666666667</v>
      </c>
      <c r="L10" s="7" t="n">
        <v>0.011</v>
      </c>
      <c r="M10" s="7" t="n">
        <f aca="false">3.25/G10</f>
        <v>0.216666666666667</v>
      </c>
      <c r="N10" s="0" t="n">
        <v>1</v>
      </c>
      <c r="O10" s="0" t="n">
        <v>0</v>
      </c>
      <c r="P10" s="0" t="n">
        <v>0</v>
      </c>
      <c r="Q10" s="0" t="n">
        <v>0</v>
      </c>
      <c r="V10" s="0" t="n">
        <v>0</v>
      </c>
    </row>
    <row r="11" customFormat="false" ht="12.8" hidden="false" customHeight="false" outlineLevel="0" collapsed="false">
      <c r="A11" s="0" t="s">
        <v>19</v>
      </c>
      <c r="B11" s="0" t="s">
        <v>32</v>
      </c>
      <c r="C11" s="0" t="s">
        <v>33</v>
      </c>
      <c r="D11" s="0" t="s">
        <v>34</v>
      </c>
      <c r="E11" s="0" t="n">
        <v>90</v>
      </c>
      <c r="F11" s="0" t="n">
        <v>19</v>
      </c>
      <c r="G11" s="1" t="n">
        <v>17</v>
      </c>
      <c r="H11" s="0" t="n">
        <v>1.5</v>
      </c>
      <c r="I11" s="2" t="n">
        <f aca="false">(E11/100)*H11</f>
        <v>1.35</v>
      </c>
      <c r="J11" s="0" t="n">
        <v>0</v>
      </c>
      <c r="K11" s="6" t="n">
        <f aca="false">G11/E11</f>
        <v>0.188888888888889</v>
      </c>
      <c r="L11" s="7" t="n">
        <v>0.4</v>
      </c>
      <c r="M11" s="7" t="n">
        <f aca="false">3.25/G11</f>
        <v>0.191176470588235</v>
      </c>
      <c r="N11" s="0" t="n">
        <v>1</v>
      </c>
      <c r="O11" s="0" t="n">
        <v>0</v>
      </c>
      <c r="P11" s="0" t="n">
        <v>0</v>
      </c>
      <c r="Q11" s="0" t="n">
        <v>0</v>
      </c>
      <c r="V11" s="0" t="n">
        <v>0</v>
      </c>
    </row>
    <row r="12" customFormat="false" ht="12.8" hidden="false" customHeight="false" outlineLevel="0" collapsed="false">
      <c r="A12" s="0" t="s">
        <v>19</v>
      </c>
      <c r="B12" s="0" t="s">
        <v>32</v>
      </c>
      <c r="C12" s="0" t="s">
        <v>33</v>
      </c>
      <c r="D12" s="0" t="s">
        <v>35</v>
      </c>
      <c r="E12" s="0" t="n">
        <v>90</v>
      </c>
      <c r="F12" s="0" t="n">
        <v>13</v>
      </c>
      <c r="G12" s="1" t="n">
        <v>12</v>
      </c>
      <c r="H12" s="0" t="n">
        <v>3.7</v>
      </c>
      <c r="I12" s="2" t="n">
        <f aca="false">(E12/100)*H12</f>
        <v>3.33</v>
      </c>
      <c r="J12" s="0" t="n">
        <v>0</v>
      </c>
      <c r="K12" s="6" t="n">
        <f aca="false">G12/E12</f>
        <v>0.133333333333333</v>
      </c>
      <c r="L12" s="7" t="n">
        <v>0.18</v>
      </c>
      <c r="M12" s="7" t="n">
        <f aca="false">3.25/G12</f>
        <v>0.270833333333333</v>
      </c>
      <c r="N12" s="0" t="n">
        <v>1</v>
      </c>
      <c r="O12" s="0" t="n">
        <v>0</v>
      </c>
      <c r="P12" s="0" t="n">
        <v>0</v>
      </c>
      <c r="Q12" s="0" t="n">
        <v>0</v>
      </c>
      <c r="V12" s="0" t="n">
        <v>0</v>
      </c>
    </row>
    <row r="13" customFormat="false" ht="12.8" hidden="false" customHeight="false" outlineLevel="0" collapsed="false">
      <c r="A13" s="0" t="s">
        <v>19</v>
      </c>
      <c r="B13" s="0" t="s">
        <v>36</v>
      </c>
      <c r="C13" s="0" t="s">
        <v>37</v>
      </c>
      <c r="D13" s="0" t="s">
        <v>38</v>
      </c>
      <c r="E13" s="0" t="n">
        <v>50</v>
      </c>
      <c r="F13" s="0" t="n">
        <v>50</v>
      </c>
      <c r="G13" s="1" t="n">
        <v>25</v>
      </c>
      <c r="H13" s="0" t="n">
        <v>9.3</v>
      </c>
      <c r="I13" s="2" t="n">
        <f aca="false">(E13/100)*H13</f>
        <v>4.65</v>
      </c>
      <c r="J13" s="0" t="n">
        <v>0</v>
      </c>
      <c r="K13" s="6" t="n">
        <f aca="false">G13/E13</f>
        <v>0.5</v>
      </c>
      <c r="L13" s="7" t="n">
        <f aca="false">0.01*0.4</f>
        <v>0.004</v>
      </c>
      <c r="M13" s="7" t="n">
        <f aca="false">3.25/G13</f>
        <v>0.13</v>
      </c>
      <c r="N13" s="0" t="n">
        <v>1</v>
      </c>
      <c r="O13" s="0" t="n">
        <v>0</v>
      </c>
      <c r="P13" s="0" t="n">
        <v>1</v>
      </c>
      <c r="Q13" s="0" t="n">
        <v>0</v>
      </c>
      <c r="R13" s="0" t="n">
        <v>270</v>
      </c>
      <c r="V13" s="0" t="n">
        <v>0</v>
      </c>
    </row>
    <row r="14" customFormat="false" ht="12.8" hidden="false" customHeight="false" outlineLevel="0" collapsed="false">
      <c r="A14" s="0" t="s">
        <v>19</v>
      </c>
      <c r="B14" s="0" t="s">
        <v>36</v>
      </c>
      <c r="C14" s="0" t="s">
        <v>37</v>
      </c>
      <c r="D14" s="0" t="s">
        <v>39</v>
      </c>
      <c r="E14" s="0" t="n">
        <v>50</v>
      </c>
      <c r="F14" s="0" t="n">
        <v>47</v>
      </c>
      <c r="G14" s="1" t="n">
        <v>23</v>
      </c>
      <c r="H14" s="0" t="n">
        <v>8.3</v>
      </c>
      <c r="I14" s="2" t="n">
        <f aca="false">(E14/100)*H14</f>
        <v>4.15</v>
      </c>
      <c r="J14" s="0" t="n">
        <v>0</v>
      </c>
      <c r="K14" s="6" t="n">
        <f aca="false">G14/E14</f>
        <v>0.46</v>
      </c>
      <c r="L14" s="7" t="n">
        <v>0.013</v>
      </c>
      <c r="M14" s="7" t="n">
        <f aca="false">3.25/G14</f>
        <v>0.141304347826087</v>
      </c>
      <c r="N14" s="0" t="n">
        <v>1</v>
      </c>
      <c r="O14" s="0" t="n">
        <v>0</v>
      </c>
      <c r="P14" s="0" t="n">
        <v>1</v>
      </c>
      <c r="Q14" s="0" t="n">
        <v>0</v>
      </c>
      <c r="R14" s="0" t="n">
        <v>315</v>
      </c>
      <c r="V14" s="0" t="n">
        <v>0</v>
      </c>
    </row>
    <row r="15" customFormat="false" ht="12.8" hidden="false" customHeight="false" outlineLevel="0" collapsed="false">
      <c r="A15" s="0" t="s">
        <v>19</v>
      </c>
      <c r="B15" s="0" t="s">
        <v>36</v>
      </c>
      <c r="C15" s="0" t="s">
        <v>37</v>
      </c>
      <c r="D15" s="0" t="s">
        <v>40</v>
      </c>
      <c r="E15" s="0" t="n">
        <v>50</v>
      </c>
      <c r="F15" s="0" t="n">
        <v>49</v>
      </c>
      <c r="G15" s="1" t="n">
        <v>25</v>
      </c>
      <c r="H15" s="0" t="n">
        <v>8.9</v>
      </c>
      <c r="I15" s="2" t="n">
        <f aca="false">(E15/100)*H15</f>
        <v>4.45</v>
      </c>
      <c r="J15" s="0" t="n">
        <v>0</v>
      </c>
      <c r="K15" s="6" t="n">
        <f aca="false">G15/E15</f>
        <v>0.5</v>
      </c>
      <c r="L15" s="7" t="n">
        <v>0.207</v>
      </c>
      <c r="M15" s="7" t="n">
        <f aca="false">3.25/G15</f>
        <v>0.13</v>
      </c>
      <c r="N15" s="0" t="n">
        <v>1</v>
      </c>
      <c r="O15" s="0" t="n">
        <v>0</v>
      </c>
      <c r="P15" s="0" t="n">
        <v>1</v>
      </c>
      <c r="Q15" s="0" t="n">
        <v>0</v>
      </c>
      <c r="R15" s="0" t="n">
        <v>315</v>
      </c>
      <c r="V15" s="0" t="n">
        <v>0</v>
      </c>
    </row>
    <row r="16" customFormat="false" ht="12.8" hidden="false" customHeight="false" outlineLevel="0" collapsed="false">
      <c r="A16" s="0" t="s">
        <v>19</v>
      </c>
      <c r="B16" s="0" t="s">
        <v>36</v>
      </c>
      <c r="C16" s="0" t="s">
        <v>37</v>
      </c>
      <c r="D16" s="0" t="s">
        <v>41</v>
      </c>
      <c r="E16" s="0" t="n">
        <v>50</v>
      </c>
      <c r="F16" s="0" t="n">
        <v>45</v>
      </c>
      <c r="G16" s="1" t="n">
        <v>22</v>
      </c>
      <c r="H16" s="0" t="n">
        <v>11</v>
      </c>
      <c r="I16" s="2" t="n">
        <f aca="false">(E16/100)*H16</f>
        <v>5.5</v>
      </c>
      <c r="J16" s="0" t="n">
        <v>28</v>
      </c>
      <c r="K16" s="6" t="n">
        <f aca="false">G16/E16</f>
        <v>0.44</v>
      </c>
      <c r="L16" s="7" t="n">
        <v>0.014</v>
      </c>
      <c r="M16" s="7" t="n">
        <f aca="false">3.25/G16</f>
        <v>0.147727272727273</v>
      </c>
      <c r="N16" s="0" t="n">
        <v>1</v>
      </c>
      <c r="O16" s="0" t="n">
        <v>0</v>
      </c>
      <c r="P16" s="0" t="n">
        <v>1</v>
      </c>
      <c r="Q16" s="0" t="n">
        <v>0</v>
      </c>
      <c r="R16" s="0" t="n">
        <v>315</v>
      </c>
      <c r="V16" s="0" t="n">
        <v>0</v>
      </c>
    </row>
    <row r="17" customFormat="false" ht="12.8" hidden="false" customHeight="false" outlineLevel="0" collapsed="false">
      <c r="A17" s="0" t="s">
        <v>19</v>
      </c>
      <c r="B17" s="0" t="s">
        <v>36</v>
      </c>
      <c r="C17" s="0" t="s">
        <v>37</v>
      </c>
      <c r="D17" s="0" t="s">
        <v>42</v>
      </c>
      <c r="E17" s="0" t="n">
        <v>50</v>
      </c>
      <c r="F17" s="0" t="n">
        <v>56</v>
      </c>
      <c r="G17" s="1" t="n">
        <v>28</v>
      </c>
      <c r="H17" s="0" t="n">
        <v>7.6</v>
      </c>
      <c r="I17" s="2" t="n">
        <f aca="false">(E17/100)*H17</f>
        <v>3.8</v>
      </c>
      <c r="J17" s="0" t="n">
        <v>0</v>
      </c>
      <c r="K17" s="6" t="n">
        <f aca="false">G17/E17</f>
        <v>0.56</v>
      </c>
      <c r="L17" s="7" t="n">
        <v>0.01</v>
      </c>
      <c r="M17" s="7" t="n">
        <f aca="false">3.25/G17</f>
        <v>0.116071428571429</v>
      </c>
      <c r="N17" s="0" t="n">
        <v>1</v>
      </c>
      <c r="O17" s="0" t="n">
        <v>0</v>
      </c>
      <c r="P17" s="0" t="n">
        <v>1</v>
      </c>
      <c r="Q17" s="0" t="n">
        <v>0</v>
      </c>
      <c r="R17" s="0" t="n">
        <v>315</v>
      </c>
      <c r="V17" s="0" t="n">
        <v>0</v>
      </c>
    </row>
    <row r="18" customFormat="false" ht="12.8" hidden="false" customHeight="false" outlineLevel="0" collapsed="false">
      <c r="A18" s="0" t="s">
        <v>19</v>
      </c>
      <c r="B18" s="0" t="s">
        <v>36</v>
      </c>
      <c r="C18" s="0" t="s">
        <v>37</v>
      </c>
      <c r="D18" s="0" t="s">
        <v>43</v>
      </c>
      <c r="E18" s="0" t="n">
        <v>50</v>
      </c>
      <c r="F18" s="0" t="n">
        <v>49.5</v>
      </c>
      <c r="G18" s="1" t="n">
        <f aca="false">(E18/100)*F18</f>
        <v>24.75</v>
      </c>
      <c r="H18" s="0" t="n">
        <v>10.8</v>
      </c>
      <c r="I18" s="2" t="n">
        <f aca="false">(E18/100)*H18</f>
        <v>5.4</v>
      </c>
      <c r="J18" s="0" t="n">
        <v>0</v>
      </c>
      <c r="K18" s="6" t="n">
        <f aca="false">G18/E18</f>
        <v>0.495</v>
      </c>
      <c r="L18" s="7" t="n">
        <v>0.333</v>
      </c>
      <c r="M18" s="7" t="n">
        <f aca="false">3.25/G18</f>
        <v>0.131313131313131</v>
      </c>
      <c r="N18" s="0" t="n">
        <v>1</v>
      </c>
      <c r="O18" s="0" t="n">
        <v>0</v>
      </c>
      <c r="P18" s="0" t="n">
        <v>1</v>
      </c>
      <c r="Q18" s="0" t="n">
        <v>0</v>
      </c>
      <c r="R18" s="0" t="n">
        <v>180</v>
      </c>
      <c r="V18" s="0" t="n">
        <v>0</v>
      </c>
    </row>
    <row r="19" customFormat="false" ht="12.8" hidden="false" customHeight="false" outlineLevel="0" collapsed="false">
      <c r="A19" s="0" t="s">
        <v>19</v>
      </c>
      <c r="B19" s="0" t="s">
        <v>36</v>
      </c>
      <c r="C19" s="0" t="s">
        <v>37</v>
      </c>
      <c r="D19" s="0" t="s">
        <v>44</v>
      </c>
      <c r="E19" s="0" t="n">
        <v>50</v>
      </c>
      <c r="F19" s="0" t="n">
        <v>58.3</v>
      </c>
      <c r="G19" s="1" t="n">
        <f aca="false">(E19/100)*F19</f>
        <v>29.15</v>
      </c>
      <c r="H19" s="0" t="n">
        <v>6.5</v>
      </c>
      <c r="I19" s="2" t="n">
        <f aca="false">(E19/100)*H19</f>
        <v>3.25</v>
      </c>
      <c r="J19" s="0" t="n">
        <v>0</v>
      </c>
      <c r="K19" s="6" t="n">
        <f aca="false">G19/E19</f>
        <v>0.583</v>
      </c>
      <c r="L19" s="7" t="n">
        <f aca="false">0.11*0.4</f>
        <v>0.044</v>
      </c>
      <c r="M19" s="7" t="n">
        <f aca="false">3.25/G19</f>
        <v>0.111492281303602</v>
      </c>
      <c r="N19" s="0" t="n">
        <v>1</v>
      </c>
      <c r="O19" s="0" t="n">
        <v>0</v>
      </c>
      <c r="P19" s="0" t="n">
        <v>1</v>
      </c>
      <c r="Q19" s="0" t="n">
        <v>0</v>
      </c>
      <c r="R19" s="0" t="n">
        <v>160</v>
      </c>
      <c r="V19" s="0" t="n">
        <v>0</v>
      </c>
    </row>
    <row r="20" customFormat="false" ht="12.8" hidden="false" customHeight="false" outlineLevel="0" collapsed="false">
      <c r="A20" s="0" t="s">
        <v>19</v>
      </c>
      <c r="B20" s="0" t="s">
        <v>45</v>
      </c>
      <c r="C20" s="0" t="s">
        <v>46</v>
      </c>
      <c r="D20" s="0" t="s">
        <v>47</v>
      </c>
      <c r="E20" s="0" t="n">
        <v>50</v>
      </c>
      <c r="F20" s="0" t="n">
        <v>48.4</v>
      </c>
      <c r="G20" s="1" t="n">
        <v>24.2</v>
      </c>
      <c r="H20" s="0" t="n">
        <v>9.1</v>
      </c>
      <c r="I20" s="2" t="n">
        <f aca="false">(E20/100)*H20</f>
        <v>4.55</v>
      </c>
      <c r="J20" s="0" t="n">
        <v>0</v>
      </c>
      <c r="K20" s="6" t="n">
        <f aca="false">G20/E20</f>
        <v>0.484</v>
      </c>
      <c r="L20" s="7" t="n">
        <v>0.225</v>
      </c>
      <c r="M20" s="7" t="n">
        <f aca="false">3.25/G20</f>
        <v>0.134297520661157</v>
      </c>
      <c r="N20" s="0" t="n">
        <v>1</v>
      </c>
      <c r="O20" s="0" t="n">
        <v>0</v>
      </c>
      <c r="P20" s="0" t="n">
        <v>1</v>
      </c>
      <c r="Q20" s="0" t="n">
        <v>0</v>
      </c>
      <c r="R20" s="0" t="n">
        <v>315</v>
      </c>
      <c r="V20" s="0" t="n">
        <v>0</v>
      </c>
    </row>
    <row r="21" customFormat="false" ht="12.8" hidden="false" customHeight="false" outlineLevel="0" collapsed="false">
      <c r="A21" s="0" t="s">
        <v>48</v>
      </c>
      <c r="B21" s="0" t="s">
        <v>36</v>
      </c>
      <c r="C21" s="0" t="s">
        <v>37</v>
      </c>
      <c r="D21" s="0" t="s">
        <v>49</v>
      </c>
      <c r="E21" s="0" t="n">
        <v>50</v>
      </c>
      <c r="F21" s="0" t="n">
        <v>40</v>
      </c>
      <c r="G21" s="1" t="n">
        <v>20</v>
      </c>
      <c r="H21" s="0" t="n">
        <v>14</v>
      </c>
      <c r="I21" s="2" t="n">
        <v>7</v>
      </c>
      <c r="J21" s="0" t="n">
        <v>0</v>
      </c>
      <c r="K21" s="6" t="n">
        <f aca="false">G21/E21</f>
        <v>0.4</v>
      </c>
      <c r="L21" s="7" t="n">
        <v>0.18</v>
      </c>
      <c r="M21" s="7" t="n">
        <f aca="false">3.25/G21</f>
        <v>0.1625</v>
      </c>
      <c r="N21" s="0" t="n">
        <v>0</v>
      </c>
      <c r="O21" s="0" t="n">
        <v>1</v>
      </c>
      <c r="P21" s="0" t="n">
        <v>1</v>
      </c>
      <c r="Q21" s="0" t="n">
        <v>0</v>
      </c>
      <c r="R21" s="0" t="n">
        <v>320</v>
      </c>
      <c r="S21" s="0" t="s">
        <v>50</v>
      </c>
      <c r="V21" s="0" t="n">
        <v>0</v>
      </c>
    </row>
    <row r="22" customFormat="false" ht="12.8" hidden="false" customHeight="false" outlineLevel="0" collapsed="false">
      <c r="A22" s="0" t="s">
        <v>48</v>
      </c>
      <c r="B22" s="0" t="s">
        <v>36</v>
      </c>
      <c r="C22" s="0" t="s">
        <v>37</v>
      </c>
      <c r="D22" s="0" t="s">
        <v>51</v>
      </c>
      <c r="E22" s="0" t="n">
        <v>50</v>
      </c>
      <c r="F22" s="0" t="n">
        <v>44</v>
      </c>
      <c r="G22" s="1" t="n">
        <v>22</v>
      </c>
      <c r="H22" s="0" t="n">
        <v>14</v>
      </c>
      <c r="I22" s="2" t="n">
        <f aca="false">(E22/100)*H22</f>
        <v>7</v>
      </c>
      <c r="J22" s="0" t="n">
        <v>0</v>
      </c>
      <c r="K22" s="6" t="n">
        <f aca="false">G22/E22</f>
        <v>0.44</v>
      </c>
      <c r="L22" s="7" t="n">
        <v>0.18</v>
      </c>
      <c r="M22" s="7" t="n">
        <f aca="false">3.25/G22</f>
        <v>0.147727272727273</v>
      </c>
      <c r="N22" s="0" t="n">
        <v>0</v>
      </c>
      <c r="O22" s="0" t="n">
        <v>1</v>
      </c>
      <c r="P22" s="0" t="n">
        <v>1</v>
      </c>
      <c r="Q22" s="0" t="n">
        <v>0</v>
      </c>
      <c r="R22" s="0" t="n">
        <v>321</v>
      </c>
      <c r="S22" s="0" t="s">
        <v>50</v>
      </c>
      <c r="V22" s="0" t="n">
        <v>0</v>
      </c>
    </row>
    <row r="23" customFormat="false" ht="12.8" hidden="false" customHeight="false" outlineLevel="0" collapsed="false">
      <c r="A23" s="0" t="s">
        <v>48</v>
      </c>
      <c r="B23" s="0" t="s">
        <v>36</v>
      </c>
      <c r="C23" s="0" t="s">
        <v>37</v>
      </c>
      <c r="D23" s="0" t="s">
        <v>52</v>
      </c>
      <c r="E23" s="0" t="n">
        <v>50</v>
      </c>
      <c r="F23" s="0" t="n">
        <v>44</v>
      </c>
      <c r="G23" s="1" t="n">
        <v>22</v>
      </c>
      <c r="H23" s="0" t="n">
        <v>14</v>
      </c>
      <c r="I23" s="2" t="n">
        <v>7</v>
      </c>
      <c r="J23" s="0" t="n">
        <v>65</v>
      </c>
      <c r="K23" s="6" t="n">
        <f aca="false">G23/E23</f>
        <v>0.44</v>
      </c>
      <c r="L23" s="7" t="n">
        <v>0.18</v>
      </c>
      <c r="M23" s="7" t="n">
        <f aca="false">3.25/G23</f>
        <v>0.147727272727273</v>
      </c>
      <c r="N23" s="0" t="n">
        <v>0</v>
      </c>
      <c r="O23" s="0" t="n">
        <v>1</v>
      </c>
      <c r="P23" s="0" t="n">
        <v>1</v>
      </c>
      <c r="Q23" s="0" t="n">
        <v>0</v>
      </c>
      <c r="V23" s="0" t="n">
        <v>0</v>
      </c>
    </row>
    <row r="24" customFormat="false" ht="12.8" hidden="false" customHeight="false" outlineLevel="0" collapsed="false">
      <c r="A24" s="0" t="s">
        <v>48</v>
      </c>
      <c r="B24" s="0" t="s">
        <v>36</v>
      </c>
      <c r="C24" s="0" t="s">
        <v>37</v>
      </c>
      <c r="D24" s="0" t="s">
        <v>53</v>
      </c>
      <c r="E24" s="0" t="n">
        <v>30</v>
      </c>
      <c r="F24" s="0" t="n">
        <v>56</v>
      </c>
      <c r="G24" s="1" t="n">
        <v>17</v>
      </c>
      <c r="H24" s="0" t="n">
        <v>10</v>
      </c>
      <c r="I24" s="2" t="n">
        <f aca="false">(E24/100)*H24</f>
        <v>3</v>
      </c>
      <c r="J24" s="0" t="n">
        <v>0</v>
      </c>
      <c r="K24" s="6" t="n">
        <f aca="false">G24/E24</f>
        <v>0.566666666666667</v>
      </c>
      <c r="L24" s="7" t="n">
        <v>0.1</v>
      </c>
      <c r="M24" s="7" t="n">
        <f aca="false">2.25/G24</f>
        <v>0.132352941176471</v>
      </c>
      <c r="N24" s="0" t="n">
        <v>0</v>
      </c>
      <c r="O24" s="0" t="n">
        <v>1</v>
      </c>
      <c r="P24" s="0" t="n">
        <v>0</v>
      </c>
      <c r="Q24" s="0" t="n">
        <v>0</v>
      </c>
      <c r="V24" s="0" t="n">
        <v>0</v>
      </c>
    </row>
    <row r="25" customFormat="false" ht="12.8" hidden="false" customHeight="false" outlineLevel="0" collapsed="false">
      <c r="A25" s="0" t="s">
        <v>48</v>
      </c>
      <c r="B25" s="0" t="s">
        <v>27</v>
      </c>
      <c r="C25" s="0" t="s">
        <v>28</v>
      </c>
      <c r="D25" s="0" t="s">
        <v>54</v>
      </c>
      <c r="E25" s="0" t="n">
        <v>90</v>
      </c>
      <c r="F25" s="0" t="n">
        <v>29</v>
      </c>
      <c r="G25" s="1" t="n">
        <v>26</v>
      </c>
      <c r="H25" s="0" t="n">
        <v>5</v>
      </c>
      <c r="I25" s="2" t="n">
        <f aca="false">(E25/100)*H25</f>
        <v>4.5</v>
      </c>
      <c r="J25" s="0" t="n">
        <v>0</v>
      </c>
      <c r="K25" s="6" t="n">
        <f aca="false">G25/E25</f>
        <v>0.288888888888889</v>
      </c>
      <c r="L25" s="7" t="n">
        <v>0.13</v>
      </c>
      <c r="M25" s="7" t="n">
        <f aca="false">4/G25</f>
        <v>0.153846153846154</v>
      </c>
      <c r="N25" s="0" t="n">
        <v>1</v>
      </c>
      <c r="O25" s="0" t="n">
        <v>1</v>
      </c>
      <c r="P25" s="0" t="n">
        <v>0</v>
      </c>
      <c r="Q25" s="0" t="n">
        <v>0</v>
      </c>
      <c r="V25" s="0" t="n">
        <v>0</v>
      </c>
    </row>
    <row r="26" customFormat="false" ht="12.8" hidden="false" customHeight="false" outlineLevel="0" collapsed="false">
      <c r="A26" s="0" t="s">
        <v>48</v>
      </c>
      <c r="B26" s="0" t="s">
        <v>32</v>
      </c>
      <c r="C26" s="0" t="s">
        <v>33</v>
      </c>
      <c r="D26" s="0" t="s">
        <v>55</v>
      </c>
      <c r="E26" s="0" t="n">
        <v>90</v>
      </c>
      <c r="F26" s="0" t="n">
        <v>29</v>
      </c>
      <c r="G26" s="1" t="n">
        <v>26</v>
      </c>
      <c r="H26" s="0" t="n">
        <v>5</v>
      </c>
      <c r="I26" s="2" t="n">
        <f aca="false">(E26/100)*H26</f>
        <v>4.5</v>
      </c>
      <c r="J26" s="0" t="n">
        <v>0</v>
      </c>
      <c r="K26" s="6" t="n">
        <f aca="false">G26/E26</f>
        <v>0.288888888888889</v>
      </c>
      <c r="L26" s="7" t="n">
        <v>0.136</v>
      </c>
      <c r="M26" s="7" t="n">
        <f aca="false">4/G26</f>
        <v>0.153846153846154</v>
      </c>
      <c r="N26" s="0" t="n">
        <v>1</v>
      </c>
      <c r="O26" s="0" t="n">
        <v>1</v>
      </c>
      <c r="P26" s="0" t="n">
        <v>0</v>
      </c>
      <c r="Q26" s="0" t="n">
        <v>0</v>
      </c>
      <c r="V26" s="0" t="n">
        <v>0</v>
      </c>
    </row>
    <row r="27" customFormat="false" ht="12.8" hidden="false" customHeight="false" outlineLevel="0" collapsed="false">
      <c r="A27" s="0" t="s">
        <v>48</v>
      </c>
      <c r="B27" s="0" t="s">
        <v>20</v>
      </c>
      <c r="C27" s="0" t="s">
        <v>21</v>
      </c>
      <c r="D27" s="0" t="s">
        <v>56</v>
      </c>
      <c r="E27" s="0" t="n">
        <v>57</v>
      </c>
      <c r="F27" s="0" t="n">
        <v>47</v>
      </c>
      <c r="G27" s="1" t="n">
        <v>27</v>
      </c>
      <c r="H27" s="0" t="n">
        <v>4</v>
      </c>
      <c r="I27" s="2" t="n">
        <f aca="false">(E27/100)*H27</f>
        <v>2.28</v>
      </c>
      <c r="J27" s="0" t="n">
        <v>35</v>
      </c>
      <c r="K27" s="6" t="n">
        <f aca="false">G27/E27</f>
        <v>0.473684210526316</v>
      </c>
      <c r="L27" s="7" t="n">
        <v>0.19</v>
      </c>
      <c r="M27" s="7" t="n">
        <f aca="false">3.5/G27</f>
        <v>0.12962962962963</v>
      </c>
      <c r="N27" s="0" t="n">
        <v>0</v>
      </c>
      <c r="O27" s="0" t="n">
        <v>0</v>
      </c>
      <c r="P27" s="0" t="n">
        <v>0</v>
      </c>
      <c r="Q27" s="0" t="n">
        <v>0</v>
      </c>
      <c r="R27" s="0" t="n">
        <v>235</v>
      </c>
      <c r="V27" s="0" t="n">
        <v>0</v>
      </c>
    </row>
    <row r="28" customFormat="false" ht="12.8" hidden="false" customHeight="false" outlineLevel="0" collapsed="false">
      <c r="A28" s="0" t="s">
        <v>48</v>
      </c>
      <c r="B28" s="0" t="s">
        <v>25</v>
      </c>
      <c r="C28" s="0" t="s">
        <v>26</v>
      </c>
      <c r="D28" s="0" t="s">
        <v>57</v>
      </c>
      <c r="E28" s="0" t="n">
        <v>1</v>
      </c>
      <c r="F28" s="0" t="n">
        <v>76</v>
      </c>
      <c r="G28" s="1" t="n">
        <v>0.76</v>
      </c>
      <c r="H28" s="0" t="n">
        <v>11</v>
      </c>
      <c r="I28" s="2" t="n">
        <f aca="false">(E28/100)*H28</f>
        <v>0.11</v>
      </c>
      <c r="J28" s="0" t="n">
        <v>0</v>
      </c>
      <c r="K28" s="6" t="n">
        <f aca="false">G28/E28</f>
        <v>0.76</v>
      </c>
      <c r="L28" s="7" t="n">
        <v>0.006</v>
      </c>
      <c r="M28" s="7" t="n">
        <f aca="false">35/(K28*720)</f>
        <v>0.0639619883040936</v>
      </c>
      <c r="N28" s="0" t="n">
        <v>0</v>
      </c>
      <c r="O28" s="0" t="n">
        <v>0</v>
      </c>
      <c r="P28" s="0" t="n">
        <v>0</v>
      </c>
      <c r="Q28" s="0" t="n">
        <v>0</v>
      </c>
      <c r="R28" s="0" t="n">
        <v>19</v>
      </c>
      <c r="V28" s="0" t="n">
        <v>0</v>
      </c>
    </row>
    <row r="29" customFormat="false" ht="12.8" hidden="false" customHeight="false" outlineLevel="0" collapsed="false">
      <c r="A29" s="0" t="s">
        <v>48</v>
      </c>
      <c r="B29" s="0" t="s">
        <v>25</v>
      </c>
      <c r="C29" s="0" t="s">
        <v>26</v>
      </c>
      <c r="D29" s="0" t="s">
        <v>58</v>
      </c>
      <c r="E29" s="0" t="n">
        <v>1</v>
      </c>
      <c r="F29" s="0" t="n">
        <v>79</v>
      </c>
      <c r="G29" s="1" t="n">
        <v>0.79</v>
      </c>
      <c r="H29" s="0" t="n">
        <v>11</v>
      </c>
      <c r="I29" s="2" t="n">
        <f aca="false">(E29/100)*H29</f>
        <v>0.11</v>
      </c>
      <c r="J29" s="0" t="n">
        <v>0</v>
      </c>
      <c r="K29" s="6" t="n">
        <f aca="false">G29/E29</f>
        <v>0.79</v>
      </c>
      <c r="L29" s="7" t="n">
        <v>0.006</v>
      </c>
      <c r="M29" s="7" t="n">
        <f aca="false">35/(K29*720)</f>
        <v>0.0615330520393812</v>
      </c>
      <c r="N29" s="0" t="n">
        <v>0</v>
      </c>
      <c r="O29" s="0" t="n">
        <v>0</v>
      </c>
      <c r="P29" s="0" t="n">
        <v>0</v>
      </c>
      <c r="Q29" s="0" t="n">
        <v>0</v>
      </c>
      <c r="R29" s="0" t="n">
        <v>19</v>
      </c>
      <c r="V29" s="0" t="n">
        <v>0</v>
      </c>
    </row>
    <row r="30" customFormat="false" ht="12.8" hidden="false" customHeight="false" outlineLevel="0" collapsed="false">
      <c r="A30" s="0" t="s">
        <v>48</v>
      </c>
      <c r="B30" s="0" t="s">
        <v>59</v>
      </c>
      <c r="C30" s="0" t="s">
        <v>60</v>
      </c>
      <c r="D30" s="0" t="s">
        <v>61</v>
      </c>
      <c r="E30" s="0" t="n">
        <v>1</v>
      </c>
      <c r="F30" s="0" t="n">
        <v>76</v>
      </c>
      <c r="G30" s="1" t="n">
        <v>0.76</v>
      </c>
      <c r="H30" s="0" t="n">
        <v>11</v>
      </c>
      <c r="I30" s="2" t="n">
        <f aca="false">(E30/100)*H30</f>
        <v>0.11</v>
      </c>
      <c r="J30" s="0" t="n">
        <v>0</v>
      </c>
      <c r="K30" s="6" t="n">
        <f aca="false">G30/E30</f>
        <v>0.76</v>
      </c>
      <c r="L30" s="7" t="n">
        <v>0.012</v>
      </c>
      <c r="M30" s="7" t="n">
        <f aca="false">35/(K30*720)</f>
        <v>0.0639619883040936</v>
      </c>
      <c r="N30" s="0" t="n">
        <v>0</v>
      </c>
      <c r="O30" s="0" t="n">
        <v>1</v>
      </c>
      <c r="P30" s="0" t="n">
        <v>0</v>
      </c>
      <c r="Q30" s="0" t="n">
        <v>0</v>
      </c>
      <c r="R30" s="0" t="n">
        <v>19</v>
      </c>
      <c r="V30" s="0" t="n">
        <v>0</v>
      </c>
    </row>
    <row r="31" customFormat="false" ht="12.8" hidden="false" customHeight="false" outlineLevel="0" collapsed="false">
      <c r="A31" s="0" t="s">
        <v>48</v>
      </c>
      <c r="B31" s="0" t="s">
        <v>25</v>
      </c>
      <c r="C31" s="0" t="s">
        <v>26</v>
      </c>
      <c r="D31" s="0" t="s">
        <v>62</v>
      </c>
      <c r="E31" s="0" t="n">
        <v>1</v>
      </c>
      <c r="F31" s="0" t="n">
        <v>94</v>
      </c>
      <c r="G31" s="1" t="n">
        <v>0.94</v>
      </c>
      <c r="H31" s="0" t="n">
        <v>0</v>
      </c>
      <c r="I31" s="2" t="n">
        <v>0</v>
      </c>
      <c r="J31" s="0" t="n">
        <v>0</v>
      </c>
      <c r="K31" s="6" t="n">
        <f aca="false">G31/E31</f>
        <v>0.94</v>
      </c>
      <c r="L31" s="7" t="n">
        <f aca="false">0.4/100</f>
        <v>0.004</v>
      </c>
      <c r="M31" s="7" t="n">
        <f aca="false">40/(K31*960)</f>
        <v>0.0443262411347518</v>
      </c>
      <c r="N31" s="0" t="n">
        <v>0</v>
      </c>
      <c r="O31" s="0" t="n">
        <v>0</v>
      </c>
      <c r="P31" s="0" t="n">
        <v>0</v>
      </c>
      <c r="Q31" s="0" t="n">
        <v>0</v>
      </c>
      <c r="S31" s="0" t="s">
        <v>63</v>
      </c>
      <c r="V31" s="0" t="n">
        <v>0</v>
      </c>
    </row>
    <row r="32" customFormat="false" ht="12.8" hidden="false" customHeight="false" outlineLevel="0" collapsed="false">
      <c r="A32" s="0" t="s">
        <v>48</v>
      </c>
      <c r="B32" s="0" t="s">
        <v>20</v>
      </c>
      <c r="C32" s="0" t="s">
        <v>21</v>
      </c>
      <c r="D32" s="0" t="s">
        <v>64</v>
      </c>
      <c r="E32" s="0" t="n">
        <v>40</v>
      </c>
      <c r="F32" s="0" t="n">
        <v>63</v>
      </c>
      <c r="G32" s="1" t="n">
        <v>25</v>
      </c>
      <c r="H32" s="0" t="n">
        <v>0</v>
      </c>
      <c r="I32" s="2" t="n">
        <v>0</v>
      </c>
      <c r="J32" s="0" t="n">
        <v>0</v>
      </c>
      <c r="K32" s="6" t="n">
        <f aca="false">G32/E32</f>
        <v>0.625</v>
      </c>
      <c r="L32" s="7" t="n">
        <f aca="false">0.28*0.4</f>
        <v>0.112</v>
      </c>
      <c r="M32" s="7" t="n">
        <f aca="false">3.5/G32</f>
        <v>0.14</v>
      </c>
      <c r="N32" s="0" t="n">
        <v>0</v>
      </c>
      <c r="O32" s="0" t="n">
        <v>0</v>
      </c>
      <c r="P32" s="0" t="n">
        <v>0</v>
      </c>
      <c r="Q32" s="0" t="n">
        <v>0</v>
      </c>
      <c r="S32" s="0" t="s">
        <v>63</v>
      </c>
      <c r="V32" s="0" t="n">
        <v>0</v>
      </c>
    </row>
    <row r="33" customFormat="false" ht="12.8" hidden="false" customHeight="false" outlineLevel="0" collapsed="false">
      <c r="A33" s="0" t="s">
        <v>65</v>
      </c>
      <c r="B33" s="0" t="s">
        <v>36</v>
      </c>
      <c r="C33" s="0" t="s">
        <v>37</v>
      </c>
      <c r="D33" s="0" t="s">
        <v>66</v>
      </c>
      <c r="E33" s="0" t="n">
        <v>25</v>
      </c>
      <c r="F33" s="0" t="n">
        <v>82</v>
      </c>
      <c r="G33" s="1" t="n">
        <v>21</v>
      </c>
      <c r="H33" s="0" t="n">
        <v>0</v>
      </c>
      <c r="I33" s="2" t="n">
        <f aca="false">(E33/100)*H33</f>
        <v>0</v>
      </c>
      <c r="J33" s="0" t="n">
        <v>0</v>
      </c>
      <c r="K33" s="6" t="n">
        <f aca="false">G33/E33</f>
        <v>0.84</v>
      </c>
      <c r="L33" s="7" t="n">
        <f aca="false">0.12*0.4</f>
        <v>0.048</v>
      </c>
      <c r="M33" s="7" t="n">
        <f aca="false">0.71/G33</f>
        <v>0.0338095238095238</v>
      </c>
      <c r="N33" s="0" t="n">
        <v>0</v>
      </c>
      <c r="O33" s="0" t="n">
        <v>1</v>
      </c>
      <c r="P33" s="0" t="n">
        <v>1</v>
      </c>
      <c r="Q33" s="0" t="n">
        <v>0</v>
      </c>
      <c r="V33" s="0" t="n">
        <v>0</v>
      </c>
    </row>
    <row r="34" customFormat="false" ht="12.8" hidden="false" customHeight="false" outlineLevel="0" collapsed="false">
      <c r="A34" s="0" t="s">
        <v>65</v>
      </c>
      <c r="B34" s="0" t="s">
        <v>20</v>
      </c>
      <c r="C34" s="0" t="s">
        <v>21</v>
      </c>
      <c r="D34" s="0" t="s">
        <v>67</v>
      </c>
      <c r="E34" s="0" t="n">
        <v>32</v>
      </c>
      <c r="F34" s="0" t="n">
        <v>73</v>
      </c>
      <c r="G34" s="1" t="n">
        <v>23</v>
      </c>
      <c r="H34" s="0" t="n">
        <v>0</v>
      </c>
      <c r="I34" s="2" t="n">
        <f aca="false">(E34/100)*H34</f>
        <v>0</v>
      </c>
      <c r="J34" s="0" t="n">
        <v>0</v>
      </c>
      <c r="K34" s="6" t="n">
        <f aca="false">G34/E34</f>
        <v>0.71875</v>
      </c>
      <c r="L34" s="7" t="n">
        <f aca="false">0.06*0.4</f>
        <v>0.024</v>
      </c>
      <c r="M34" s="7" t="n">
        <f aca="false">1.49/G34</f>
        <v>0.0647826086956522</v>
      </c>
      <c r="N34" s="0" t="n">
        <v>0</v>
      </c>
      <c r="O34" s="0" t="n">
        <v>1</v>
      </c>
      <c r="P34" s="0" t="n">
        <v>1</v>
      </c>
      <c r="Q34" s="0" t="n">
        <v>1</v>
      </c>
      <c r="V34" s="0" t="n">
        <v>0</v>
      </c>
    </row>
    <row r="35" customFormat="false" ht="12.8" hidden="false" customHeight="false" outlineLevel="0" collapsed="false">
      <c r="A35" s="0" t="s">
        <v>65</v>
      </c>
      <c r="B35" s="0" t="s">
        <v>20</v>
      </c>
      <c r="C35" s="0" t="s">
        <v>21</v>
      </c>
      <c r="D35" s="0" t="s">
        <v>68</v>
      </c>
      <c r="E35" s="0" t="n">
        <v>32</v>
      </c>
      <c r="F35" s="0" t="n">
        <v>70</v>
      </c>
      <c r="G35" s="1" t="n">
        <v>22</v>
      </c>
      <c r="H35" s="0" t="n">
        <v>0</v>
      </c>
      <c r="I35" s="2" t="n">
        <f aca="false">(E35/100)*H35</f>
        <v>0</v>
      </c>
      <c r="J35" s="0" t="n">
        <v>20</v>
      </c>
      <c r="K35" s="6" t="n">
        <f aca="false">G35/E35</f>
        <v>0.6875</v>
      </c>
      <c r="L35" s="7" t="n">
        <f aca="false">0.13*0.4</f>
        <v>0.052</v>
      </c>
      <c r="M35" s="7" t="n">
        <f aca="false">1.69/G35</f>
        <v>0.0768181818181818</v>
      </c>
      <c r="N35" s="0" t="n">
        <v>0</v>
      </c>
      <c r="O35" s="0" t="n">
        <v>0</v>
      </c>
      <c r="P35" s="0" t="n">
        <v>1</v>
      </c>
      <c r="Q35" s="0" t="n">
        <v>0</v>
      </c>
      <c r="V35" s="0" t="n">
        <v>0</v>
      </c>
    </row>
    <row r="36" customFormat="false" ht="12.8" hidden="false" customHeight="false" outlineLevel="0" collapsed="false">
      <c r="A36" s="0" t="s">
        <v>65</v>
      </c>
      <c r="B36" s="0" t="s">
        <v>36</v>
      </c>
      <c r="C36" s="0" t="s">
        <v>37</v>
      </c>
      <c r="D36" s="0" t="s">
        <v>69</v>
      </c>
      <c r="E36" s="0" t="n">
        <v>25</v>
      </c>
      <c r="F36" s="0" t="n">
        <v>76</v>
      </c>
      <c r="G36" s="1" t="n">
        <v>19</v>
      </c>
      <c r="H36" s="0" t="n">
        <v>0</v>
      </c>
      <c r="I36" s="2" t="n">
        <f aca="false">(E36/100)*H36</f>
        <v>0</v>
      </c>
      <c r="J36" s="0" t="n">
        <v>0</v>
      </c>
      <c r="K36" s="6" t="n">
        <f aca="false">G36/E36</f>
        <v>0.76</v>
      </c>
      <c r="L36" s="7" t="n">
        <f aca="false">0.11*0.4</f>
        <v>0.044</v>
      </c>
      <c r="M36" s="7" t="n">
        <f aca="false">1/G36</f>
        <v>0.0526315789473684</v>
      </c>
      <c r="N36" s="0" t="n">
        <v>1</v>
      </c>
      <c r="O36" s="0" t="n">
        <v>0</v>
      </c>
      <c r="P36" s="0" t="n">
        <v>0</v>
      </c>
      <c r="Q36" s="0" t="n">
        <v>0</v>
      </c>
      <c r="V36" s="0" t="n">
        <v>0</v>
      </c>
    </row>
    <row r="37" customFormat="false" ht="12.8" hidden="false" customHeight="false" outlineLevel="0" collapsed="false">
      <c r="A37" s="0" t="s">
        <v>65</v>
      </c>
      <c r="B37" s="0" t="s">
        <v>36</v>
      </c>
      <c r="C37" s="0" t="s">
        <v>37</v>
      </c>
      <c r="D37" s="0" t="s">
        <v>70</v>
      </c>
      <c r="E37" s="0" t="n">
        <v>35</v>
      </c>
      <c r="F37" s="0" t="n">
        <v>58</v>
      </c>
      <c r="G37" s="1" t="n">
        <v>20</v>
      </c>
      <c r="H37" s="0" t="n">
        <v>6.2</v>
      </c>
      <c r="I37" s="2" t="n">
        <f aca="false">(E37/100)*H37</f>
        <v>2.17</v>
      </c>
      <c r="J37" s="0" t="n">
        <v>0</v>
      </c>
      <c r="K37" s="6" t="n">
        <f aca="false">G37/E37</f>
        <v>0.571428571428571</v>
      </c>
      <c r="L37" s="7" t="n">
        <v>0</v>
      </c>
      <c r="M37" s="0" t="n">
        <f aca="false">1/G37</f>
        <v>0.05</v>
      </c>
      <c r="N37" s="0" t="n">
        <v>0</v>
      </c>
      <c r="O37" s="0" t="n">
        <v>1</v>
      </c>
      <c r="P37" s="0" t="n">
        <v>0</v>
      </c>
      <c r="Q37" s="0" t="n">
        <v>0</v>
      </c>
      <c r="V37" s="0" t="n">
        <v>0</v>
      </c>
    </row>
    <row r="38" customFormat="false" ht="12.8" hidden="false" customHeight="false" outlineLevel="0" collapsed="false">
      <c r="A38" s="0" t="s">
        <v>65</v>
      </c>
      <c r="B38" s="0" t="s">
        <v>45</v>
      </c>
      <c r="C38" s="0" t="s">
        <v>46</v>
      </c>
      <c r="D38" s="0" t="s">
        <v>71</v>
      </c>
      <c r="E38" s="0" t="n">
        <v>35</v>
      </c>
      <c r="F38" s="0" t="n">
        <v>50</v>
      </c>
      <c r="G38" s="1" t="n">
        <v>18</v>
      </c>
      <c r="H38" s="0" t="n">
        <v>8.6</v>
      </c>
      <c r="I38" s="2" t="n">
        <f aca="false">(E38/100)*H38</f>
        <v>3.01</v>
      </c>
      <c r="J38" s="0" t="n">
        <v>0</v>
      </c>
      <c r="K38" s="6" t="n">
        <f aca="false">G38/E38</f>
        <v>0.514285714285714</v>
      </c>
      <c r="L38" s="7" t="n">
        <f aca="false">0.67*0.4</f>
        <v>0.268</v>
      </c>
      <c r="M38" s="7" t="n">
        <f aca="false">1/G38</f>
        <v>0.0555555555555556</v>
      </c>
      <c r="N38" s="0" t="n">
        <v>0</v>
      </c>
      <c r="O38" s="0" t="n">
        <v>1</v>
      </c>
      <c r="P38" s="0" t="n">
        <v>0</v>
      </c>
      <c r="Q38" s="0" t="n">
        <v>0</v>
      </c>
      <c r="V38" s="0" t="n">
        <v>0</v>
      </c>
    </row>
    <row r="39" customFormat="false" ht="12.8" hidden="false" customHeight="false" outlineLevel="0" collapsed="false">
      <c r="A39" s="0" t="s">
        <v>65</v>
      </c>
      <c r="B39" s="0" t="s">
        <v>36</v>
      </c>
      <c r="C39" s="0" t="s">
        <v>37</v>
      </c>
      <c r="D39" s="0" t="s">
        <v>72</v>
      </c>
      <c r="E39" s="0" t="n">
        <v>30</v>
      </c>
      <c r="F39" s="0" t="n">
        <v>58</v>
      </c>
      <c r="G39" s="1" t="n">
        <v>18</v>
      </c>
      <c r="H39" s="0" t="n">
        <v>6</v>
      </c>
      <c r="I39" s="2" t="n">
        <f aca="false">(E39/100)*H39</f>
        <v>1.8</v>
      </c>
      <c r="J39" s="0" t="n">
        <v>0</v>
      </c>
      <c r="K39" s="6" t="n">
        <f aca="false">G39/E39</f>
        <v>0.6</v>
      </c>
      <c r="L39" s="7" t="n">
        <v>0</v>
      </c>
      <c r="M39" s="7" t="n">
        <f aca="false">(5.49/6)/G39</f>
        <v>0.0508333333333333</v>
      </c>
      <c r="N39" s="0" t="n">
        <v>1</v>
      </c>
      <c r="O39" s="0" t="n">
        <v>0</v>
      </c>
      <c r="P39" s="0" t="n">
        <v>0</v>
      </c>
      <c r="Q39" s="0" t="n">
        <v>0</v>
      </c>
      <c r="V39" s="0" t="n">
        <v>0</v>
      </c>
    </row>
    <row r="40" customFormat="false" ht="12.8" hidden="false" customHeight="false" outlineLevel="0" collapsed="false">
      <c r="A40" s="0" t="s">
        <v>65</v>
      </c>
      <c r="B40" s="0" t="s">
        <v>27</v>
      </c>
      <c r="C40" s="0" t="s">
        <v>28</v>
      </c>
      <c r="D40" s="0" t="s">
        <v>73</v>
      </c>
      <c r="E40" s="0" t="n">
        <v>90</v>
      </c>
      <c r="F40" s="0" t="n">
        <v>25</v>
      </c>
      <c r="G40" s="1" t="n">
        <f aca="false">(E40/100)*F40</f>
        <v>22.5</v>
      </c>
      <c r="H40" s="0" t="n">
        <v>0</v>
      </c>
      <c r="I40" s="2" t="n">
        <f aca="false">(E40/100)*H40</f>
        <v>0</v>
      </c>
      <c r="J40" s="0" t="n">
        <v>0</v>
      </c>
      <c r="K40" s="6" t="n">
        <f aca="false">G40/E40</f>
        <v>0.25</v>
      </c>
      <c r="L40" s="7" t="n">
        <v>0</v>
      </c>
      <c r="M40" s="7" t="n">
        <f aca="false">(3.99/4)/G40</f>
        <v>0.0443333333333333</v>
      </c>
      <c r="N40" s="0" t="n">
        <v>0</v>
      </c>
      <c r="O40" s="0" t="n">
        <v>0</v>
      </c>
      <c r="P40" s="0" t="n">
        <v>0</v>
      </c>
      <c r="Q40" s="0" t="n">
        <v>0</v>
      </c>
      <c r="V40" s="0" t="n">
        <v>0</v>
      </c>
    </row>
    <row r="41" customFormat="false" ht="12.8" hidden="false" customHeight="false" outlineLevel="0" collapsed="false">
      <c r="A41" s="0" t="s">
        <v>65</v>
      </c>
      <c r="B41" s="0" t="s">
        <v>36</v>
      </c>
      <c r="C41" s="0" t="s">
        <v>37</v>
      </c>
      <c r="D41" s="0" t="s">
        <v>74</v>
      </c>
      <c r="E41" s="0" t="n">
        <v>30</v>
      </c>
      <c r="F41" s="0" t="n">
        <v>34</v>
      </c>
      <c r="G41" s="1" t="n">
        <f aca="false">(E41/100)*F41</f>
        <v>10.2</v>
      </c>
      <c r="H41" s="0" t="n">
        <v>16</v>
      </c>
      <c r="I41" s="2" t="n">
        <f aca="false">(E41/100)*H41</f>
        <v>4.8</v>
      </c>
      <c r="J41" s="0" t="n">
        <v>0</v>
      </c>
      <c r="K41" s="6" t="n">
        <f aca="false">G41/E41</f>
        <v>0.34</v>
      </c>
      <c r="L41" s="7" t="n">
        <v>0</v>
      </c>
      <c r="M41" s="7" t="n">
        <f aca="false">(3.99/4)/G41</f>
        <v>0.0977941176470588</v>
      </c>
      <c r="N41" s="0" t="n">
        <v>1</v>
      </c>
      <c r="O41" s="0" t="n">
        <v>1</v>
      </c>
      <c r="P41" s="0" t="n">
        <v>1</v>
      </c>
      <c r="Q41" s="0" t="n">
        <v>0</v>
      </c>
      <c r="V41" s="0" t="n">
        <v>0</v>
      </c>
    </row>
    <row r="42" customFormat="false" ht="12.8" hidden="false" customHeight="false" outlineLevel="0" collapsed="false">
      <c r="A42" s="0" t="s">
        <v>65</v>
      </c>
      <c r="B42" s="0" t="s">
        <v>36</v>
      </c>
      <c r="C42" s="0" t="s">
        <v>37</v>
      </c>
      <c r="D42" s="0" t="s">
        <v>75</v>
      </c>
      <c r="E42" s="0" t="n">
        <v>30</v>
      </c>
      <c r="F42" s="0" t="n">
        <v>34</v>
      </c>
      <c r="G42" s="1" t="n">
        <f aca="false">(E42/100)*F42</f>
        <v>10.2</v>
      </c>
      <c r="H42" s="0" t="n">
        <v>17</v>
      </c>
      <c r="I42" s="2" t="n">
        <f aca="false">(E42/100)*H42</f>
        <v>5.1</v>
      </c>
      <c r="J42" s="0" t="n">
        <v>0</v>
      </c>
      <c r="K42" s="6" t="n">
        <f aca="false">G42/E42</f>
        <v>0.34</v>
      </c>
      <c r="L42" s="7" t="n">
        <v>0</v>
      </c>
      <c r="M42" s="7" t="n">
        <f aca="false">(3.49/3)/G42</f>
        <v>0.114052287581699</v>
      </c>
      <c r="N42" s="0" t="n">
        <v>1</v>
      </c>
      <c r="O42" s="0" t="n">
        <v>0</v>
      </c>
      <c r="P42" s="0" t="n">
        <v>1</v>
      </c>
      <c r="Q42" s="0" t="n">
        <v>0</v>
      </c>
      <c r="V42" s="0" t="n">
        <v>0</v>
      </c>
    </row>
    <row r="43" customFormat="false" ht="12.8" hidden="false" customHeight="false" outlineLevel="0" collapsed="false">
      <c r="A43" s="0" t="s">
        <v>65</v>
      </c>
      <c r="B43" s="0" t="s">
        <v>36</v>
      </c>
      <c r="C43" s="0" t="s">
        <v>37</v>
      </c>
      <c r="D43" s="0" t="s">
        <v>76</v>
      </c>
      <c r="E43" s="0" t="n">
        <v>25</v>
      </c>
      <c r="F43" s="0" t="n">
        <v>57</v>
      </c>
      <c r="G43" s="1" t="n">
        <f aca="false">(E43/100)*F43</f>
        <v>14.25</v>
      </c>
      <c r="H43" s="0" t="n">
        <v>8.2</v>
      </c>
      <c r="I43" s="2" t="n">
        <f aca="false">(E43/100)*H43</f>
        <v>2.05</v>
      </c>
      <c r="J43" s="0" t="n">
        <v>0</v>
      </c>
      <c r="K43" s="6" t="n">
        <f aca="false">G43/E43</f>
        <v>0.57</v>
      </c>
      <c r="L43" s="7" t="n">
        <f aca="false">0.13*0.4</f>
        <v>0.052</v>
      </c>
      <c r="M43" s="0" t="n">
        <f aca="false">(3.99/5)/G43</f>
        <v>0.056</v>
      </c>
      <c r="N43" s="0" t="n">
        <v>0</v>
      </c>
      <c r="O43" s="0" t="n">
        <v>0</v>
      </c>
      <c r="P43" s="0" t="n">
        <v>1</v>
      </c>
      <c r="Q43" s="0" t="n">
        <v>0</v>
      </c>
      <c r="V43" s="0" t="n">
        <v>0</v>
      </c>
    </row>
    <row r="44" customFormat="false" ht="12.8" hidden="false" customHeight="false" outlineLevel="0" collapsed="false">
      <c r="A44" s="0" t="s">
        <v>65</v>
      </c>
      <c r="B44" s="0" t="s">
        <v>36</v>
      </c>
      <c r="C44" s="0" t="s">
        <v>37</v>
      </c>
      <c r="D44" s="0" t="s">
        <v>77</v>
      </c>
      <c r="E44" s="0" t="n">
        <v>25</v>
      </c>
      <c r="F44" s="0" t="n">
        <v>58</v>
      </c>
      <c r="G44" s="1" t="n">
        <f aca="false">(E44/100)*F44</f>
        <v>14.5</v>
      </c>
      <c r="H44" s="0" t="n">
        <v>7.8</v>
      </c>
      <c r="I44" s="2" t="n">
        <f aca="false">(E44/100)*H44</f>
        <v>1.95</v>
      </c>
      <c r="J44" s="0" t="n">
        <v>0</v>
      </c>
      <c r="K44" s="6" t="n">
        <f aca="false">G44/E44</f>
        <v>0.58</v>
      </c>
      <c r="L44" s="7" t="n">
        <f aca="false">0.14*0.4</f>
        <v>0.056</v>
      </c>
      <c r="M44" s="7" t="n">
        <f aca="false">1/G44</f>
        <v>0.0689655172413793</v>
      </c>
      <c r="N44" s="0" t="n">
        <v>1</v>
      </c>
      <c r="O44" s="0" t="n">
        <v>0</v>
      </c>
      <c r="P44" s="0" t="n">
        <v>1</v>
      </c>
      <c r="Q44" s="0" t="n">
        <v>0</v>
      </c>
      <c r="V44" s="0" t="n">
        <v>0</v>
      </c>
    </row>
    <row r="45" customFormat="false" ht="12.8" hidden="false" customHeight="false" outlineLevel="0" collapsed="false">
      <c r="A45" s="0" t="s">
        <v>65</v>
      </c>
      <c r="B45" s="0" t="s">
        <v>36</v>
      </c>
      <c r="C45" s="0" t="s">
        <v>37</v>
      </c>
      <c r="D45" s="0" t="s">
        <v>78</v>
      </c>
      <c r="E45" s="0" t="n">
        <v>30</v>
      </c>
      <c r="F45" s="0" t="n">
        <v>59</v>
      </c>
      <c r="G45" s="1" t="n">
        <f aca="false">(E45/100)*F45</f>
        <v>17.7</v>
      </c>
      <c r="H45" s="0" t="n">
        <v>7.2</v>
      </c>
      <c r="I45" s="2" t="n">
        <f aca="false">(E45/100)*H45</f>
        <v>2.16</v>
      </c>
      <c r="J45" s="0" t="n">
        <v>0</v>
      </c>
      <c r="K45" s="6" t="n">
        <f aca="false">G45/E45</f>
        <v>0.59</v>
      </c>
      <c r="L45" s="7" t="n">
        <f aca="false">0.1*0.4</f>
        <v>0.04</v>
      </c>
      <c r="M45" s="7" t="n">
        <f aca="false">(3.99/6)/G45</f>
        <v>0.0375706214689266</v>
      </c>
      <c r="N45" s="0" t="n">
        <v>1</v>
      </c>
      <c r="O45" s="0" t="n">
        <v>1</v>
      </c>
      <c r="P45" s="0" t="n">
        <v>1</v>
      </c>
      <c r="Q45" s="0" t="n">
        <v>1</v>
      </c>
      <c r="V45" s="0" t="n">
        <v>0</v>
      </c>
    </row>
    <row r="46" customFormat="false" ht="12.8" hidden="false" customHeight="false" outlineLevel="0" collapsed="false">
      <c r="A46" s="0" t="s">
        <v>65</v>
      </c>
      <c r="B46" s="0" t="s">
        <v>36</v>
      </c>
      <c r="C46" s="0" t="s">
        <v>37</v>
      </c>
      <c r="D46" s="0" t="s">
        <v>79</v>
      </c>
      <c r="E46" s="0" t="n">
        <v>30</v>
      </c>
      <c r="F46" s="0" t="n">
        <v>61</v>
      </c>
      <c r="G46" s="1" t="n">
        <f aca="false">(E46/100)*F46</f>
        <v>18.3</v>
      </c>
      <c r="H46" s="0" t="n">
        <v>6.5</v>
      </c>
      <c r="I46" s="2" t="n">
        <f aca="false">(E46/100)*H46</f>
        <v>1.95</v>
      </c>
      <c r="J46" s="0" t="n">
        <v>0</v>
      </c>
      <c r="K46" s="6" t="n">
        <f aca="false">G46/E46</f>
        <v>0.61</v>
      </c>
      <c r="L46" s="7" t="n">
        <f aca="false">0.11*0.4</f>
        <v>0.044</v>
      </c>
      <c r="M46" s="7" t="n">
        <f aca="false">(4.49/10)/G46</f>
        <v>0.0245355191256831</v>
      </c>
      <c r="N46" s="0" t="n">
        <v>0</v>
      </c>
      <c r="O46" s="0" t="n">
        <v>1</v>
      </c>
      <c r="P46" s="0" t="n">
        <v>1</v>
      </c>
      <c r="Q46" s="0" t="n">
        <v>1</v>
      </c>
      <c r="V46" s="0" t="n">
        <v>0</v>
      </c>
    </row>
    <row r="47" customFormat="false" ht="12.8" hidden="false" customHeight="false" outlineLevel="0" collapsed="false">
      <c r="A47" s="0" t="s">
        <v>65</v>
      </c>
      <c r="B47" s="0" t="s">
        <v>36</v>
      </c>
      <c r="C47" s="0" t="s">
        <v>37</v>
      </c>
      <c r="D47" s="0" t="s">
        <v>80</v>
      </c>
      <c r="E47" s="0" t="n">
        <v>21</v>
      </c>
      <c r="F47" s="0" t="n">
        <v>74</v>
      </c>
      <c r="G47" s="1" t="n">
        <f aca="false">(E47/100)*F47</f>
        <v>15.54</v>
      </c>
      <c r="H47" s="0" t="n">
        <v>4.5</v>
      </c>
      <c r="I47" s="2" t="n">
        <f aca="false">(E47/100)*H47</f>
        <v>0.945</v>
      </c>
      <c r="J47" s="0" t="n">
        <v>0</v>
      </c>
      <c r="K47" s="6" t="n">
        <f aca="false">G47/E47</f>
        <v>0.74</v>
      </c>
      <c r="L47" s="7" t="n">
        <f aca="false">0.11*0.4</f>
        <v>0.044</v>
      </c>
      <c r="M47" s="7" t="n">
        <f aca="false">(2.19/6)/G47</f>
        <v>0.0234877734877735</v>
      </c>
      <c r="N47" s="0" t="n">
        <v>0</v>
      </c>
      <c r="O47" s="0" t="n">
        <v>1</v>
      </c>
      <c r="P47" s="0" t="n">
        <v>0</v>
      </c>
      <c r="Q47" s="0" t="n">
        <v>0</v>
      </c>
      <c r="V47" s="0" t="n">
        <v>0</v>
      </c>
    </row>
    <row r="48" customFormat="false" ht="12.8" hidden="false" customHeight="false" outlineLevel="0" collapsed="false">
      <c r="A48" s="0" t="s">
        <v>65</v>
      </c>
      <c r="B48" s="0" t="s">
        <v>36</v>
      </c>
      <c r="C48" s="0" t="s">
        <v>37</v>
      </c>
      <c r="D48" s="0" t="s">
        <v>81</v>
      </c>
      <c r="E48" s="0" t="n">
        <v>25</v>
      </c>
      <c r="F48" s="0" t="n">
        <v>76</v>
      </c>
      <c r="G48" s="1" t="n">
        <f aca="false">(E48/100)*F48</f>
        <v>19</v>
      </c>
      <c r="H48" s="0" t="n">
        <v>5.1</v>
      </c>
      <c r="I48" s="2" t="n">
        <f aca="false">(E48/100)*H48</f>
        <v>1.275</v>
      </c>
      <c r="J48" s="0" t="n">
        <v>0</v>
      </c>
      <c r="K48" s="6" t="n">
        <f aca="false">G48/E48</f>
        <v>0.76</v>
      </c>
      <c r="L48" s="7" t="n">
        <v>0</v>
      </c>
      <c r="M48" s="7" t="n">
        <f aca="false">(4.59/5)/G48</f>
        <v>0.0483157894736842</v>
      </c>
      <c r="N48" s="0" t="n">
        <v>0</v>
      </c>
      <c r="O48" s="0" t="n">
        <v>0</v>
      </c>
      <c r="P48" s="0" t="n">
        <v>1</v>
      </c>
      <c r="Q48" s="0" t="n">
        <v>0</v>
      </c>
      <c r="V48" s="0" t="n">
        <v>0</v>
      </c>
    </row>
    <row r="49" customFormat="false" ht="12.8" hidden="false" customHeight="false" outlineLevel="0" collapsed="false">
      <c r="A49" s="0" t="s">
        <v>65</v>
      </c>
      <c r="B49" s="0" t="s">
        <v>25</v>
      </c>
      <c r="C49" s="0" t="s">
        <v>26</v>
      </c>
      <c r="D49" s="0" t="s">
        <v>82</v>
      </c>
      <c r="E49" s="0" t="n">
        <v>1</v>
      </c>
      <c r="F49" s="0" t="n">
        <v>86</v>
      </c>
      <c r="G49" s="1" t="n">
        <f aca="false">(E49/100)*F49</f>
        <v>0.86</v>
      </c>
      <c r="H49" s="0" t="n">
        <v>2.6</v>
      </c>
      <c r="I49" s="2" t="n">
        <f aca="false">(E49/100)*H49</f>
        <v>0.026</v>
      </c>
      <c r="J49" s="0" t="n">
        <v>0</v>
      </c>
      <c r="K49" s="6" t="n">
        <f aca="false">G49/E49</f>
        <v>0.86</v>
      </c>
      <c r="L49" s="7" t="n">
        <f aca="false">(2.6/100)*0.4</f>
        <v>0.0104</v>
      </c>
      <c r="M49" s="7" t="n">
        <f aca="false">(11.99/650)/G49</f>
        <v>0.0214490161001789</v>
      </c>
      <c r="N49" s="0" t="n">
        <v>0</v>
      </c>
      <c r="O49" s="0" t="n">
        <v>0</v>
      </c>
      <c r="P49" s="0" t="n">
        <v>0</v>
      </c>
      <c r="Q49" s="0" t="n">
        <v>0</v>
      </c>
      <c r="R49" s="0" t="n">
        <v>2.6</v>
      </c>
      <c r="V49" s="0" t="n">
        <v>0</v>
      </c>
    </row>
    <row r="50" customFormat="false" ht="12.8" hidden="false" customHeight="false" outlineLevel="0" collapsed="false">
      <c r="A50" s="0" t="s">
        <v>65</v>
      </c>
      <c r="B50" s="0" t="s">
        <v>25</v>
      </c>
      <c r="C50" s="0" t="s">
        <v>26</v>
      </c>
      <c r="D50" s="0" t="s">
        <v>83</v>
      </c>
      <c r="E50" s="0" t="n">
        <v>1</v>
      </c>
      <c r="F50" s="0" t="n">
        <v>92</v>
      </c>
      <c r="G50" s="1" t="n">
        <f aca="false">(E50/100)*F50</f>
        <v>0.92</v>
      </c>
      <c r="H50" s="0" t="n">
        <v>0</v>
      </c>
      <c r="I50" s="2" t="n">
        <f aca="false">(E50/100)*H50</f>
        <v>0</v>
      </c>
      <c r="J50" s="0" t="n">
        <v>0</v>
      </c>
      <c r="K50" s="6" t="n">
        <f aca="false">G50/E50</f>
        <v>0.92</v>
      </c>
      <c r="L50" s="7" t="n">
        <f aca="false">0.01*0.4</f>
        <v>0.004</v>
      </c>
      <c r="M50" s="7" t="n">
        <f aca="false">(11.99/650)/G50</f>
        <v>0.0200501672240803</v>
      </c>
      <c r="N50" s="0" t="n">
        <v>0</v>
      </c>
      <c r="O50" s="0" t="n">
        <v>0</v>
      </c>
      <c r="P50" s="0" t="n">
        <v>0</v>
      </c>
      <c r="Q50" s="0" t="n">
        <v>0</v>
      </c>
      <c r="V50" s="0" t="n">
        <v>0</v>
      </c>
    </row>
    <row r="51" customFormat="false" ht="12.8" hidden="false" customHeight="false" outlineLevel="0" collapsed="false">
      <c r="A51" s="0" t="s">
        <v>65</v>
      </c>
      <c r="B51" s="0" t="s">
        <v>25</v>
      </c>
      <c r="C51" s="0" t="s">
        <v>26</v>
      </c>
      <c r="D51" s="0" t="s">
        <v>84</v>
      </c>
      <c r="E51" s="0" t="n">
        <v>1</v>
      </c>
      <c r="F51" s="0" t="n">
        <v>92</v>
      </c>
      <c r="G51" s="1" t="n">
        <f aca="false">(E51/100)*F51</f>
        <v>0.92</v>
      </c>
      <c r="H51" s="0" t="n">
        <v>0</v>
      </c>
      <c r="I51" s="2" t="n">
        <f aca="false">(E51/100)*H51</f>
        <v>0</v>
      </c>
      <c r="J51" s="0" t="n">
        <v>0</v>
      </c>
      <c r="K51" s="6" t="n">
        <f aca="false">G51/E51</f>
        <v>0.92</v>
      </c>
      <c r="L51" s="7" t="n">
        <f aca="false">0.0072*0.4</f>
        <v>0.00288</v>
      </c>
      <c r="M51" s="7" t="n">
        <f aca="false">(19.99/2000)/G51</f>
        <v>0.0108641304347826</v>
      </c>
      <c r="N51" s="0" t="n">
        <v>0</v>
      </c>
      <c r="O51" s="0" t="n">
        <v>0</v>
      </c>
      <c r="P51" s="0" t="n">
        <v>0</v>
      </c>
      <c r="Q51" s="0" t="n">
        <v>0</v>
      </c>
      <c r="V51" s="0" t="n">
        <v>0</v>
      </c>
    </row>
    <row r="52" customFormat="false" ht="12.8" hidden="false" customHeight="false" outlineLevel="0" collapsed="false">
      <c r="A52" s="0" t="s">
        <v>65</v>
      </c>
      <c r="B52" s="0" t="s">
        <v>25</v>
      </c>
      <c r="C52" s="0" t="s">
        <v>26</v>
      </c>
      <c r="D52" s="0" t="s">
        <v>85</v>
      </c>
      <c r="E52" s="0" t="n">
        <v>1</v>
      </c>
      <c r="F52" s="0" t="n">
        <v>95</v>
      </c>
      <c r="G52" s="1" t="n">
        <f aca="false">(E52/100)*F52</f>
        <v>0.95</v>
      </c>
      <c r="H52" s="0" t="n">
        <v>0</v>
      </c>
      <c r="I52" s="2" t="n">
        <f aca="false">(E52/100)*H52</f>
        <v>0</v>
      </c>
      <c r="J52" s="0" t="n">
        <v>0</v>
      </c>
      <c r="K52" s="6" t="n">
        <f aca="false">G52/E52</f>
        <v>0.95</v>
      </c>
      <c r="L52" s="7" t="n">
        <f aca="false">(1.87/100)*0.4</f>
        <v>0.00748</v>
      </c>
      <c r="M52" s="7" t="n">
        <f aca="false">(10.99/480)/G52</f>
        <v>0.0241008771929825</v>
      </c>
      <c r="N52" s="0" t="n">
        <v>1</v>
      </c>
      <c r="O52" s="0" t="n">
        <v>0</v>
      </c>
      <c r="P52" s="0" t="n">
        <v>0</v>
      </c>
      <c r="Q52" s="0" t="n">
        <v>0</v>
      </c>
      <c r="V52" s="0" t="n">
        <v>0</v>
      </c>
    </row>
    <row r="53" customFormat="false" ht="12.8" hidden="false" customHeight="false" outlineLevel="0" collapsed="false">
      <c r="A53" s="0" t="s">
        <v>86</v>
      </c>
      <c r="B53" s="0" t="s">
        <v>25</v>
      </c>
      <c r="C53" s="0" t="s">
        <v>26</v>
      </c>
      <c r="D53" s="0" t="s">
        <v>87</v>
      </c>
      <c r="E53" s="0" t="n">
        <v>1</v>
      </c>
      <c r="F53" s="0" t="n">
        <v>80</v>
      </c>
      <c r="G53" s="1" t="n">
        <f aca="false">(E53/100)*F53</f>
        <v>0.8</v>
      </c>
      <c r="H53" s="0" t="n">
        <v>0</v>
      </c>
      <c r="I53" s="2" t="n">
        <f aca="false">(E53/100)*H53</f>
        <v>0</v>
      </c>
      <c r="J53" s="0" t="n">
        <v>0</v>
      </c>
      <c r="K53" s="6" t="n">
        <f aca="false">G53/E53</f>
        <v>0.8</v>
      </c>
      <c r="L53" s="7" t="n">
        <v>0</v>
      </c>
      <c r="M53" s="7" t="n">
        <f aca="false">(1.5/500)/G53</f>
        <v>0.00375</v>
      </c>
      <c r="N53" s="0" t="n">
        <v>1</v>
      </c>
      <c r="O53" s="0" t="n">
        <v>0</v>
      </c>
      <c r="P53" s="0" t="n">
        <v>0</v>
      </c>
      <c r="Q53" s="0" t="n">
        <v>0</v>
      </c>
      <c r="V53" s="0" t="n">
        <v>0</v>
      </c>
    </row>
    <row r="54" customFormat="false" ht="14.9" hidden="false" customHeight="true" outlineLevel="0" collapsed="false">
      <c r="A54" s="0" t="s">
        <v>88</v>
      </c>
      <c r="B54" s="0" t="s">
        <v>25</v>
      </c>
      <c r="C54" s="0" t="s">
        <v>26</v>
      </c>
      <c r="D54" s="0" t="s">
        <v>89</v>
      </c>
      <c r="E54" s="0" t="n">
        <v>1</v>
      </c>
      <c r="F54" s="0" t="n">
        <v>88</v>
      </c>
      <c r="G54" s="1" t="n">
        <f aca="false">(E54/100)*F54</f>
        <v>0.88</v>
      </c>
      <c r="H54" s="0" t="n">
        <v>0</v>
      </c>
      <c r="I54" s="2" t="n">
        <f aca="false">(E54/100)*H54</f>
        <v>0</v>
      </c>
      <c r="J54" s="0" t="n">
        <v>0</v>
      </c>
      <c r="K54" s="6" t="n">
        <f aca="false">G54/E54</f>
        <v>0.88</v>
      </c>
      <c r="L54" s="7" t="n">
        <f aca="false">0.72/100</f>
        <v>0.0072</v>
      </c>
      <c r="M54" s="7" t="n">
        <f aca="false">(21.9/600)/G54</f>
        <v>0.0414772727272727</v>
      </c>
      <c r="N54" s="0" t="n">
        <v>0</v>
      </c>
      <c r="O54" s="0" t="n">
        <v>0</v>
      </c>
      <c r="P54" s="0" t="n">
        <v>0</v>
      </c>
      <c r="Q54" s="0" t="n">
        <v>0</v>
      </c>
      <c r="U54" s="8" t="s">
        <v>90</v>
      </c>
      <c r="V54" s="0" t="n">
        <v>1</v>
      </c>
    </row>
    <row r="55" customFormat="false" ht="12.8" hidden="false" customHeight="false" outlineLevel="0" collapsed="false">
      <c r="A55" s="0" t="s">
        <v>88</v>
      </c>
      <c r="B55" s="0" t="s">
        <v>25</v>
      </c>
      <c r="C55" s="0" t="s">
        <v>26</v>
      </c>
      <c r="D55" s="0" t="s">
        <v>91</v>
      </c>
      <c r="E55" s="0" t="n">
        <v>1</v>
      </c>
      <c r="F55" s="0" t="n">
        <v>95</v>
      </c>
      <c r="G55" s="1" t="n">
        <f aca="false">(E55/100)*F55</f>
        <v>0.95</v>
      </c>
      <c r="H55" s="0" t="n">
        <v>0</v>
      </c>
      <c r="I55" s="2" t="n">
        <f aca="false">(E55/100)*H55</f>
        <v>0</v>
      </c>
      <c r="J55" s="0" t="n">
        <v>0</v>
      </c>
      <c r="K55" s="6" t="n">
        <f aca="false">G55/E55</f>
        <v>0.95</v>
      </c>
      <c r="L55" s="7" t="n">
        <v>0.0084</v>
      </c>
      <c r="M55" s="7" t="n">
        <f aca="false">(22.9/500)/G55</f>
        <v>0.0482105263157895</v>
      </c>
      <c r="N55" s="0" t="n">
        <v>1</v>
      </c>
      <c r="O55" s="0" t="n">
        <v>0</v>
      </c>
      <c r="P55" s="0" t="n">
        <v>0</v>
      </c>
      <c r="Q55" s="0" t="n">
        <v>0</v>
      </c>
      <c r="U55" s="8" t="s">
        <v>90</v>
      </c>
      <c r="V55" s="0" t="n">
        <v>1</v>
      </c>
    </row>
    <row r="56" customFormat="false" ht="12.8" hidden="false" customHeight="false" outlineLevel="0" collapsed="false">
      <c r="A56" s="0" t="s">
        <v>88</v>
      </c>
      <c r="B56" s="0" t="s">
        <v>25</v>
      </c>
      <c r="C56" s="0" t="s">
        <v>26</v>
      </c>
      <c r="D56" s="0" t="s">
        <v>92</v>
      </c>
      <c r="E56" s="0" t="n">
        <v>1</v>
      </c>
      <c r="F56" s="0" t="n">
        <v>77</v>
      </c>
      <c r="G56" s="1" t="n">
        <f aca="false">(E56/100)*F56</f>
        <v>0.77</v>
      </c>
      <c r="H56" s="0" t="n">
        <v>1.9</v>
      </c>
      <c r="I56" s="2" t="n">
        <f aca="false">(E56/100)*H56</f>
        <v>0.019</v>
      </c>
      <c r="J56" s="0" t="n">
        <v>0</v>
      </c>
      <c r="K56" s="6" t="n">
        <f aca="false">G56/E56</f>
        <v>0.77</v>
      </c>
      <c r="L56" s="7" t="n">
        <v>0.011</v>
      </c>
      <c r="M56" s="7" t="n">
        <f aca="false">(25.9/400)/G56</f>
        <v>0.0840909090909091</v>
      </c>
      <c r="N56" s="0" t="n">
        <v>0</v>
      </c>
      <c r="O56" s="0" t="n">
        <v>0</v>
      </c>
      <c r="P56" s="0" t="n">
        <v>0</v>
      </c>
      <c r="Q56" s="0" t="n">
        <v>0</v>
      </c>
      <c r="R56" s="0" t="n">
        <v>2.5</v>
      </c>
      <c r="S56" s="0" t="s">
        <v>93</v>
      </c>
      <c r="U56" s="8" t="s">
        <v>90</v>
      </c>
      <c r="V56" s="0" t="n">
        <v>1</v>
      </c>
    </row>
    <row r="57" customFormat="false" ht="12.8" hidden="false" customHeight="false" outlineLevel="0" collapsed="false">
      <c r="A57" s="0" t="s">
        <v>88</v>
      </c>
      <c r="B57" s="0" t="s">
        <v>20</v>
      </c>
      <c r="C57" s="0" t="s">
        <v>21</v>
      </c>
      <c r="D57" s="0" t="s">
        <v>94</v>
      </c>
      <c r="E57" s="0" t="n">
        <v>34</v>
      </c>
      <c r="F57" s="0" t="n">
        <v>76</v>
      </c>
      <c r="G57" s="1" t="n">
        <f aca="false">(E57/100)*F57</f>
        <v>25.84</v>
      </c>
      <c r="H57" s="0" t="n">
        <v>0</v>
      </c>
      <c r="I57" s="2" t="n">
        <f aca="false">(E57/100)*H57</f>
        <v>0</v>
      </c>
      <c r="J57" s="0" t="n">
        <v>0</v>
      </c>
      <c r="K57" s="6" t="n">
        <f aca="false">G57/E57</f>
        <v>0.76</v>
      </c>
      <c r="L57" s="7" t="n">
        <v>0.045</v>
      </c>
      <c r="M57" s="7" t="n">
        <f aca="false">2.43/G57</f>
        <v>0.0940402476780186</v>
      </c>
      <c r="N57" s="0" t="n">
        <v>0</v>
      </c>
      <c r="O57" s="0" t="n">
        <v>0</v>
      </c>
      <c r="P57" s="0" t="n">
        <v>0</v>
      </c>
      <c r="Q57" s="0" t="n">
        <v>0</v>
      </c>
      <c r="S57" s="0" t="s">
        <v>95</v>
      </c>
      <c r="U57" s="8" t="s">
        <v>90</v>
      </c>
      <c r="V57" s="0" t="n">
        <v>1</v>
      </c>
    </row>
    <row r="58" customFormat="false" ht="12.8" hidden="false" customHeight="false" outlineLevel="0" collapsed="false">
      <c r="A58" s="0" t="s">
        <v>88</v>
      </c>
      <c r="B58" s="0" t="s">
        <v>20</v>
      </c>
      <c r="C58" s="0" t="s">
        <v>21</v>
      </c>
      <c r="D58" s="0" t="s">
        <v>96</v>
      </c>
      <c r="E58" s="0" t="n">
        <v>34</v>
      </c>
      <c r="F58" s="0" t="n">
        <v>76</v>
      </c>
      <c r="G58" s="1" t="n">
        <f aca="false">(E58/100)*F58</f>
        <v>25.84</v>
      </c>
      <c r="H58" s="0" t="n">
        <v>0</v>
      </c>
      <c r="I58" s="2" t="n">
        <f aca="false">(E58/100)*H58</f>
        <v>0</v>
      </c>
      <c r="J58" s="0" t="n">
        <v>0</v>
      </c>
      <c r="K58" s="6" t="n">
        <f aca="false">G58/E58</f>
        <v>0.76</v>
      </c>
      <c r="L58" s="7" t="n">
        <v>0.045</v>
      </c>
      <c r="M58" s="7" t="n">
        <f aca="false">2.25/G58</f>
        <v>0.0870743034055728</v>
      </c>
      <c r="N58" s="0" t="n">
        <v>0</v>
      </c>
      <c r="O58" s="0" t="n">
        <v>0</v>
      </c>
      <c r="P58" s="0" t="n">
        <v>0</v>
      </c>
      <c r="Q58" s="0" t="n">
        <v>0</v>
      </c>
      <c r="R58" s="0" t="n">
        <v>204</v>
      </c>
      <c r="U58" s="8" t="s">
        <v>90</v>
      </c>
      <c r="V58" s="0" t="n">
        <v>1</v>
      </c>
    </row>
    <row r="59" customFormat="false" ht="12.8" hidden="false" customHeight="false" outlineLevel="0" collapsed="false">
      <c r="A59" s="0" t="s">
        <v>88</v>
      </c>
      <c r="B59" s="0" t="s">
        <v>20</v>
      </c>
      <c r="C59" s="0" t="s">
        <v>21</v>
      </c>
      <c r="D59" s="0" t="s">
        <v>97</v>
      </c>
      <c r="E59" s="0" t="n">
        <v>34</v>
      </c>
      <c r="F59" s="0" t="n">
        <v>75</v>
      </c>
      <c r="G59" s="1" t="n">
        <f aca="false">(E59/100)*F59</f>
        <v>25.5</v>
      </c>
      <c r="H59" s="0" t="n">
        <v>0</v>
      </c>
      <c r="I59" s="2" t="n">
        <f aca="false">(E59/100)*H59</f>
        <v>0</v>
      </c>
      <c r="J59" s="0" t="n">
        <v>0</v>
      </c>
      <c r="K59" s="6" t="n">
        <f aca="false">G59/E59</f>
        <v>0.75</v>
      </c>
      <c r="L59" s="7" t="n">
        <v>0.068</v>
      </c>
      <c r="M59" s="7" t="n">
        <f aca="false">2.25/G59</f>
        <v>0.0882352941176471</v>
      </c>
      <c r="N59" s="0" t="n">
        <v>0</v>
      </c>
      <c r="O59" s="0" t="n">
        <v>0</v>
      </c>
      <c r="P59" s="0" t="n">
        <v>0</v>
      </c>
      <c r="Q59" s="0" t="n">
        <v>0</v>
      </c>
      <c r="S59" s="0" t="s">
        <v>50</v>
      </c>
      <c r="U59" s="8" t="s">
        <v>90</v>
      </c>
      <c r="V59" s="0" t="n">
        <v>1</v>
      </c>
    </row>
    <row r="60" customFormat="false" ht="12.8" hidden="false" customHeight="false" outlineLevel="0" collapsed="false">
      <c r="A60" s="0" t="s">
        <v>88</v>
      </c>
      <c r="B60" s="0" t="s">
        <v>20</v>
      </c>
      <c r="C60" s="0" t="s">
        <v>21</v>
      </c>
      <c r="D60" s="0" t="s">
        <v>98</v>
      </c>
      <c r="E60" s="0" t="n">
        <v>34</v>
      </c>
      <c r="F60" s="0" t="n">
        <v>75</v>
      </c>
      <c r="G60" s="1" t="n">
        <f aca="false">(E60/100)*F60</f>
        <v>25.5</v>
      </c>
      <c r="H60" s="0" t="n">
        <v>0</v>
      </c>
      <c r="I60" s="2" t="n">
        <f aca="false">(E60/100)*H60</f>
        <v>0</v>
      </c>
      <c r="J60" s="0" t="n">
        <v>25</v>
      </c>
      <c r="K60" s="6" t="n">
        <f aca="false">G60/E60</f>
        <v>0.75</v>
      </c>
      <c r="L60" s="7" t="n">
        <v>0.045</v>
      </c>
      <c r="M60" s="7" t="n">
        <f aca="false">2.69/G60</f>
        <v>0.105490196078431</v>
      </c>
      <c r="N60" s="0" t="n">
        <v>0</v>
      </c>
      <c r="O60" s="0" t="n">
        <v>0</v>
      </c>
      <c r="P60" s="0" t="n">
        <v>0</v>
      </c>
      <c r="Q60" s="0" t="n">
        <v>0</v>
      </c>
      <c r="U60" s="8" t="s">
        <v>90</v>
      </c>
      <c r="V60" s="0" t="n">
        <v>1</v>
      </c>
    </row>
    <row r="61" customFormat="false" ht="12.8" hidden="false" customHeight="false" outlineLevel="0" collapsed="false">
      <c r="A61" s="0" t="s">
        <v>88</v>
      </c>
      <c r="B61" s="0" t="s">
        <v>20</v>
      </c>
      <c r="C61" s="0" t="s">
        <v>21</v>
      </c>
      <c r="D61" s="0" t="s">
        <v>99</v>
      </c>
      <c r="E61" s="0" t="n">
        <v>32</v>
      </c>
      <c r="F61" s="0" t="n">
        <v>79</v>
      </c>
      <c r="G61" s="1" t="n">
        <f aca="false">(E61/100)*F61</f>
        <v>25.28</v>
      </c>
      <c r="H61" s="0" t="n">
        <v>0</v>
      </c>
      <c r="I61" s="2" t="n">
        <f aca="false">(E61/100)*H61</f>
        <v>0</v>
      </c>
      <c r="J61" s="0" t="n">
        <v>80</v>
      </c>
      <c r="K61" s="6" t="n">
        <f aca="false">G61/E61</f>
        <v>0.79</v>
      </c>
      <c r="L61" s="7" t="n">
        <v>0.0084</v>
      </c>
      <c r="M61" s="7" t="n">
        <f aca="false">2.59/G61</f>
        <v>0.10245253164557</v>
      </c>
      <c r="N61" s="0" t="n">
        <v>0</v>
      </c>
      <c r="O61" s="0" t="n">
        <v>0</v>
      </c>
      <c r="P61" s="0" t="n">
        <v>0</v>
      </c>
      <c r="Q61" s="0" t="n">
        <v>0</v>
      </c>
      <c r="U61" s="8" t="s">
        <v>90</v>
      </c>
      <c r="V61" s="0" t="n">
        <v>1</v>
      </c>
    </row>
    <row r="62" customFormat="false" ht="12.8" hidden="false" customHeight="false" outlineLevel="0" collapsed="false">
      <c r="A62" s="0" t="s">
        <v>88</v>
      </c>
      <c r="B62" s="0" t="s">
        <v>20</v>
      </c>
      <c r="C62" s="0" t="s">
        <v>21</v>
      </c>
      <c r="D62" s="0" t="s">
        <v>100</v>
      </c>
      <c r="E62" s="0" t="n">
        <v>32</v>
      </c>
      <c r="F62" s="0" t="n">
        <v>79</v>
      </c>
      <c r="G62" s="1" t="n">
        <f aca="false">(E62/100)*F62</f>
        <v>25.28</v>
      </c>
      <c r="H62" s="0" t="n">
        <v>0</v>
      </c>
      <c r="I62" s="2" t="n">
        <f aca="false">(E62/100)*H62</f>
        <v>0</v>
      </c>
      <c r="J62" s="0" t="n">
        <v>0</v>
      </c>
      <c r="K62" s="6" t="n">
        <f aca="false">G62/E62</f>
        <v>0.79</v>
      </c>
      <c r="L62" s="7" t="n">
        <v>0.045</v>
      </c>
      <c r="M62" s="7" t="n">
        <f aca="false">2.43/G62</f>
        <v>0.096123417721519</v>
      </c>
      <c r="N62" s="0" t="n">
        <v>1</v>
      </c>
      <c r="O62" s="0" t="n">
        <v>0</v>
      </c>
      <c r="P62" s="0" t="n">
        <v>0</v>
      </c>
      <c r="Q62" s="0" t="n">
        <v>0</v>
      </c>
      <c r="U62" s="8" t="s">
        <v>90</v>
      </c>
      <c r="V62" s="0" t="n">
        <v>1</v>
      </c>
    </row>
    <row r="63" customFormat="false" ht="12.8" hidden="false" customHeight="false" outlineLevel="0" collapsed="false">
      <c r="A63" s="0" t="s">
        <v>88</v>
      </c>
      <c r="B63" s="0" t="s">
        <v>36</v>
      </c>
      <c r="C63" s="0" t="s">
        <v>37</v>
      </c>
      <c r="D63" s="0" t="s">
        <v>101</v>
      </c>
      <c r="E63" s="0" t="n">
        <v>40</v>
      </c>
      <c r="F63" s="0" t="n">
        <v>66</v>
      </c>
      <c r="G63" s="1" t="n">
        <f aca="false">(E63/100)*F63</f>
        <v>26.4</v>
      </c>
      <c r="H63" s="0" t="n">
        <v>5</v>
      </c>
      <c r="I63" s="2" t="n">
        <f aca="false">(E63/100)*H63</f>
        <v>2</v>
      </c>
      <c r="J63" s="0" t="n">
        <v>0</v>
      </c>
      <c r="K63" s="6" t="n">
        <f aca="false">G63/E63</f>
        <v>0.66</v>
      </c>
      <c r="L63" s="7" t="n">
        <v>0.098</v>
      </c>
      <c r="M63" s="7" t="n">
        <f aca="false">(10.9/4)/G63</f>
        <v>0.103219696969697</v>
      </c>
      <c r="N63" s="0" t="n">
        <v>0</v>
      </c>
      <c r="O63" s="0" t="n">
        <v>0</v>
      </c>
      <c r="P63" s="0" t="n">
        <v>0</v>
      </c>
      <c r="Q63" s="0" t="n">
        <v>0</v>
      </c>
      <c r="R63" s="0" t="n">
        <v>800</v>
      </c>
      <c r="S63" s="0" t="s">
        <v>50</v>
      </c>
      <c r="U63" s="8" t="s">
        <v>90</v>
      </c>
      <c r="V63" s="0" t="n">
        <v>1</v>
      </c>
    </row>
    <row r="64" customFormat="false" ht="12.8" hidden="false" customHeight="false" outlineLevel="0" collapsed="false">
      <c r="A64" s="0" t="s">
        <v>88</v>
      </c>
      <c r="B64" s="0" t="s">
        <v>36</v>
      </c>
      <c r="C64" s="0" t="s">
        <v>37</v>
      </c>
      <c r="D64" s="0" t="s">
        <v>102</v>
      </c>
      <c r="E64" s="0" t="n">
        <v>25</v>
      </c>
      <c r="F64" s="0" t="n">
        <v>76</v>
      </c>
      <c r="G64" s="1" t="n">
        <f aca="false">(E64/100)*F64</f>
        <v>19</v>
      </c>
      <c r="H64" s="0" t="n">
        <v>0</v>
      </c>
      <c r="I64" s="2" t="n">
        <f aca="false">(E64/100)*H64</f>
        <v>0</v>
      </c>
      <c r="J64" s="0" t="n">
        <v>0</v>
      </c>
      <c r="K64" s="6" t="n">
        <f aca="false">G64/E64</f>
        <v>0.76</v>
      </c>
      <c r="L64" s="7" t="n">
        <v>0.02</v>
      </c>
      <c r="M64" s="7" t="n">
        <f aca="false">(6.9/4)/G64</f>
        <v>0.0907894736842105</v>
      </c>
      <c r="N64" s="0" t="n">
        <v>1</v>
      </c>
      <c r="O64" s="0" t="n">
        <v>0</v>
      </c>
      <c r="P64" s="0" t="n">
        <v>0</v>
      </c>
      <c r="Q64" s="0" t="n">
        <v>0</v>
      </c>
      <c r="U64" s="8" t="s">
        <v>90</v>
      </c>
      <c r="V64" s="0" t="n">
        <v>1</v>
      </c>
    </row>
    <row r="65" customFormat="false" ht="12.8" hidden="false" customHeight="false" outlineLevel="0" collapsed="false">
      <c r="A65" s="0" t="s">
        <v>88</v>
      </c>
      <c r="B65" s="0" t="s">
        <v>36</v>
      </c>
      <c r="C65" s="0" t="s">
        <v>37</v>
      </c>
      <c r="D65" s="0" t="s">
        <v>103</v>
      </c>
      <c r="E65" s="0" t="n">
        <v>25</v>
      </c>
      <c r="F65" s="0" t="n">
        <v>60</v>
      </c>
      <c r="G65" s="1" t="n">
        <f aca="false">(E65/100)*F65</f>
        <v>15</v>
      </c>
      <c r="H65" s="0" t="n">
        <v>7.5</v>
      </c>
      <c r="I65" s="2" t="n">
        <f aca="false">(E65/100)*H65</f>
        <v>1.875</v>
      </c>
      <c r="J65" s="0" t="n">
        <v>0</v>
      </c>
      <c r="K65" s="6" t="n">
        <f aca="false">G65/E65</f>
        <v>0.6</v>
      </c>
      <c r="L65" s="7" t="n">
        <v>0.02</v>
      </c>
      <c r="M65" s="7" t="n">
        <f aca="false">(9.9/4)/G65</f>
        <v>0.165</v>
      </c>
      <c r="N65" s="0" t="n">
        <v>1</v>
      </c>
      <c r="O65" s="0" t="n">
        <v>0</v>
      </c>
      <c r="P65" s="0" t="n">
        <v>0</v>
      </c>
      <c r="Q65" s="0" t="n">
        <v>0</v>
      </c>
      <c r="U65" s="8" t="s">
        <v>90</v>
      </c>
      <c r="V65" s="0" t="n">
        <v>1</v>
      </c>
    </row>
    <row r="66" customFormat="false" ht="12.8" hidden="false" customHeight="false" outlineLevel="0" collapsed="false">
      <c r="A66" s="0" t="s">
        <v>88</v>
      </c>
      <c r="B66" s="0" t="s">
        <v>36</v>
      </c>
      <c r="C66" s="0" t="s">
        <v>37</v>
      </c>
      <c r="D66" s="0" t="s">
        <v>104</v>
      </c>
      <c r="E66" s="0" t="n">
        <v>32</v>
      </c>
      <c r="F66" s="0" t="n">
        <v>61</v>
      </c>
      <c r="G66" s="1" t="n">
        <f aca="false">(E66/100)*F66</f>
        <v>19.52</v>
      </c>
      <c r="H66" s="0" t="n">
        <v>10</v>
      </c>
      <c r="I66" s="2" t="n">
        <f aca="false">(E66/100)*H66</f>
        <v>3.2</v>
      </c>
      <c r="J66" s="0" t="n">
        <v>0</v>
      </c>
      <c r="K66" s="6" t="n">
        <f aca="false">G66/E66</f>
        <v>0.61</v>
      </c>
      <c r="L66" s="7" t="n">
        <v>0.04</v>
      </c>
      <c r="M66" s="7" t="n">
        <f aca="false">(10.9/4)/G66</f>
        <v>0.139600409836066</v>
      </c>
      <c r="N66" s="0" t="n">
        <v>0</v>
      </c>
      <c r="O66" s="0" t="n">
        <v>1</v>
      </c>
      <c r="P66" s="0" t="n">
        <v>0</v>
      </c>
      <c r="Q66" s="0" t="n">
        <v>0</v>
      </c>
      <c r="U66" s="8" t="s">
        <v>90</v>
      </c>
      <c r="V66" s="0" t="n">
        <v>1</v>
      </c>
    </row>
    <row r="67" customFormat="false" ht="12.8" hidden="false" customHeight="false" outlineLevel="0" collapsed="false">
      <c r="A67" s="0" t="s">
        <v>88</v>
      </c>
      <c r="B67" s="0" t="s">
        <v>36</v>
      </c>
      <c r="C67" s="0" t="s">
        <v>37</v>
      </c>
      <c r="D67" s="0" t="s">
        <v>105</v>
      </c>
      <c r="E67" s="0" t="n">
        <v>50</v>
      </c>
      <c r="F67" s="0" t="n">
        <v>52</v>
      </c>
      <c r="G67" s="1" t="n">
        <f aca="false">(E67/100)*F67</f>
        <v>26</v>
      </c>
      <c r="H67" s="0" t="n">
        <v>13</v>
      </c>
      <c r="I67" s="2" t="n">
        <f aca="false">(E67/100)*H67</f>
        <v>6.5</v>
      </c>
      <c r="J67" s="0" t="n">
        <v>0</v>
      </c>
      <c r="K67" s="6" t="n">
        <f aca="false">G67/E67</f>
        <v>0.52</v>
      </c>
      <c r="L67" s="7" t="n">
        <v>0.07</v>
      </c>
      <c r="M67" s="7" t="n">
        <f aca="false">(10.9/4)/G67</f>
        <v>0.104807692307692</v>
      </c>
      <c r="N67" s="0" t="n">
        <v>0</v>
      </c>
      <c r="O67" s="0" t="n">
        <v>1</v>
      </c>
      <c r="P67" s="0" t="n">
        <v>0</v>
      </c>
      <c r="Q67" s="0" t="n">
        <v>0</v>
      </c>
      <c r="S67" s="0" t="s">
        <v>50</v>
      </c>
      <c r="U67" s="8" t="s">
        <v>90</v>
      </c>
      <c r="V67" s="0" t="n">
        <v>1</v>
      </c>
    </row>
    <row r="68" customFormat="false" ht="12.8" hidden="false" customHeight="false" outlineLevel="0" collapsed="false">
      <c r="A68" s="0" t="s">
        <v>88</v>
      </c>
      <c r="B68" s="0" t="s">
        <v>36</v>
      </c>
      <c r="C68" s="0" t="s">
        <v>37</v>
      </c>
      <c r="D68" s="0" t="s">
        <v>106</v>
      </c>
      <c r="E68" s="0" t="n">
        <v>40</v>
      </c>
      <c r="F68" s="0" t="n">
        <v>34</v>
      </c>
      <c r="G68" s="1" t="n">
        <f aca="false">(E68/100)*F68</f>
        <v>13.6</v>
      </c>
      <c r="H68" s="0" t="n">
        <v>15</v>
      </c>
      <c r="I68" s="2" t="n">
        <f aca="false">(E68/100)*H68</f>
        <v>6</v>
      </c>
      <c r="J68" s="0" t="n">
        <v>0</v>
      </c>
      <c r="K68" s="6" t="n">
        <f aca="false">G68/E68</f>
        <v>0.34</v>
      </c>
      <c r="L68" s="7" t="n">
        <v>0.1</v>
      </c>
      <c r="M68" s="7" t="n">
        <f aca="false">(10.9/4)/G68</f>
        <v>0.200367647058823</v>
      </c>
      <c r="N68" s="0" t="n">
        <v>0</v>
      </c>
      <c r="O68" s="0" t="n">
        <v>0</v>
      </c>
      <c r="P68" s="0" t="n">
        <v>1</v>
      </c>
      <c r="Q68" s="0" t="n">
        <v>0</v>
      </c>
      <c r="S68" s="0" t="s">
        <v>50</v>
      </c>
      <c r="U68" s="8" t="s">
        <v>90</v>
      </c>
      <c r="V68" s="0" t="n">
        <v>1</v>
      </c>
    </row>
    <row r="69" customFormat="false" ht="12.8" hidden="false" customHeight="false" outlineLevel="0" collapsed="false">
      <c r="A69" s="0" t="s">
        <v>88</v>
      </c>
      <c r="B69" s="0" t="s">
        <v>45</v>
      </c>
      <c r="C69" s="0" t="s">
        <v>46</v>
      </c>
      <c r="D69" s="0" t="s">
        <v>107</v>
      </c>
      <c r="E69" s="0" t="n">
        <v>40</v>
      </c>
      <c r="F69" s="0" t="n">
        <v>28</v>
      </c>
      <c r="G69" s="1" t="n">
        <f aca="false">(E69/100)*F69</f>
        <v>11.2</v>
      </c>
      <c r="H69" s="0" t="n">
        <v>17</v>
      </c>
      <c r="I69" s="2" t="n">
        <f aca="false">(E69/100)*H69</f>
        <v>6.8</v>
      </c>
      <c r="J69" s="0" t="n">
        <v>0</v>
      </c>
      <c r="K69" s="6" t="n">
        <f aca="false">G69/E69</f>
        <v>0.28</v>
      </c>
      <c r="L69" s="7" t="n">
        <v>0.233</v>
      </c>
      <c r="M69" s="7" t="n">
        <f aca="false">(10.9/4)/G69</f>
        <v>0.243303571428571</v>
      </c>
      <c r="N69" s="0" t="n">
        <v>0</v>
      </c>
      <c r="O69" s="0" t="n">
        <v>0</v>
      </c>
      <c r="P69" s="0" t="n">
        <v>1</v>
      </c>
      <c r="Q69" s="0" t="n">
        <v>0</v>
      </c>
      <c r="S69" s="0" t="s">
        <v>50</v>
      </c>
      <c r="U69" s="8" t="s">
        <v>90</v>
      </c>
      <c r="V69" s="0" t="n">
        <v>1</v>
      </c>
    </row>
    <row r="70" customFormat="false" ht="12.8" hidden="false" customHeight="false" outlineLevel="0" collapsed="false">
      <c r="A70" s="0" t="s">
        <v>88</v>
      </c>
      <c r="B70" s="0" t="s">
        <v>36</v>
      </c>
      <c r="C70" s="0" t="s">
        <v>37</v>
      </c>
      <c r="D70" s="0" t="s">
        <v>108</v>
      </c>
      <c r="E70" s="0" t="n">
        <v>50</v>
      </c>
      <c r="F70" s="0" t="n">
        <v>66</v>
      </c>
      <c r="G70" s="1" t="n">
        <f aca="false">(E70/100)*F70</f>
        <v>33</v>
      </c>
      <c r="H70" s="0" t="n">
        <v>8.6</v>
      </c>
      <c r="I70" s="2" t="n">
        <f aca="false">(E70/100)*H70</f>
        <v>4.3</v>
      </c>
      <c r="J70" s="0" t="n">
        <v>0</v>
      </c>
      <c r="K70" s="6" t="n">
        <f aca="false">G70/E70</f>
        <v>0.66</v>
      </c>
      <c r="L70" s="7" t="n">
        <f aca="false">0.3*0.4</f>
        <v>0.12</v>
      </c>
      <c r="M70" s="7" t="n">
        <f aca="false">(10.9/4)/G70</f>
        <v>0.0825757575757576</v>
      </c>
      <c r="N70" s="0" t="n">
        <v>0</v>
      </c>
      <c r="O70" s="0" t="n">
        <v>1</v>
      </c>
      <c r="P70" s="0" t="n">
        <v>0</v>
      </c>
      <c r="Q70" s="0" t="n">
        <v>1</v>
      </c>
      <c r="U70" s="8" t="s">
        <v>90</v>
      </c>
      <c r="V70" s="0" t="n">
        <v>1</v>
      </c>
    </row>
    <row r="71" customFormat="false" ht="12.8" hidden="false" customHeight="false" outlineLevel="0" collapsed="false">
      <c r="A71" s="0" t="s">
        <v>88</v>
      </c>
      <c r="B71" s="0" t="s">
        <v>36</v>
      </c>
      <c r="C71" s="0" t="s">
        <v>37</v>
      </c>
      <c r="D71" s="0" t="s">
        <v>109</v>
      </c>
      <c r="E71" s="0" t="n">
        <v>50</v>
      </c>
      <c r="F71" s="0" t="n">
        <v>57</v>
      </c>
      <c r="G71" s="1" t="n">
        <f aca="false">(E71/100)*F71</f>
        <v>28.5</v>
      </c>
      <c r="H71" s="0" t="n">
        <v>11</v>
      </c>
      <c r="I71" s="2" t="n">
        <f aca="false">(E71/100)*H71</f>
        <v>5.5</v>
      </c>
      <c r="J71" s="0" t="n">
        <v>0</v>
      </c>
      <c r="K71" s="6" t="n">
        <f aca="false">G71/E71</f>
        <v>0.57</v>
      </c>
      <c r="L71" s="7" t="n">
        <v>0.11</v>
      </c>
      <c r="M71" s="7" t="n">
        <f aca="false">(10.9/4)/G71</f>
        <v>0.0956140350877193</v>
      </c>
      <c r="N71" s="0" t="n">
        <v>0</v>
      </c>
      <c r="O71" s="0" t="n">
        <v>1</v>
      </c>
      <c r="P71" s="0" t="n">
        <v>0</v>
      </c>
      <c r="Q71" s="0" t="n">
        <v>1</v>
      </c>
      <c r="U71" s="8" t="s">
        <v>90</v>
      </c>
      <c r="V71" s="0" t="n">
        <v>1</v>
      </c>
    </row>
    <row r="72" customFormat="false" ht="12.8" hidden="false" customHeight="false" outlineLevel="0" collapsed="false">
      <c r="A72" s="0" t="s">
        <v>88</v>
      </c>
      <c r="B72" s="0" t="s">
        <v>36</v>
      </c>
      <c r="C72" s="0" t="s">
        <v>37</v>
      </c>
      <c r="D72" s="0" t="s">
        <v>110</v>
      </c>
      <c r="E72" s="0" t="n">
        <v>25</v>
      </c>
      <c r="F72" s="0" t="n">
        <v>60</v>
      </c>
      <c r="G72" s="1" t="n">
        <f aca="false">(E72/100)*F72</f>
        <v>15</v>
      </c>
      <c r="H72" s="0" t="n">
        <v>10</v>
      </c>
      <c r="I72" s="2" t="n">
        <f aca="false">(E72/100)*H72</f>
        <v>2.5</v>
      </c>
      <c r="J72" s="0" t="n">
        <v>0</v>
      </c>
      <c r="K72" s="6" t="n">
        <f aca="false">G72/E72</f>
        <v>0.6</v>
      </c>
      <c r="L72" s="7" t="n">
        <v>0</v>
      </c>
      <c r="M72" s="7" t="n">
        <f aca="false">(8.8/4)/G72</f>
        <v>0.146666666666667</v>
      </c>
      <c r="N72" s="0" t="n">
        <v>1</v>
      </c>
      <c r="O72" s="0" t="n">
        <v>0</v>
      </c>
      <c r="P72" s="0" t="n">
        <v>1</v>
      </c>
      <c r="Q72" s="0" t="n">
        <v>0</v>
      </c>
      <c r="U72" s="8" t="s">
        <v>90</v>
      </c>
      <c r="V72" s="0" t="n">
        <v>1</v>
      </c>
    </row>
    <row r="73" customFormat="false" ht="12.8" hidden="false" customHeight="false" outlineLevel="0" collapsed="false">
      <c r="A73" s="0" t="s">
        <v>88</v>
      </c>
      <c r="B73" s="0" t="s">
        <v>36</v>
      </c>
      <c r="C73" s="0" t="s">
        <v>37</v>
      </c>
      <c r="D73" s="0" t="s">
        <v>111</v>
      </c>
      <c r="E73" s="0" t="n">
        <v>48</v>
      </c>
      <c r="F73" s="0" t="n">
        <v>62</v>
      </c>
      <c r="G73" s="1" t="n">
        <f aca="false">(E73/100)*F73</f>
        <v>29.76</v>
      </c>
      <c r="H73" s="0" t="n">
        <v>3.8</v>
      </c>
      <c r="I73" s="2" t="n">
        <f aca="false">(E73/100)*H73</f>
        <v>1.824</v>
      </c>
      <c r="J73" s="0" t="n">
        <v>0</v>
      </c>
      <c r="K73" s="6" t="n">
        <f aca="false">G73/E73</f>
        <v>0.62</v>
      </c>
      <c r="L73" s="7" t="n">
        <v>0</v>
      </c>
      <c r="M73" s="7" t="n">
        <f aca="false">(8.85/3)/G73</f>
        <v>0.0991263440860215</v>
      </c>
      <c r="N73" s="0" t="n">
        <v>1</v>
      </c>
      <c r="O73" s="0" t="n">
        <v>0</v>
      </c>
      <c r="P73" s="0" t="n">
        <v>1</v>
      </c>
      <c r="Q73" s="0" t="n">
        <v>0</v>
      </c>
      <c r="U73" s="8" t="s">
        <v>90</v>
      </c>
      <c r="V73" s="0" t="n">
        <v>1</v>
      </c>
    </row>
    <row r="74" customFormat="false" ht="12.8" hidden="false" customHeight="false" outlineLevel="0" collapsed="false">
      <c r="A74" s="0" t="s">
        <v>88</v>
      </c>
      <c r="B74" s="0" t="s">
        <v>36</v>
      </c>
      <c r="C74" s="0" t="s">
        <v>37</v>
      </c>
      <c r="D74" s="0" t="s">
        <v>112</v>
      </c>
      <c r="E74" s="0" t="n">
        <f aca="false">3.75*8</f>
        <v>30</v>
      </c>
      <c r="F74" s="0" t="n">
        <v>75</v>
      </c>
      <c r="G74" s="1" t="n">
        <f aca="false">(E74/100)*F74</f>
        <v>22.5</v>
      </c>
      <c r="H74" s="0" t="n">
        <v>0</v>
      </c>
      <c r="I74" s="2" t="n">
        <f aca="false">(E74/100)*H74</f>
        <v>0</v>
      </c>
      <c r="J74" s="0" t="n">
        <v>0</v>
      </c>
      <c r="K74" s="6" t="n">
        <f aca="false">G74/E74</f>
        <v>0.75</v>
      </c>
      <c r="L74" s="7" t="n">
        <v>0.004</v>
      </c>
      <c r="M74" s="7" t="n">
        <f aca="false">(8.85/3)/G74</f>
        <v>0.131111111111111</v>
      </c>
      <c r="N74" s="0" t="n">
        <v>1</v>
      </c>
      <c r="O74" s="0" t="n">
        <v>1</v>
      </c>
      <c r="P74" s="0" t="n">
        <v>0</v>
      </c>
      <c r="Q74" s="0" t="n">
        <v>0</v>
      </c>
      <c r="U74" s="8" t="s">
        <v>90</v>
      </c>
      <c r="V74" s="0" t="n">
        <v>1</v>
      </c>
    </row>
    <row r="75" customFormat="false" ht="12.8" hidden="false" customHeight="false" outlineLevel="0" collapsed="false">
      <c r="A75" s="0" t="s">
        <v>113</v>
      </c>
      <c r="B75" s="0" t="s">
        <v>20</v>
      </c>
      <c r="C75" s="0" t="s">
        <v>21</v>
      </c>
      <c r="D75" s="0" t="s">
        <v>114</v>
      </c>
      <c r="E75" s="0" t="n">
        <v>40</v>
      </c>
      <c r="F75" s="0" t="n">
        <v>62.5</v>
      </c>
      <c r="G75" s="1" t="n">
        <f aca="false">(E75/100)*F75</f>
        <v>25</v>
      </c>
      <c r="H75" s="0" t="n">
        <v>0</v>
      </c>
      <c r="I75" s="2" t="n">
        <f aca="false">(E75/100)*H75</f>
        <v>0</v>
      </c>
      <c r="J75" s="0" t="n">
        <v>0</v>
      </c>
      <c r="K75" s="6" t="n">
        <f aca="false">G75/E75</f>
        <v>0.625</v>
      </c>
      <c r="L75" s="7" t="n">
        <f aca="false">0.05*0.4</f>
        <v>0.02</v>
      </c>
      <c r="M75" s="7" t="n">
        <f aca="false">3.49/G75</f>
        <v>0.1396</v>
      </c>
      <c r="N75" s="0" t="n">
        <v>0</v>
      </c>
      <c r="O75" s="0" t="n">
        <v>0</v>
      </c>
      <c r="P75" s="0" t="n">
        <v>0</v>
      </c>
      <c r="Q75" s="0" t="n">
        <v>0</v>
      </c>
      <c r="U75" s="0" t="s">
        <v>115</v>
      </c>
      <c r="V75" s="0" t="n">
        <v>1</v>
      </c>
    </row>
    <row r="76" customFormat="false" ht="12.8" hidden="false" customHeight="false" outlineLevel="0" collapsed="false">
      <c r="A76" s="0" t="s">
        <v>113</v>
      </c>
      <c r="B76" s="0" t="s">
        <v>20</v>
      </c>
      <c r="C76" s="0" t="s">
        <v>21</v>
      </c>
      <c r="D76" s="0" t="s">
        <v>116</v>
      </c>
      <c r="E76" s="0" t="n">
        <v>40</v>
      </c>
      <c r="F76" s="0" t="n">
        <v>62.5</v>
      </c>
      <c r="G76" s="1" t="n">
        <f aca="false">(E76/100)*F76</f>
        <v>25</v>
      </c>
      <c r="H76" s="0" t="n">
        <v>0</v>
      </c>
      <c r="I76" s="2" t="n">
        <f aca="false">(E76/100)*H76</f>
        <v>0</v>
      </c>
      <c r="J76" s="0" t="n">
        <v>100</v>
      </c>
      <c r="K76" s="6" t="n">
        <f aca="false">G76/E76</f>
        <v>0.625</v>
      </c>
      <c r="L76" s="7" t="n">
        <v>0.02</v>
      </c>
      <c r="M76" s="7" t="n">
        <f aca="false">3.99/G76</f>
        <v>0.1596</v>
      </c>
      <c r="N76" s="0" t="n">
        <v>0</v>
      </c>
      <c r="O76" s="0" t="n">
        <v>0</v>
      </c>
      <c r="P76" s="0" t="n">
        <v>0</v>
      </c>
      <c r="Q76" s="0" t="n">
        <v>0</v>
      </c>
      <c r="U76" s="0" t="s">
        <v>115</v>
      </c>
      <c r="V76" s="0" t="n">
        <v>1</v>
      </c>
    </row>
    <row r="77" customFormat="false" ht="12.8" hidden="false" customHeight="false" outlineLevel="0" collapsed="false">
      <c r="A77" s="0" t="s">
        <v>113</v>
      </c>
      <c r="B77" s="0" t="s">
        <v>20</v>
      </c>
      <c r="C77" s="0" t="s">
        <v>21</v>
      </c>
      <c r="D77" s="0" t="s">
        <v>117</v>
      </c>
      <c r="E77" s="0" t="n">
        <v>65</v>
      </c>
      <c r="F77" s="0" t="n">
        <v>62.5</v>
      </c>
      <c r="G77" s="1" t="n">
        <f aca="false">(E77/100)*F77</f>
        <v>40.625</v>
      </c>
      <c r="H77" s="0" t="n">
        <v>0</v>
      </c>
      <c r="I77" s="2" t="n">
        <f aca="false">(E77/100)*H77</f>
        <v>0</v>
      </c>
      <c r="J77" s="0" t="n">
        <v>0</v>
      </c>
      <c r="K77" s="6" t="n">
        <f aca="false">G77/E77</f>
        <v>0.625</v>
      </c>
      <c r="L77" s="7" t="n">
        <f aca="false">0.08*0.4</f>
        <v>0.032</v>
      </c>
      <c r="M77" s="7" t="n">
        <f aca="false">4.9/G77</f>
        <v>0.120615384615385</v>
      </c>
      <c r="N77" s="0" t="n">
        <v>0</v>
      </c>
      <c r="O77" s="0" t="n">
        <v>0</v>
      </c>
      <c r="P77" s="0" t="n">
        <v>0</v>
      </c>
      <c r="Q77" s="0" t="n">
        <v>0</v>
      </c>
      <c r="U77" s="0" t="s">
        <v>115</v>
      </c>
      <c r="V77" s="0" t="n">
        <v>1</v>
      </c>
    </row>
    <row r="78" customFormat="false" ht="12.8" hidden="false" customHeight="false" outlineLevel="0" collapsed="false">
      <c r="A78" s="0" t="s">
        <v>113</v>
      </c>
      <c r="B78" s="0" t="s">
        <v>36</v>
      </c>
      <c r="C78" s="0" t="s">
        <v>37</v>
      </c>
      <c r="D78" s="0" t="s">
        <v>118</v>
      </c>
      <c r="E78" s="0" t="n">
        <v>55</v>
      </c>
      <c r="F78" s="0" t="n">
        <v>72.7</v>
      </c>
      <c r="G78" s="1" t="n">
        <f aca="false">(E78/100)*F78</f>
        <v>39.985</v>
      </c>
      <c r="H78" s="0" t="n">
        <v>4.3</v>
      </c>
      <c r="I78" s="2" t="n">
        <f aca="false">(E78/100)*H78</f>
        <v>2.365</v>
      </c>
      <c r="J78" s="0" t="n">
        <v>0</v>
      </c>
      <c r="K78" s="6" t="n">
        <f aca="false">G78/E78</f>
        <v>0.727</v>
      </c>
      <c r="L78" s="7" t="n">
        <f aca="false">0.61*0.4</f>
        <v>0.244</v>
      </c>
      <c r="M78" s="7" t="n">
        <f aca="false">3.25/G78</f>
        <v>0.0812804801800675</v>
      </c>
      <c r="N78" s="0" t="n">
        <v>0</v>
      </c>
      <c r="O78" s="0" t="n">
        <v>0</v>
      </c>
      <c r="P78" s="0" t="n">
        <v>0</v>
      </c>
      <c r="Q78" s="0" t="n">
        <v>0</v>
      </c>
      <c r="U78" s="0" t="s">
        <v>115</v>
      </c>
      <c r="V78" s="0" t="n">
        <v>1</v>
      </c>
    </row>
    <row r="79" customFormat="false" ht="12.8" hidden="false" customHeight="false" outlineLevel="0" collapsed="false">
      <c r="A79" s="0" t="s">
        <v>113</v>
      </c>
      <c r="B79" s="0" t="s">
        <v>25</v>
      </c>
      <c r="C79" s="0" t="s">
        <v>26</v>
      </c>
      <c r="D79" s="0" t="s">
        <v>119</v>
      </c>
      <c r="E79" s="0" t="n">
        <v>43</v>
      </c>
      <c r="F79" s="0" t="n">
        <v>93</v>
      </c>
      <c r="G79" s="1" t="n">
        <f aca="false">(E79/100)*F79</f>
        <v>39.99</v>
      </c>
      <c r="H79" s="0" t="n">
        <v>0</v>
      </c>
      <c r="I79" s="2" t="n">
        <f aca="false">(E79/100)*H79</f>
        <v>0</v>
      </c>
      <c r="J79" s="0" t="n">
        <v>0</v>
      </c>
      <c r="K79" s="6" t="n">
        <f aca="false">G79/E79</f>
        <v>0.93</v>
      </c>
      <c r="L79" s="7" t="n">
        <f aca="false">0.52*0.4</f>
        <v>0.208</v>
      </c>
      <c r="M79" s="7" t="n">
        <f aca="false">2.39/G79</f>
        <v>0.0597649412353088</v>
      </c>
      <c r="N79" s="0" t="n">
        <v>0</v>
      </c>
      <c r="O79" s="0" t="n">
        <v>0</v>
      </c>
      <c r="P79" s="0" t="n">
        <v>0</v>
      </c>
      <c r="Q79" s="0" t="n">
        <v>0</v>
      </c>
      <c r="U79" s="0" t="s">
        <v>115</v>
      </c>
      <c r="V79" s="0" t="n">
        <v>1</v>
      </c>
    </row>
    <row r="80" customFormat="false" ht="12.8" hidden="false" customHeight="false" outlineLevel="0" collapsed="false">
      <c r="A80" s="0" t="s">
        <v>113</v>
      </c>
      <c r="B80" s="0" t="s">
        <v>25</v>
      </c>
      <c r="C80" s="0" t="s">
        <v>26</v>
      </c>
      <c r="D80" s="0" t="s">
        <v>120</v>
      </c>
      <c r="E80" s="0" t="n">
        <v>80</v>
      </c>
      <c r="F80" s="0" t="n">
        <v>94</v>
      </c>
      <c r="G80" s="1" t="n">
        <f aca="false">(E80/100)*F80</f>
        <v>75.2</v>
      </c>
      <c r="H80" s="0" t="n">
        <v>0</v>
      </c>
      <c r="I80" s="2" t="n">
        <f aca="false">(E80/100)*H80</f>
        <v>0</v>
      </c>
      <c r="J80" s="0" t="n">
        <v>0</v>
      </c>
      <c r="K80" s="6" t="n">
        <f aca="false">G80/E80</f>
        <v>0.94</v>
      </c>
      <c r="L80" s="7" t="n">
        <f aca="false">0.62*0.4</f>
        <v>0.248</v>
      </c>
      <c r="M80" s="7" t="n">
        <f aca="false">3.49/G80</f>
        <v>0.0464095744680851</v>
      </c>
      <c r="N80" s="0" t="n">
        <v>0</v>
      </c>
      <c r="O80" s="0" t="n">
        <v>0</v>
      </c>
      <c r="P80" s="0" t="n">
        <v>0</v>
      </c>
      <c r="Q80" s="0" t="n">
        <v>0</v>
      </c>
      <c r="U80" s="0" t="s">
        <v>115</v>
      </c>
      <c r="V80" s="0" t="n">
        <v>1</v>
      </c>
    </row>
    <row r="81" customFormat="false" ht="12.8" hidden="false" customHeight="false" outlineLevel="0" collapsed="false">
      <c r="A81" s="0" t="s">
        <v>113</v>
      </c>
      <c r="B81" s="0" t="s">
        <v>25</v>
      </c>
      <c r="C81" s="0" t="s">
        <v>26</v>
      </c>
      <c r="D81" s="0" t="s">
        <v>121</v>
      </c>
      <c r="E81" s="0" t="n">
        <v>83</v>
      </c>
      <c r="F81" s="0" t="n">
        <v>95</v>
      </c>
      <c r="G81" s="1" t="n">
        <f aca="false">(E81/100)*F81</f>
        <v>78.85</v>
      </c>
      <c r="H81" s="0" t="n">
        <v>0</v>
      </c>
      <c r="I81" s="2" t="n">
        <f aca="false">(E81/100)*H81</f>
        <v>0</v>
      </c>
      <c r="J81" s="0" t="n">
        <v>100</v>
      </c>
      <c r="K81" s="6" t="n">
        <f aca="false">G81/E81</f>
        <v>0.95</v>
      </c>
      <c r="L81" s="7" t="n">
        <f aca="false">0.63*0.4</f>
        <v>0.252</v>
      </c>
      <c r="M81" s="7" t="n">
        <f aca="false">3.99/G81</f>
        <v>0.0506024096385542</v>
      </c>
      <c r="N81" s="0" t="n">
        <v>0</v>
      </c>
      <c r="O81" s="0" t="n">
        <v>0</v>
      </c>
      <c r="P81" s="0" t="n">
        <v>0</v>
      </c>
      <c r="Q81" s="0" t="n">
        <v>0</v>
      </c>
      <c r="U81" s="0" t="s">
        <v>115</v>
      </c>
      <c r="V81" s="0" t="n">
        <v>1</v>
      </c>
    </row>
    <row r="82" customFormat="false" ht="12.8" hidden="false" customHeight="false" outlineLevel="0" collapsed="false">
      <c r="A82" s="0" t="s">
        <v>122</v>
      </c>
      <c r="B82" s="0" t="s">
        <v>20</v>
      </c>
      <c r="C82" s="0" t="s">
        <v>21</v>
      </c>
      <c r="D82" s="0" t="s">
        <v>123</v>
      </c>
      <c r="E82" s="0" t="n">
        <v>153</v>
      </c>
      <c r="F82" s="0" t="n">
        <v>59</v>
      </c>
      <c r="G82" s="1" t="n">
        <f aca="false">(E82/100)*F82</f>
        <v>90.27</v>
      </c>
      <c r="H82" s="0" t="n">
        <v>0</v>
      </c>
      <c r="I82" s="2" t="n">
        <f aca="false">(E82/100)*H82</f>
        <v>0</v>
      </c>
      <c r="J82" s="0" t="n">
        <v>0</v>
      </c>
      <c r="K82" s="6" t="n">
        <f aca="false">G82/E82</f>
        <v>0.59</v>
      </c>
      <c r="L82" s="7" t="n">
        <v>0</v>
      </c>
      <c r="M82" s="7" t="n">
        <f aca="false">(17.95/3)/G82</f>
        <v>0.0662826335807393</v>
      </c>
      <c r="N82" s="0" t="n">
        <v>0</v>
      </c>
      <c r="O82" s="0" t="n">
        <v>0</v>
      </c>
      <c r="P82" s="0" t="n">
        <v>0</v>
      </c>
      <c r="Q82" s="0" t="n">
        <v>0</v>
      </c>
      <c r="U82" s="0" t="s">
        <v>115</v>
      </c>
      <c r="V82" s="0" t="n">
        <v>1</v>
      </c>
    </row>
    <row r="83" customFormat="false" ht="12.8" hidden="false" customHeight="false" outlineLevel="0" collapsed="false">
      <c r="A83" s="0" t="s">
        <v>122</v>
      </c>
      <c r="B83" s="0" t="s">
        <v>20</v>
      </c>
      <c r="C83" s="0" t="s">
        <v>21</v>
      </c>
      <c r="D83" s="0" t="s">
        <v>124</v>
      </c>
      <c r="E83" s="0" t="n">
        <v>51</v>
      </c>
      <c r="F83" s="0" t="n">
        <v>59</v>
      </c>
      <c r="G83" s="1" t="n">
        <f aca="false">(E83/100)*F83</f>
        <v>30.09</v>
      </c>
      <c r="H83" s="0" t="n">
        <v>0</v>
      </c>
      <c r="I83" s="2" t="n">
        <f aca="false">(E83/100)*H83</f>
        <v>0</v>
      </c>
      <c r="J83" s="0" t="n">
        <v>0</v>
      </c>
      <c r="K83" s="6" t="n">
        <f aca="false">G83/E83</f>
        <v>0.59</v>
      </c>
      <c r="L83" s="7" t="n">
        <v>0</v>
      </c>
      <c r="M83" s="7" t="n">
        <f aca="false">(10.95/4)/G83</f>
        <v>0.0909770687936191</v>
      </c>
      <c r="N83" s="0" t="n">
        <v>0</v>
      </c>
      <c r="O83" s="0" t="n">
        <v>0</v>
      </c>
      <c r="P83" s="0" t="n">
        <v>0</v>
      </c>
      <c r="Q83" s="0" t="n">
        <v>0</v>
      </c>
      <c r="U83" s="0" t="s">
        <v>115</v>
      </c>
      <c r="V83" s="0" t="n">
        <v>1</v>
      </c>
    </row>
    <row r="84" customFormat="false" ht="12.8" hidden="false" customHeight="false" outlineLevel="0" collapsed="false">
      <c r="A84" s="0" t="s">
        <v>122</v>
      </c>
      <c r="B84" s="0" t="s">
        <v>20</v>
      </c>
      <c r="C84" s="0" t="s">
        <v>21</v>
      </c>
      <c r="D84" s="0" t="s">
        <v>125</v>
      </c>
      <c r="E84" s="0" t="n">
        <v>51</v>
      </c>
      <c r="F84" s="0" t="n">
        <v>59</v>
      </c>
      <c r="G84" s="1" t="n">
        <f aca="false">(E84/100)*F84</f>
        <v>30.09</v>
      </c>
      <c r="H84" s="0" t="n">
        <v>0</v>
      </c>
      <c r="I84" s="2" t="n">
        <f aca="false">(E84/100)*H84</f>
        <v>0</v>
      </c>
      <c r="J84" s="0" t="n">
        <v>100</v>
      </c>
      <c r="K84" s="6" t="n">
        <f aca="false">G84/E84</f>
        <v>0.59</v>
      </c>
      <c r="L84" s="7" t="n">
        <v>0</v>
      </c>
      <c r="M84" s="7" t="n">
        <f aca="false">3.33/G84</f>
        <v>0.110667996011964</v>
      </c>
      <c r="N84" s="0" t="n">
        <v>0</v>
      </c>
      <c r="O84" s="0" t="n">
        <v>0</v>
      </c>
      <c r="P84" s="0" t="n">
        <v>0</v>
      </c>
      <c r="Q84" s="0" t="n">
        <v>0</v>
      </c>
      <c r="U84" s="0" t="s">
        <v>115</v>
      </c>
      <c r="V84" s="0" t="n">
        <v>1</v>
      </c>
    </row>
    <row r="85" customFormat="false" ht="12.8" hidden="false" customHeight="false" outlineLevel="0" collapsed="false">
      <c r="A85" s="0" t="s">
        <v>122</v>
      </c>
      <c r="B85" s="0" t="s">
        <v>20</v>
      </c>
      <c r="C85" s="0" t="s">
        <v>21</v>
      </c>
      <c r="D85" s="0" t="s">
        <v>126</v>
      </c>
      <c r="E85" s="0" t="n">
        <v>510</v>
      </c>
      <c r="F85" s="0" t="n">
        <v>59</v>
      </c>
      <c r="G85" s="1" t="n">
        <f aca="false">(E85/100)*F85</f>
        <v>300.9</v>
      </c>
      <c r="H85" s="0" t="n">
        <v>0</v>
      </c>
      <c r="I85" s="2" t="n">
        <f aca="false">(E85/100)*H85</f>
        <v>0</v>
      </c>
      <c r="J85" s="0" t="n">
        <v>0</v>
      </c>
      <c r="K85" s="6" t="n">
        <f aca="false">G85/E85</f>
        <v>0.59</v>
      </c>
      <c r="L85" s="7" t="n">
        <v>0</v>
      </c>
      <c r="M85" s="7" t="n">
        <f aca="false">19.99/G85</f>
        <v>0.0664340312396145</v>
      </c>
      <c r="N85" s="0" t="n">
        <v>0</v>
      </c>
      <c r="O85" s="0" t="n">
        <v>0</v>
      </c>
      <c r="P85" s="0" t="n">
        <v>0</v>
      </c>
      <c r="Q85" s="0" t="n">
        <v>0</v>
      </c>
      <c r="U85" s="0" t="s">
        <v>115</v>
      </c>
      <c r="V85" s="0" t="n">
        <v>1</v>
      </c>
    </row>
    <row r="86" customFormat="false" ht="12.8" hidden="false" customHeight="false" outlineLevel="0" collapsed="false">
      <c r="A86" s="0" t="s">
        <v>122</v>
      </c>
      <c r="B86" s="0" t="s">
        <v>25</v>
      </c>
      <c r="C86" s="0" t="s">
        <v>26</v>
      </c>
      <c r="D86" s="0" t="s">
        <v>127</v>
      </c>
      <c r="E86" s="0" t="n">
        <v>1</v>
      </c>
      <c r="F86" s="0" t="n">
        <v>97</v>
      </c>
      <c r="G86" s="1" t="n">
        <f aca="false">(E86/100)*F86</f>
        <v>0.97</v>
      </c>
      <c r="H86" s="0" t="n">
        <v>0</v>
      </c>
      <c r="I86" s="2" t="n">
        <f aca="false">(E86/100)*H86</f>
        <v>0</v>
      </c>
      <c r="J86" s="0" t="n">
        <v>0</v>
      </c>
      <c r="K86" s="6" t="n">
        <f aca="false">G86/E86</f>
        <v>0.97</v>
      </c>
      <c r="L86" s="7" t="n">
        <v>0</v>
      </c>
      <c r="M86" s="7" t="n">
        <f aca="false">(54.95/930)/G86</f>
        <v>0.0609134242323468</v>
      </c>
      <c r="N86" s="0" t="n">
        <v>0</v>
      </c>
      <c r="O86" s="0" t="n">
        <v>0</v>
      </c>
      <c r="P86" s="0" t="n">
        <v>0</v>
      </c>
      <c r="Q86" s="0" t="n">
        <v>0</v>
      </c>
      <c r="U86" s="0" t="s">
        <v>115</v>
      </c>
      <c r="V86" s="0" t="n">
        <v>1</v>
      </c>
    </row>
    <row r="87" customFormat="false" ht="12.8" hidden="false" customHeight="false" outlineLevel="0" collapsed="false">
      <c r="A87" s="0" t="s">
        <v>122</v>
      </c>
      <c r="B87" s="0" t="s">
        <v>25</v>
      </c>
      <c r="C87" s="0" t="s">
        <v>26</v>
      </c>
      <c r="D87" s="0" t="s">
        <v>128</v>
      </c>
      <c r="E87" s="0" t="n">
        <v>1</v>
      </c>
      <c r="F87" s="0" t="n">
        <v>88</v>
      </c>
      <c r="G87" s="1" t="n">
        <f aca="false">(E87/100)*F87</f>
        <v>0.88</v>
      </c>
      <c r="H87" s="0" t="n">
        <v>0</v>
      </c>
      <c r="I87" s="2" t="n">
        <f aca="false">(E87/100)*H87</f>
        <v>0</v>
      </c>
      <c r="J87" s="0" t="n">
        <v>0</v>
      </c>
      <c r="K87" s="6" t="n">
        <f aca="false">G87/E87</f>
        <v>0.88</v>
      </c>
      <c r="L87" s="7" t="n">
        <f aca="false">1/34</f>
        <v>0.0294117647058823</v>
      </c>
      <c r="M87" s="7" t="n">
        <f aca="false">(34.95/510)/G87</f>
        <v>0.0778743315508022</v>
      </c>
      <c r="N87" s="0" t="n">
        <v>0</v>
      </c>
      <c r="O87" s="0" t="n">
        <v>0</v>
      </c>
      <c r="P87" s="0" t="n">
        <v>0</v>
      </c>
      <c r="Q87" s="0" t="n">
        <v>0</v>
      </c>
      <c r="U87" s="0" t="s">
        <v>115</v>
      </c>
      <c r="V87" s="0" t="n">
        <v>1</v>
      </c>
    </row>
    <row r="88" customFormat="false" ht="12.8" hidden="false" customHeight="false" outlineLevel="0" collapsed="false">
      <c r="A88" s="0" t="s">
        <v>122</v>
      </c>
      <c r="B88" s="0" t="s">
        <v>36</v>
      </c>
      <c r="C88" s="0" t="s">
        <v>37</v>
      </c>
      <c r="D88" s="0" t="s">
        <v>129</v>
      </c>
      <c r="E88" s="0" t="n">
        <v>34</v>
      </c>
      <c r="F88" s="0" t="n">
        <v>88</v>
      </c>
      <c r="G88" s="1" t="n">
        <f aca="false">(E88/100)*F88</f>
        <v>29.92</v>
      </c>
      <c r="H88" s="0" t="n">
        <v>0</v>
      </c>
      <c r="I88" s="2" t="n">
        <f aca="false">(E88/100)*H88</f>
        <v>0</v>
      </c>
      <c r="J88" s="0" t="n">
        <v>0</v>
      </c>
      <c r="K88" s="6" t="n">
        <f aca="false">G88/E88</f>
        <v>0.88</v>
      </c>
      <c r="L88" s="7" t="n">
        <v>0</v>
      </c>
      <c r="M88" s="7" t="n">
        <f aca="false">(10.95/4)/G88</f>
        <v>0.0914939839572192</v>
      </c>
      <c r="N88" s="0" t="n">
        <v>0</v>
      </c>
      <c r="O88" s="0" t="n">
        <v>0</v>
      </c>
      <c r="P88" s="0" t="n">
        <v>0</v>
      </c>
      <c r="Q88" s="0" t="n">
        <v>0</v>
      </c>
      <c r="U88" s="0" t="s">
        <v>115</v>
      </c>
      <c r="V88" s="0" t="n">
        <v>1</v>
      </c>
    </row>
    <row r="89" customFormat="false" ht="12.8" hidden="false" customHeight="false" outlineLevel="0" collapsed="false">
      <c r="A89" s="0" t="s">
        <v>130</v>
      </c>
      <c r="B89" s="0" t="s">
        <v>25</v>
      </c>
      <c r="C89" s="0" t="s">
        <v>26</v>
      </c>
      <c r="D89" s="0" t="s">
        <v>131</v>
      </c>
      <c r="E89" s="0" t="n">
        <v>1</v>
      </c>
      <c r="F89" s="0" t="n">
        <v>88</v>
      </c>
      <c r="G89" s="1" t="n">
        <f aca="false">(E89/100)*F89</f>
        <v>0.88</v>
      </c>
      <c r="H89" s="0" t="n">
        <v>0</v>
      </c>
      <c r="I89" s="2" t="n">
        <f aca="false">(E89/100)*H89</f>
        <v>0</v>
      </c>
      <c r="J89" s="0" t="n">
        <v>0</v>
      </c>
      <c r="K89" s="6" t="n">
        <f aca="false">G89/E89</f>
        <v>0.88</v>
      </c>
      <c r="L89" s="7" t="n">
        <f aca="false">(2.8/100)*0.4</f>
        <v>0.0112</v>
      </c>
      <c r="M89" s="7" t="n">
        <f aca="false">(10.99/560)/G89</f>
        <v>0.0223011363636364</v>
      </c>
      <c r="N89" s="0" t="n">
        <v>0</v>
      </c>
      <c r="O89" s="0" t="n">
        <v>0</v>
      </c>
      <c r="P89" s="0" t="n">
        <v>0</v>
      </c>
      <c r="Q89" s="0" t="n">
        <v>0</v>
      </c>
      <c r="V89" s="0" t="n">
        <v>0</v>
      </c>
    </row>
    <row r="90" customFormat="false" ht="12.8" hidden="false" customHeight="false" outlineLevel="0" collapsed="false">
      <c r="A90" s="0" t="s">
        <v>130</v>
      </c>
      <c r="B90" s="0" t="s">
        <v>25</v>
      </c>
      <c r="C90" s="0" t="s">
        <v>26</v>
      </c>
      <c r="D90" s="0" t="s">
        <v>132</v>
      </c>
      <c r="E90" s="0" t="n">
        <v>24</v>
      </c>
      <c r="F90" s="0" t="n">
        <v>79</v>
      </c>
      <c r="G90" s="1" t="n">
        <f aca="false">(E90/100)*F90</f>
        <v>18.96</v>
      </c>
      <c r="H90" s="0" t="n">
        <v>0</v>
      </c>
      <c r="I90" s="2" t="n">
        <f aca="false">(E90/100)*H90</f>
        <v>0</v>
      </c>
      <c r="J90" s="0" t="n">
        <v>0</v>
      </c>
      <c r="K90" s="6" t="n">
        <f aca="false">G90/E90</f>
        <v>0.79</v>
      </c>
      <c r="L90" s="7" t="n">
        <f aca="false">0.72*0.4</f>
        <v>0.288</v>
      </c>
      <c r="M90" s="7" t="n">
        <f aca="false">(7.99/4)/G90</f>
        <v>0.105353375527426</v>
      </c>
      <c r="N90" s="0" t="n">
        <v>0</v>
      </c>
      <c r="O90" s="0" t="n">
        <v>0</v>
      </c>
      <c r="P90" s="0" t="n">
        <v>0</v>
      </c>
      <c r="Q90" s="0" t="n">
        <v>0</v>
      </c>
      <c r="V90" s="0" t="n">
        <v>0</v>
      </c>
    </row>
    <row r="91" customFormat="false" ht="12.8" hidden="false" customHeight="false" outlineLevel="0" collapsed="false">
      <c r="A91" s="0" t="s">
        <v>130</v>
      </c>
      <c r="B91" s="0" t="s">
        <v>25</v>
      </c>
      <c r="C91" s="0" t="s">
        <v>26</v>
      </c>
      <c r="D91" s="0" t="s">
        <v>133</v>
      </c>
      <c r="E91" s="0" t="n">
        <v>1</v>
      </c>
      <c r="F91" s="0" t="n">
        <v>95</v>
      </c>
      <c r="G91" s="1" t="n">
        <f aca="false">(E91/100)*F91</f>
        <v>0.95</v>
      </c>
      <c r="H91" s="0" t="n">
        <v>0</v>
      </c>
      <c r="I91" s="2" t="n">
        <f aca="false">(E91/100)*H91</f>
        <v>0</v>
      </c>
      <c r="J91" s="0" t="n">
        <v>0</v>
      </c>
      <c r="K91" s="6" t="n">
        <f aca="false">G91/E91</f>
        <v>0.95</v>
      </c>
      <c r="L91" s="7" t="n">
        <f aca="false">(0.38/100)*0.4</f>
        <v>0.00152</v>
      </c>
      <c r="M91" s="7" t="n">
        <f aca="false">(16.99/790)/G91</f>
        <v>0.0226382411725516</v>
      </c>
      <c r="N91" s="0" t="n">
        <v>0</v>
      </c>
      <c r="O91" s="0" t="n">
        <v>0</v>
      </c>
      <c r="P91" s="0" t="n">
        <v>0</v>
      </c>
      <c r="Q91" s="0" t="n">
        <v>0</v>
      </c>
      <c r="V91" s="0" t="n">
        <v>0</v>
      </c>
    </row>
    <row r="92" customFormat="false" ht="12.8" hidden="false" customHeight="false" outlineLevel="0" collapsed="false">
      <c r="A92" s="0" t="s">
        <v>130</v>
      </c>
      <c r="B92" s="0" t="s">
        <v>36</v>
      </c>
      <c r="C92" s="0" t="s">
        <v>37</v>
      </c>
      <c r="D92" s="0" t="s">
        <v>134</v>
      </c>
      <c r="E92" s="0" t="n">
        <v>23</v>
      </c>
      <c r="F92" s="0" t="n">
        <v>73</v>
      </c>
      <c r="G92" s="1" t="n">
        <f aca="false">(E92/100)*F92</f>
        <v>16.79</v>
      </c>
      <c r="H92" s="0" t="n">
        <v>5.6</v>
      </c>
      <c r="I92" s="2" t="n">
        <f aca="false">(E92/100)*H92</f>
        <v>1.288</v>
      </c>
      <c r="J92" s="0" t="n">
        <v>0</v>
      </c>
      <c r="K92" s="6" t="n">
        <f aca="false">G92/E92</f>
        <v>0.73</v>
      </c>
      <c r="L92" s="7" t="n">
        <f aca="false">0.18*0.4</f>
        <v>0.072</v>
      </c>
      <c r="M92" s="7" t="n">
        <f aca="false">(4.15/6)/G92</f>
        <v>0.0411951558467342</v>
      </c>
      <c r="N92" s="0" t="n">
        <v>0</v>
      </c>
      <c r="O92" s="0" t="n">
        <v>1</v>
      </c>
      <c r="P92" s="0" t="n">
        <v>1</v>
      </c>
      <c r="Q92" s="0" t="n">
        <v>1</v>
      </c>
      <c r="U92" s="9" t="s">
        <v>135</v>
      </c>
      <c r="V92" s="0" t="n">
        <v>0</v>
      </c>
    </row>
    <row r="93" customFormat="false" ht="12.8" hidden="false" customHeight="false" outlineLevel="0" collapsed="false">
      <c r="A93" s="0" t="s">
        <v>130</v>
      </c>
      <c r="B93" s="0" t="s">
        <v>36</v>
      </c>
      <c r="C93" s="0" t="s">
        <v>37</v>
      </c>
      <c r="D93" s="0" t="s">
        <v>136</v>
      </c>
      <c r="E93" s="0" t="n">
        <v>40</v>
      </c>
      <c r="F93" s="0" t="n">
        <v>73</v>
      </c>
      <c r="G93" s="1" t="n">
        <f aca="false">(E93/100)*F93</f>
        <v>29.2</v>
      </c>
      <c r="H93" s="0" t="n">
        <v>4.5</v>
      </c>
      <c r="I93" s="2" t="n">
        <f aca="false">(E93/100)*H93</f>
        <v>1.8</v>
      </c>
      <c r="J93" s="0" t="n">
        <v>0</v>
      </c>
      <c r="K93" s="6" t="n">
        <f aca="false">G93/E93</f>
        <v>0.73</v>
      </c>
      <c r="L93" s="7" t="n">
        <f aca="false">0.05*0.4</f>
        <v>0.02</v>
      </c>
      <c r="M93" s="7" t="n">
        <f aca="false">2.33/G93</f>
        <v>0.0797945205479452</v>
      </c>
      <c r="N93" s="0" t="n">
        <v>0</v>
      </c>
      <c r="O93" s="0" t="n">
        <v>1</v>
      </c>
      <c r="P93" s="0" t="n">
        <v>0</v>
      </c>
      <c r="Q93" s="0" t="n">
        <v>1</v>
      </c>
      <c r="V93" s="0" t="n">
        <v>0</v>
      </c>
    </row>
    <row r="94" customFormat="false" ht="12.8" hidden="false" customHeight="false" outlineLevel="0" collapsed="false">
      <c r="A94" s="0" t="s">
        <v>130</v>
      </c>
      <c r="B94" s="0" t="s">
        <v>36</v>
      </c>
      <c r="C94" s="0" t="s">
        <v>37</v>
      </c>
      <c r="D94" s="0" t="s">
        <v>137</v>
      </c>
      <c r="E94" s="0" t="n">
        <v>55</v>
      </c>
      <c r="F94" s="0" t="n">
        <v>61</v>
      </c>
      <c r="G94" s="1" t="n">
        <f aca="false">(E94/100)*F94</f>
        <v>33.55</v>
      </c>
      <c r="H94" s="0" t="n">
        <v>12</v>
      </c>
      <c r="I94" s="2" t="n">
        <f aca="false">(E94/100)*H94</f>
        <v>6.6</v>
      </c>
      <c r="J94" s="0" t="n">
        <v>0</v>
      </c>
      <c r="K94" s="6" t="n">
        <f aca="false">G94/E94</f>
        <v>0.61</v>
      </c>
      <c r="L94" s="7" t="n">
        <f aca="false">0.15*0.4</f>
        <v>0.06</v>
      </c>
      <c r="M94" s="7" t="n">
        <f aca="false">(4.99/3)/G94</f>
        <v>0.0495777446597119</v>
      </c>
      <c r="N94" s="0" t="n">
        <v>0</v>
      </c>
      <c r="O94" s="0" t="n">
        <v>1</v>
      </c>
      <c r="P94" s="0" t="n">
        <v>1</v>
      </c>
      <c r="Q94" s="0" t="n">
        <v>0</v>
      </c>
      <c r="V94" s="0" t="n">
        <v>0</v>
      </c>
    </row>
    <row r="95" customFormat="false" ht="12.8" hidden="false" customHeight="false" outlineLevel="0" collapsed="false">
      <c r="A95" s="0" t="s">
        <v>130</v>
      </c>
      <c r="B95" s="0" t="s">
        <v>36</v>
      </c>
      <c r="C95" s="0" t="s">
        <v>37</v>
      </c>
      <c r="D95" s="0" t="s">
        <v>138</v>
      </c>
      <c r="E95" s="0" t="n">
        <v>40</v>
      </c>
      <c r="F95" s="0" t="n">
        <v>72</v>
      </c>
      <c r="G95" s="1" t="n">
        <f aca="false">(E95/100)*F95</f>
        <v>28.8</v>
      </c>
      <c r="H95" s="0" t="n">
        <v>5.3</v>
      </c>
      <c r="I95" s="2" t="n">
        <f aca="false">(E95/100)*H95</f>
        <v>2.12</v>
      </c>
      <c r="J95" s="0" t="n">
        <v>0</v>
      </c>
      <c r="K95" s="6" t="n">
        <f aca="false">G95/E95</f>
        <v>0.72</v>
      </c>
      <c r="L95" s="7" t="n">
        <f aca="false">0.22*0.4</f>
        <v>0.088</v>
      </c>
      <c r="M95" s="7" t="n">
        <f aca="false">(4.99/3)/G95</f>
        <v>0.0577546296296296</v>
      </c>
      <c r="N95" s="0" t="n">
        <v>0</v>
      </c>
      <c r="O95" s="0" t="n">
        <v>1</v>
      </c>
      <c r="P95" s="0" t="n">
        <v>0</v>
      </c>
      <c r="Q95" s="0" t="n">
        <v>1</v>
      </c>
      <c r="V95" s="0" t="n">
        <v>0</v>
      </c>
    </row>
    <row r="96" customFormat="false" ht="12.8" hidden="false" customHeight="false" outlineLevel="0" collapsed="false">
      <c r="A96" s="0" t="s">
        <v>130</v>
      </c>
      <c r="B96" s="0" t="s">
        <v>36</v>
      </c>
      <c r="C96" s="0" t="s">
        <v>37</v>
      </c>
      <c r="D96" s="0" t="s">
        <v>139</v>
      </c>
      <c r="E96" s="0" t="n">
        <v>10</v>
      </c>
      <c r="F96" s="0" t="n">
        <v>80</v>
      </c>
      <c r="G96" s="1" t="n">
        <f aca="false">(E96/100)*F96</f>
        <v>8</v>
      </c>
      <c r="H96" s="0" t="n">
        <v>0</v>
      </c>
      <c r="I96" s="2" t="n">
        <f aca="false">(E96/100)*H96</f>
        <v>0</v>
      </c>
      <c r="J96" s="0" t="n">
        <v>10</v>
      </c>
      <c r="K96" s="6" t="n">
        <f aca="false">G96/E96</f>
        <v>0.8</v>
      </c>
      <c r="L96" s="7" t="n">
        <f aca="false">0.05*0.4</f>
        <v>0.02</v>
      </c>
      <c r="M96" s="7" t="n">
        <f aca="false">(7.2/10)/G96</f>
        <v>0.09</v>
      </c>
      <c r="N96" s="0" t="n">
        <v>0</v>
      </c>
      <c r="O96" s="0" t="n">
        <v>1</v>
      </c>
      <c r="P96" s="0" t="n">
        <v>0</v>
      </c>
      <c r="Q96" s="0" t="n">
        <v>0</v>
      </c>
      <c r="V96" s="0" t="n">
        <v>0</v>
      </c>
    </row>
    <row r="97" customFormat="false" ht="12.8" hidden="false" customHeight="false" outlineLevel="0" collapsed="false">
      <c r="A97" s="0" t="s">
        <v>130</v>
      </c>
      <c r="B97" s="0" t="s">
        <v>36</v>
      </c>
      <c r="C97" s="0" t="s">
        <v>37</v>
      </c>
      <c r="D97" s="0" t="s">
        <v>140</v>
      </c>
      <c r="E97" s="0" t="n">
        <v>4</v>
      </c>
      <c r="F97" s="0" t="n">
        <v>89</v>
      </c>
      <c r="G97" s="1" t="n">
        <f aca="false">(E97/100)*F97</f>
        <v>3.56</v>
      </c>
      <c r="H97" s="0" t="n">
        <v>0</v>
      </c>
      <c r="I97" s="2" t="n">
        <f aca="false">(E97/100)*H97</f>
        <v>0</v>
      </c>
      <c r="J97" s="0" t="n">
        <v>0</v>
      </c>
      <c r="K97" s="6" t="n">
        <f aca="false">G97/E97</f>
        <v>0.89</v>
      </c>
      <c r="L97" s="7" t="n">
        <v>0</v>
      </c>
      <c r="M97" s="7" t="n">
        <f aca="false">(6.99/24)/G97</f>
        <v>0.081811797752809</v>
      </c>
      <c r="N97" s="0" t="n">
        <v>0</v>
      </c>
      <c r="O97" s="0" t="n">
        <v>0</v>
      </c>
      <c r="P97" s="0" t="n">
        <v>0</v>
      </c>
      <c r="Q97" s="0" t="n">
        <v>0</v>
      </c>
      <c r="V97" s="0" t="n">
        <v>0</v>
      </c>
    </row>
    <row r="98" customFormat="false" ht="12.8" hidden="false" customHeight="false" outlineLevel="0" collapsed="false">
      <c r="A98" s="0" t="s">
        <v>130</v>
      </c>
      <c r="B98" s="0" t="s">
        <v>20</v>
      </c>
      <c r="C98" s="0" t="s">
        <v>21</v>
      </c>
      <c r="D98" s="0" t="s">
        <v>141</v>
      </c>
      <c r="E98" s="0" t="n">
        <v>90</v>
      </c>
      <c r="F98" s="0" t="n">
        <v>51</v>
      </c>
      <c r="G98" s="1" t="n">
        <f aca="false">(E98/100)*F98</f>
        <v>45.9</v>
      </c>
      <c r="H98" s="0" t="n">
        <v>0</v>
      </c>
      <c r="I98" s="2" t="n">
        <f aca="false">(E98/100)*H98</f>
        <v>0</v>
      </c>
      <c r="J98" s="0" t="n">
        <v>0</v>
      </c>
      <c r="K98" s="6" t="n">
        <f aca="false">G98/E98</f>
        <v>0.51</v>
      </c>
      <c r="L98" s="7" t="n">
        <f aca="false">0.05*0.4</f>
        <v>0.02</v>
      </c>
      <c r="M98" s="7" t="n">
        <f aca="false">2.99/G98</f>
        <v>0.0651416122004357</v>
      </c>
      <c r="N98" s="0" t="n">
        <v>0</v>
      </c>
      <c r="O98" s="0" t="n">
        <v>0</v>
      </c>
      <c r="P98" s="0" t="n">
        <v>0</v>
      </c>
      <c r="Q98" s="0" t="n">
        <v>0</v>
      </c>
      <c r="V98" s="0" t="n">
        <v>0</v>
      </c>
    </row>
    <row r="99" customFormat="false" ht="12.8" hidden="false" customHeight="false" outlineLevel="0" collapsed="false">
      <c r="A99" s="0" t="s">
        <v>130</v>
      </c>
      <c r="B99" s="0" t="s">
        <v>20</v>
      </c>
      <c r="C99" s="0" t="s">
        <v>21</v>
      </c>
      <c r="D99" s="0" t="s">
        <v>142</v>
      </c>
      <c r="E99" s="0" t="n">
        <v>20</v>
      </c>
      <c r="F99" s="0" t="n">
        <v>80</v>
      </c>
      <c r="G99" s="1" t="n">
        <f aca="false">(E99/100)*F99</f>
        <v>16</v>
      </c>
      <c r="H99" s="0" t="n">
        <v>0</v>
      </c>
      <c r="I99" s="2" t="n">
        <f aca="false">(E99/100)*H99</f>
        <v>0</v>
      </c>
      <c r="J99" s="0" t="n">
        <v>0</v>
      </c>
      <c r="K99" s="6" t="n">
        <f aca="false">G99/E99</f>
        <v>0.8</v>
      </c>
      <c r="L99" s="7" t="n">
        <f aca="false">0.05*0.4</f>
        <v>0.02</v>
      </c>
      <c r="M99" s="7" t="n">
        <f aca="false">(8.99/5)/G99</f>
        <v>0.112375</v>
      </c>
      <c r="N99" s="0" t="n">
        <v>0</v>
      </c>
      <c r="O99" s="0" t="n">
        <v>0</v>
      </c>
      <c r="P99" s="0" t="n">
        <v>0</v>
      </c>
      <c r="Q99" s="0" t="n">
        <v>0</v>
      </c>
      <c r="V99" s="0" t="n">
        <v>0</v>
      </c>
    </row>
    <row r="100" customFormat="false" ht="12.8" hidden="false" customHeight="false" outlineLevel="0" collapsed="false">
      <c r="A100" s="0" t="s">
        <v>130</v>
      </c>
      <c r="B100" s="0" t="s">
        <v>20</v>
      </c>
      <c r="C100" s="0" t="s">
        <v>21</v>
      </c>
      <c r="D100" s="0" t="s">
        <v>143</v>
      </c>
      <c r="E100" s="0" t="n">
        <v>60</v>
      </c>
      <c r="F100" s="0" t="n">
        <v>29</v>
      </c>
      <c r="G100" s="1" t="n">
        <f aca="false">(E100/100)*F100</f>
        <v>17.4</v>
      </c>
      <c r="H100" s="0" t="n">
        <v>0</v>
      </c>
      <c r="I100" s="2" t="n">
        <f aca="false">(E100/100)*H100</f>
        <v>0</v>
      </c>
      <c r="J100" s="0" t="n">
        <v>50</v>
      </c>
      <c r="K100" s="6" t="n">
        <f aca="false">G100/E100</f>
        <v>0.29</v>
      </c>
      <c r="L100" s="7" t="n">
        <v>0</v>
      </c>
      <c r="M100" s="7" t="n">
        <f aca="false">2.1/G100</f>
        <v>0.120689655172414</v>
      </c>
      <c r="N100" s="0" t="n">
        <v>0</v>
      </c>
      <c r="O100" s="0" t="n">
        <v>0</v>
      </c>
      <c r="P100" s="0" t="n">
        <v>0</v>
      </c>
      <c r="Q100" s="0" t="n">
        <v>0</v>
      </c>
      <c r="V100" s="0" t="n">
        <v>0</v>
      </c>
    </row>
    <row r="101" customFormat="false" ht="12.8" hidden="false" customHeight="false" outlineLevel="0" collapsed="false">
      <c r="A101" s="0" t="s">
        <v>144</v>
      </c>
      <c r="B101" s="0" t="s">
        <v>20</v>
      </c>
      <c r="C101" s="0" t="s">
        <v>21</v>
      </c>
      <c r="D101" s="0" t="s">
        <v>145</v>
      </c>
      <c r="E101" s="0" t="n">
        <v>60</v>
      </c>
      <c r="F101" s="0" t="n">
        <v>36</v>
      </c>
      <c r="G101" s="1" t="n">
        <f aca="false">(E101/100)*F101</f>
        <v>21.6</v>
      </c>
      <c r="H101" s="0" t="n">
        <v>0</v>
      </c>
      <c r="I101" s="2" t="n">
        <f aca="false">(E101/100)*H101</f>
        <v>0</v>
      </c>
      <c r="J101" s="0" t="n">
        <v>0</v>
      </c>
      <c r="K101" s="6" t="n">
        <f aca="false">G101/E101</f>
        <v>0.36</v>
      </c>
      <c r="L101" s="7" t="n">
        <v>0</v>
      </c>
      <c r="M101" s="7" t="n">
        <f aca="false">2.49/G101</f>
        <v>0.115277777777778</v>
      </c>
      <c r="N101" s="0" t="n">
        <v>0</v>
      </c>
      <c r="O101" s="0" t="n">
        <v>0</v>
      </c>
      <c r="P101" s="0" t="n">
        <v>0</v>
      </c>
      <c r="Q101" s="0" t="n">
        <v>0</v>
      </c>
      <c r="U101" s="0" t="s">
        <v>115</v>
      </c>
      <c r="V101" s="0" t="n">
        <v>1</v>
      </c>
    </row>
    <row r="102" customFormat="false" ht="12.8" hidden="false" customHeight="false" outlineLevel="0" collapsed="false">
      <c r="A102" s="0" t="s">
        <v>144</v>
      </c>
      <c r="B102" s="0" t="s">
        <v>20</v>
      </c>
      <c r="C102" s="0" t="s">
        <v>21</v>
      </c>
      <c r="D102" s="0" t="s">
        <v>146</v>
      </c>
      <c r="E102" s="0" t="n">
        <v>60</v>
      </c>
      <c r="F102" s="0" t="n">
        <v>37</v>
      </c>
      <c r="G102" s="1" t="n">
        <f aca="false">(E102/100)*F102</f>
        <v>22.2</v>
      </c>
      <c r="H102" s="0" t="n">
        <v>0</v>
      </c>
      <c r="I102" s="2" t="n">
        <f aca="false">(E102/100)*H102</f>
        <v>0</v>
      </c>
      <c r="J102" s="0" t="n">
        <v>75</v>
      </c>
      <c r="K102" s="6" t="n">
        <f aca="false">G102/E102</f>
        <v>0.37</v>
      </c>
      <c r="L102" s="7" t="n">
        <f aca="false">0.04*0.4</f>
        <v>0.016</v>
      </c>
      <c r="M102" s="7" t="n">
        <f aca="false">2.99/G102</f>
        <v>0.134684684684685</v>
      </c>
      <c r="N102" s="0" t="n">
        <v>0</v>
      </c>
      <c r="O102" s="0" t="n">
        <v>0</v>
      </c>
      <c r="P102" s="0" t="n">
        <v>0</v>
      </c>
      <c r="Q102" s="0" t="n">
        <v>0</v>
      </c>
      <c r="U102" s="0" t="s">
        <v>115</v>
      </c>
      <c r="V102" s="0" t="n">
        <v>1</v>
      </c>
    </row>
    <row r="103" customFormat="false" ht="12.8" hidden="false" customHeight="false" outlineLevel="0" collapsed="false">
      <c r="A103" s="0" t="s">
        <v>144</v>
      </c>
      <c r="B103" s="0" t="s">
        <v>20</v>
      </c>
      <c r="C103" s="0" t="s">
        <v>21</v>
      </c>
      <c r="D103" s="0" t="s">
        <v>147</v>
      </c>
      <c r="E103" s="0" t="n">
        <v>60</v>
      </c>
      <c r="F103" s="0" t="n">
        <v>66</v>
      </c>
      <c r="G103" s="1" t="n">
        <f aca="false">(E103/100)*F103</f>
        <v>39.6</v>
      </c>
      <c r="H103" s="0" t="n">
        <v>0</v>
      </c>
      <c r="I103" s="2" t="n">
        <f aca="false">(E103/100)*H103</f>
        <v>0</v>
      </c>
      <c r="J103" s="0" t="n">
        <v>0</v>
      </c>
      <c r="K103" s="6" t="n">
        <f aca="false">G103/E103</f>
        <v>0.66</v>
      </c>
      <c r="L103" s="7" t="n">
        <f aca="false">0.03*0.4</f>
        <v>0.012</v>
      </c>
      <c r="M103" s="7" t="n">
        <f aca="false">2.99/G103</f>
        <v>0.0755050505050505</v>
      </c>
      <c r="N103" s="0" t="n">
        <v>0</v>
      </c>
      <c r="O103" s="0" t="n">
        <v>0</v>
      </c>
      <c r="P103" s="0" t="n">
        <v>0</v>
      </c>
      <c r="Q103" s="0" t="n">
        <v>0</v>
      </c>
      <c r="U103" s="0" t="s">
        <v>115</v>
      </c>
      <c r="V103" s="0" t="n">
        <v>1</v>
      </c>
    </row>
    <row r="104" customFormat="false" ht="12.8" hidden="false" customHeight="false" outlineLevel="0" collapsed="false">
      <c r="A104" s="0" t="s">
        <v>144</v>
      </c>
      <c r="B104" s="0" t="s">
        <v>20</v>
      </c>
      <c r="C104" s="0" t="s">
        <v>21</v>
      </c>
      <c r="D104" s="0" t="s">
        <v>148</v>
      </c>
      <c r="E104" s="0" t="n">
        <v>60</v>
      </c>
      <c r="F104" s="0" t="n">
        <v>66</v>
      </c>
      <c r="G104" s="1" t="n">
        <f aca="false">(E104/100)*F104</f>
        <v>39.6</v>
      </c>
      <c r="H104" s="0" t="n">
        <v>0</v>
      </c>
      <c r="I104" s="2" t="n">
        <f aca="false">(E104/100)*H104</f>
        <v>0</v>
      </c>
      <c r="J104" s="0" t="n">
        <v>200</v>
      </c>
      <c r="K104" s="6" t="n">
        <f aca="false">G104/E104</f>
        <v>0.66</v>
      </c>
      <c r="L104" s="7" t="n">
        <v>0.012</v>
      </c>
      <c r="M104" s="7" t="n">
        <f aca="false">3.19/G104</f>
        <v>0.0805555555555556</v>
      </c>
      <c r="N104" s="0" t="n">
        <v>0</v>
      </c>
      <c r="O104" s="0" t="n">
        <v>0</v>
      </c>
      <c r="P104" s="0" t="n">
        <v>0</v>
      </c>
      <c r="Q104" s="0" t="n">
        <v>0</v>
      </c>
      <c r="U104" s="0" t="s">
        <v>115</v>
      </c>
      <c r="V104" s="0" t="n">
        <v>1</v>
      </c>
    </row>
    <row r="105" customFormat="false" ht="12.8" hidden="false" customHeight="false" outlineLevel="0" collapsed="false">
      <c r="A105" s="0" t="s">
        <v>144</v>
      </c>
      <c r="B105" s="0" t="s">
        <v>20</v>
      </c>
      <c r="C105" s="0" t="s">
        <v>21</v>
      </c>
      <c r="D105" s="0" t="s">
        <v>149</v>
      </c>
      <c r="E105" s="0" t="n">
        <v>60</v>
      </c>
      <c r="F105" s="0" t="n">
        <v>36</v>
      </c>
      <c r="G105" s="1" t="n">
        <f aca="false">(E105/100)*F105</f>
        <v>21.6</v>
      </c>
      <c r="H105" s="0" t="n">
        <v>0</v>
      </c>
      <c r="I105" s="2" t="n">
        <f aca="false">(E105/100)*H105</f>
        <v>0</v>
      </c>
      <c r="J105" s="0" t="n">
        <v>0</v>
      </c>
      <c r="K105" s="6" t="n">
        <f aca="false">G105/E105</f>
        <v>0.36</v>
      </c>
      <c r="L105" s="7" t="n">
        <f aca="false">0.3*0.4</f>
        <v>0.12</v>
      </c>
      <c r="M105" s="7" t="n">
        <f aca="false">2.99/G105</f>
        <v>0.138425925925926</v>
      </c>
      <c r="N105" s="0" t="n">
        <v>0</v>
      </c>
      <c r="O105" s="0" t="n">
        <v>0</v>
      </c>
      <c r="P105" s="0" t="n">
        <v>0</v>
      </c>
      <c r="Q105" s="0" t="n">
        <v>0</v>
      </c>
      <c r="S105" s="0" t="s">
        <v>63</v>
      </c>
      <c r="U105" s="0" t="s">
        <v>115</v>
      </c>
      <c r="V105" s="0" t="n">
        <v>1</v>
      </c>
    </row>
    <row r="106" customFormat="false" ht="12.8" hidden="false" customHeight="false" outlineLevel="0" collapsed="false">
      <c r="A106" s="0" t="s">
        <v>144</v>
      </c>
      <c r="B106" s="0" t="s">
        <v>25</v>
      </c>
      <c r="C106" s="0" t="s">
        <v>26</v>
      </c>
      <c r="D106" s="0" t="s">
        <v>150</v>
      </c>
      <c r="E106" s="0" t="n">
        <v>1</v>
      </c>
      <c r="F106" s="0" t="n">
        <v>95</v>
      </c>
      <c r="G106" s="1" t="n">
        <f aca="false">(E106/100)*F106</f>
        <v>0.95</v>
      </c>
      <c r="H106" s="0" t="n">
        <v>0</v>
      </c>
      <c r="I106" s="2" t="n">
        <f aca="false">(E106/100)*H106</f>
        <v>0</v>
      </c>
      <c r="J106" s="0" t="n">
        <v>0</v>
      </c>
      <c r="K106" s="6" t="n">
        <f aca="false">G106/E106</f>
        <v>0.95</v>
      </c>
      <c r="L106" s="7" t="n">
        <v>0</v>
      </c>
      <c r="M106" s="7" t="n">
        <f aca="false">(39.99/1600)/G106</f>
        <v>0.0263092105263158</v>
      </c>
      <c r="N106" s="0" t="n">
        <v>0</v>
      </c>
      <c r="O106" s="0" t="n">
        <v>0</v>
      </c>
      <c r="P106" s="0" t="n">
        <v>0</v>
      </c>
      <c r="Q106" s="0" t="n">
        <v>0</v>
      </c>
      <c r="U106" s="0" t="s">
        <v>115</v>
      </c>
      <c r="V106" s="0" t="n">
        <v>1</v>
      </c>
    </row>
    <row r="107" customFormat="false" ht="12.8" hidden="false" customHeight="false" outlineLevel="0" collapsed="false">
      <c r="A107" s="0" t="s">
        <v>144</v>
      </c>
      <c r="B107" s="0" t="s">
        <v>25</v>
      </c>
      <c r="C107" s="0" t="s">
        <v>26</v>
      </c>
      <c r="D107" s="0" t="s">
        <v>151</v>
      </c>
      <c r="E107" s="0" t="n">
        <v>1</v>
      </c>
      <c r="F107" s="0" t="n">
        <v>91</v>
      </c>
      <c r="G107" s="1" t="n">
        <f aca="false">(E107/100)*F107</f>
        <v>0.91</v>
      </c>
      <c r="H107" s="0" t="n">
        <v>0</v>
      </c>
      <c r="I107" s="2" t="n">
        <f aca="false">(E107/100)*H107</f>
        <v>0</v>
      </c>
      <c r="J107" s="0" t="n">
        <v>0</v>
      </c>
      <c r="K107" s="6" t="n">
        <f aca="false">G107/E107</f>
        <v>0.91</v>
      </c>
      <c r="L107" s="7" t="n">
        <f aca="false">(1.3/100)*0.4</f>
        <v>0.0052</v>
      </c>
      <c r="M107" s="7" t="n">
        <f aca="false">(18.49/500)/G107</f>
        <v>0.0406373626373626</v>
      </c>
      <c r="N107" s="0" t="n">
        <v>0</v>
      </c>
      <c r="O107" s="0" t="n">
        <v>0</v>
      </c>
      <c r="P107" s="0" t="n">
        <v>0</v>
      </c>
      <c r="Q107" s="0" t="n">
        <v>0</v>
      </c>
      <c r="S107" s="0" t="s">
        <v>63</v>
      </c>
      <c r="U107" s="0" t="s">
        <v>115</v>
      </c>
      <c r="V107" s="0" t="n">
        <v>1</v>
      </c>
    </row>
    <row r="108" customFormat="false" ht="12.8" hidden="false" customHeight="false" outlineLevel="0" collapsed="false">
      <c r="A108" s="0" t="s">
        <v>144</v>
      </c>
      <c r="B108" s="0" t="s">
        <v>25</v>
      </c>
      <c r="C108" s="0" t="s">
        <v>26</v>
      </c>
      <c r="D108" s="0" t="s">
        <v>152</v>
      </c>
      <c r="E108" s="0" t="n">
        <v>82</v>
      </c>
      <c r="F108" s="0" t="n">
        <v>98</v>
      </c>
      <c r="G108" s="1" t="n">
        <f aca="false">(E108/100)*F108</f>
        <v>80.36</v>
      </c>
      <c r="H108" s="0" t="n">
        <v>0</v>
      </c>
      <c r="I108" s="2" t="n">
        <f aca="false">(E108/100)*H108</f>
        <v>0</v>
      </c>
      <c r="J108" s="0" t="n">
        <v>0</v>
      </c>
      <c r="K108" s="6" t="n">
        <f aca="false">G108/E108</f>
        <v>0.98</v>
      </c>
      <c r="L108" s="7" t="n">
        <v>0</v>
      </c>
      <c r="M108" s="7" t="n">
        <f aca="false">3.49/G108</f>
        <v>0.0434295669487307</v>
      </c>
      <c r="N108" s="0" t="n">
        <v>0</v>
      </c>
      <c r="O108" s="0" t="n">
        <v>0</v>
      </c>
      <c r="P108" s="0" t="n">
        <v>0</v>
      </c>
      <c r="Q108" s="0" t="n">
        <v>0</v>
      </c>
      <c r="U108" s="0" t="s">
        <v>115</v>
      </c>
      <c r="V108" s="0" t="n">
        <v>1</v>
      </c>
    </row>
    <row r="109" customFormat="false" ht="12.8" hidden="false" customHeight="false" outlineLevel="0" collapsed="false">
      <c r="A109" s="0" t="s">
        <v>144</v>
      </c>
      <c r="B109" s="0" t="s">
        <v>36</v>
      </c>
      <c r="C109" s="0" t="s">
        <v>37</v>
      </c>
      <c r="D109" s="0" t="s">
        <v>153</v>
      </c>
      <c r="E109" s="0" t="n">
        <v>40</v>
      </c>
      <c r="F109" s="0" t="n">
        <v>64</v>
      </c>
      <c r="G109" s="1" t="n">
        <f aca="false">(E109/100)*F109</f>
        <v>25.6</v>
      </c>
      <c r="H109" s="0" t="n">
        <v>11</v>
      </c>
      <c r="I109" s="2" t="n">
        <f aca="false">(E109/100)*H109</f>
        <v>4.4</v>
      </c>
      <c r="J109" s="0" t="n">
        <v>0</v>
      </c>
      <c r="K109" s="6" t="n">
        <f aca="false">G109/E109</f>
        <v>0.64</v>
      </c>
      <c r="L109" s="7" t="n">
        <v>0.1</v>
      </c>
      <c r="M109" s="7" t="n">
        <f aca="false">2.09/G109</f>
        <v>0.081640625</v>
      </c>
      <c r="N109" s="0" t="n">
        <v>0</v>
      </c>
      <c r="O109" s="0" t="n">
        <v>1</v>
      </c>
      <c r="P109" s="0" t="n">
        <v>0</v>
      </c>
      <c r="Q109" s="0" t="n">
        <v>1</v>
      </c>
      <c r="U109" s="0" t="s">
        <v>115</v>
      </c>
      <c r="V109" s="0" t="n">
        <v>1</v>
      </c>
    </row>
    <row r="110" customFormat="false" ht="12.8" hidden="false" customHeight="false" outlineLevel="0" collapsed="false">
      <c r="A110" s="0" t="s">
        <v>144</v>
      </c>
      <c r="B110" s="0" t="s">
        <v>36</v>
      </c>
      <c r="C110" s="0" t="s">
        <v>37</v>
      </c>
      <c r="D110" s="0" t="s">
        <v>154</v>
      </c>
      <c r="E110" s="0" t="n">
        <v>50</v>
      </c>
      <c r="F110" s="0" t="n">
        <v>62</v>
      </c>
      <c r="G110" s="1" t="n">
        <f aca="false">(E110/100)*F110</f>
        <v>31</v>
      </c>
      <c r="H110" s="0" t="n">
        <v>7</v>
      </c>
      <c r="I110" s="2" t="n">
        <f aca="false">(E110/100)*H110</f>
        <v>3.5</v>
      </c>
      <c r="J110" s="0" t="n">
        <v>0</v>
      </c>
      <c r="K110" s="6" t="n">
        <f aca="false">G110/E110</f>
        <v>0.62</v>
      </c>
      <c r="L110" s="7" t="n">
        <v>0.1</v>
      </c>
      <c r="M110" s="7" t="n">
        <f aca="false">2.29/G110</f>
        <v>0.0738709677419355</v>
      </c>
      <c r="N110" s="0" t="n">
        <v>0</v>
      </c>
      <c r="O110" s="0" t="n">
        <v>1</v>
      </c>
      <c r="P110" s="0" t="n">
        <v>1</v>
      </c>
      <c r="Q110" s="0" t="n">
        <v>1</v>
      </c>
      <c r="U110" s="0" t="s">
        <v>115</v>
      </c>
      <c r="V110" s="0" t="n">
        <v>1</v>
      </c>
    </row>
    <row r="111" customFormat="false" ht="12.8" hidden="false" customHeight="false" outlineLevel="0" collapsed="false">
      <c r="A111" s="0" t="s">
        <v>144</v>
      </c>
      <c r="B111" s="0" t="s">
        <v>36</v>
      </c>
      <c r="C111" s="0" t="s">
        <v>37</v>
      </c>
      <c r="D111" s="0" t="s">
        <v>155</v>
      </c>
      <c r="E111" s="0" t="n">
        <v>60</v>
      </c>
      <c r="F111" s="0" t="n">
        <v>75</v>
      </c>
      <c r="G111" s="1" t="n">
        <f aca="false">(E111/100)*F111</f>
        <v>45</v>
      </c>
      <c r="H111" s="0" t="n">
        <v>0</v>
      </c>
      <c r="I111" s="2" t="n">
        <f aca="false">(E111/100)*H111</f>
        <v>0</v>
      </c>
      <c r="J111" s="0" t="n">
        <v>0</v>
      </c>
      <c r="K111" s="6" t="n">
        <f aca="false">G111/E111</f>
        <v>0.75</v>
      </c>
      <c r="L111" s="7" t="n">
        <f aca="false">0.1*0.4</f>
        <v>0.04</v>
      </c>
      <c r="M111" s="7" t="n">
        <f aca="false">3.49/G111</f>
        <v>0.0775555555555556</v>
      </c>
      <c r="N111" s="0" t="n">
        <v>0</v>
      </c>
      <c r="O111" s="0" t="n">
        <v>0</v>
      </c>
      <c r="P111" s="0" t="n">
        <v>0</v>
      </c>
      <c r="Q111" s="0" t="n">
        <v>0</v>
      </c>
      <c r="U111" s="0" t="s">
        <v>115</v>
      </c>
      <c r="V111" s="0" t="n">
        <v>1</v>
      </c>
    </row>
    <row r="112" customFormat="false" ht="12.8" hidden="false" customHeight="false" outlineLevel="0" collapsed="false">
      <c r="A112" s="0" t="s">
        <v>156</v>
      </c>
      <c r="B112" s="0" t="s">
        <v>36</v>
      </c>
      <c r="C112" s="0" t="s">
        <v>37</v>
      </c>
      <c r="D112" s="0" t="s">
        <v>157</v>
      </c>
      <c r="E112" s="0" t="n">
        <v>30</v>
      </c>
      <c r="F112" s="0" t="n">
        <v>49.2</v>
      </c>
      <c r="G112" s="1" t="n">
        <f aca="false">(E112/100)*F112</f>
        <v>14.76</v>
      </c>
      <c r="H112" s="0" t="n">
        <v>16.3</v>
      </c>
      <c r="I112" s="2" t="n">
        <f aca="false">(E112/100)*H112</f>
        <v>4.89</v>
      </c>
      <c r="J112" s="0" t="n">
        <v>0</v>
      </c>
      <c r="K112" s="6" t="n">
        <f aca="false">G112/E112</f>
        <v>0.492</v>
      </c>
      <c r="L112" s="7" t="n">
        <f aca="false">0.12*0.4</f>
        <v>0.048</v>
      </c>
      <c r="M112" s="7" t="n">
        <f aca="false">2.77/G112</f>
        <v>0.187669376693767</v>
      </c>
      <c r="N112" s="0" t="n">
        <v>0</v>
      </c>
      <c r="O112" s="0" t="n">
        <v>1</v>
      </c>
      <c r="P112" s="0" t="n">
        <v>1</v>
      </c>
      <c r="Q112" s="0" t="n">
        <v>1</v>
      </c>
      <c r="V112" s="0" t="n">
        <v>0</v>
      </c>
    </row>
    <row r="113" customFormat="false" ht="12.8" hidden="false" customHeight="false" outlineLevel="0" collapsed="false">
      <c r="A113" s="0" t="s">
        <v>156</v>
      </c>
      <c r="B113" s="0" t="s">
        <v>36</v>
      </c>
      <c r="C113" s="0" t="s">
        <v>37</v>
      </c>
      <c r="D113" s="0" t="s">
        <v>158</v>
      </c>
      <c r="E113" s="0" t="n">
        <v>30</v>
      </c>
      <c r="F113" s="0" t="n">
        <v>68</v>
      </c>
      <c r="G113" s="1" t="n">
        <f aca="false">(E113/100)*F113</f>
        <v>20.4</v>
      </c>
      <c r="H113" s="0" t="n">
        <v>3.8</v>
      </c>
      <c r="I113" s="2" t="n">
        <f aca="false">(E113/100)*H113</f>
        <v>1.14</v>
      </c>
      <c r="J113" s="0" t="n">
        <v>0</v>
      </c>
      <c r="K113" s="6" t="n">
        <f aca="false">G113/E113</f>
        <v>0.68</v>
      </c>
      <c r="L113" s="7" t="n">
        <v>0</v>
      </c>
      <c r="M113" s="7" t="n">
        <f aca="false">2.77/G113</f>
        <v>0.13578431372549</v>
      </c>
      <c r="N113" s="0" t="n">
        <v>0</v>
      </c>
      <c r="O113" s="0" t="n">
        <v>1</v>
      </c>
      <c r="P113" s="0" t="n">
        <v>1</v>
      </c>
      <c r="Q113" s="0" t="n">
        <v>1</v>
      </c>
      <c r="V113" s="0" t="n">
        <v>0</v>
      </c>
    </row>
    <row r="114" customFormat="false" ht="12.8" hidden="false" customHeight="false" outlineLevel="0" collapsed="false">
      <c r="A114" s="0" t="s">
        <v>156</v>
      </c>
      <c r="B114" s="0" t="s">
        <v>36</v>
      </c>
      <c r="C114" s="0" t="s">
        <v>37</v>
      </c>
      <c r="D114" s="0" t="s">
        <v>159</v>
      </c>
      <c r="E114" s="0" t="n">
        <v>30</v>
      </c>
      <c r="F114" s="0" t="n">
        <v>81</v>
      </c>
      <c r="G114" s="1" t="n">
        <f aca="false">(E114/100)*F114</f>
        <v>24.3</v>
      </c>
      <c r="H114" s="0" t="n">
        <v>4.5</v>
      </c>
      <c r="I114" s="2" t="n">
        <f aca="false">(E114/100)*H114</f>
        <v>1.35</v>
      </c>
      <c r="J114" s="0" t="n">
        <v>0</v>
      </c>
      <c r="K114" s="6" t="n">
        <f aca="false">G114/E114</f>
        <v>0.81</v>
      </c>
      <c r="L114" s="7" t="n">
        <v>0</v>
      </c>
      <c r="M114" s="7" t="n">
        <f aca="false">3.18/G114</f>
        <v>0.130864197530864</v>
      </c>
      <c r="N114" s="0" t="n">
        <v>1</v>
      </c>
      <c r="O114" s="0" t="n">
        <v>0</v>
      </c>
      <c r="P114" s="0" t="n">
        <v>1</v>
      </c>
      <c r="Q114" s="0" t="n">
        <v>0</v>
      </c>
      <c r="V114" s="0" t="n">
        <v>0</v>
      </c>
    </row>
    <row r="115" customFormat="false" ht="12.8" hidden="false" customHeight="false" outlineLevel="0" collapsed="false">
      <c r="A115" s="0" t="s">
        <v>156</v>
      </c>
      <c r="B115" s="0" t="s">
        <v>36</v>
      </c>
      <c r="C115" s="0" t="s">
        <v>37</v>
      </c>
      <c r="D115" s="0" t="s">
        <v>160</v>
      </c>
      <c r="E115" s="0" t="n">
        <v>30</v>
      </c>
      <c r="F115" s="0" t="n">
        <v>83</v>
      </c>
      <c r="G115" s="1" t="n">
        <f aca="false">(E115/100)*F115</f>
        <v>24.9</v>
      </c>
      <c r="H115" s="0" t="n">
        <v>0</v>
      </c>
      <c r="I115" s="2" t="n">
        <f aca="false">(E115/100)*H115</f>
        <v>0</v>
      </c>
      <c r="J115" s="0" t="n">
        <v>0</v>
      </c>
      <c r="K115" s="6" t="n">
        <f aca="false">G115/E115</f>
        <v>0.83</v>
      </c>
      <c r="L115" s="7" t="n">
        <v>0.015</v>
      </c>
      <c r="M115" s="7" t="n">
        <f aca="false">(7.15/6)/G115</f>
        <v>0.0478580990629183</v>
      </c>
      <c r="N115" s="0" t="n">
        <v>0</v>
      </c>
      <c r="O115" s="0" t="n">
        <v>0</v>
      </c>
      <c r="P115" s="0" t="n">
        <v>0</v>
      </c>
      <c r="Q115" s="0" t="n">
        <v>0</v>
      </c>
      <c r="V115" s="0" t="n">
        <v>0</v>
      </c>
    </row>
    <row r="116" customFormat="false" ht="12.8" hidden="false" customHeight="false" outlineLevel="0" collapsed="false">
      <c r="A116" s="0" t="s">
        <v>156</v>
      </c>
      <c r="B116" s="0" t="s">
        <v>20</v>
      </c>
      <c r="C116" s="0" t="s">
        <v>21</v>
      </c>
      <c r="D116" s="0" t="s">
        <v>161</v>
      </c>
      <c r="E116" s="0" t="n">
        <v>25</v>
      </c>
      <c r="F116" s="0" t="n">
        <v>77</v>
      </c>
      <c r="G116" s="1" t="n">
        <f aca="false">(E116/100)*F116</f>
        <v>19.25</v>
      </c>
      <c r="H116" s="0" t="n">
        <v>0</v>
      </c>
      <c r="I116" s="2" t="n">
        <f aca="false">(E116/100)*H116</f>
        <v>0</v>
      </c>
      <c r="J116" s="0" t="n">
        <f aca="false">29/4</f>
        <v>7.25</v>
      </c>
      <c r="K116" s="6" t="n">
        <f aca="false">G116/E116</f>
        <v>0.77</v>
      </c>
      <c r="L116" s="7" t="n">
        <f aca="false">0.13*0.4</f>
        <v>0.052</v>
      </c>
      <c r="M116" s="7" t="n">
        <f aca="false">(18.6/6)/G116</f>
        <v>0.161038961038961</v>
      </c>
      <c r="N116" s="0" t="n">
        <v>1</v>
      </c>
      <c r="O116" s="0" t="n">
        <v>0</v>
      </c>
      <c r="P116" s="0" t="n">
        <v>0</v>
      </c>
      <c r="Q116" s="0" t="n">
        <v>0</v>
      </c>
      <c r="U116" s="0" t="s">
        <v>162</v>
      </c>
      <c r="V116" s="0" t="n">
        <v>1</v>
      </c>
    </row>
    <row r="117" customFormat="false" ht="12.8" hidden="false" customHeight="false" outlineLevel="0" collapsed="false">
      <c r="A117" s="0" t="s">
        <v>156</v>
      </c>
      <c r="B117" s="0" t="s">
        <v>20</v>
      </c>
      <c r="C117" s="0" t="s">
        <v>21</v>
      </c>
      <c r="D117" s="0" t="s">
        <v>163</v>
      </c>
      <c r="E117" s="0" t="n">
        <v>25</v>
      </c>
      <c r="F117" s="0" t="n">
        <v>77</v>
      </c>
      <c r="G117" s="1" t="n">
        <f aca="false">(E117/100)*F117</f>
        <v>19.25</v>
      </c>
      <c r="H117" s="0" t="n">
        <v>0</v>
      </c>
      <c r="I117" s="2" t="n">
        <f aca="false">(E117/100)*H117</f>
        <v>0</v>
      </c>
      <c r="J117" s="0" t="n">
        <v>0</v>
      </c>
      <c r="K117" s="6" t="n">
        <f aca="false">G117/E117</f>
        <v>0.77</v>
      </c>
      <c r="L117" s="7" t="n">
        <v>0.051</v>
      </c>
      <c r="M117" s="7" t="n">
        <f aca="false">(18.6/6)/G117</f>
        <v>0.161038961038961</v>
      </c>
      <c r="N117" s="0" t="n">
        <v>1</v>
      </c>
      <c r="O117" s="0" t="n">
        <v>0</v>
      </c>
      <c r="P117" s="0" t="n">
        <v>0</v>
      </c>
      <c r="Q117" s="0" t="n">
        <v>0</v>
      </c>
      <c r="U117" s="0" t="s">
        <v>162</v>
      </c>
      <c r="V117" s="0" t="n">
        <v>1</v>
      </c>
    </row>
    <row r="118" customFormat="false" ht="12.8" hidden="false" customHeight="false" outlineLevel="0" collapsed="false">
      <c r="A118" s="0" t="s">
        <v>156</v>
      </c>
      <c r="B118" s="0" t="s">
        <v>20</v>
      </c>
      <c r="C118" s="0" t="s">
        <v>21</v>
      </c>
      <c r="D118" s="0" t="s">
        <v>164</v>
      </c>
      <c r="E118" s="0" t="n">
        <v>25</v>
      </c>
      <c r="F118" s="0" t="n">
        <v>77</v>
      </c>
      <c r="G118" s="1" t="n">
        <f aca="false">(E118/100)*F118</f>
        <v>19.25</v>
      </c>
      <c r="H118" s="0" t="n">
        <v>0</v>
      </c>
      <c r="I118" s="2" t="n">
        <f aca="false">(E118/100)*H118</f>
        <v>0</v>
      </c>
      <c r="J118" s="0" t="n">
        <v>17</v>
      </c>
      <c r="K118" s="6" t="n">
        <f aca="false">G118/E118</f>
        <v>0.77</v>
      </c>
      <c r="L118" s="7" t="n">
        <v>0.051</v>
      </c>
      <c r="M118" s="7" t="n">
        <f aca="false">(18.6/6)/G118</f>
        <v>0.161038961038961</v>
      </c>
      <c r="N118" s="0" t="n">
        <v>1</v>
      </c>
      <c r="O118" s="0" t="n">
        <v>0</v>
      </c>
      <c r="P118" s="0" t="n">
        <v>0</v>
      </c>
      <c r="Q118" s="0" t="n">
        <v>0</v>
      </c>
      <c r="U118" s="0" t="s">
        <v>162</v>
      </c>
      <c r="V118" s="0" t="n">
        <v>1</v>
      </c>
    </row>
    <row r="119" customFormat="false" ht="12.8" hidden="false" customHeight="false" outlineLevel="0" collapsed="false">
      <c r="A119" s="0" t="s">
        <v>156</v>
      </c>
      <c r="B119" s="0" t="s">
        <v>20</v>
      </c>
      <c r="C119" s="0" t="s">
        <v>21</v>
      </c>
      <c r="D119" s="0" t="s">
        <v>165</v>
      </c>
      <c r="E119" s="0" t="n">
        <v>25</v>
      </c>
      <c r="F119" s="0" t="n">
        <v>77</v>
      </c>
      <c r="G119" s="1" t="n">
        <f aca="false">(E119/100)*F119</f>
        <v>19.25</v>
      </c>
      <c r="H119" s="0" t="n">
        <v>0</v>
      </c>
      <c r="I119" s="2" t="n">
        <f aca="false">(E119/100)*H119</f>
        <v>0</v>
      </c>
      <c r="J119" s="0" t="n">
        <f aca="false">90/4</f>
        <v>22.5</v>
      </c>
      <c r="K119" s="6" t="n">
        <f aca="false">G119/E119</f>
        <v>0.77</v>
      </c>
      <c r="L119" s="7" t="n">
        <v>0.051</v>
      </c>
      <c r="M119" s="7" t="n">
        <f aca="false">(18.6/6)/G119</f>
        <v>0.161038961038961</v>
      </c>
      <c r="N119" s="0" t="n">
        <v>1</v>
      </c>
      <c r="O119" s="0" t="n">
        <v>0</v>
      </c>
      <c r="P119" s="0" t="n">
        <v>0</v>
      </c>
      <c r="Q119" s="0" t="n">
        <v>0</v>
      </c>
      <c r="U119" s="0" t="s">
        <v>162</v>
      </c>
      <c r="V119" s="0" t="n">
        <v>1</v>
      </c>
    </row>
    <row r="120" customFormat="false" ht="12.8" hidden="false" customHeight="false" outlineLevel="0" collapsed="false">
      <c r="A120" s="0" t="s">
        <v>156</v>
      </c>
      <c r="B120" s="0" t="s">
        <v>25</v>
      </c>
      <c r="C120" s="0" t="s">
        <v>26</v>
      </c>
      <c r="D120" s="0" t="s">
        <v>166</v>
      </c>
      <c r="E120" s="0" t="n">
        <v>1</v>
      </c>
      <c r="F120" s="0" t="n">
        <v>93</v>
      </c>
      <c r="G120" s="1" t="n">
        <f aca="false">(E120/100)*F120</f>
        <v>0.93</v>
      </c>
      <c r="H120" s="0" t="n">
        <v>0</v>
      </c>
      <c r="I120" s="2" t="n">
        <f aca="false">(E120/100)*H120</f>
        <v>0</v>
      </c>
      <c r="J120" s="0" t="n">
        <v>0.45</v>
      </c>
      <c r="K120" s="6" t="n">
        <f aca="false">G120/E120</f>
        <v>0.93</v>
      </c>
      <c r="L120" s="7" t="n">
        <v>0.006</v>
      </c>
      <c r="M120" s="7" t="n">
        <f aca="false">(25.5/500)/G120</f>
        <v>0.0548387096774194</v>
      </c>
      <c r="N120" s="0" t="n">
        <v>1</v>
      </c>
      <c r="O120" s="0" t="n">
        <v>0</v>
      </c>
      <c r="P120" s="0" t="n">
        <v>0</v>
      </c>
      <c r="Q120" s="0" t="n">
        <v>0</v>
      </c>
      <c r="U120" s="0" t="s">
        <v>162</v>
      </c>
      <c r="V120" s="0" t="n">
        <v>1</v>
      </c>
    </row>
    <row r="121" customFormat="false" ht="12.8" hidden="false" customHeight="false" outlineLevel="0" collapsed="false">
      <c r="A121" s="0" t="s">
        <v>156</v>
      </c>
      <c r="B121" s="0" t="s">
        <v>25</v>
      </c>
      <c r="C121" s="0" t="s">
        <v>26</v>
      </c>
      <c r="D121" s="0" t="s">
        <v>167</v>
      </c>
      <c r="E121" s="0" t="n">
        <v>1</v>
      </c>
      <c r="F121" s="0" t="n">
        <v>88</v>
      </c>
      <c r="G121" s="1" t="n">
        <f aca="false">(E121/100)*F121</f>
        <v>0.88</v>
      </c>
      <c r="H121" s="0" t="n">
        <v>5</v>
      </c>
      <c r="I121" s="2" t="n">
        <f aca="false">(E121/100)*H121</f>
        <v>0.05</v>
      </c>
      <c r="J121" s="0" t="n">
        <v>0</v>
      </c>
      <c r="K121" s="6" t="n">
        <f aca="false">G121/E121</f>
        <v>0.88</v>
      </c>
      <c r="L121" s="7" t="n">
        <v>0.006</v>
      </c>
      <c r="M121" s="7" t="n">
        <f aca="false">(28.7/500)/G121</f>
        <v>0.0652272727272727</v>
      </c>
      <c r="N121" s="0" t="n">
        <v>1</v>
      </c>
      <c r="O121" s="0" t="n">
        <v>0</v>
      </c>
      <c r="P121" s="0" t="n">
        <v>0</v>
      </c>
      <c r="Q121" s="0" t="n">
        <v>1</v>
      </c>
      <c r="U121" s="0" t="s">
        <v>162</v>
      </c>
      <c r="V121" s="0" t="n">
        <v>1</v>
      </c>
    </row>
    <row r="122" customFormat="false" ht="12.8" hidden="false" customHeight="false" outlineLevel="0" collapsed="false">
      <c r="A122" s="0" t="s">
        <v>156</v>
      </c>
      <c r="B122" s="0" t="s">
        <v>25</v>
      </c>
      <c r="C122" s="0" t="s">
        <v>26</v>
      </c>
      <c r="D122" s="0" t="s">
        <v>168</v>
      </c>
      <c r="E122" s="0" t="n">
        <v>1</v>
      </c>
      <c r="F122" s="0" t="n">
        <v>94</v>
      </c>
      <c r="G122" s="1" t="n">
        <f aca="false">(E122/100)*F122</f>
        <v>0.94</v>
      </c>
      <c r="H122" s="0" t="n">
        <v>0</v>
      </c>
      <c r="I122" s="2" t="n">
        <f aca="false">(E122/100)*H122</f>
        <v>0</v>
      </c>
      <c r="J122" s="0" t="n">
        <v>0</v>
      </c>
      <c r="K122" s="6" t="n">
        <f aca="false">G122/E122</f>
        <v>0.94</v>
      </c>
      <c r="L122" s="7" t="n">
        <v>0.006</v>
      </c>
      <c r="M122" s="7" t="n">
        <f aca="false">(24.6/500)/G122</f>
        <v>0.0523404255319149</v>
      </c>
      <c r="N122" s="0" t="n">
        <v>1</v>
      </c>
      <c r="O122" s="0" t="n">
        <v>0</v>
      </c>
      <c r="P122" s="0" t="n">
        <v>0</v>
      </c>
      <c r="Q122" s="0" t="n">
        <v>0</v>
      </c>
      <c r="U122" s="0" t="s">
        <v>162</v>
      </c>
      <c r="V122" s="0" t="n">
        <v>1</v>
      </c>
    </row>
    <row r="123" customFormat="false" ht="12.8" hidden="false" customHeight="false" outlineLevel="0" collapsed="false">
      <c r="A123" s="0" t="s">
        <v>156</v>
      </c>
      <c r="B123" s="0" t="s">
        <v>25</v>
      </c>
      <c r="C123" s="0" t="s">
        <v>26</v>
      </c>
      <c r="D123" s="0" t="s">
        <v>169</v>
      </c>
      <c r="E123" s="0" t="n">
        <v>1</v>
      </c>
      <c r="F123" s="0" t="n">
        <v>89</v>
      </c>
      <c r="G123" s="1" t="n">
        <f aca="false">(E123/100)*F123</f>
        <v>0.89</v>
      </c>
      <c r="H123" s="0" t="n">
        <v>0</v>
      </c>
      <c r="I123" s="2" t="n">
        <f aca="false">(E123/100)*H123</f>
        <v>0</v>
      </c>
      <c r="J123" s="0" t="n">
        <v>0</v>
      </c>
      <c r="K123" s="6" t="n">
        <f aca="false">G123/E123</f>
        <v>0.89</v>
      </c>
      <c r="L123" s="7" t="n">
        <v>0.0074</v>
      </c>
      <c r="M123" s="7" t="n">
        <f aca="false">(26.5/500)/G123</f>
        <v>0.0595505617977528</v>
      </c>
      <c r="N123" s="0" t="n">
        <v>0</v>
      </c>
      <c r="O123" s="0" t="n">
        <v>0</v>
      </c>
      <c r="P123" s="0" t="n">
        <v>0</v>
      </c>
      <c r="Q123" s="0" t="n">
        <v>0</v>
      </c>
      <c r="U123" s="0" t="s">
        <v>162</v>
      </c>
      <c r="V123" s="0" t="n">
        <v>1</v>
      </c>
    </row>
    <row r="124" customFormat="false" ht="12.8" hidden="false" customHeight="false" outlineLevel="0" collapsed="false">
      <c r="A124" s="0" t="s">
        <v>156</v>
      </c>
      <c r="B124" s="0" t="s">
        <v>25</v>
      </c>
      <c r="C124" s="0" t="s">
        <v>26</v>
      </c>
      <c r="D124" s="0" t="s">
        <v>170</v>
      </c>
      <c r="E124" s="0" t="n">
        <v>1</v>
      </c>
      <c r="F124" s="0" t="n">
        <v>92</v>
      </c>
      <c r="G124" s="1" t="n">
        <f aca="false">(E124/100)*F124</f>
        <v>0.92</v>
      </c>
      <c r="H124" s="0" t="n">
        <v>0</v>
      </c>
      <c r="I124" s="2" t="n">
        <f aca="false">(E124/100)*H124</f>
        <v>0</v>
      </c>
      <c r="J124" s="0" t="n">
        <v>0</v>
      </c>
      <c r="K124" s="6" t="n">
        <f aca="false">G124/E124</f>
        <v>0.92</v>
      </c>
      <c r="L124" s="7" t="n">
        <v>0.002</v>
      </c>
      <c r="M124" s="7" t="n">
        <f aca="false">(19.99/500)/G124</f>
        <v>0.0434565217391304</v>
      </c>
      <c r="N124" s="0" t="n">
        <v>1</v>
      </c>
      <c r="O124" s="0" t="n">
        <v>0</v>
      </c>
      <c r="P124" s="0" t="n">
        <v>0</v>
      </c>
      <c r="Q124" s="0" t="n">
        <v>0</v>
      </c>
      <c r="U124" s="0" t="s">
        <v>162</v>
      </c>
      <c r="V124" s="0" t="n">
        <v>1</v>
      </c>
    </row>
    <row r="125" customFormat="false" ht="12.8" hidden="false" customHeight="false" outlineLevel="0" collapsed="false">
      <c r="A125" s="0" t="s">
        <v>156</v>
      </c>
      <c r="B125" s="0" t="s">
        <v>25</v>
      </c>
      <c r="C125" s="0" t="s">
        <v>26</v>
      </c>
      <c r="D125" s="0" t="s">
        <v>171</v>
      </c>
      <c r="E125" s="0" t="n">
        <v>1</v>
      </c>
      <c r="F125" s="0" t="n">
        <v>91</v>
      </c>
      <c r="G125" s="1" t="n">
        <f aca="false">(E125/100)*F125</f>
        <v>0.91</v>
      </c>
      <c r="H125" s="0" t="n">
        <v>0</v>
      </c>
      <c r="I125" s="2" t="n">
        <f aca="false">(E125/100)*H125</f>
        <v>0</v>
      </c>
      <c r="J125" s="0" t="n">
        <v>0</v>
      </c>
      <c r="K125" s="6" t="n">
        <f aca="false">G125/E125</f>
        <v>0.91</v>
      </c>
      <c r="L125" s="7" t="n">
        <v>0.0078</v>
      </c>
      <c r="M125" s="7" t="n">
        <f aca="false">(26.55/500)/G125</f>
        <v>0.0583516483516484</v>
      </c>
      <c r="N125" s="0" t="n">
        <v>0</v>
      </c>
      <c r="O125" s="0" t="n">
        <v>0</v>
      </c>
      <c r="P125" s="0" t="n">
        <v>0</v>
      </c>
      <c r="Q125" s="0" t="n">
        <v>0</v>
      </c>
      <c r="U125" s="0" t="s">
        <v>162</v>
      </c>
      <c r="V125" s="0" t="n">
        <v>1</v>
      </c>
    </row>
    <row r="126" customFormat="false" ht="12.8" hidden="false" customHeight="false" outlineLevel="0" collapsed="false">
      <c r="A126" s="0" t="s">
        <v>172</v>
      </c>
      <c r="B126" s="0" t="s">
        <v>25</v>
      </c>
      <c r="C126" s="0" t="s">
        <v>26</v>
      </c>
      <c r="D126" s="0" t="s">
        <v>173</v>
      </c>
      <c r="E126" s="0" t="n">
        <v>1</v>
      </c>
      <c r="F126" s="0" t="n">
        <v>94</v>
      </c>
      <c r="G126" s="1" t="n">
        <f aca="false">(E126/100)*F126</f>
        <v>0.94</v>
      </c>
      <c r="H126" s="0" t="n">
        <v>0</v>
      </c>
      <c r="I126" s="2" t="n">
        <f aca="false">(E126/100)*H126</f>
        <v>0</v>
      </c>
      <c r="J126" s="0" t="n">
        <v>0</v>
      </c>
      <c r="K126" s="6" t="n">
        <f aca="false">G126/E126</f>
        <v>0.94</v>
      </c>
      <c r="L126" s="7" t="n">
        <f aca="false">0.63/100</f>
        <v>0.0063</v>
      </c>
      <c r="M126" s="7" t="n">
        <f aca="false">(28/640)/G126</f>
        <v>0.0465425531914894</v>
      </c>
      <c r="N126" s="0" t="n">
        <v>0</v>
      </c>
      <c r="O126" s="0" t="n">
        <v>0</v>
      </c>
      <c r="P126" s="0" t="n">
        <v>0</v>
      </c>
      <c r="Q126" s="0" t="n">
        <v>0</v>
      </c>
      <c r="U126" s="0" t="s">
        <v>115</v>
      </c>
      <c r="V126" s="0" t="n">
        <v>1</v>
      </c>
    </row>
    <row r="127" customFormat="false" ht="12.8" hidden="false" customHeight="false" outlineLevel="0" collapsed="false">
      <c r="A127" s="0" t="s">
        <v>172</v>
      </c>
      <c r="B127" s="0" t="s">
        <v>25</v>
      </c>
      <c r="C127" s="0" t="s">
        <v>26</v>
      </c>
      <c r="D127" s="0" t="s">
        <v>174</v>
      </c>
      <c r="E127" s="0" t="n">
        <v>94</v>
      </c>
      <c r="F127" s="0" t="n">
        <v>96</v>
      </c>
      <c r="G127" s="1" t="n">
        <f aca="false">(E127/100)*F127</f>
        <v>90.24</v>
      </c>
      <c r="H127" s="0" t="n">
        <v>0</v>
      </c>
      <c r="I127" s="2" t="n">
        <f aca="false">(E127/100)*H127</f>
        <v>0</v>
      </c>
      <c r="J127" s="0" t="n">
        <v>0</v>
      </c>
      <c r="K127" s="6" t="n">
        <f aca="false">G127/E127</f>
        <v>0.96</v>
      </c>
      <c r="L127" s="7" t="n">
        <v>0.2</v>
      </c>
      <c r="M127" s="7" t="n">
        <f aca="false">4.75/G127</f>
        <v>0.0526374113475177</v>
      </c>
      <c r="N127" s="0" t="n">
        <v>0</v>
      </c>
      <c r="O127" s="0" t="n">
        <v>0</v>
      </c>
      <c r="P127" s="0" t="n">
        <v>0</v>
      </c>
      <c r="Q127" s="0" t="n">
        <v>0</v>
      </c>
      <c r="U127" s="0" t="s">
        <v>115</v>
      </c>
      <c r="V127" s="0" t="n">
        <v>1</v>
      </c>
    </row>
    <row r="128" customFormat="false" ht="12.8" hidden="false" customHeight="false" outlineLevel="0" collapsed="false">
      <c r="A128" s="0" t="s">
        <v>172</v>
      </c>
      <c r="B128" s="0" t="s">
        <v>36</v>
      </c>
      <c r="C128" s="0" t="s">
        <v>37</v>
      </c>
      <c r="D128" s="0" t="s">
        <v>175</v>
      </c>
      <c r="E128" s="0" t="n">
        <v>47</v>
      </c>
      <c r="F128" s="0" t="n">
        <v>63.8</v>
      </c>
      <c r="G128" s="1" t="n">
        <f aca="false">(E128/100)*F128</f>
        <v>29.986</v>
      </c>
      <c r="H128" s="0" t="n">
        <v>6.4</v>
      </c>
      <c r="I128" s="2" t="n">
        <f aca="false">(E128/100)*H128</f>
        <v>3.008</v>
      </c>
      <c r="J128" s="0" t="n">
        <v>0</v>
      </c>
      <c r="K128" s="6" t="n">
        <f aca="false">G128/E128</f>
        <v>0.638</v>
      </c>
      <c r="L128" s="7" t="n">
        <v>0.03</v>
      </c>
      <c r="M128" s="7" t="n">
        <f aca="false">3/G128</f>
        <v>0.100046688454612</v>
      </c>
      <c r="N128" s="0" t="n">
        <v>0</v>
      </c>
      <c r="O128" s="0" t="n">
        <v>1</v>
      </c>
      <c r="P128" s="0" t="n">
        <v>0</v>
      </c>
      <c r="Q128" s="0" t="n">
        <v>0</v>
      </c>
      <c r="U128" s="0" t="s">
        <v>115</v>
      </c>
      <c r="V128" s="0" t="n">
        <v>1</v>
      </c>
    </row>
    <row r="129" customFormat="false" ht="12.8" hidden="false" customHeight="false" outlineLevel="0" collapsed="false">
      <c r="A129" s="0" t="s">
        <v>172</v>
      </c>
      <c r="B129" s="0" t="s">
        <v>20</v>
      </c>
      <c r="C129" s="0" t="s">
        <v>21</v>
      </c>
      <c r="D129" s="0" t="s">
        <v>176</v>
      </c>
      <c r="E129" s="0" t="n">
        <v>60</v>
      </c>
      <c r="F129" s="0" t="n">
        <v>50</v>
      </c>
      <c r="G129" s="1" t="n">
        <f aca="false">(E129/100)*F129</f>
        <v>30</v>
      </c>
      <c r="H129" s="0" t="n">
        <v>0</v>
      </c>
      <c r="I129" s="2" t="n">
        <f aca="false">(E129/100)*H129</f>
        <v>0</v>
      </c>
      <c r="J129" s="0" t="n">
        <v>75</v>
      </c>
      <c r="K129" s="6" t="n">
        <f aca="false">G129/E129</f>
        <v>0.5</v>
      </c>
      <c r="L129" s="7" t="n">
        <v>0.2</v>
      </c>
      <c r="M129" s="7" t="n">
        <f aca="false">3.5/G129</f>
        <v>0.116666666666667</v>
      </c>
      <c r="N129" s="0" t="n">
        <v>0</v>
      </c>
      <c r="O129" s="0" t="n">
        <v>0</v>
      </c>
      <c r="P129" s="0" t="n">
        <v>0</v>
      </c>
      <c r="Q129" s="0" t="n">
        <v>0</v>
      </c>
      <c r="U129" s="0" t="s">
        <v>115</v>
      </c>
      <c r="V129" s="0" t="n">
        <v>1</v>
      </c>
    </row>
    <row r="130" customFormat="false" ht="12.8" hidden="false" customHeight="false" outlineLevel="0" collapsed="false">
      <c r="A130" s="0" t="s">
        <v>172</v>
      </c>
      <c r="B130" s="0" t="s">
        <v>20</v>
      </c>
      <c r="C130" s="0" t="s">
        <v>21</v>
      </c>
      <c r="D130" s="0" t="s">
        <v>177</v>
      </c>
      <c r="E130" s="0" t="n">
        <v>60</v>
      </c>
      <c r="F130" s="0" t="n">
        <v>50</v>
      </c>
      <c r="G130" s="1" t="n">
        <f aca="false">(E130/100)*F130</f>
        <v>30</v>
      </c>
      <c r="H130" s="0" t="n">
        <v>0</v>
      </c>
      <c r="I130" s="2" t="n">
        <f aca="false">(E130/100)*H130</f>
        <v>0</v>
      </c>
      <c r="J130" s="0" t="n">
        <v>0</v>
      </c>
      <c r="K130" s="6" t="n">
        <f aca="false">G130/E130</f>
        <v>0.5</v>
      </c>
      <c r="L130" s="7" t="n">
        <v>0.2</v>
      </c>
      <c r="M130" s="7" t="n">
        <f aca="false">3.5/G130</f>
        <v>0.116666666666667</v>
      </c>
      <c r="N130" s="0" t="n">
        <v>0</v>
      </c>
      <c r="O130" s="0" t="n">
        <v>0</v>
      </c>
      <c r="P130" s="0" t="n">
        <v>0</v>
      </c>
      <c r="Q130" s="0" t="n">
        <v>0</v>
      </c>
      <c r="U130" s="0" t="s">
        <v>115</v>
      </c>
      <c r="V130" s="0" t="n">
        <v>1</v>
      </c>
    </row>
    <row r="131" customFormat="false" ht="12.8" hidden="false" customHeight="false" outlineLevel="0" collapsed="false">
      <c r="A131" s="0" t="s">
        <v>172</v>
      </c>
      <c r="B131" s="0" t="s">
        <v>20</v>
      </c>
      <c r="C131" s="0" t="s">
        <v>21</v>
      </c>
      <c r="D131" s="0" t="s">
        <v>178</v>
      </c>
      <c r="E131" s="0" t="n">
        <v>77</v>
      </c>
      <c r="F131" s="0" t="n">
        <v>39</v>
      </c>
      <c r="G131" s="1" t="n">
        <f aca="false">(E131/100)*F131</f>
        <v>30.03</v>
      </c>
      <c r="H131" s="0" t="n">
        <v>0</v>
      </c>
      <c r="I131" s="2" t="n">
        <f aca="false">(E131/100)*H131</f>
        <v>0</v>
      </c>
      <c r="J131" s="0" t="n">
        <v>0</v>
      </c>
      <c r="K131" s="6" t="n">
        <f aca="false">G131/E131</f>
        <v>0.39</v>
      </c>
      <c r="L131" s="7" t="n">
        <v>0.2</v>
      </c>
      <c r="M131" s="7" t="n">
        <f aca="false">5/G131</f>
        <v>0.166500166500166</v>
      </c>
      <c r="N131" s="0" t="n">
        <v>0</v>
      </c>
      <c r="O131" s="0" t="n">
        <v>0</v>
      </c>
      <c r="P131" s="0" t="n">
        <v>0</v>
      </c>
      <c r="Q131" s="0" t="n">
        <v>0</v>
      </c>
      <c r="U131" s="0" t="s">
        <v>115</v>
      </c>
      <c r="V131" s="0" t="n">
        <v>1</v>
      </c>
    </row>
    <row r="132" customFormat="false" ht="12.8" hidden="false" customHeight="false" outlineLevel="0" collapsed="false">
      <c r="A132" s="10" t="s">
        <v>86</v>
      </c>
      <c r="B132" s="0" t="s">
        <v>25</v>
      </c>
      <c r="C132" s="0" t="s">
        <v>26</v>
      </c>
      <c r="D132" s="0" t="s">
        <v>179</v>
      </c>
      <c r="E132" s="0" t="n">
        <v>1</v>
      </c>
      <c r="F132" s="0" t="n">
        <v>16</v>
      </c>
      <c r="G132" s="1" t="n">
        <f aca="false">(E132/100)*F132</f>
        <v>0.16</v>
      </c>
      <c r="H132" s="0" t="n">
        <v>0</v>
      </c>
      <c r="I132" s="2" t="n">
        <f aca="false">(E132/100)*H132</f>
        <v>0</v>
      </c>
      <c r="J132" s="0" t="n">
        <v>0</v>
      </c>
      <c r="K132" s="6" t="n">
        <f aca="false">G132/E132</f>
        <v>0.16</v>
      </c>
      <c r="L132" s="0" t="n">
        <v>0</v>
      </c>
      <c r="M132" s="7" t="n">
        <f aca="false">(3/1000)/G132</f>
        <v>0.01875</v>
      </c>
      <c r="N132" s="0" t="n">
        <v>1</v>
      </c>
      <c r="O132" s="0" t="n">
        <v>0</v>
      </c>
      <c r="P132" s="0" t="n">
        <v>0</v>
      </c>
      <c r="Q132" s="0" t="n">
        <v>0</v>
      </c>
      <c r="V132" s="0" t="n">
        <v>0</v>
      </c>
    </row>
    <row r="133" customFormat="false" ht="12.8" hidden="false" customHeight="false" outlineLevel="0" collapsed="false">
      <c r="A133" s="0" t="s">
        <v>180</v>
      </c>
      <c r="B133" s="0" t="s">
        <v>25</v>
      </c>
      <c r="C133" s="0" t="s">
        <v>26</v>
      </c>
      <c r="D133" s="0" t="s">
        <v>181</v>
      </c>
      <c r="E133" s="0" t="n">
        <v>1</v>
      </c>
      <c r="F133" s="0" t="n">
        <v>93.9</v>
      </c>
      <c r="G133" s="1" t="n">
        <f aca="false">(E133/100)*F133</f>
        <v>0.939</v>
      </c>
      <c r="H133" s="0" t="n">
        <v>0.3</v>
      </c>
      <c r="I133" s="2" t="n">
        <f aca="false">(E133/100)*H133</f>
        <v>0.003</v>
      </c>
      <c r="J133" s="0" t="n">
        <v>0</v>
      </c>
      <c r="K133" s="6" t="n">
        <f aca="false">G133/E133</f>
        <v>0.939</v>
      </c>
      <c r="L133" s="7" t="n">
        <v>0.004</v>
      </c>
      <c r="M133" s="7" t="n">
        <f aca="false">(7.9/200)/G133</f>
        <v>0.0420660276890309</v>
      </c>
      <c r="N133" s="0" t="n">
        <v>0</v>
      </c>
      <c r="O133" s="0" t="n">
        <v>0</v>
      </c>
      <c r="P133" s="0" t="n">
        <v>0</v>
      </c>
      <c r="Q133" s="0" t="n">
        <v>0</v>
      </c>
      <c r="U133" s="0" t="s">
        <v>115</v>
      </c>
      <c r="V133" s="0" t="n">
        <v>1</v>
      </c>
    </row>
    <row r="134" customFormat="false" ht="12.8" hidden="false" customHeight="false" outlineLevel="0" collapsed="false">
      <c r="A134" s="0" t="s">
        <v>180</v>
      </c>
      <c r="B134" s="0" t="s">
        <v>25</v>
      </c>
      <c r="C134" s="0" t="s">
        <v>26</v>
      </c>
      <c r="D134" s="0" t="s">
        <v>182</v>
      </c>
      <c r="E134" s="0" t="n">
        <v>1</v>
      </c>
      <c r="F134" s="0" t="n">
        <v>95</v>
      </c>
      <c r="G134" s="1" t="n">
        <f aca="false">(E134/100)*F134</f>
        <v>0.95</v>
      </c>
      <c r="H134" s="0" t="n">
        <v>0</v>
      </c>
      <c r="I134" s="2" t="n">
        <f aca="false">(E134/100)*H134</f>
        <v>0</v>
      </c>
      <c r="J134" s="0" t="n">
        <v>0</v>
      </c>
      <c r="K134" s="6" t="n">
        <f aca="false">G134/E134</f>
        <v>0.95</v>
      </c>
      <c r="L134" s="7" t="n">
        <f aca="false">(1.43*0.4)/100</f>
        <v>0.00572</v>
      </c>
      <c r="M134" s="7" t="n">
        <f aca="false">(8.3/200)/G134</f>
        <v>0.0436842105263158</v>
      </c>
      <c r="N134" s="0" t="n">
        <v>0</v>
      </c>
      <c r="O134" s="0" t="n">
        <v>0</v>
      </c>
      <c r="P134" s="0" t="n">
        <v>0</v>
      </c>
      <c r="Q134" s="0" t="n">
        <v>0</v>
      </c>
      <c r="U134" s="0" t="s">
        <v>115</v>
      </c>
      <c r="V134" s="0" t="n">
        <v>1</v>
      </c>
    </row>
    <row r="135" customFormat="false" ht="12.8" hidden="false" customHeight="false" outlineLevel="0" collapsed="false">
      <c r="A135" s="0" t="s">
        <v>180</v>
      </c>
      <c r="B135" s="0" t="s">
        <v>25</v>
      </c>
      <c r="C135" s="0" t="s">
        <v>26</v>
      </c>
      <c r="D135" s="0" t="s">
        <v>183</v>
      </c>
      <c r="E135" s="0" t="n">
        <v>1</v>
      </c>
      <c r="F135" s="0" t="n">
        <v>95.8</v>
      </c>
      <c r="G135" s="1" t="n">
        <f aca="false">(E135/100)*F135</f>
        <v>0.958</v>
      </c>
      <c r="H135" s="0" t="n">
        <v>0</v>
      </c>
      <c r="I135" s="2" t="n">
        <f aca="false">(E135/100)*H135</f>
        <v>0</v>
      </c>
      <c r="J135" s="0" t="n">
        <v>0</v>
      </c>
      <c r="K135" s="6" t="n">
        <f aca="false">G135/E135</f>
        <v>0.958</v>
      </c>
      <c r="L135" s="7" t="n">
        <f aca="false">(0.82*0.4)/100</f>
        <v>0.00328</v>
      </c>
      <c r="M135" s="7" t="n">
        <f aca="false">(7.4/200)/G135</f>
        <v>0.0386221294363257</v>
      </c>
      <c r="N135" s="0" t="n">
        <v>0</v>
      </c>
      <c r="O135" s="0" t="n">
        <v>0</v>
      </c>
      <c r="P135" s="0" t="n">
        <v>0</v>
      </c>
      <c r="Q135" s="0" t="n">
        <v>0</v>
      </c>
      <c r="U135" s="0" t="s">
        <v>115</v>
      </c>
      <c r="V135" s="0" t="n">
        <v>1</v>
      </c>
    </row>
    <row r="136" customFormat="false" ht="12.8" hidden="false" customHeight="false" outlineLevel="0" collapsed="false">
      <c r="A136" s="0" t="s">
        <v>180</v>
      </c>
      <c r="B136" s="0" t="s">
        <v>25</v>
      </c>
      <c r="C136" s="0" t="s">
        <v>26</v>
      </c>
      <c r="D136" s="0" t="s">
        <v>184</v>
      </c>
      <c r="E136" s="0" t="n">
        <v>1</v>
      </c>
      <c r="F136" s="0" t="n">
        <v>93.7</v>
      </c>
      <c r="G136" s="1" t="n">
        <f aca="false">(E136/100)*F136</f>
        <v>0.937</v>
      </c>
      <c r="H136" s="0" t="n">
        <v>0</v>
      </c>
      <c r="I136" s="2" t="n">
        <f aca="false">(E136/100)*H136</f>
        <v>0</v>
      </c>
      <c r="J136" s="0" t="n">
        <v>0</v>
      </c>
      <c r="K136" s="6" t="n">
        <f aca="false">G136/E136</f>
        <v>0.937</v>
      </c>
      <c r="L136" s="7" t="n">
        <f aca="false">(1.55*0.4)/100</f>
        <v>0.0062</v>
      </c>
      <c r="M136" s="7" t="n">
        <f aca="false">(8.4/200)/G136</f>
        <v>0.0448239060832444</v>
      </c>
      <c r="N136" s="0" t="n">
        <v>0</v>
      </c>
      <c r="O136" s="0" t="n">
        <v>0</v>
      </c>
      <c r="P136" s="0" t="n">
        <v>0</v>
      </c>
      <c r="Q136" s="0" t="n">
        <v>0</v>
      </c>
      <c r="U136" s="0" t="s">
        <v>115</v>
      </c>
      <c r="V136" s="0" t="n">
        <v>1</v>
      </c>
    </row>
    <row r="137" customFormat="false" ht="12.8" hidden="false" customHeight="false" outlineLevel="0" collapsed="false">
      <c r="A137" s="0" t="s">
        <v>180</v>
      </c>
      <c r="B137" s="0" t="s">
        <v>25</v>
      </c>
      <c r="C137" s="0" t="s">
        <v>26</v>
      </c>
      <c r="D137" s="0" t="s">
        <v>185</v>
      </c>
      <c r="E137" s="0" t="n">
        <v>1</v>
      </c>
      <c r="F137" s="0" t="n">
        <v>93.3</v>
      </c>
      <c r="G137" s="1" t="n">
        <f aca="false">(E137/100)*F137</f>
        <v>0.933</v>
      </c>
      <c r="H137" s="0" t="n">
        <v>0.3</v>
      </c>
      <c r="I137" s="2" t="n">
        <f aca="false">(E137/100)*H137</f>
        <v>0.003</v>
      </c>
      <c r="J137" s="0" t="n">
        <v>0</v>
      </c>
      <c r="K137" s="6" t="n">
        <f aca="false">G137/E137</f>
        <v>0.933</v>
      </c>
      <c r="L137" s="7" t="n">
        <f aca="false">0.4/100</f>
        <v>0.004</v>
      </c>
      <c r="M137" s="7" t="n">
        <f aca="false">(31.9/1000)/G137</f>
        <v>0.0341907824222937</v>
      </c>
      <c r="N137" s="0" t="n">
        <v>0</v>
      </c>
      <c r="O137" s="0" t="n">
        <v>0</v>
      </c>
      <c r="P137" s="0" t="n">
        <v>0</v>
      </c>
      <c r="Q137" s="0" t="n">
        <v>0</v>
      </c>
      <c r="U137" s="0" t="s">
        <v>115</v>
      </c>
      <c r="V137" s="0" t="n">
        <v>1</v>
      </c>
    </row>
    <row r="138" customFormat="false" ht="12.8" hidden="false" customHeight="false" outlineLevel="0" collapsed="false">
      <c r="A138" s="0" t="s">
        <v>180</v>
      </c>
      <c r="B138" s="0" t="s">
        <v>25</v>
      </c>
      <c r="C138" s="0" t="s">
        <v>26</v>
      </c>
      <c r="D138" s="0" t="s">
        <v>186</v>
      </c>
      <c r="E138" s="0" t="n">
        <v>1</v>
      </c>
      <c r="F138" s="0" t="n">
        <v>94.2</v>
      </c>
      <c r="G138" s="1" t="n">
        <f aca="false">(E138/100)*F138</f>
        <v>0.942</v>
      </c>
      <c r="H138" s="0" t="n">
        <v>0</v>
      </c>
      <c r="I138" s="2" t="n">
        <f aca="false">(E138/100)*H138</f>
        <v>0</v>
      </c>
      <c r="J138" s="0" t="n">
        <v>0</v>
      </c>
      <c r="K138" s="6" t="n">
        <f aca="false">G138/E138</f>
        <v>0.942</v>
      </c>
      <c r="L138" s="7" t="n">
        <f aca="false">(1.25*0.4)/100</f>
        <v>0.005</v>
      </c>
      <c r="M138" s="7" t="n">
        <f aca="false">(33.9/1000)/G138</f>
        <v>0.0359872611464968</v>
      </c>
      <c r="N138" s="0" t="n">
        <v>0</v>
      </c>
      <c r="O138" s="0" t="n">
        <v>0</v>
      </c>
      <c r="P138" s="0" t="n">
        <v>0</v>
      </c>
      <c r="Q138" s="0" t="n">
        <v>0</v>
      </c>
      <c r="U138" s="0" t="s">
        <v>115</v>
      </c>
      <c r="V138" s="0" t="n">
        <v>1</v>
      </c>
    </row>
    <row r="139" customFormat="false" ht="12.8" hidden="false" customHeight="false" outlineLevel="0" collapsed="false">
      <c r="A139" s="0" t="s">
        <v>180</v>
      </c>
      <c r="B139" s="0" t="s">
        <v>25</v>
      </c>
      <c r="C139" s="0" t="s">
        <v>26</v>
      </c>
      <c r="D139" s="0" t="s">
        <v>187</v>
      </c>
      <c r="E139" s="0" t="n">
        <v>1</v>
      </c>
      <c r="F139" s="0" t="n">
        <v>91.9</v>
      </c>
      <c r="G139" s="1" t="n">
        <f aca="false">(E139/100)*F139</f>
        <v>0.919</v>
      </c>
      <c r="H139" s="0" t="n">
        <v>0.2</v>
      </c>
      <c r="I139" s="2" t="n">
        <f aca="false">(E139/100)*H139</f>
        <v>0.002</v>
      </c>
      <c r="J139" s="0" t="n">
        <v>0</v>
      </c>
      <c r="K139" s="6" t="n">
        <f aca="false">G139/E139</f>
        <v>0.919</v>
      </c>
      <c r="L139" s="7" t="n">
        <v>0</v>
      </c>
      <c r="M139" s="7" t="n">
        <f aca="false">(7.9/200)/G139</f>
        <v>0.0429815016322089</v>
      </c>
      <c r="N139" s="0" t="n">
        <v>0</v>
      </c>
      <c r="O139" s="0" t="n">
        <v>0</v>
      </c>
      <c r="P139" s="0" t="n">
        <v>0</v>
      </c>
      <c r="Q139" s="0" t="n">
        <v>0</v>
      </c>
      <c r="U139" s="0" t="s">
        <v>115</v>
      </c>
      <c r="V139" s="0" t="n">
        <v>1</v>
      </c>
    </row>
    <row r="140" customFormat="false" ht="12.8" hidden="false" customHeight="false" outlineLevel="0" collapsed="false">
      <c r="A140" s="0" t="s">
        <v>180</v>
      </c>
      <c r="B140" s="0" t="s">
        <v>25</v>
      </c>
      <c r="C140" s="0" t="s">
        <v>26</v>
      </c>
      <c r="D140" s="0" t="s">
        <v>188</v>
      </c>
      <c r="E140" s="0" t="n">
        <v>1</v>
      </c>
      <c r="F140" s="0" t="n">
        <v>87.1</v>
      </c>
      <c r="G140" s="1" t="n">
        <f aca="false">(E140/100)*F140</f>
        <v>0.871</v>
      </c>
      <c r="H140" s="0" t="n">
        <v>0.2</v>
      </c>
      <c r="I140" s="2" t="n">
        <f aca="false">(E140/100)*H140</f>
        <v>0.002</v>
      </c>
      <c r="J140" s="0" t="n">
        <v>0</v>
      </c>
      <c r="K140" s="6" t="n">
        <f aca="false">G140/E140</f>
        <v>0.871</v>
      </c>
      <c r="L140" s="7" t="n">
        <f aca="false">(0.0094*0.4)/G140</f>
        <v>0.00431687715269805</v>
      </c>
      <c r="M140" s="7" t="n">
        <f aca="false">(7.9/200)/G140</f>
        <v>0.0453501722158439</v>
      </c>
      <c r="N140" s="0" t="n">
        <v>0</v>
      </c>
      <c r="O140" s="0" t="n">
        <v>0</v>
      </c>
      <c r="P140" s="0" t="n">
        <v>0</v>
      </c>
      <c r="Q140" s="0" t="n">
        <v>0</v>
      </c>
      <c r="U140" s="0" t="s">
        <v>115</v>
      </c>
      <c r="V140" s="0" t="n">
        <v>1</v>
      </c>
    </row>
    <row r="141" customFormat="false" ht="12.8" hidden="false" customHeight="false" outlineLevel="0" collapsed="false">
      <c r="A141" s="0" t="s">
        <v>180</v>
      </c>
      <c r="B141" s="0" t="s">
        <v>20</v>
      </c>
      <c r="C141" s="0" t="s">
        <v>21</v>
      </c>
      <c r="D141" s="0" t="s">
        <v>189</v>
      </c>
      <c r="E141" s="0" t="n">
        <v>60</v>
      </c>
      <c r="F141" s="0" t="n">
        <v>66</v>
      </c>
      <c r="G141" s="1" t="n">
        <f aca="false">(E141/100)*F141</f>
        <v>39.6</v>
      </c>
      <c r="H141" s="0" t="n">
        <v>0</v>
      </c>
      <c r="I141" s="2" t="n">
        <f aca="false">(E141/100)*H141</f>
        <v>0</v>
      </c>
      <c r="J141" s="0" t="n">
        <v>0</v>
      </c>
      <c r="K141" s="6" t="n">
        <f aca="false">G141/E141</f>
        <v>0.66</v>
      </c>
      <c r="L141" s="7" t="n">
        <f aca="false">0.05*0.4</f>
        <v>0.02</v>
      </c>
      <c r="M141" s="7" t="n">
        <f aca="false">2.49/G141</f>
        <v>0.0628787878787879</v>
      </c>
      <c r="N141" s="0" t="n">
        <v>0</v>
      </c>
      <c r="O141" s="0" t="n">
        <v>0</v>
      </c>
      <c r="P141" s="0" t="n">
        <v>0</v>
      </c>
      <c r="Q141" s="0" t="n">
        <v>0</v>
      </c>
      <c r="U141" s="0" t="s">
        <v>115</v>
      </c>
      <c r="V141" s="0" t="n">
        <v>1</v>
      </c>
    </row>
    <row r="142" customFormat="false" ht="12.8" hidden="false" customHeight="false" outlineLevel="0" collapsed="false">
      <c r="A142" s="0" t="s">
        <v>180</v>
      </c>
      <c r="B142" s="0" t="s">
        <v>20</v>
      </c>
      <c r="C142" s="0" t="s">
        <v>21</v>
      </c>
      <c r="D142" s="0" t="s">
        <v>190</v>
      </c>
      <c r="E142" s="0" t="n">
        <v>60</v>
      </c>
      <c r="F142" s="0" t="n">
        <v>67</v>
      </c>
      <c r="G142" s="1" t="n">
        <f aca="false">(E142/100)*F142</f>
        <v>40.2</v>
      </c>
      <c r="H142" s="0" t="n">
        <v>0</v>
      </c>
      <c r="I142" s="2" t="n">
        <f aca="false">(E142/100)*H142</f>
        <v>0</v>
      </c>
      <c r="J142" s="0" t="n">
        <v>0</v>
      </c>
      <c r="K142" s="6" t="n">
        <f aca="false">G142/E142</f>
        <v>0.67</v>
      </c>
      <c r="L142" s="7" t="n">
        <f aca="false">0.5*0.4</f>
        <v>0.2</v>
      </c>
      <c r="M142" s="7" t="n">
        <f aca="false">2.79/G142</f>
        <v>0.0694029850746269</v>
      </c>
      <c r="N142" s="0" t="n">
        <v>0</v>
      </c>
      <c r="O142" s="0" t="n">
        <v>0</v>
      </c>
      <c r="P142" s="0" t="n">
        <v>0</v>
      </c>
      <c r="Q142" s="0" t="n">
        <v>0</v>
      </c>
      <c r="U142" s="0" t="s">
        <v>115</v>
      </c>
      <c r="V142" s="0" t="n">
        <v>1</v>
      </c>
    </row>
    <row r="143" customFormat="false" ht="12.8" hidden="false" customHeight="false" outlineLevel="0" collapsed="false">
      <c r="A143" s="0" t="s">
        <v>180</v>
      </c>
      <c r="B143" s="0" t="s">
        <v>20</v>
      </c>
      <c r="C143" s="0" t="s">
        <v>21</v>
      </c>
      <c r="D143" s="0" t="s">
        <v>191</v>
      </c>
      <c r="E143" s="0" t="n">
        <v>60</v>
      </c>
      <c r="F143" s="0" t="n">
        <v>67</v>
      </c>
      <c r="G143" s="1" t="n">
        <f aca="false">(E143/100)*F143</f>
        <v>40.2</v>
      </c>
      <c r="H143" s="0" t="n">
        <v>0</v>
      </c>
      <c r="I143" s="2" t="n">
        <f aca="false">(E143/100)*H143</f>
        <v>0</v>
      </c>
      <c r="J143" s="0" t="n">
        <v>100</v>
      </c>
      <c r="K143" s="6" t="n">
        <f aca="false">G143/E143</f>
        <v>0.67</v>
      </c>
      <c r="L143" s="7" t="n">
        <f aca="false">0.13*0.4</f>
        <v>0.052</v>
      </c>
      <c r="M143" s="7" t="n">
        <f aca="false">2.79/G143</f>
        <v>0.0694029850746269</v>
      </c>
      <c r="N143" s="0" t="n">
        <v>0</v>
      </c>
      <c r="O143" s="0" t="n">
        <v>0</v>
      </c>
      <c r="P143" s="0" t="n">
        <v>0</v>
      </c>
      <c r="Q143" s="0" t="n">
        <v>0</v>
      </c>
      <c r="U143" s="0" t="s">
        <v>115</v>
      </c>
      <c r="V143" s="0" t="n">
        <v>1</v>
      </c>
    </row>
    <row r="144" customFormat="false" ht="12.8" hidden="false" customHeight="false" outlineLevel="0" collapsed="false">
      <c r="A144" s="0" t="s">
        <v>180</v>
      </c>
      <c r="B144" s="0" t="s">
        <v>20</v>
      </c>
      <c r="C144" s="0" t="s">
        <v>21</v>
      </c>
      <c r="D144" s="0" t="s">
        <v>192</v>
      </c>
      <c r="E144" s="0" t="n">
        <v>77</v>
      </c>
      <c r="F144" s="0" t="n">
        <v>52</v>
      </c>
      <c r="G144" s="1" t="n">
        <f aca="false">(E144/100)*F144</f>
        <v>40.04</v>
      </c>
      <c r="H144" s="0" t="n">
        <v>0.2</v>
      </c>
      <c r="I144" s="2" t="n">
        <f aca="false">(E144/100)*H144</f>
        <v>0.154</v>
      </c>
      <c r="J144" s="0" t="n">
        <v>0</v>
      </c>
      <c r="K144" s="6" t="n">
        <f aca="false">G144/E144</f>
        <v>0.52</v>
      </c>
      <c r="L144" s="7" t="n">
        <v>0.2</v>
      </c>
      <c r="M144" s="7" t="n">
        <f aca="false">3.49/G144</f>
        <v>0.0871628371628372</v>
      </c>
      <c r="N144" s="0" t="n">
        <v>0</v>
      </c>
      <c r="O144" s="0" t="n">
        <v>0</v>
      </c>
      <c r="P144" s="0" t="n">
        <v>0</v>
      </c>
      <c r="Q144" s="0" t="n">
        <v>0</v>
      </c>
      <c r="U144" s="0" t="s">
        <v>115</v>
      </c>
      <c r="V144" s="0" t="n">
        <v>1</v>
      </c>
    </row>
    <row r="145" customFormat="false" ht="12.8" hidden="false" customHeight="false" outlineLevel="0" collapsed="false">
      <c r="A145" s="0" t="s">
        <v>180</v>
      </c>
      <c r="B145" s="0" t="s">
        <v>20</v>
      </c>
      <c r="C145" s="0" t="s">
        <v>21</v>
      </c>
      <c r="D145" s="0" t="s">
        <v>193</v>
      </c>
      <c r="E145" s="0" t="n">
        <v>77</v>
      </c>
      <c r="F145" s="0" t="n">
        <v>52</v>
      </c>
      <c r="G145" s="1" t="n">
        <f aca="false">(E145/100)*F145</f>
        <v>40.04</v>
      </c>
      <c r="H145" s="0" t="n">
        <v>0</v>
      </c>
      <c r="I145" s="2" t="n">
        <f aca="false">(E145/100)*H145</f>
        <v>0</v>
      </c>
      <c r="J145" s="0" t="n">
        <v>0</v>
      </c>
      <c r="K145" s="6" t="n">
        <f aca="false">G145/E145</f>
        <v>0.52</v>
      </c>
      <c r="L145" s="7" t="n">
        <f aca="false">0.13*0.4</f>
        <v>0.052</v>
      </c>
      <c r="M145" s="7" t="n">
        <f aca="false">3.49/G145</f>
        <v>0.0871628371628372</v>
      </c>
      <c r="N145" s="0" t="n">
        <v>0</v>
      </c>
      <c r="O145" s="0" t="n">
        <v>0</v>
      </c>
      <c r="P145" s="0" t="n">
        <v>0</v>
      </c>
      <c r="Q145" s="0" t="n">
        <v>0</v>
      </c>
      <c r="U145" s="0" t="s">
        <v>115</v>
      </c>
      <c r="V145" s="0" t="n">
        <v>1</v>
      </c>
    </row>
    <row r="146" customFormat="false" ht="12.8" hidden="false" customHeight="false" outlineLevel="0" collapsed="false">
      <c r="A146" s="0" t="s">
        <v>180</v>
      </c>
      <c r="B146" s="0" t="s">
        <v>20</v>
      </c>
      <c r="C146" s="0" t="s">
        <v>21</v>
      </c>
      <c r="D146" s="0" t="s">
        <v>194</v>
      </c>
      <c r="E146" s="0" t="n">
        <v>65</v>
      </c>
      <c r="F146" s="0" t="n">
        <v>62</v>
      </c>
      <c r="G146" s="1" t="n">
        <f aca="false">(E146/100)*F146</f>
        <v>40.3</v>
      </c>
      <c r="H146" s="0" t="n">
        <v>0.4</v>
      </c>
      <c r="I146" s="2" t="n">
        <f aca="false">(E146/100)*H146</f>
        <v>0.26</v>
      </c>
      <c r="J146" s="0" t="n">
        <v>0</v>
      </c>
      <c r="K146" s="6" t="n">
        <f aca="false">G146/E146</f>
        <v>0.62</v>
      </c>
      <c r="L146" s="7" t="n">
        <f aca="false">3.1*0.4</f>
        <v>1.24</v>
      </c>
      <c r="M146" s="7" t="n">
        <f aca="false">3.29/G146</f>
        <v>0.0816377171215881</v>
      </c>
      <c r="N146" s="0" t="n">
        <v>0</v>
      </c>
      <c r="O146" s="0" t="n">
        <v>0</v>
      </c>
      <c r="P146" s="0" t="n">
        <v>0</v>
      </c>
      <c r="Q146" s="0" t="n">
        <v>0</v>
      </c>
      <c r="U146" s="0" t="s">
        <v>115</v>
      </c>
      <c r="V146" s="0" t="n">
        <v>1</v>
      </c>
    </row>
    <row r="147" customFormat="false" ht="12.8" hidden="false" customHeight="false" outlineLevel="0" collapsed="false">
      <c r="A147" s="0" t="s">
        <v>180</v>
      </c>
      <c r="B147" s="0" t="s">
        <v>36</v>
      </c>
      <c r="C147" s="0" t="s">
        <v>37</v>
      </c>
      <c r="D147" s="0" t="s">
        <v>195</v>
      </c>
      <c r="E147" s="0" t="n">
        <v>70</v>
      </c>
      <c r="F147" s="0" t="n">
        <v>62</v>
      </c>
      <c r="G147" s="1" t="n">
        <f aca="false">(E147/100)*F147</f>
        <v>43.4</v>
      </c>
      <c r="H147" s="0" t="n">
        <v>10</v>
      </c>
      <c r="I147" s="2" t="n">
        <f aca="false">(E147/100)*H147</f>
        <v>7</v>
      </c>
      <c r="J147" s="0" t="n">
        <v>0</v>
      </c>
      <c r="K147" s="6" t="n">
        <f aca="false">G147/E147</f>
        <v>0.62</v>
      </c>
      <c r="L147" s="7" t="n">
        <f aca="false">0.43*0.4</f>
        <v>0.172</v>
      </c>
      <c r="M147" s="7" t="n">
        <f aca="false">2.69/G147</f>
        <v>0.0619815668202765</v>
      </c>
      <c r="N147" s="0" t="n">
        <v>0</v>
      </c>
      <c r="O147" s="0" t="n">
        <v>0</v>
      </c>
      <c r="P147" s="0" t="n">
        <v>0</v>
      </c>
      <c r="Q147" s="0" t="n">
        <v>0</v>
      </c>
      <c r="U147" s="0" t="s">
        <v>115</v>
      </c>
      <c r="V147" s="0" t="n">
        <v>1</v>
      </c>
    </row>
    <row r="148" customFormat="false" ht="12.8" hidden="false" customHeight="false" outlineLevel="0" collapsed="false">
      <c r="A148" s="0" t="s">
        <v>180</v>
      </c>
      <c r="B148" s="0" t="s">
        <v>36</v>
      </c>
      <c r="C148" s="0" t="s">
        <v>37</v>
      </c>
      <c r="D148" s="0" t="s">
        <v>196</v>
      </c>
      <c r="E148" s="0" t="n">
        <v>70</v>
      </c>
      <c r="F148" s="0" t="n">
        <v>67</v>
      </c>
      <c r="G148" s="1" t="n">
        <f aca="false">(E148/100)*F148</f>
        <v>46.9</v>
      </c>
      <c r="H148" s="0" t="n">
        <v>5.1</v>
      </c>
      <c r="I148" s="2" t="n">
        <f aca="false">(E148/100)*H148</f>
        <v>3.57</v>
      </c>
      <c r="J148" s="0" t="n">
        <v>0</v>
      </c>
      <c r="K148" s="6" t="n">
        <f aca="false">G148/E148</f>
        <v>0.67</v>
      </c>
      <c r="L148" s="7" t="n">
        <f aca="false">0.47*0.4</f>
        <v>0.188</v>
      </c>
      <c r="M148" s="7" t="n">
        <f aca="false">2.69/G148</f>
        <v>0.0573560767590618</v>
      </c>
      <c r="N148" s="0" t="n">
        <v>0</v>
      </c>
      <c r="O148" s="0" t="n">
        <v>0</v>
      </c>
      <c r="P148" s="0" t="n">
        <v>0</v>
      </c>
      <c r="Q148" s="0" t="n">
        <v>0</v>
      </c>
      <c r="U148" s="0" t="s">
        <v>115</v>
      </c>
      <c r="V148" s="0" t="n">
        <v>1</v>
      </c>
    </row>
    <row r="149" customFormat="false" ht="12.8" hidden="false" customHeight="false" outlineLevel="0" collapsed="false">
      <c r="A149" s="0" t="s">
        <v>180</v>
      </c>
      <c r="B149" s="0" t="s">
        <v>36</v>
      </c>
      <c r="C149" s="0" t="s">
        <v>37</v>
      </c>
      <c r="D149" s="0" t="s">
        <v>197</v>
      </c>
      <c r="E149" s="0" t="n">
        <v>52</v>
      </c>
      <c r="F149" s="0" t="n">
        <v>76</v>
      </c>
      <c r="G149" s="1" t="n">
        <f aca="false">(E149/100)*F149</f>
        <v>39.52</v>
      </c>
      <c r="H149" s="0" t="n">
        <v>1.5</v>
      </c>
      <c r="I149" s="2" t="n">
        <f aca="false">(E149/100)*H149</f>
        <v>0.78</v>
      </c>
      <c r="J149" s="0" t="n">
        <v>0</v>
      </c>
      <c r="K149" s="6" t="n">
        <f aca="false">G149/E149</f>
        <v>0.76</v>
      </c>
      <c r="L149" s="7" t="n">
        <f aca="false">0.43*0.4</f>
        <v>0.172</v>
      </c>
      <c r="M149" s="7" t="n">
        <f aca="false">2.49/G149</f>
        <v>0.0630060728744939</v>
      </c>
      <c r="N149" s="0" t="n">
        <v>0</v>
      </c>
      <c r="O149" s="0" t="n">
        <v>0</v>
      </c>
      <c r="P149" s="0" t="n">
        <v>0</v>
      </c>
      <c r="Q149" s="0" t="n">
        <v>0</v>
      </c>
      <c r="U149" s="0" t="s">
        <v>115</v>
      </c>
      <c r="V149" s="0" t="n">
        <v>1</v>
      </c>
    </row>
    <row r="150" customFormat="false" ht="12.8" hidden="false" customHeight="false" outlineLevel="0" collapsed="false">
      <c r="A150" s="0" t="s">
        <v>198</v>
      </c>
      <c r="B150" s="0" t="s">
        <v>20</v>
      </c>
      <c r="C150" s="0" t="s">
        <v>21</v>
      </c>
      <c r="D150" s="0" t="s">
        <v>199</v>
      </c>
      <c r="E150" s="0" t="n">
        <v>30</v>
      </c>
      <c r="F150" s="0" t="n">
        <v>74</v>
      </c>
      <c r="G150" s="1" t="n">
        <f aca="false">(E150/100)*F150</f>
        <v>22.2</v>
      </c>
      <c r="H150" s="0" t="n">
        <v>0.2</v>
      </c>
      <c r="I150" s="2" t="n">
        <f aca="false">(E150/100)*H150</f>
        <v>0.06</v>
      </c>
      <c r="J150" s="0" t="n">
        <v>0</v>
      </c>
      <c r="K150" s="6" t="n">
        <f aca="false">G150/E150</f>
        <v>0.74</v>
      </c>
      <c r="L150" s="7" t="n">
        <v>0</v>
      </c>
      <c r="M150" s="7" t="n">
        <f aca="false">2.1/G150</f>
        <v>0.0945945945945946</v>
      </c>
      <c r="N150" s="0" t="n">
        <v>0</v>
      </c>
      <c r="O150" s="0" t="n">
        <v>0</v>
      </c>
      <c r="P150" s="0" t="n">
        <v>0</v>
      </c>
      <c r="Q150" s="0" t="n">
        <v>0</v>
      </c>
      <c r="U150" s="0" t="s">
        <v>200</v>
      </c>
      <c r="V150" s="0" t="n">
        <v>1</v>
      </c>
    </row>
    <row r="151" customFormat="false" ht="12.8" hidden="false" customHeight="false" outlineLevel="0" collapsed="false">
      <c r="A151" s="0" t="s">
        <v>198</v>
      </c>
      <c r="B151" s="0" t="s">
        <v>25</v>
      </c>
      <c r="C151" s="0" t="s">
        <v>26</v>
      </c>
      <c r="D151" s="0" t="s">
        <v>201</v>
      </c>
      <c r="E151" s="0" t="n">
        <v>1</v>
      </c>
      <c r="F151" s="0" t="n">
        <v>83</v>
      </c>
      <c r="G151" s="1" t="n">
        <f aca="false">(E151/100)*F151</f>
        <v>0.83</v>
      </c>
      <c r="H151" s="0" t="n">
        <v>6</v>
      </c>
      <c r="I151" s="2" t="n">
        <f aca="false">(E151/100)*H151</f>
        <v>0.06</v>
      </c>
      <c r="J151" s="0" t="n">
        <v>0</v>
      </c>
      <c r="K151" s="6" t="n">
        <f aca="false">G151/E151</f>
        <v>0.83</v>
      </c>
      <c r="L151" s="7" t="n">
        <v>0.009</v>
      </c>
      <c r="M151" s="7" t="n">
        <f aca="false">(17.9/450)/G151</f>
        <v>0.0479250334672021</v>
      </c>
      <c r="N151" s="0" t="n">
        <v>0</v>
      </c>
      <c r="O151" s="0" t="n">
        <v>0</v>
      </c>
      <c r="P151" s="0" t="n">
        <v>0</v>
      </c>
      <c r="Q151" s="0" t="n">
        <v>1</v>
      </c>
      <c r="R151" s="0" t="n">
        <v>14</v>
      </c>
      <c r="U151" s="0" t="s">
        <v>200</v>
      </c>
      <c r="V151" s="0" t="n">
        <v>1</v>
      </c>
    </row>
    <row r="152" customFormat="false" ht="12.8" hidden="false" customHeight="false" outlineLevel="0" collapsed="false">
      <c r="A152" s="0" t="s">
        <v>198</v>
      </c>
      <c r="B152" s="0" t="s">
        <v>36</v>
      </c>
      <c r="C152" s="0" t="s">
        <v>37</v>
      </c>
      <c r="D152" s="0" t="s">
        <v>202</v>
      </c>
      <c r="E152" s="0" t="n">
        <v>40</v>
      </c>
      <c r="F152" s="0" t="n">
        <v>48</v>
      </c>
      <c r="G152" s="1" t="n">
        <f aca="false">(E152/100)*F152</f>
        <v>19.2</v>
      </c>
      <c r="H152" s="0" t="n">
        <v>9.2</v>
      </c>
      <c r="I152" s="2" t="n">
        <f aca="false">(E152/100)*H152</f>
        <v>3.68</v>
      </c>
      <c r="J152" s="0" t="n">
        <v>0</v>
      </c>
      <c r="K152" s="6" t="n">
        <f aca="false">G152/E152</f>
        <v>0.48</v>
      </c>
      <c r="L152" s="7" t="n">
        <v>0</v>
      </c>
      <c r="M152" s="7" t="n">
        <f aca="false">2.6/G152</f>
        <v>0.135416666666667</v>
      </c>
      <c r="N152" s="0" t="n">
        <v>1</v>
      </c>
      <c r="O152" s="0" t="n">
        <v>0</v>
      </c>
      <c r="P152" s="0" t="n">
        <v>0</v>
      </c>
      <c r="Q152" s="0" t="n">
        <v>0</v>
      </c>
      <c r="U152" s="0" t="s">
        <v>200</v>
      </c>
      <c r="V152" s="0" t="n">
        <v>1</v>
      </c>
    </row>
    <row r="153" customFormat="false" ht="12.8" hidden="false" customHeight="false" outlineLevel="0" collapsed="false">
      <c r="A153" s="0" t="s">
        <v>198</v>
      </c>
      <c r="B153" s="0" t="s">
        <v>36</v>
      </c>
      <c r="C153" s="0" t="s">
        <v>37</v>
      </c>
      <c r="D153" s="0" t="s">
        <v>203</v>
      </c>
      <c r="E153" s="0" t="n">
        <v>40</v>
      </c>
      <c r="F153" s="0" t="n">
        <v>56</v>
      </c>
      <c r="G153" s="1" t="n">
        <f aca="false">(E153/100)*F153</f>
        <v>22.4</v>
      </c>
      <c r="H153" s="0" t="n">
        <v>7.2</v>
      </c>
      <c r="I153" s="2" t="n">
        <f aca="false">(E153/100)*H153</f>
        <v>2.88</v>
      </c>
      <c r="J153" s="0" t="n">
        <v>0</v>
      </c>
      <c r="K153" s="6" t="n">
        <f aca="false">G153/E153</f>
        <v>0.56</v>
      </c>
      <c r="L153" s="7" t="n">
        <v>0</v>
      </c>
      <c r="M153" s="7" t="n">
        <f aca="false">2.6/G153</f>
        <v>0.116071428571429</v>
      </c>
      <c r="N153" s="0" t="n">
        <v>1</v>
      </c>
      <c r="O153" s="0" t="n">
        <v>0</v>
      </c>
      <c r="P153" s="0" t="n">
        <v>0</v>
      </c>
      <c r="Q153" s="0" t="n">
        <v>0</v>
      </c>
      <c r="U153" s="0" t="s">
        <v>200</v>
      </c>
      <c r="V153" s="0" t="n">
        <v>1</v>
      </c>
    </row>
    <row r="154" customFormat="false" ht="12.8" hidden="false" customHeight="false" outlineLevel="0" collapsed="false">
      <c r="A154" s="10" t="s">
        <v>204</v>
      </c>
      <c r="B154" s="0" t="s">
        <v>36</v>
      </c>
      <c r="C154" s="0" t="s">
        <v>37</v>
      </c>
      <c r="D154" s="0" t="s">
        <v>205</v>
      </c>
      <c r="E154" s="0" t="n">
        <v>55</v>
      </c>
      <c r="F154" s="0" t="n">
        <v>45</v>
      </c>
      <c r="G154" s="1" t="n">
        <f aca="false">(E154/100)*F154</f>
        <v>24.75</v>
      </c>
      <c r="H154" s="0" t="n">
        <v>19</v>
      </c>
      <c r="I154" s="2" t="n">
        <f aca="false">(E154/100)*H154</f>
        <v>10.45</v>
      </c>
      <c r="J154" s="0" t="n">
        <v>0</v>
      </c>
      <c r="K154" s="6" t="n">
        <f aca="false">G154/E154</f>
        <v>0.45</v>
      </c>
      <c r="L154" s="7" t="n">
        <f aca="false">0.4*0.4</f>
        <v>0.16</v>
      </c>
      <c r="M154" s="7" t="n">
        <f aca="false">2.15/G154</f>
        <v>0.0868686868686869</v>
      </c>
      <c r="N154" s="0" t="n">
        <v>0</v>
      </c>
      <c r="O154" s="0" t="n">
        <v>1</v>
      </c>
      <c r="P154" s="0" t="n">
        <v>1</v>
      </c>
      <c r="Q154" s="0" t="n">
        <v>1</v>
      </c>
      <c r="U154" s="11" t="s">
        <v>206</v>
      </c>
      <c r="V154" s="0" t="n">
        <v>1</v>
      </c>
    </row>
    <row r="155" customFormat="false" ht="12.8" hidden="false" customHeight="false" outlineLevel="0" collapsed="false">
      <c r="A155" s="10" t="s">
        <v>204</v>
      </c>
      <c r="B155" s="0" t="s">
        <v>36</v>
      </c>
      <c r="C155" s="0" t="s">
        <v>37</v>
      </c>
      <c r="D155" s="0" t="s">
        <v>207</v>
      </c>
      <c r="E155" s="0" t="n">
        <v>55</v>
      </c>
      <c r="F155" s="0" t="n">
        <v>69</v>
      </c>
      <c r="G155" s="1" t="n">
        <f aca="false">(E155/100)*F155</f>
        <v>37.95</v>
      </c>
      <c r="H155" s="0" t="n">
        <v>13</v>
      </c>
      <c r="I155" s="2" t="n">
        <f aca="false">(E155/100)*H155</f>
        <v>7.15</v>
      </c>
      <c r="J155" s="0" t="n">
        <v>0</v>
      </c>
      <c r="K155" s="6" t="n">
        <f aca="false">G155/E155</f>
        <v>0.69</v>
      </c>
      <c r="L155" s="7" t="n">
        <v>0.23</v>
      </c>
      <c r="M155" s="7" t="n">
        <f aca="false">2.59/G155</f>
        <v>0.0682476943346508</v>
      </c>
      <c r="N155" s="0" t="n">
        <v>0</v>
      </c>
      <c r="O155" s="0" t="n">
        <v>1</v>
      </c>
      <c r="P155" s="0" t="n">
        <v>1</v>
      </c>
      <c r="Q155" s="0" t="n">
        <v>1</v>
      </c>
      <c r="U155" s="11" t="s">
        <v>206</v>
      </c>
      <c r="V155" s="0" t="n">
        <v>1</v>
      </c>
    </row>
    <row r="156" customFormat="false" ht="12.8" hidden="false" customHeight="false" outlineLevel="0" collapsed="false">
      <c r="A156" s="10" t="s">
        <v>204</v>
      </c>
      <c r="B156" s="0" t="s">
        <v>36</v>
      </c>
      <c r="C156" s="0" t="s">
        <v>37</v>
      </c>
      <c r="D156" s="0" t="s">
        <v>208</v>
      </c>
      <c r="E156" s="0" t="n">
        <v>55</v>
      </c>
      <c r="F156" s="0" t="n">
        <v>72</v>
      </c>
      <c r="G156" s="1" t="n">
        <f aca="false">(E156/100)*F156</f>
        <v>39.6</v>
      </c>
      <c r="H156" s="0" t="n">
        <v>6.2</v>
      </c>
      <c r="I156" s="2" t="n">
        <f aca="false">(E156/100)*H156</f>
        <v>3.41</v>
      </c>
      <c r="J156" s="0" t="n">
        <v>0</v>
      </c>
      <c r="K156" s="6" t="n">
        <f aca="false">G156/E156</f>
        <v>0.72</v>
      </c>
      <c r="L156" s="7" t="n">
        <v>0.088</v>
      </c>
      <c r="M156" s="7" t="n">
        <f aca="false">2.59/G156</f>
        <v>0.0654040404040404</v>
      </c>
      <c r="N156" s="0" t="n">
        <v>0</v>
      </c>
      <c r="O156" s="0" t="n">
        <v>1</v>
      </c>
      <c r="P156" s="0" t="n">
        <v>1</v>
      </c>
      <c r="Q156" s="0" t="n">
        <v>1</v>
      </c>
      <c r="U156" s="11" t="s">
        <v>206</v>
      </c>
      <c r="V156" s="0" t="n">
        <v>1</v>
      </c>
    </row>
    <row r="157" customFormat="false" ht="12.8" hidden="false" customHeight="false" outlineLevel="0" collapsed="false">
      <c r="A157" s="10" t="s">
        <v>204</v>
      </c>
      <c r="B157" s="0" t="s">
        <v>36</v>
      </c>
      <c r="C157" s="0" t="s">
        <v>37</v>
      </c>
      <c r="D157" s="0" t="s">
        <v>209</v>
      </c>
      <c r="E157" s="0" t="n">
        <v>40</v>
      </c>
      <c r="F157" s="0" t="n">
        <v>61</v>
      </c>
      <c r="G157" s="1" t="n">
        <f aca="false">(E157/100)*F157</f>
        <v>24.4</v>
      </c>
      <c r="H157" s="0" t="n">
        <v>8.2</v>
      </c>
      <c r="I157" s="2" t="n">
        <f aca="false">(E157/100)*H157</f>
        <v>3.28</v>
      </c>
      <c r="J157" s="0" t="n">
        <v>0</v>
      </c>
      <c r="K157" s="6" t="n">
        <f aca="false">G157/E157</f>
        <v>0.61</v>
      </c>
      <c r="L157" s="7" t="n">
        <f aca="false">0.12*0.4</f>
        <v>0.048</v>
      </c>
      <c r="M157" s="7" t="n">
        <f aca="false">1.99/G157</f>
        <v>0.0815573770491803</v>
      </c>
      <c r="N157" s="0" t="n">
        <v>0</v>
      </c>
      <c r="O157" s="0" t="n">
        <v>1</v>
      </c>
      <c r="P157" s="0" t="n">
        <v>0</v>
      </c>
      <c r="Q157" s="0" t="n">
        <v>0</v>
      </c>
      <c r="U157" s="11" t="s">
        <v>206</v>
      </c>
      <c r="V157" s="0" t="n">
        <v>1</v>
      </c>
    </row>
    <row r="158" customFormat="false" ht="12.8" hidden="false" customHeight="false" outlineLevel="0" collapsed="false">
      <c r="A158" s="10" t="s">
        <v>204</v>
      </c>
      <c r="B158" s="0" t="s">
        <v>45</v>
      </c>
      <c r="C158" s="0" t="s">
        <v>46</v>
      </c>
      <c r="D158" s="0" t="s">
        <v>210</v>
      </c>
      <c r="E158" s="0" t="n">
        <v>40</v>
      </c>
      <c r="F158" s="0" t="n">
        <v>61</v>
      </c>
      <c r="G158" s="1" t="n">
        <f aca="false">(E158/100)*F158</f>
        <v>24.4</v>
      </c>
      <c r="H158" s="0" t="n">
        <v>10</v>
      </c>
      <c r="I158" s="2" t="n">
        <f aca="false">(E158/100)*H158</f>
        <v>4</v>
      </c>
      <c r="J158" s="0" t="n">
        <v>0</v>
      </c>
      <c r="K158" s="6" t="n">
        <f aca="false">G158/E158</f>
        <v>0.61</v>
      </c>
      <c r="L158" s="7" t="n">
        <f aca="false">0.42*0.4</f>
        <v>0.168</v>
      </c>
      <c r="M158" s="7" t="n">
        <f aca="false">1.99/G158</f>
        <v>0.0815573770491803</v>
      </c>
      <c r="N158" s="0" t="n">
        <v>0</v>
      </c>
      <c r="O158" s="0" t="n">
        <v>1</v>
      </c>
      <c r="P158" s="0" t="n">
        <v>0</v>
      </c>
      <c r="Q158" s="0" t="n">
        <v>0</v>
      </c>
      <c r="U158" s="11" t="s">
        <v>206</v>
      </c>
      <c r="V158" s="0" t="n">
        <v>1</v>
      </c>
    </row>
    <row r="159" customFormat="false" ht="12.8" hidden="false" customHeight="false" outlineLevel="0" collapsed="false">
      <c r="A159" s="10" t="s">
        <v>204</v>
      </c>
      <c r="B159" s="0" t="s">
        <v>36</v>
      </c>
      <c r="C159" s="0" t="s">
        <v>37</v>
      </c>
      <c r="D159" s="0" t="s">
        <v>211</v>
      </c>
      <c r="E159" s="0" t="n">
        <v>60</v>
      </c>
      <c r="F159" s="0" t="n">
        <v>84</v>
      </c>
      <c r="G159" s="1" t="n">
        <f aca="false">(E159/100)*F159</f>
        <v>50.4</v>
      </c>
      <c r="H159" s="0" t="n">
        <v>6.7</v>
      </c>
      <c r="I159" s="2" t="n">
        <f aca="false">(E159/100)*H159</f>
        <v>4.02</v>
      </c>
      <c r="J159" s="0" t="n">
        <v>0</v>
      </c>
      <c r="K159" s="6" t="n">
        <f aca="false">G159/E159</f>
        <v>0.84</v>
      </c>
      <c r="L159" s="7" t="n">
        <f aca="false">0.08*0.4</f>
        <v>0.032</v>
      </c>
      <c r="M159" s="7" t="n">
        <f aca="false">2.19/G159</f>
        <v>0.043452380952381</v>
      </c>
      <c r="N159" s="0" t="n">
        <v>0</v>
      </c>
      <c r="O159" s="0" t="n">
        <v>0</v>
      </c>
      <c r="P159" s="0" t="n">
        <v>0</v>
      </c>
      <c r="Q159" s="0" t="n">
        <v>0</v>
      </c>
      <c r="U159" s="11" t="s">
        <v>206</v>
      </c>
      <c r="V159" s="0" t="n">
        <v>1</v>
      </c>
    </row>
    <row r="160" customFormat="false" ht="12.8" hidden="false" customHeight="false" outlineLevel="0" collapsed="false">
      <c r="A160" s="10" t="s">
        <v>204</v>
      </c>
      <c r="B160" s="0" t="s">
        <v>36</v>
      </c>
      <c r="C160" s="0" t="s">
        <v>37</v>
      </c>
      <c r="D160" s="0" t="s">
        <v>212</v>
      </c>
      <c r="E160" s="0" t="n">
        <v>60</v>
      </c>
      <c r="F160" s="0" t="n">
        <v>84</v>
      </c>
      <c r="G160" s="1" t="n">
        <f aca="false">(E160/100)*F160</f>
        <v>50.4</v>
      </c>
      <c r="H160" s="0" t="n">
        <v>6.7</v>
      </c>
      <c r="I160" s="2" t="n">
        <f aca="false">(E160/100)*H160</f>
        <v>4.02</v>
      </c>
      <c r="J160" s="0" t="n">
        <v>75</v>
      </c>
      <c r="K160" s="6" t="n">
        <f aca="false">G160/E160</f>
        <v>0.84</v>
      </c>
      <c r="L160" s="7" t="n">
        <f aca="false">0.08*0.4</f>
        <v>0.032</v>
      </c>
      <c r="M160" s="7" t="n">
        <f aca="false">2.19/G160</f>
        <v>0.043452380952381</v>
      </c>
      <c r="N160" s="0" t="n">
        <v>0</v>
      </c>
      <c r="O160" s="0" t="n">
        <v>0</v>
      </c>
      <c r="P160" s="0" t="n">
        <v>0</v>
      </c>
      <c r="Q160" s="0" t="n">
        <v>0</v>
      </c>
      <c r="U160" s="11" t="s">
        <v>206</v>
      </c>
      <c r="V160" s="0" t="n">
        <v>1</v>
      </c>
    </row>
    <row r="161" customFormat="false" ht="12.8" hidden="false" customHeight="false" outlineLevel="0" collapsed="false">
      <c r="A161" s="10" t="s">
        <v>204</v>
      </c>
      <c r="B161" s="0" t="s">
        <v>25</v>
      </c>
      <c r="C161" s="0" t="s">
        <v>26</v>
      </c>
      <c r="D161" s="0" t="s">
        <v>213</v>
      </c>
      <c r="E161" s="0" t="n">
        <v>1</v>
      </c>
      <c r="F161" s="0" t="n">
        <v>89</v>
      </c>
      <c r="G161" s="1" t="n">
        <f aca="false">(E161/100)*F161</f>
        <v>0.89</v>
      </c>
      <c r="H161" s="0" t="n">
        <v>0</v>
      </c>
      <c r="I161" s="2" t="n">
        <f aca="false">(E161/100)*H161</f>
        <v>0</v>
      </c>
      <c r="J161" s="0" t="n">
        <v>0</v>
      </c>
      <c r="K161" s="6" t="n">
        <f aca="false">G161/E161</f>
        <v>0.89</v>
      </c>
      <c r="L161" s="7" t="n">
        <v>0.011</v>
      </c>
      <c r="M161" s="7" t="n">
        <f aca="false">(13.99/600)/G161</f>
        <v>0.0261985018726592</v>
      </c>
      <c r="N161" s="0" t="n">
        <v>0</v>
      </c>
      <c r="O161" s="0" t="n">
        <v>0</v>
      </c>
      <c r="P161" s="0" t="n">
        <v>0</v>
      </c>
      <c r="Q161" s="0" t="n">
        <v>0</v>
      </c>
      <c r="U161" s="11" t="s">
        <v>206</v>
      </c>
      <c r="V161" s="0" t="n">
        <v>1</v>
      </c>
    </row>
    <row r="162" customFormat="false" ht="12.8" hidden="false" customHeight="false" outlineLevel="0" collapsed="false">
      <c r="A162" s="10" t="s">
        <v>204</v>
      </c>
      <c r="B162" s="0" t="s">
        <v>25</v>
      </c>
      <c r="C162" s="0" t="s">
        <v>26</v>
      </c>
      <c r="D162" s="0" t="s">
        <v>214</v>
      </c>
      <c r="E162" s="0" t="n">
        <v>1</v>
      </c>
      <c r="F162" s="0" t="n">
        <v>90</v>
      </c>
      <c r="G162" s="1" t="n">
        <f aca="false">(E162/100)*F162</f>
        <v>0.9</v>
      </c>
      <c r="H162" s="0" t="n">
        <v>0</v>
      </c>
      <c r="I162" s="2" t="n">
        <f aca="false">(E162/100)*H162</f>
        <v>0</v>
      </c>
      <c r="J162" s="0" t="n">
        <v>1.5</v>
      </c>
      <c r="K162" s="6" t="n">
        <f aca="false">G162/E162</f>
        <v>0.9</v>
      </c>
      <c r="L162" s="7" t="n">
        <v>0.0075</v>
      </c>
      <c r="M162" s="7" t="n">
        <f aca="false">(29.99/1200)/G162</f>
        <v>0.0277685185185185</v>
      </c>
      <c r="N162" s="0" t="n">
        <v>0</v>
      </c>
      <c r="O162" s="0" t="n">
        <v>0</v>
      </c>
      <c r="P162" s="0" t="n">
        <v>0</v>
      </c>
      <c r="Q162" s="0" t="n">
        <v>0</v>
      </c>
      <c r="U162" s="11" t="s">
        <v>206</v>
      </c>
      <c r="V162" s="0" t="n">
        <v>1</v>
      </c>
    </row>
    <row r="163" customFormat="false" ht="13.75" hidden="false" customHeight="true" outlineLevel="0" collapsed="false">
      <c r="A163" s="10" t="s">
        <v>204</v>
      </c>
      <c r="B163" s="0" t="s">
        <v>25</v>
      </c>
      <c r="C163" s="0" t="s">
        <v>26</v>
      </c>
      <c r="D163" s="0" t="s">
        <v>215</v>
      </c>
      <c r="E163" s="0" t="n">
        <v>1</v>
      </c>
      <c r="F163" s="0" t="n">
        <v>95</v>
      </c>
      <c r="G163" s="1" t="n">
        <f aca="false">(E163/100)*F163</f>
        <v>0.95</v>
      </c>
      <c r="H163" s="0" t="n">
        <v>0</v>
      </c>
      <c r="I163" s="2" t="n">
        <f aca="false">(E163/100)*H163</f>
        <v>0</v>
      </c>
      <c r="J163" s="0" t="n">
        <v>0</v>
      </c>
      <c r="K163" s="6" t="n">
        <f aca="false">G163/E163</f>
        <v>0.95</v>
      </c>
      <c r="L163" s="7" t="n">
        <v>0.0063</v>
      </c>
      <c r="M163" s="7" t="n">
        <f aca="false">(16.99/608)/G163</f>
        <v>0.0294148199445983</v>
      </c>
      <c r="N163" s="0" t="n">
        <v>0</v>
      </c>
      <c r="O163" s="0" t="n">
        <v>0</v>
      </c>
      <c r="P163" s="0" t="n">
        <v>0</v>
      </c>
      <c r="Q163" s="0" t="n">
        <v>0</v>
      </c>
      <c r="U163" s="11" t="s">
        <v>216</v>
      </c>
      <c r="V163" s="0" t="n">
        <v>1</v>
      </c>
    </row>
    <row r="164" customFormat="false" ht="12.8" hidden="false" customHeight="false" outlineLevel="0" collapsed="false">
      <c r="A164" s="10" t="s">
        <v>204</v>
      </c>
      <c r="B164" s="0" t="s">
        <v>25</v>
      </c>
      <c r="C164" s="0" t="s">
        <v>26</v>
      </c>
      <c r="D164" s="0" t="s">
        <v>217</v>
      </c>
      <c r="E164" s="0" t="n">
        <v>94</v>
      </c>
      <c r="F164" s="0" t="n">
        <v>96</v>
      </c>
      <c r="G164" s="1" t="n">
        <f aca="false">(E164/100)*F164</f>
        <v>90.24</v>
      </c>
      <c r="H164" s="0" t="n">
        <v>0</v>
      </c>
      <c r="I164" s="2" t="n">
        <f aca="false">(E164/100)*H164</f>
        <v>0</v>
      </c>
      <c r="J164" s="0" t="n">
        <v>0</v>
      </c>
      <c r="K164" s="6" t="n">
        <f aca="false">G164/E164</f>
        <v>0.96</v>
      </c>
      <c r="L164" s="7" t="n">
        <v>0.2</v>
      </c>
      <c r="M164" s="7" t="n">
        <f aca="false">4.19/G164</f>
        <v>0.0464317375886525</v>
      </c>
      <c r="N164" s="0" t="n">
        <v>0</v>
      </c>
      <c r="O164" s="0" t="n">
        <v>0</v>
      </c>
      <c r="P164" s="0" t="n">
        <v>0</v>
      </c>
      <c r="Q164" s="0" t="n">
        <v>0</v>
      </c>
      <c r="U164" s="11" t="s">
        <v>218</v>
      </c>
      <c r="V164" s="0" t="n">
        <v>1</v>
      </c>
    </row>
    <row r="165" customFormat="false" ht="12.8" hidden="false" customHeight="false" outlineLevel="0" collapsed="false">
      <c r="A165" s="10" t="s">
        <v>204</v>
      </c>
      <c r="B165" s="0" t="s">
        <v>20</v>
      </c>
      <c r="C165" s="0" t="s">
        <v>21</v>
      </c>
      <c r="D165" s="0" t="s">
        <v>219</v>
      </c>
      <c r="E165" s="0" t="n">
        <v>67</v>
      </c>
      <c r="F165" s="0" t="n">
        <v>37</v>
      </c>
      <c r="G165" s="1" t="n">
        <f aca="false">(E165/100)*F165</f>
        <v>24.79</v>
      </c>
      <c r="H165" s="0" t="n">
        <v>0</v>
      </c>
      <c r="I165" s="2" t="n">
        <f aca="false">(E165/100)*H165</f>
        <v>0</v>
      </c>
      <c r="J165" s="0" t="n">
        <v>0</v>
      </c>
      <c r="K165" s="6" t="n">
        <f aca="false">G165/E165</f>
        <v>0.37</v>
      </c>
      <c r="L165" s="7" t="n">
        <v>0.213</v>
      </c>
      <c r="M165" s="7" t="n">
        <f aca="false">2.49/G165</f>
        <v>0.100443727309399</v>
      </c>
      <c r="N165" s="0" t="n">
        <v>0</v>
      </c>
      <c r="O165" s="0" t="n">
        <v>0</v>
      </c>
      <c r="P165" s="0" t="n">
        <v>0</v>
      </c>
      <c r="Q165" s="0" t="n">
        <v>0</v>
      </c>
      <c r="U165" s="11" t="s">
        <v>206</v>
      </c>
      <c r="V165" s="0" t="n">
        <v>1</v>
      </c>
    </row>
    <row r="166" customFormat="false" ht="12.8" hidden="false" customHeight="false" outlineLevel="0" collapsed="false">
      <c r="A166" s="10" t="s">
        <v>204</v>
      </c>
      <c r="B166" s="0" t="s">
        <v>20</v>
      </c>
      <c r="C166" s="0" t="s">
        <v>21</v>
      </c>
      <c r="D166" s="0" t="s">
        <v>220</v>
      </c>
      <c r="E166" s="0" t="n">
        <v>41</v>
      </c>
      <c r="F166" s="0" t="n">
        <v>63</v>
      </c>
      <c r="G166" s="1" t="n">
        <f aca="false">(E166/100)*F166</f>
        <v>25.83</v>
      </c>
      <c r="H166" s="0" t="n">
        <v>0</v>
      </c>
      <c r="I166" s="2" t="n">
        <f aca="false">(E166/100)*H166</f>
        <v>0</v>
      </c>
      <c r="J166" s="0" t="n">
        <v>0</v>
      </c>
      <c r="K166" s="6" t="n">
        <f aca="false">G166/E166</f>
        <v>0.63</v>
      </c>
      <c r="L166" s="7" t="n">
        <v>0.2</v>
      </c>
      <c r="M166" s="7" t="n">
        <f aca="false">2.49/G166</f>
        <v>0.0963995354239257</v>
      </c>
      <c r="N166" s="0" t="n">
        <v>0</v>
      </c>
      <c r="O166" s="0" t="n">
        <v>0</v>
      </c>
      <c r="P166" s="0" t="n">
        <v>0</v>
      </c>
      <c r="Q166" s="0" t="n">
        <v>0</v>
      </c>
      <c r="U166" s="11" t="s">
        <v>206</v>
      </c>
      <c r="V166" s="0" t="n">
        <v>1</v>
      </c>
    </row>
    <row r="167" customFormat="false" ht="12.8" hidden="false" customHeight="false" outlineLevel="0" collapsed="false">
      <c r="A167" s="10" t="s">
        <v>204</v>
      </c>
      <c r="B167" s="0" t="s">
        <v>20</v>
      </c>
      <c r="C167" s="0" t="s">
        <v>21</v>
      </c>
      <c r="D167" s="0" t="s">
        <v>221</v>
      </c>
      <c r="E167" s="0" t="n">
        <v>41</v>
      </c>
      <c r="F167" s="0" t="n">
        <v>63</v>
      </c>
      <c r="G167" s="1" t="n">
        <f aca="false">(E167/100)*F167</f>
        <v>25.83</v>
      </c>
      <c r="H167" s="0" t="n">
        <v>0</v>
      </c>
      <c r="I167" s="2" t="n">
        <f aca="false">(E167/100)*H167</f>
        <v>0</v>
      </c>
      <c r="J167" s="0" t="n">
        <v>50</v>
      </c>
      <c r="K167" s="6" t="n">
        <f aca="false">G167/E167</f>
        <v>0.63</v>
      </c>
      <c r="L167" s="7" t="n">
        <v>0.2</v>
      </c>
      <c r="M167" s="7" t="n">
        <f aca="false">2.49/G167</f>
        <v>0.0963995354239257</v>
      </c>
      <c r="N167" s="0" t="n">
        <v>0</v>
      </c>
      <c r="O167" s="0" t="n">
        <v>0</v>
      </c>
      <c r="P167" s="0" t="n">
        <v>0</v>
      </c>
      <c r="Q167" s="0" t="n">
        <v>0</v>
      </c>
      <c r="U167" s="11" t="s">
        <v>206</v>
      </c>
      <c r="V167" s="0" t="n">
        <v>1</v>
      </c>
    </row>
    <row r="168" customFormat="false" ht="12.8" hidden="false" customHeight="false" outlineLevel="0" collapsed="false">
      <c r="A168" s="10" t="s">
        <v>204</v>
      </c>
      <c r="B168" s="0" t="s">
        <v>20</v>
      </c>
      <c r="C168" s="0" t="s">
        <v>21</v>
      </c>
      <c r="D168" s="0" t="s">
        <v>222</v>
      </c>
      <c r="E168" s="0" t="n">
        <v>41</v>
      </c>
      <c r="F168" s="0" t="n">
        <v>63</v>
      </c>
      <c r="G168" s="1" t="n">
        <f aca="false">(E168/100)*F168</f>
        <v>25.83</v>
      </c>
      <c r="H168" s="0" t="n">
        <v>0</v>
      </c>
      <c r="I168" s="2" t="n">
        <f aca="false">(E168/100)*H168</f>
        <v>0</v>
      </c>
      <c r="J168" s="0" t="n">
        <v>0</v>
      </c>
      <c r="K168" s="6" t="n">
        <f aca="false">G168/E168</f>
        <v>0.63</v>
      </c>
      <c r="L168" s="7" t="n">
        <v>0.2</v>
      </c>
      <c r="M168" s="7" t="n">
        <f aca="false">2.49/G168</f>
        <v>0.0963995354239257</v>
      </c>
      <c r="N168" s="0" t="n">
        <v>0</v>
      </c>
      <c r="O168" s="0" t="n">
        <v>0</v>
      </c>
      <c r="P168" s="0" t="n">
        <v>0</v>
      </c>
      <c r="Q168" s="0" t="n">
        <v>0</v>
      </c>
      <c r="U168" s="11" t="s">
        <v>206</v>
      </c>
      <c r="V168" s="0" t="n">
        <v>1</v>
      </c>
    </row>
    <row r="169" customFormat="false" ht="12.8" hidden="false" customHeight="false" outlineLevel="0" collapsed="false">
      <c r="A169" s="10" t="s">
        <v>204</v>
      </c>
      <c r="B169" s="0" t="s">
        <v>20</v>
      </c>
      <c r="C169" s="0" t="s">
        <v>21</v>
      </c>
      <c r="D169" s="0" t="s">
        <v>223</v>
      </c>
      <c r="E169" s="0" t="n">
        <v>41</v>
      </c>
      <c r="F169" s="0" t="n">
        <v>63</v>
      </c>
      <c r="G169" s="1" t="n">
        <f aca="false">(E169/100)*F169</f>
        <v>25.83</v>
      </c>
      <c r="H169" s="0" t="n">
        <v>0</v>
      </c>
      <c r="I169" s="2" t="n">
        <f aca="false">(E169/100)*H169</f>
        <v>0</v>
      </c>
      <c r="J169" s="0" t="n">
        <v>50</v>
      </c>
      <c r="K169" s="6" t="n">
        <f aca="false">G169/E169</f>
        <v>0.63</v>
      </c>
      <c r="L169" s="7" t="n">
        <v>0.2</v>
      </c>
      <c r="M169" s="7" t="n">
        <f aca="false">2.49/G169</f>
        <v>0.0963995354239257</v>
      </c>
      <c r="N169" s="0" t="n">
        <v>0</v>
      </c>
      <c r="O169" s="0" t="n">
        <v>0</v>
      </c>
      <c r="P169" s="0" t="n">
        <v>0</v>
      </c>
      <c r="Q169" s="0" t="n">
        <v>0</v>
      </c>
      <c r="U169" s="11" t="s">
        <v>206</v>
      </c>
      <c r="V169" s="0" t="n">
        <v>1</v>
      </c>
    </row>
    <row r="170" customFormat="false" ht="12.8" hidden="false" customHeight="false" outlineLevel="0" collapsed="false">
      <c r="A170" s="10" t="s">
        <v>204</v>
      </c>
      <c r="B170" s="0" t="s">
        <v>20</v>
      </c>
      <c r="C170" s="0" t="s">
        <v>21</v>
      </c>
      <c r="D170" s="0" t="s">
        <v>224</v>
      </c>
      <c r="E170" s="0" t="n">
        <v>50</v>
      </c>
      <c r="F170" s="0" t="n">
        <v>60</v>
      </c>
      <c r="G170" s="1" t="n">
        <f aca="false">(E170/100)*F170</f>
        <v>30</v>
      </c>
      <c r="H170" s="0" t="n">
        <v>0</v>
      </c>
      <c r="I170" s="2" t="n">
        <f aca="false">(E170/100)*H170</f>
        <v>0</v>
      </c>
      <c r="J170" s="0" t="n">
        <v>0</v>
      </c>
      <c r="K170" s="6" t="n">
        <f aca="false">G170/E170</f>
        <v>0.6</v>
      </c>
      <c r="L170" s="7" t="n">
        <v>0.2</v>
      </c>
      <c r="M170" s="7" t="n">
        <f aca="false">3.49/G170</f>
        <v>0.116333333333333</v>
      </c>
      <c r="N170" s="0" t="n">
        <v>0</v>
      </c>
      <c r="O170" s="0" t="n">
        <v>0</v>
      </c>
      <c r="P170" s="0" t="n">
        <v>0</v>
      </c>
      <c r="Q170" s="0" t="n">
        <v>0</v>
      </c>
      <c r="U170" s="11" t="s">
        <v>218</v>
      </c>
      <c r="V170" s="0" t="n">
        <v>1</v>
      </c>
    </row>
    <row r="171" customFormat="false" ht="12.8" hidden="false" customHeight="false" outlineLevel="0" collapsed="false">
      <c r="A171" s="10" t="s">
        <v>204</v>
      </c>
      <c r="B171" s="0" t="s">
        <v>20</v>
      </c>
      <c r="C171" s="0" t="s">
        <v>21</v>
      </c>
      <c r="D171" s="0" t="s">
        <v>225</v>
      </c>
      <c r="E171" s="0" t="n">
        <v>50</v>
      </c>
      <c r="F171" s="0" t="n">
        <v>60</v>
      </c>
      <c r="G171" s="1" t="n">
        <f aca="false">(E171/100)*F171</f>
        <v>30</v>
      </c>
      <c r="H171" s="0" t="n">
        <v>0</v>
      </c>
      <c r="I171" s="2" t="n">
        <f aca="false">(E171/100)*H171</f>
        <v>0</v>
      </c>
      <c r="J171" s="0" t="n">
        <v>100</v>
      </c>
      <c r="K171" s="6" t="n">
        <f aca="false">G171/E171</f>
        <v>0.6</v>
      </c>
      <c r="L171" s="7" t="n">
        <v>0.2</v>
      </c>
      <c r="M171" s="7" t="n">
        <f aca="false">3.49/G171</f>
        <v>0.116333333333333</v>
      </c>
      <c r="N171" s="0" t="n">
        <v>0</v>
      </c>
      <c r="O171" s="0" t="n">
        <v>0</v>
      </c>
      <c r="P171" s="0" t="n">
        <v>0</v>
      </c>
      <c r="Q171" s="0" t="n">
        <v>0</v>
      </c>
      <c r="U171" s="11" t="s">
        <v>218</v>
      </c>
      <c r="V171" s="0" t="n">
        <v>1</v>
      </c>
    </row>
    <row r="172" customFormat="false" ht="12.8" hidden="false" customHeight="false" outlineLevel="0" collapsed="false">
      <c r="A172" s="10" t="s">
        <v>204</v>
      </c>
      <c r="B172" s="0" t="s">
        <v>27</v>
      </c>
      <c r="C172" s="0" t="s">
        <v>28</v>
      </c>
      <c r="D172" s="0" t="s">
        <v>226</v>
      </c>
      <c r="E172" s="0" t="n">
        <v>90</v>
      </c>
      <c r="F172" s="0" t="n">
        <v>30</v>
      </c>
      <c r="G172" s="1" t="n">
        <f aca="false">(E172/100)*F172</f>
        <v>27</v>
      </c>
      <c r="H172" s="0" t="n">
        <v>0.7</v>
      </c>
      <c r="I172" s="2" t="n">
        <f aca="false">(E172/100)*H172</f>
        <v>0.63</v>
      </c>
      <c r="J172" s="0" t="n">
        <v>0</v>
      </c>
      <c r="K172" s="6" t="n">
        <f aca="false">G172/E172</f>
        <v>0.3</v>
      </c>
      <c r="L172" s="7" t="n">
        <v>0.14</v>
      </c>
      <c r="M172" s="7" t="n">
        <f aca="false">2.29/G172</f>
        <v>0.0848148148148148</v>
      </c>
      <c r="N172" s="0" t="n">
        <v>0</v>
      </c>
      <c r="O172" s="0" t="n">
        <v>0</v>
      </c>
      <c r="P172" s="0" t="n">
        <v>0</v>
      </c>
      <c r="Q172" s="0" t="n">
        <v>0</v>
      </c>
      <c r="U172" s="11" t="s">
        <v>206</v>
      </c>
      <c r="V172" s="0" t="n">
        <v>1</v>
      </c>
    </row>
    <row r="173" customFormat="false" ht="12.8" hidden="false" customHeight="false" outlineLevel="0" collapsed="false">
      <c r="A173" s="10" t="s">
        <v>227</v>
      </c>
      <c r="B173" s="0" t="s">
        <v>36</v>
      </c>
      <c r="C173" s="0" t="s">
        <v>37</v>
      </c>
      <c r="D173" s="0" t="s">
        <v>228</v>
      </c>
      <c r="E173" s="0" t="n">
        <v>42</v>
      </c>
      <c r="F173" s="0" t="n">
        <v>73.9</v>
      </c>
      <c r="G173" s="1" t="n">
        <f aca="false">(E173/100)*F173</f>
        <v>31.038</v>
      </c>
      <c r="H173" s="0" t="n">
        <v>2.4</v>
      </c>
      <c r="I173" s="2" t="n">
        <f aca="false">(E173/100)*H173</f>
        <v>1.008</v>
      </c>
      <c r="J173" s="0" t="n">
        <v>0</v>
      </c>
      <c r="K173" s="6" t="n">
        <f aca="false">G173/E173</f>
        <v>0.739</v>
      </c>
      <c r="L173" s="7" t="n">
        <v>0.054</v>
      </c>
      <c r="M173" s="7" t="n">
        <f aca="false">2.3/G173</f>
        <v>0.07410271280366</v>
      </c>
      <c r="N173" s="0" t="n">
        <v>0</v>
      </c>
      <c r="O173" s="0" t="n">
        <v>0</v>
      </c>
      <c r="P173" s="0" t="n">
        <v>1</v>
      </c>
      <c r="Q173" s="0" t="n">
        <v>0</v>
      </c>
      <c r="U173" s="11"/>
      <c r="V173" s="0" t="n">
        <v>0</v>
      </c>
    </row>
    <row r="174" customFormat="false" ht="12.8" hidden="false" customHeight="false" outlineLevel="0" collapsed="false">
      <c r="A174" s="10" t="s">
        <v>227</v>
      </c>
      <c r="B174" s="0" t="s">
        <v>25</v>
      </c>
      <c r="C174" s="0" t="s">
        <v>26</v>
      </c>
      <c r="D174" s="0" t="s">
        <v>229</v>
      </c>
      <c r="E174" s="0" t="n">
        <v>40</v>
      </c>
      <c r="F174" s="0" t="n">
        <v>81.4</v>
      </c>
      <c r="G174" s="1" t="n">
        <f aca="false">(E174/100)*F174</f>
        <v>32.56</v>
      </c>
      <c r="H174" s="0" t="n">
        <v>2.4</v>
      </c>
      <c r="I174" s="2" t="n">
        <f aca="false">(E174/100)*H174</f>
        <v>0.96</v>
      </c>
      <c r="J174" s="0" t="n">
        <v>0</v>
      </c>
      <c r="K174" s="6" t="n">
        <f aca="false">G174/E174</f>
        <v>0.814</v>
      </c>
      <c r="L174" s="7" t="n">
        <f aca="false">0.77*0.4</f>
        <v>0.308</v>
      </c>
      <c r="M174" s="7" t="n">
        <f aca="false">(25.9/12)/G174</f>
        <v>0.0662878787878788</v>
      </c>
      <c r="N174" s="0" t="n">
        <v>0</v>
      </c>
      <c r="O174" s="0" t="n">
        <v>0</v>
      </c>
      <c r="P174" s="0" t="n">
        <v>0</v>
      </c>
      <c r="Q174" s="0" t="n">
        <v>0</v>
      </c>
      <c r="V174" s="0" t="n">
        <v>0</v>
      </c>
    </row>
    <row r="175" customFormat="false" ht="12.8" hidden="false" customHeight="false" outlineLevel="0" collapsed="false">
      <c r="A175" s="10" t="s">
        <v>227</v>
      </c>
      <c r="B175" s="0" t="s">
        <v>20</v>
      </c>
      <c r="C175" s="0" t="s">
        <v>21</v>
      </c>
      <c r="D175" s="0" t="s">
        <v>230</v>
      </c>
      <c r="E175" s="0" t="n">
        <v>52</v>
      </c>
      <c r="F175" s="0" t="n">
        <v>58</v>
      </c>
      <c r="G175" s="1" t="n">
        <f aca="false">(E175/100)*F175</f>
        <v>30.16</v>
      </c>
      <c r="H175" s="0" t="n">
        <v>0</v>
      </c>
      <c r="I175" s="2" t="n">
        <f aca="false">(E175/100)*H175</f>
        <v>0</v>
      </c>
      <c r="J175" s="0" t="n">
        <v>0</v>
      </c>
      <c r="K175" s="6" t="n">
        <f aca="false">G175/E175</f>
        <v>0.58</v>
      </c>
      <c r="L175" s="7" t="n">
        <v>0.053</v>
      </c>
      <c r="M175" s="7" t="n">
        <f aca="false">(16.9/6)/G175</f>
        <v>0.0933908045977011</v>
      </c>
      <c r="N175" s="0" t="n">
        <v>0</v>
      </c>
      <c r="O175" s="0" t="n">
        <v>0</v>
      </c>
      <c r="P175" s="0" t="n">
        <v>0</v>
      </c>
      <c r="Q175" s="0" t="n">
        <v>0</v>
      </c>
      <c r="V175" s="0" t="n">
        <v>0</v>
      </c>
    </row>
    <row r="176" customFormat="false" ht="12.8" hidden="false" customHeight="false" outlineLevel="0" collapsed="false">
      <c r="A176" s="10" t="s">
        <v>231</v>
      </c>
      <c r="B176" s="0" t="s">
        <v>36</v>
      </c>
      <c r="C176" s="0" t="s">
        <v>37</v>
      </c>
      <c r="D176" s="0" t="s">
        <v>232</v>
      </c>
      <c r="E176" s="0" t="n">
        <v>50</v>
      </c>
      <c r="F176" s="0" t="n">
        <v>48.2</v>
      </c>
      <c r="G176" s="1" t="n">
        <f aca="false">(E176/100)*F176</f>
        <v>24.1</v>
      </c>
      <c r="H176" s="0" t="n">
        <v>11</v>
      </c>
      <c r="I176" s="2" t="n">
        <f aca="false">(E176/100)*H176</f>
        <v>5.5</v>
      </c>
      <c r="J176" s="0" t="n">
        <v>0</v>
      </c>
      <c r="K176" s="6" t="n">
        <f aca="false">G176/E176</f>
        <v>0.482</v>
      </c>
      <c r="L176" s="7" t="n">
        <v>0.04</v>
      </c>
      <c r="M176" s="7" t="n">
        <f aca="false">2.5/G176</f>
        <v>0.103734439834025</v>
      </c>
      <c r="N176" s="0" t="n">
        <v>1</v>
      </c>
      <c r="O176" s="0" t="n">
        <v>0</v>
      </c>
      <c r="P176" s="0" t="n">
        <v>1</v>
      </c>
      <c r="Q176" s="0" t="n">
        <v>0</v>
      </c>
      <c r="V176" s="0" t="n">
        <v>0</v>
      </c>
    </row>
    <row r="177" customFormat="false" ht="12.8" hidden="false" customHeight="false" outlineLevel="0" collapsed="false">
      <c r="A177" s="10" t="s">
        <v>231</v>
      </c>
      <c r="B177" s="0" t="s">
        <v>36</v>
      </c>
      <c r="C177" s="0" t="s">
        <v>37</v>
      </c>
      <c r="D177" s="0" t="s">
        <v>233</v>
      </c>
      <c r="E177" s="0" t="n">
        <v>50</v>
      </c>
      <c r="F177" s="0" t="n">
        <v>71.1</v>
      </c>
      <c r="G177" s="1" t="n">
        <f aca="false">(E177/100)*F177</f>
        <v>35.55</v>
      </c>
      <c r="H177" s="0" t="n">
        <v>6.4</v>
      </c>
      <c r="I177" s="2" t="n">
        <f aca="false">(E177/100)*H177</f>
        <v>3.2</v>
      </c>
      <c r="J177" s="0" t="n">
        <v>0</v>
      </c>
      <c r="K177" s="6" t="n">
        <f aca="false">G177/E177</f>
        <v>0.711</v>
      </c>
      <c r="L177" s="7" t="n">
        <v>0</v>
      </c>
      <c r="M177" s="7" t="n">
        <f aca="false">2.5/G177</f>
        <v>0.070323488045007</v>
      </c>
      <c r="N177" s="0" t="n">
        <v>1</v>
      </c>
      <c r="O177" s="0" t="n">
        <v>0</v>
      </c>
      <c r="P177" s="0" t="n">
        <v>1</v>
      </c>
      <c r="Q177" s="0" t="n">
        <v>0</v>
      </c>
      <c r="V177" s="0" t="n">
        <v>0</v>
      </c>
    </row>
    <row r="178" customFormat="false" ht="12.8" hidden="false" customHeight="false" outlineLevel="0" collapsed="false">
      <c r="A178" s="10" t="s">
        <v>231</v>
      </c>
      <c r="B178" s="0" t="s">
        <v>36</v>
      </c>
      <c r="C178" s="0" t="s">
        <v>37</v>
      </c>
      <c r="D178" s="0" t="s">
        <v>234</v>
      </c>
      <c r="E178" s="0" t="n">
        <v>50</v>
      </c>
      <c r="F178" s="0" t="n">
        <v>53</v>
      </c>
      <c r="G178" s="1" t="n">
        <f aca="false">(E178/100)*F178</f>
        <v>26.5</v>
      </c>
      <c r="H178" s="0" t="n">
        <v>8.5</v>
      </c>
      <c r="I178" s="2" t="n">
        <f aca="false">(E178/100)*H178</f>
        <v>4.25</v>
      </c>
      <c r="J178" s="0" t="n">
        <v>0</v>
      </c>
      <c r="K178" s="6" t="n">
        <f aca="false">G178/E178</f>
        <v>0.53</v>
      </c>
      <c r="L178" s="7" t="n">
        <v>0</v>
      </c>
      <c r="M178" s="7" t="n">
        <f aca="false">2.5/G178</f>
        <v>0.0943396226415094</v>
      </c>
      <c r="N178" s="0" t="n">
        <v>1</v>
      </c>
      <c r="O178" s="0" t="n">
        <v>0</v>
      </c>
      <c r="P178" s="0" t="n">
        <v>1</v>
      </c>
      <c r="Q178" s="0" t="n">
        <v>0</v>
      </c>
      <c r="V178" s="0" t="n">
        <v>0</v>
      </c>
    </row>
    <row r="179" customFormat="false" ht="12.8" hidden="false" customHeight="false" outlineLevel="0" collapsed="false">
      <c r="A179" s="10" t="s">
        <v>231</v>
      </c>
      <c r="B179" s="0" t="s">
        <v>36</v>
      </c>
      <c r="C179" s="0" t="s">
        <v>37</v>
      </c>
      <c r="D179" s="0" t="s">
        <v>235</v>
      </c>
      <c r="E179" s="0" t="n">
        <v>50</v>
      </c>
      <c r="F179" s="0" t="n">
        <v>41</v>
      </c>
      <c r="G179" s="1" t="n">
        <f aca="false">(E179/100)*F179</f>
        <v>20.5</v>
      </c>
      <c r="H179" s="0" t="n">
        <v>8.15</v>
      </c>
      <c r="I179" s="2" t="n">
        <f aca="false">(E179/100)*H179</f>
        <v>4.075</v>
      </c>
      <c r="J179" s="0" t="n">
        <v>0</v>
      </c>
      <c r="K179" s="6" t="n">
        <f aca="false">G179/E179</f>
        <v>0.41</v>
      </c>
      <c r="L179" s="7" t="n">
        <f aca="false">0.15*0.4</f>
        <v>0.06</v>
      </c>
      <c r="M179" s="7" t="n">
        <f aca="false">2.5/G179</f>
        <v>0.121951219512195</v>
      </c>
      <c r="N179" s="0" t="n">
        <v>1</v>
      </c>
      <c r="O179" s="0" t="n">
        <v>0</v>
      </c>
      <c r="P179" s="0" t="n">
        <v>1</v>
      </c>
      <c r="Q179" s="0" t="n">
        <v>0</v>
      </c>
      <c r="V179" s="0" t="n">
        <v>0</v>
      </c>
    </row>
    <row r="180" customFormat="false" ht="12.8" hidden="false" customHeight="false" outlineLevel="0" collapsed="false">
      <c r="A180" s="10" t="s">
        <v>231</v>
      </c>
      <c r="B180" s="0" t="s">
        <v>36</v>
      </c>
      <c r="C180" s="0" t="s">
        <v>37</v>
      </c>
      <c r="D180" s="0" t="s">
        <v>236</v>
      </c>
      <c r="E180" s="0" t="n">
        <v>50</v>
      </c>
      <c r="F180" s="0" t="n">
        <v>55.5</v>
      </c>
      <c r="G180" s="1" t="n">
        <f aca="false">(E180/100)*F180</f>
        <v>27.75</v>
      </c>
      <c r="H180" s="0" t="n">
        <v>8.3</v>
      </c>
      <c r="I180" s="2" t="n">
        <f aca="false">(E180/100)*H180</f>
        <v>4.15</v>
      </c>
      <c r="J180" s="0" t="n">
        <v>0</v>
      </c>
      <c r="K180" s="6" t="n">
        <f aca="false">G180/E180</f>
        <v>0.555</v>
      </c>
      <c r="L180" s="7" t="n">
        <v>0</v>
      </c>
      <c r="M180" s="7" t="n">
        <f aca="false">2.5/G180</f>
        <v>0.0900900900900901</v>
      </c>
      <c r="N180" s="0" t="n">
        <v>1</v>
      </c>
      <c r="O180" s="0" t="n">
        <v>0</v>
      </c>
      <c r="P180" s="0" t="n">
        <v>1</v>
      </c>
      <c r="Q180" s="0" t="n">
        <v>0</v>
      </c>
      <c r="V180" s="0" t="n">
        <v>0</v>
      </c>
    </row>
    <row r="181" customFormat="false" ht="12.8" hidden="false" customHeight="false" outlineLevel="0" collapsed="false">
      <c r="A181" s="10" t="s">
        <v>231</v>
      </c>
      <c r="B181" s="0" t="s">
        <v>36</v>
      </c>
      <c r="C181" s="0" t="s">
        <v>37</v>
      </c>
      <c r="D181" s="0" t="s">
        <v>237</v>
      </c>
      <c r="E181" s="0" t="n">
        <v>50</v>
      </c>
      <c r="F181" s="0" t="n">
        <v>71.35</v>
      </c>
      <c r="G181" s="1" t="n">
        <f aca="false">(E181/100)*F181</f>
        <v>35.675</v>
      </c>
      <c r="H181" s="0" t="n">
        <v>5.2</v>
      </c>
      <c r="I181" s="2" t="n">
        <f aca="false">(E181/100)*H181</f>
        <v>2.6</v>
      </c>
      <c r="J181" s="0" t="n">
        <v>0</v>
      </c>
      <c r="K181" s="6" t="n">
        <f aca="false">G181/E181</f>
        <v>0.7135</v>
      </c>
      <c r="L181" s="7" t="n">
        <v>0</v>
      </c>
      <c r="M181" s="7" t="n">
        <f aca="false">2.5/G181</f>
        <v>0.0700770847932726</v>
      </c>
      <c r="N181" s="0" t="n">
        <v>1</v>
      </c>
      <c r="O181" s="0" t="n">
        <v>0</v>
      </c>
      <c r="P181" s="0" t="n">
        <v>1</v>
      </c>
      <c r="Q181" s="0" t="n">
        <v>0</v>
      </c>
      <c r="V181" s="0" t="n">
        <v>0</v>
      </c>
    </row>
    <row r="182" customFormat="false" ht="12.8" hidden="false" customHeight="false" outlineLevel="0" collapsed="false">
      <c r="A182" s="10" t="s">
        <v>238</v>
      </c>
      <c r="B182" s="0" t="s">
        <v>36</v>
      </c>
      <c r="C182" s="0" t="s">
        <v>37</v>
      </c>
      <c r="D182" s="0" t="s">
        <v>239</v>
      </c>
      <c r="E182" s="0" t="n">
        <v>45</v>
      </c>
      <c r="F182" s="0" t="n">
        <v>67</v>
      </c>
      <c r="G182" s="1" t="n">
        <f aca="false">(E182/100)*F182</f>
        <v>30.15</v>
      </c>
      <c r="H182" s="0" t="n">
        <v>5.8</v>
      </c>
      <c r="I182" s="2" t="n">
        <f aca="false">(E182/100)*H182</f>
        <v>2.61</v>
      </c>
      <c r="J182" s="0" t="n">
        <v>0</v>
      </c>
      <c r="K182" s="6" t="n">
        <f aca="false">G182/E182</f>
        <v>0.67</v>
      </c>
      <c r="L182" s="7" t="n">
        <v>0.004</v>
      </c>
      <c r="M182" s="7" t="n">
        <f aca="false">2.495/G182</f>
        <v>0.0827529021558872</v>
      </c>
      <c r="N182" s="0" t="n">
        <v>0</v>
      </c>
      <c r="O182" s="0" t="n">
        <v>1</v>
      </c>
      <c r="P182" s="0" t="n">
        <v>1</v>
      </c>
      <c r="Q182" s="0" t="n">
        <v>0</v>
      </c>
      <c r="U182" s="0" t="s">
        <v>115</v>
      </c>
      <c r="V182" s="0" t="n">
        <v>1</v>
      </c>
    </row>
    <row r="183" customFormat="false" ht="12.8" hidden="false" customHeight="false" outlineLevel="0" collapsed="false">
      <c r="A183" s="10" t="s">
        <v>238</v>
      </c>
      <c r="B183" s="0" t="s">
        <v>36</v>
      </c>
      <c r="C183" s="0" t="s">
        <v>37</v>
      </c>
      <c r="D183" s="0" t="s">
        <v>240</v>
      </c>
      <c r="E183" s="0" t="n">
        <v>28</v>
      </c>
      <c r="F183" s="0" t="n">
        <v>80</v>
      </c>
      <c r="G183" s="1" t="n">
        <f aca="false">(E183/100)*F183</f>
        <v>22.4</v>
      </c>
      <c r="H183" s="0" t="n">
        <v>0</v>
      </c>
      <c r="I183" s="2" t="n">
        <f aca="false">(E183/100)*H183</f>
        <v>0</v>
      </c>
      <c r="J183" s="0" t="n">
        <v>0</v>
      </c>
      <c r="K183" s="6" t="n">
        <f aca="false">G183/E183</f>
        <v>0.8</v>
      </c>
      <c r="L183" s="7" t="n">
        <v>0.004</v>
      </c>
      <c r="M183" s="7" t="n">
        <f aca="false">1.995/G183</f>
        <v>0.0890625</v>
      </c>
      <c r="N183" s="0" t="n">
        <v>0</v>
      </c>
      <c r="O183" s="0" t="n">
        <v>0</v>
      </c>
      <c r="P183" s="0" t="n">
        <v>0</v>
      </c>
      <c r="Q183" s="0" t="n">
        <v>0</v>
      </c>
      <c r="U183" s="0" t="s">
        <v>115</v>
      </c>
      <c r="V183" s="0" t="n">
        <v>1</v>
      </c>
    </row>
    <row r="184" customFormat="false" ht="12.8" hidden="false" customHeight="false" outlineLevel="0" collapsed="false">
      <c r="A184" s="10" t="s">
        <v>238</v>
      </c>
      <c r="B184" s="0" t="s">
        <v>36</v>
      </c>
      <c r="C184" s="0" t="s">
        <v>37</v>
      </c>
      <c r="D184" s="0" t="s">
        <v>241</v>
      </c>
      <c r="E184" s="0" t="n">
        <v>30</v>
      </c>
      <c r="F184" s="0" t="n">
        <v>75</v>
      </c>
      <c r="G184" s="1" t="n">
        <f aca="false">(E184/100)*F184</f>
        <v>22.5</v>
      </c>
      <c r="H184" s="0" t="n">
        <v>0</v>
      </c>
      <c r="I184" s="2" t="n">
        <f aca="false">(E184/100)*H184</f>
        <v>0</v>
      </c>
      <c r="J184" s="0" t="n">
        <v>0</v>
      </c>
      <c r="K184" s="6" t="n">
        <f aca="false">G184/E184</f>
        <v>0.75</v>
      </c>
      <c r="L184" s="7" t="n">
        <f aca="false">0.04*0.4</f>
        <v>0.016</v>
      </c>
      <c r="M184" s="7" t="n">
        <f aca="false">1.995/G184</f>
        <v>0.0886666666666667</v>
      </c>
      <c r="N184" s="0" t="n">
        <v>0</v>
      </c>
      <c r="O184" s="0" t="n">
        <v>0</v>
      </c>
      <c r="P184" s="0" t="n">
        <v>0</v>
      </c>
      <c r="Q184" s="0" t="n">
        <v>0</v>
      </c>
      <c r="U184" s="0" t="s">
        <v>115</v>
      </c>
      <c r="V184" s="0" t="n">
        <v>1</v>
      </c>
    </row>
    <row r="185" customFormat="false" ht="12.8" hidden="false" customHeight="false" outlineLevel="0" collapsed="false">
      <c r="A185" s="10" t="s">
        <v>238</v>
      </c>
      <c r="B185" s="0" t="s">
        <v>20</v>
      </c>
      <c r="C185" s="0" t="s">
        <v>21</v>
      </c>
      <c r="D185" s="0" t="s">
        <v>242</v>
      </c>
      <c r="E185" s="0" t="n">
        <v>66</v>
      </c>
      <c r="F185" s="0" t="n">
        <v>34.1</v>
      </c>
      <c r="G185" s="1" t="n">
        <f aca="false">(E185/100)*F185</f>
        <v>22.506</v>
      </c>
      <c r="H185" s="0" t="n">
        <v>0</v>
      </c>
      <c r="I185" s="2" t="n">
        <f aca="false">(E185/100)*H185</f>
        <v>0</v>
      </c>
      <c r="J185" s="0" t="n">
        <v>0</v>
      </c>
      <c r="K185" s="6" t="n">
        <f aca="false">G185/E185</f>
        <v>0.341</v>
      </c>
      <c r="L185" s="7" t="n">
        <v>0.004</v>
      </c>
      <c r="M185" s="7" t="n">
        <f aca="false">(34.95/18)/G185</f>
        <v>0.0862732900856068</v>
      </c>
      <c r="N185" s="0" t="n">
        <v>0</v>
      </c>
      <c r="O185" s="0" t="n">
        <v>0</v>
      </c>
      <c r="P185" s="0" t="n">
        <v>0</v>
      </c>
      <c r="Q185" s="0" t="n">
        <v>0</v>
      </c>
      <c r="U185" s="0" t="s">
        <v>115</v>
      </c>
      <c r="V185" s="0" t="n">
        <v>1</v>
      </c>
    </row>
    <row r="186" customFormat="false" ht="12.8" hidden="false" customHeight="false" outlineLevel="0" collapsed="false">
      <c r="A186" s="10" t="s">
        <v>238</v>
      </c>
      <c r="B186" s="0" t="s">
        <v>20</v>
      </c>
      <c r="C186" s="0" t="s">
        <v>21</v>
      </c>
      <c r="D186" s="0" t="s">
        <v>243</v>
      </c>
      <c r="E186" s="0" t="n">
        <v>75</v>
      </c>
      <c r="F186" s="0" t="n">
        <v>60</v>
      </c>
      <c r="G186" s="1" t="n">
        <f aca="false">(E186/100)*F186</f>
        <v>45</v>
      </c>
      <c r="H186" s="0" t="n">
        <v>0</v>
      </c>
      <c r="I186" s="2" t="n">
        <f aca="false">(E186/100)*H186</f>
        <v>0</v>
      </c>
      <c r="J186" s="0" t="n">
        <v>0</v>
      </c>
      <c r="K186" s="6" t="n">
        <f aca="false">G186/E186</f>
        <v>0.6</v>
      </c>
      <c r="L186" s="7" t="n">
        <v>0.46</v>
      </c>
      <c r="M186" s="7" t="n">
        <f aca="false">(39.95/16)/G186</f>
        <v>0.0554861111111111</v>
      </c>
      <c r="N186" s="0" t="n">
        <v>0</v>
      </c>
      <c r="O186" s="0" t="n">
        <v>0</v>
      </c>
      <c r="P186" s="0" t="n">
        <v>0</v>
      </c>
      <c r="Q186" s="0" t="n">
        <v>0</v>
      </c>
      <c r="U186" s="0" t="s">
        <v>115</v>
      </c>
      <c r="V186" s="0" t="n">
        <v>1</v>
      </c>
    </row>
    <row r="187" customFormat="false" ht="12.8" hidden="false" customHeight="false" outlineLevel="0" collapsed="false">
      <c r="A187" s="10" t="s">
        <v>238</v>
      </c>
      <c r="B187" s="0" t="s">
        <v>20</v>
      </c>
      <c r="C187" s="0" t="s">
        <v>21</v>
      </c>
      <c r="D187" s="0" t="s">
        <v>244</v>
      </c>
      <c r="E187" s="0" t="n">
        <v>75</v>
      </c>
      <c r="F187" s="0" t="n">
        <v>60</v>
      </c>
      <c r="G187" s="1" t="n">
        <f aca="false">(E187/100)*F187</f>
        <v>45</v>
      </c>
      <c r="H187" s="0" t="n">
        <v>0</v>
      </c>
      <c r="I187" s="2" t="n">
        <f aca="false">(E187/100)*H187</f>
        <v>0</v>
      </c>
      <c r="J187" s="0" t="n">
        <v>65</v>
      </c>
      <c r="K187" s="6" t="n">
        <f aca="false">G187/E187</f>
        <v>0.6</v>
      </c>
      <c r="L187" s="0" t="n">
        <v>0.46</v>
      </c>
      <c r="M187" s="7" t="n">
        <f aca="false">(44.95/16)/G187</f>
        <v>0.0624305555555556</v>
      </c>
      <c r="N187" s="0" t="n">
        <v>0</v>
      </c>
      <c r="O187" s="0" t="n">
        <v>0</v>
      </c>
      <c r="P187" s="0" t="n">
        <v>0</v>
      </c>
      <c r="Q187" s="0" t="n">
        <v>0</v>
      </c>
      <c r="U187" s="0" t="s">
        <v>115</v>
      </c>
      <c r="V187" s="0" t="n">
        <v>1</v>
      </c>
    </row>
    <row r="188" customFormat="false" ht="12.8" hidden="false" customHeight="false" outlineLevel="0" collapsed="false">
      <c r="A188" s="10" t="s">
        <v>238</v>
      </c>
      <c r="B188" s="0" t="s">
        <v>20</v>
      </c>
      <c r="C188" s="0" t="s">
        <v>21</v>
      </c>
      <c r="D188" s="0" t="s">
        <v>245</v>
      </c>
      <c r="E188" s="0" t="n">
        <v>75</v>
      </c>
      <c r="F188" s="0" t="n">
        <v>60</v>
      </c>
      <c r="G188" s="1" t="n">
        <f aca="false">(E188/100)*F188</f>
        <v>45</v>
      </c>
      <c r="H188" s="0" t="n">
        <v>0</v>
      </c>
      <c r="I188" s="2" t="n">
        <f aca="false">(E188/100)*H188</f>
        <v>0</v>
      </c>
      <c r="J188" s="0" t="n">
        <v>130</v>
      </c>
      <c r="K188" s="6" t="n">
        <f aca="false">G188/E188</f>
        <v>0.6</v>
      </c>
      <c r="L188" s="0" t="n">
        <v>0.46</v>
      </c>
      <c r="M188" s="7" t="n">
        <f aca="false">(44.95/16)/G188</f>
        <v>0.0624305555555556</v>
      </c>
      <c r="N188" s="0" t="n">
        <v>0</v>
      </c>
      <c r="O188" s="0" t="n">
        <v>0</v>
      </c>
      <c r="P188" s="0" t="n">
        <v>0</v>
      </c>
      <c r="Q188" s="0" t="n">
        <v>0</v>
      </c>
      <c r="U188" s="0" t="s">
        <v>115</v>
      </c>
      <c r="V188" s="0" t="n">
        <v>1</v>
      </c>
    </row>
    <row r="189" customFormat="false" ht="12.8" hidden="false" customHeight="false" outlineLevel="0" collapsed="false">
      <c r="A189" s="10" t="s">
        <v>238</v>
      </c>
      <c r="B189" s="0" t="s">
        <v>25</v>
      </c>
      <c r="C189" s="0" t="s">
        <v>26</v>
      </c>
      <c r="D189" s="0" t="s">
        <v>246</v>
      </c>
      <c r="E189" s="0" t="n">
        <v>1</v>
      </c>
      <c r="F189" s="0" t="n">
        <v>93.8</v>
      </c>
      <c r="G189" s="1" t="n">
        <f aca="false">(E189/100)*F189</f>
        <v>0.938</v>
      </c>
      <c r="H189" s="0" t="n">
        <v>0</v>
      </c>
      <c r="I189" s="2" t="n">
        <f aca="false">(E189/100)*H189</f>
        <v>0</v>
      </c>
      <c r="J189" s="0" t="n">
        <v>0</v>
      </c>
      <c r="K189" s="6" t="n">
        <f aca="false">G189/E189</f>
        <v>0.938</v>
      </c>
      <c r="L189" s="7" t="n">
        <f aca="false">0.958/100</f>
        <v>0.00958</v>
      </c>
      <c r="M189" s="12" t="n">
        <f aca="false">(24.95/1200)/G189</f>
        <v>0.0221659559346127</v>
      </c>
      <c r="N189" s="0" t="n">
        <v>0</v>
      </c>
      <c r="O189" s="0" t="n">
        <v>0</v>
      </c>
      <c r="P189" s="0" t="n">
        <v>0</v>
      </c>
      <c r="Q189" s="0" t="n">
        <v>0</v>
      </c>
      <c r="U189" s="0" t="s">
        <v>115</v>
      </c>
      <c r="V189" s="0" t="n">
        <v>1</v>
      </c>
    </row>
    <row r="190" customFormat="false" ht="12.8" hidden="false" customHeight="false" outlineLevel="0" collapsed="false">
      <c r="A190" s="10" t="s">
        <v>238</v>
      </c>
      <c r="B190" s="0" t="s">
        <v>25</v>
      </c>
      <c r="C190" s="0" t="s">
        <v>26</v>
      </c>
      <c r="D190" s="0" t="s">
        <v>247</v>
      </c>
      <c r="E190" s="0" t="n">
        <v>1</v>
      </c>
      <c r="F190" s="0" t="n">
        <v>93.8</v>
      </c>
      <c r="G190" s="1" t="n">
        <f aca="false">(E190/100)*F190</f>
        <v>0.938</v>
      </c>
      <c r="H190" s="0" t="n">
        <v>0</v>
      </c>
      <c r="I190" s="2" t="n">
        <f aca="false">(E190/100)*H190</f>
        <v>0</v>
      </c>
      <c r="J190" s="0" t="n">
        <v>0</v>
      </c>
      <c r="K190" s="6" t="n">
        <f aca="false">G190/E190</f>
        <v>0.938</v>
      </c>
      <c r="L190" s="7" t="n">
        <f aca="false">0.479/100</f>
        <v>0.00479</v>
      </c>
      <c r="M190" s="12" t="n">
        <f aca="false">(24.95/1200)/G190</f>
        <v>0.0221659559346127</v>
      </c>
      <c r="N190" s="0" t="n">
        <v>0</v>
      </c>
      <c r="O190" s="0" t="n">
        <v>0</v>
      </c>
      <c r="P190" s="0" t="n">
        <v>0</v>
      </c>
      <c r="Q190" s="0" t="n">
        <v>0</v>
      </c>
      <c r="U190" s="0" t="s">
        <v>115</v>
      </c>
      <c r="V190" s="0" t="n">
        <v>1</v>
      </c>
    </row>
    <row r="191" customFormat="false" ht="12.8" hidden="false" customHeight="false" outlineLevel="0" collapsed="false">
      <c r="A191" s="10" t="s">
        <v>238</v>
      </c>
      <c r="B191" s="0" t="s">
        <v>25</v>
      </c>
      <c r="C191" s="0" t="s">
        <v>26</v>
      </c>
      <c r="D191" s="0" t="s">
        <v>248</v>
      </c>
      <c r="E191" s="0" t="n">
        <v>1</v>
      </c>
      <c r="F191" s="0" t="n">
        <v>86.6</v>
      </c>
      <c r="G191" s="1" t="n">
        <f aca="false">(E191/100)*F191</f>
        <v>0.866</v>
      </c>
      <c r="H191" s="0" t="n">
        <v>0</v>
      </c>
      <c r="I191" s="2" t="n">
        <f aca="false">(E191/100)*H191</f>
        <v>0</v>
      </c>
      <c r="J191" s="0" t="n">
        <v>0</v>
      </c>
      <c r="K191" s="6" t="n">
        <f aca="false">G191/E191</f>
        <v>0.866</v>
      </c>
      <c r="L191" s="7" t="n">
        <f aca="false">2.6/100</f>
        <v>0.026</v>
      </c>
      <c r="M191" s="12" t="n">
        <f aca="false">(24.95/1200)/G191</f>
        <v>0.0240088529638183</v>
      </c>
      <c r="N191" s="0" t="n">
        <v>0</v>
      </c>
      <c r="O191" s="0" t="n">
        <v>0</v>
      </c>
      <c r="P191" s="0" t="n">
        <v>0</v>
      </c>
      <c r="Q191" s="0" t="n">
        <v>0</v>
      </c>
      <c r="S191" s="0" t="s">
        <v>249</v>
      </c>
      <c r="U191" s="0" t="s">
        <v>115</v>
      </c>
      <c r="V191" s="0" t="n">
        <v>1</v>
      </c>
    </row>
    <row r="192" customFormat="false" ht="12.8" hidden="false" customHeight="false" outlineLevel="0" collapsed="false">
      <c r="A192" s="10" t="s">
        <v>250</v>
      </c>
      <c r="B192" s="0" t="s">
        <v>20</v>
      </c>
      <c r="C192" s="0" t="s">
        <v>21</v>
      </c>
      <c r="D192" s="0" t="s">
        <v>251</v>
      </c>
      <c r="E192" s="0" t="n">
        <v>70</v>
      </c>
      <c r="F192" s="0" t="n">
        <v>42</v>
      </c>
      <c r="G192" s="1" t="n">
        <f aca="false">(E192/100)*F192</f>
        <v>29.4</v>
      </c>
      <c r="H192" s="0" t="n">
        <v>0</v>
      </c>
      <c r="I192" s="2" t="n">
        <f aca="false">(E192/100)*H192</f>
        <v>0</v>
      </c>
      <c r="J192" s="0" t="n">
        <v>0</v>
      </c>
      <c r="K192" s="6" t="n">
        <f aca="false">G192/E192</f>
        <v>0.42</v>
      </c>
      <c r="L192" s="7" t="n">
        <f aca="false">0.48*0.4</f>
        <v>0.192</v>
      </c>
      <c r="M192" s="7" t="n">
        <f aca="false">(44.99/20)/G192</f>
        <v>0.0765136054421769</v>
      </c>
      <c r="N192" s="0" t="n">
        <v>0</v>
      </c>
      <c r="O192" s="0" t="n">
        <v>0</v>
      </c>
      <c r="P192" s="0" t="n">
        <v>0</v>
      </c>
      <c r="Q192" s="0" t="n">
        <v>0</v>
      </c>
      <c r="R192" s="0" t="n">
        <v>500</v>
      </c>
      <c r="S192" s="0" t="s">
        <v>17</v>
      </c>
      <c r="V192" s="0" t="n">
        <v>0</v>
      </c>
    </row>
    <row r="193" customFormat="false" ht="12.8" hidden="false" customHeight="false" outlineLevel="0" collapsed="false">
      <c r="A193" s="10" t="s">
        <v>250</v>
      </c>
      <c r="B193" s="0" t="s">
        <v>20</v>
      </c>
      <c r="C193" s="0" t="s">
        <v>21</v>
      </c>
      <c r="D193" s="0" t="s">
        <v>252</v>
      </c>
      <c r="E193" s="0" t="n">
        <v>60</v>
      </c>
      <c r="F193" s="0" t="n">
        <v>37</v>
      </c>
      <c r="G193" s="1" t="n">
        <f aca="false">(E193/100)*F193</f>
        <v>22.2</v>
      </c>
      <c r="H193" s="0" t="n">
        <v>0</v>
      </c>
      <c r="I193" s="2" t="n">
        <f aca="false">(E193/100)*H193</f>
        <v>0</v>
      </c>
      <c r="J193" s="0" t="n">
        <v>0</v>
      </c>
      <c r="K193" s="6" t="n">
        <f aca="false">G193/E193</f>
        <v>0.37</v>
      </c>
      <c r="L193" s="7" t="n">
        <f aca="false">0.14*0.4</f>
        <v>0.056</v>
      </c>
      <c r="M193" s="7" t="n">
        <f aca="false">(54.99/24)/G193</f>
        <v>0.103209459459459</v>
      </c>
      <c r="N193" s="0" t="n">
        <v>0</v>
      </c>
      <c r="O193" s="0" t="n">
        <v>0</v>
      </c>
      <c r="P193" s="0" t="n">
        <v>0</v>
      </c>
      <c r="Q193" s="0" t="n">
        <v>0</v>
      </c>
      <c r="S193" s="0" t="s">
        <v>253</v>
      </c>
      <c r="V193" s="0" t="n">
        <v>0</v>
      </c>
    </row>
    <row r="194" customFormat="false" ht="12.8" hidden="false" customHeight="false" outlineLevel="0" collapsed="false">
      <c r="A194" s="10" t="s">
        <v>250</v>
      </c>
      <c r="B194" s="0" t="s">
        <v>20</v>
      </c>
      <c r="C194" s="0" t="s">
        <v>21</v>
      </c>
      <c r="D194" s="0" t="s">
        <v>254</v>
      </c>
      <c r="E194" s="0" t="n">
        <v>66</v>
      </c>
      <c r="F194" s="0" t="n">
        <v>31.2</v>
      </c>
      <c r="G194" s="1" t="n">
        <f aca="false">(E194/100)*F194</f>
        <v>20.592</v>
      </c>
      <c r="H194" s="0" t="n">
        <v>0</v>
      </c>
      <c r="I194" s="2" t="n">
        <f aca="false">(E194/100)*H194</f>
        <v>0</v>
      </c>
      <c r="J194" s="0" t="n">
        <v>0</v>
      </c>
      <c r="K194" s="6" t="n">
        <f aca="false">G194/E194</f>
        <v>0.312</v>
      </c>
      <c r="L194" s="7" t="n">
        <v>0.066</v>
      </c>
      <c r="M194" s="7" t="n">
        <f aca="false">(29.99/18)/G194</f>
        <v>0.0809106017439351</v>
      </c>
      <c r="N194" s="0" t="n">
        <v>0</v>
      </c>
      <c r="O194" s="0" t="n">
        <v>0</v>
      </c>
      <c r="P194" s="0" t="n">
        <v>0</v>
      </c>
      <c r="Q194" s="0" t="n">
        <v>0</v>
      </c>
      <c r="V194" s="0" t="n">
        <v>0</v>
      </c>
    </row>
    <row r="195" customFormat="false" ht="12.8" hidden="false" customHeight="false" outlineLevel="0" collapsed="false">
      <c r="A195" s="10" t="s">
        <v>250</v>
      </c>
      <c r="B195" s="0" t="s">
        <v>25</v>
      </c>
      <c r="C195" s="0" t="s">
        <v>26</v>
      </c>
      <c r="D195" s="0" t="s">
        <v>255</v>
      </c>
      <c r="E195" s="0" t="n">
        <v>1</v>
      </c>
      <c r="F195" s="0" t="n">
        <v>86.4</v>
      </c>
      <c r="G195" s="1" t="n">
        <f aca="false">(E195/100)*F195</f>
        <v>0.864</v>
      </c>
      <c r="H195" s="0" t="n">
        <v>0</v>
      </c>
      <c r="I195" s="2" t="n">
        <f aca="false">(E195/100)*H195</f>
        <v>0</v>
      </c>
      <c r="J195" s="0" t="n">
        <v>0</v>
      </c>
      <c r="K195" s="6" t="n">
        <f aca="false">G195/E195</f>
        <v>0.864</v>
      </c>
      <c r="L195" s="7" t="n">
        <f aca="false">1/100</f>
        <v>0.01</v>
      </c>
      <c r="M195" s="7" t="n">
        <f aca="false">(19.99/1500)/G195</f>
        <v>0.0154243827160494</v>
      </c>
      <c r="N195" s="0" t="n">
        <v>0</v>
      </c>
      <c r="O195" s="0" t="n">
        <v>0</v>
      </c>
      <c r="P195" s="0" t="n">
        <v>0</v>
      </c>
      <c r="Q195" s="0" t="n">
        <v>0</v>
      </c>
      <c r="V195" s="0" t="n">
        <v>0</v>
      </c>
    </row>
    <row r="196" customFormat="false" ht="12.8" hidden="false" customHeight="false" outlineLevel="0" collapsed="false">
      <c r="A196" s="10" t="s">
        <v>250</v>
      </c>
      <c r="B196" s="0" t="s">
        <v>36</v>
      </c>
      <c r="C196" s="0" t="s">
        <v>37</v>
      </c>
      <c r="D196" s="0" t="s">
        <v>256</v>
      </c>
      <c r="E196" s="0" t="n">
        <v>45</v>
      </c>
      <c r="F196" s="0" t="n">
        <v>64.47</v>
      </c>
      <c r="G196" s="1" t="n">
        <f aca="false">(E196/100)*F196</f>
        <v>29.0115</v>
      </c>
      <c r="H196" s="0" t="n">
        <v>5.56</v>
      </c>
      <c r="I196" s="2" t="n">
        <f aca="false">(E196/100)*H196</f>
        <v>2.502</v>
      </c>
      <c r="J196" s="0" t="n">
        <v>0</v>
      </c>
      <c r="K196" s="6" t="n">
        <f aca="false">G196/E196</f>
        <v>0.6447</v>
      </c>
      <c r="L196" s="7" t="n">
        <f aca="false">0.53*0.4</f>
        <v>0.212</v>
      </c>
      <c r="M196" s="7" t="n">
        <f aca="false">1.699/G196</f>
        <v>0.0585629836444169</v>
      </c>
      <c r="N196" s="0" t="n">
        <v>0</v>
      </c>
      <c r="O196" s="0" t="n">
        <v>1</v>
      </c>
      <c r="P196" s="0" t="n">
        <v>1</v>
      </c>
      <c r="Q196" s="0" t="n">
        <v>0</v>
      </c>
      <c r="V196" s="0" t="n">
        <v>0</v>
      </c>
    </row>
    <row r="197" customFormat="false" ht="12.8" hidden="false" customHeight="false" outlineLevel="0" collapsed="false">
      <c r="A197" s="10" t="s">
        <v>250</v>
      </c>
      <c r="B197" s="0" t="s">
        <v>36</v>
      </c>
      <c r="C197" s="0" t="s">
        <v>37</v>
      </c>
      <c r="D197" s="0" t="s">
        <v>257</v>
      </c>
      <c r="E197" s="0" t="n">
        <v>25</v>
      </c>
      <c r="F197" s="0" t="n">
        <v>80</v>
      </c>
      <c r="G197" s="1" t="n">
        <f aca="false">(E197/100)*F197</f>
        <v>20</v>
      </c>
      <c r="H197" s="0" t="n">
        <v>0</v>
      </c>
      <c r="I197" s="2" t="n">
        <f aca="false">(E197/100)*H197</f>
        <v>0</v>
      </c>
      <c r="J197" s="0" t="n">
        <v>0</v>
      </c>
      <c r="K197" s="6" t="n">
        <f aca="false">G197/E197</f>
        <v>0.8</v>
      </c>
      <c r="L197" s="7" t="n">
        <v>0.004</v>
      </c>
      <c r="M197" s="7" t="n">
        <f aca="false">1/G197</f>
        <v>0.05</v>
      </c>
      <c r="N197" s="0" t="n">
        <v>0</v>
      </c>
      <c r="O197" s="0" t="n">
        <v>0</v>
      </c>
      <c r="P197" s="0" t="n">
        <v>0</v>
      </c>
      <c r="Q197" s="0" t="n">
        <v>0</v>
      </c>
      <c r="V197" s="0" t="n">
        <v>0</v>
      </c>
    </row>
    <row r="198" customFormat="false" ht="12.8" hidden="false" customHeight="false" outlineLevel="0" collapsed="false">
      <c r="A198" s="10" t="s">
        <v>250</v>
      </c>
      <c r="B198" s="0" t="s">
        <v>36</v>
      </c>
      <c r="C198" s="0" t="s">
        <v>37</v>
      </c>
      <c r="D198" s="0" t="s">
        <v>258</v>
      </c>
      <c r="E198" s="0" t="n">
        <v>30</v>
      </c>
      <c r="F198" s="0" t="n">
        <v>77</v>
      </c>
      <c r="G198" s="1" t="n">
        <f aca="false">(E198/100)*F198</f>
        <v>23.1</v>
      </c>
      <c r="H198" s="0" t="n">
        <v>0</v>
      </c>
      <c r="I198" s="2" t="n">
        <f aca="false">(E198/100)*H198</f>
        <v>0</v>
      </c>
      <c r="J198" s="0" t="n">
        <v>0</v>
      </c>
      <c r="K198" s="6" t="n">
        <f aca="false">G198/E198</f>
        <v>0.77</v>
      </c>
      <c r="L198" s="7" t="n">
        <f aca="false">0.05*0.4</f>
        <v>0.02</v>
      </c>
      <c r="M198" s="7" t="n">
        <f aca="false">(8.99/6)/G198</f>
        <v>0.0648629148629149</v>
      </c>
      <c r="N198" s="0" t="n">
        <v>0</v>
      </c>
      <c r="O198" s="0" t="n">
        <v>0</v>
      </c>
      <c r="P198" s="0" t="n">
        <v>0</v>
      </c>
      <c r="Q198" s="0" t="n">
        <v>0</v>
      </c>
      <c r="V198" s="0" t="n">
        <v>0</v>
      </c>
    </row>
    <row r="199" customFormat="false" ht="12.8" hidden="false" customHeight="false" outlineLevel="0" collapsed="false">
      <c r="A199" s="10" t="s">
        <v>250</v>
      </c>
      <c r="B199" s="0" t="s">
        <v>36</v>
      </c>
      <c r="C199" s="0" t="s">
        <v>37</v>
      </c>
      <c r="D199" s="0" t="s">
        <v>259</v>
      </c>
      <c r="E199" s="0" t="n">
        <v>45</v>
      </c>
      <c r="F199" s="0" t="n">
        <v>64.4</v>
      </c>
      <c r="G199" s="1" t="n">
        <f aca="false">(E199/100)*F199</f>
        <v>28.98</v>
      </c>
      <c r="H199" s="0" t="n">
        <v>2.9</v>
      </c>
      <c r="I199" s="2" t="n">
        <f aca="false">(E199/100)*H199</f>
        <v>1.305</v>
      </c>
      <c r="J199" s="0" t="n">
        <v>0</v>
      </c>
      <c r="K199" s="6" t="n">
        <f aca="false">G199/E199</f>
        <v>0.644</v>
      </c>
      <c r="L199" s="7" t="n">
        <v>0</v>
      </c>
      <c r="M199" s="7" t="n">
        <f aca="false">(15.99/12)/G199</f>
        <v>0.0459799861973775</v>
      </c>
      <c r="N199" s="0" t="n">
        <v>0</v>
      </c>
      <c r="O199" s="0" t="n">
        <v>1</v>
      </c>
      <c r="P199" s="0" t="n">
        <v>0</v>
      </c>
      <c r="Q199" s="0" t="n">
        <v>0</v>
      </c>
      <c r="V199" s="0" t="n">
        <v>0</v>
      </c>
    </row>
    <row r="200" customFormat="false" ht="12.8" hidden="false" customHeight="false" outlineLevel="0" collapsed="false">
      <c r="A200" s="10" t="s">
        <v>250</v>
      </c>
      <c r="B200" s="0" t="s">
        <v>36</v>
      </c>
      <c r="C200" s="0" t="s">
        <v>37</v>
      </c>
      <c r="D200" s="0" t="s">
        <v>260</v>
      </c>
      <c r="E200" s="0" t="n">
        <v>40</v>
      </c>
      <c r="F200" s="0" t="n">
        <v>54</v>
      </c>
      <c r="G200" s="1" t="n">
        <f aca="false">(E200/100)*F200</f>
        <v>21.6</v>
      </c>
      <c r="H200" s="0" t="n">
        <v>6.2</v>
      </c>
      <c r="I200" s="2" t="n">
        <f aca="false">(E200/100)*H200</f>
        <v>2.48</v>
      </c>
      <c r="J200" s="0" t="n">
        <v>0</v>
      </c>
      <c r="K200" s="6" t="n">
        <f aca="false">G200/E200</f>
        <v>0.54</v>
      </c>
      <c r="L200" s="7" t="n">
        <v>0.02</v>
      </c>
      <c r="M200" s="7" t="n">
        <f aca="false">1/G200</f>
        <v>0.0462962962962963</v>
      </c>
      <c r="N200" s="0" t="n">
        <v>0</v>
      </c>
      <c r="O200" s="0" t="n">
        <v>1</v>
      </c>
      <c r="P200" s="0" t="n">
        <v>0</v>
      </c>
      <c r="Q200" s="0" t="n">
        <v>1</v>
      </c>
      <c r="V200" s="0" t="n">
        <v>0</v>
      </c>
    </row>
    <row r="201" customFormat="false" ht="12.8" hidden="false" customHeight="false" outlineLevel="0" collapsed="false">
      <c r="A201" s="10" t="s">
        <v>261</v>
      </c>
      <c r="B201" s="0" t="s">
        <v>36</v>
      </c>
      <c r="C201" s="0" t="s">
        <v>37</v>
      </c>
      <c r="D201" s="0" t="s">
        <v>262</v>
      </c>
      <c r="E201" s="0" t="n">
        <v>30</v>
      </c>
      <c r="F201" s="0" t="n">
        <v>56.1</v>
      </c>
      <c r="G201" s="1" t="n">
        <f aca="false">(E201/100)*F201</f>
        <v>16.83</v>
      </c>
      <c r="H201" s="0" t="n">
        <v>4.1</v>
      </c>
      <c r="I201" s="2" t="n">
        <f aca="false">(E201/100)*H201</f>
        <v>1.23</v>
      </c>
      <c r="J201" s="0" t="n">
        <v>50</v>
      </c>
      <c r="K201" s="6" t="n">
        <f aca="false">G201/E201</f>
        <v>0.561</v>
      </c>
      <c r="L201" s="7" t="n">
        <v>0.02</v>
      </c>
      <c r="M201" s="7" t="n">
        <f aca="false">2.3/G201</f>
        <v>0.136660724896019</v>
      </c>
      <c r="N201" s="0" t="n">
        <v>0</v>
      </c>
      <c r="O201" s="0" t="n">
        <v>0</v>
      </c>
      <c r="P201" s="0" t="n">
        <v>0</v>
      </c>
      <c r="Q201" s="0" t="n">
        <v>0</v>
      </c>
      <c r="V201" s="0" t="n">
        <v>0</v>
      </c>
    </row>
    <row r="202" customFormat="false" ht="12.8" hidden="false" customHeight="false" outlineLevel="0" collapsed="false">
      <c r="A202" s="10" t="s">
        <v>261</v>
      </c>
      <c r="B202" s="0" t="s">
        <v>36</v>
      </c>
      <c r="C202" s="0" t="s">
        <v>37</v>
      </c>
      <c r="D202" s="0" t="s">
        <v>263</v>
      </c>
      <c r="E202" s="0" t="n">
        <v>30</v>
      </c>
      <c r="F202" s="0" t="n">
        <v>56.1</v>
      </c>
      <c r="G202" s="1" t="n">
        <f aca="false">(E202/100)*F202</f>
        <v>16.83</v>
      </c>
      <c r="H202" s="0" t="n">
        <v>4.1</v>
      </c>
      <c r="I202" s="2" t="n">
        <f aca="false">(E202/100)*H202</f>
        <v>1.23</v>
      </c>
      <c r="J202" s="0" t="n">
        <v>0</v>
      </c>
      <c r="K202" s="6" t="n">
        <f aca="false">G202/E202</f>
        <v>0.561</v>
      </c>
      <c r="L202" s="7" t="n">
        <v>0.02</v>
      </c>
      <c r="M202" s="7" t="n">
        <f aca="false">2.3/G202</f>
        <v>0.136660724896019</v>
      </c>
      <c r="N202" s="0" t="n">
        <v>0</v>
      </c>
      <c r="O202" s="0" t="n">
        <v>0</v>
      </c>
      <c r="P202" s="0" t="n">
        <v>0</v>
      </c>
      <c r="Q202" s="0" t="n">
        <v>0</v>
      </c>
      <c r="S202" s="0" t="s">
        <v>264</v>
      </c>
      <c r="V202" s="0" t="n">
        <v>0</v>
      </c>
    </row>
    <row r="203" customFormat="false" ht="12.8" hidden="false" customHeight="false" outlineLevel="0" collapsed="false">
      <c r="A203" s="10" t="s">
        <v>261</v>
      </c>
      <c r="B203" s="0" t="s">
        <v>36</v>
      </c>
      <c r="C203" s="0" t="s">
        <v>37</v>
      </c>
      <c r="D203" s="10" t="s">
        <v>265</v>
      </c>
      <c r="E203" s="0" t="n">
        <v>30</v>
      </c>
      <c r="F203" s="0" t="n">
        <v>57.6</v>
      </c>
      <c r="G203" s="1" t="n">
        <f aca="false">(E203/100)*F203</f>
        <v>17.28</v>
      </c>
      <c r="H203" s="0" t="n">
        <v>0.3</v>
      </c>
      <c r="I203" s="2" t="n">
        <f aca="false">(E203/100)*H203</f>
        <v>0.09</v>
      </c>
      <c r="J203" s="0" t="n">
        <v>0</v>
      </c>
      <c r="K203" s="6" t="n">
        <f aca="false">G203/E203</f>
        <v>0.576</v>
      </c>
      <c r="L203" s="7" t="n">
        <v>0.125</v>
      </c>
      <c r="M203" s="7" t="n">
        <f aca="false">2.3/G203</f>
        <v>0.133101851851852</v>
      </c>
      <c r="N203" s="0" t="n">
        <v>0</v>
      </c>
      <c r="O203" s="0" t="n">
        <v>0</v>
      </c>
      <c r="P203" s="0" t="n">
        <v>0</v>
      </c>
      <c r="Q203" s="0" t="n">
        <v>0</v>
      </c>
      <c r="S203" s="0" t="s">
        <v>63</v>
      </c>
      <c r="V203" s="0" t="n">
        <v>0</v>
      </c>
    </row>
    <row r="204" customFormat="false" ht="12.8" hidden="false" customHeight="false" outlineLevel="0" collapsed="false">
      <c r="A204" s="10" t="s">
        <v>261</v>
      </c>
      <c r="B204" s="0" t="s">
        <v>36</v>
      </c>
      <c r="C204" s="0" t="s">
        <v>37</v>
      </c>
      <c r="D204" s="0" t="s">
        <v>266</v>
      </c>
      <c r="E204" s="0" t="n">
        <v>40</v>
      </c>
      <c r="F204" s="0" t="n">
        <v>60</v>
      </c>
      <c r="G204" s="1" t="n">
        <f aca="false">(E204/100)*F204</f>
        <v>24</v>
      </c>
      <c r="H204" s="0" t="n">
        <v>4.5</v>
      </c>
      <c r="I204" s="2" t="n">
        <f aca="false">(E204/100)*H204</f>
        <v>1.8</v>
      </c>
      <c r="J204" s="0" t="n">
        <v>0</v>
      </c>
      <c r="K204" s="6" t="n">
        <f aca="false">G204/E204</f>
        <v>0.6</v>
      </c>
      <c r="L204" s="7" t="n">
        <v>0</v>
      </c>
      <c r="M204" s="7" t="n">
        <f aca="false">2/G204</f>
        <v>0.0833333333333333</v>
      </c>
      <c r="N204" s="0" t="n">
        <v>0</v>
      </c>
      <c r="O204" s="0" t="n">
        <v>0</v>
      </c>
      <c r="P204" s="0" t="n">
        <v>0</v>
      </c>
      <c r="Q204" s="0" t="n">
        <v>0</v>
      </c>
      <c r="S204" s="0" t="s">
        <v>264</v>
      </c>
      <c r="V204" s="0" t="n">
        <v>0</v>
      </c>
    </row>
    <row r="205" customFormat="false" ht="12.8" hidden="false" customHeight="false" outlineLevel="0" collapsed="false">
      <c r="A205" s="10" t="s">
        <v>261</v>
      </c>
      <c r="B205" s="0" t="s">
        <v>36</v>
      </c>
      <c r="C205" s="0" t="s">
        <v>37</v>
      </c>
      <c r="D205" s="0" t="s">
        <v>267</v>
      </c>
      <c r="E205" s="0" t="n">
        <v>40</v>
      </c>
      <c r="F205" s="0" t="n">
        <v>58.8</v>
      </c>
      <c r="G205" s="1" t="n">
        <f aca="false">(E205/100)*F205</f>
        <v>23.52</v>
      </c>
      <c r="H205" s="0" t="n">
        <v>5</v>
      </c>
      <c r="I205" s="2" t="n">
        <f aca="false">(E205/100)*H205</f>
        <v>2</v>
      </c>
      <c r="J205" s="0" t="n">
        <f aca="false">55*0.4</f>
        <v>22</v>
      </c>
      <c r="K205" s="6" t="n">
        <f aca="false">G205/E205</f>
        <v>0.588</v>
      </c>
      <c r="L205" s="7" t="n">
        <v>0.023</v>
      </c>
      <c r="M205" s="7" t="n">
        <f aca="false">2/G205</f>
        <v>0.0850340136054422</v>
      </c>
      <c r="N205" s="0" t="n">
        <v>0</v>
      </c>
      <c r="O205" s="0" t="n">
        <v>0</v>
      </c>
      <c r="P205" s="0" t="n">
        <v>0</v>
      </c>
      <c r="Q205" s="0" t="n">
        <v>0</v>
      </c>
      <c r="V205" s="0" t="n">
        <v>0</v>
      </c>
    </row>
    <row r="206" customFormat="false" ht="12.8" hidden="false" customHeight="false" outlineLevel="0" collapsed="false">
      <c r="A206" s="10" t="s">
        <v>261</v>
      </c>
      <c r="B206" s="0" t="s">
        <v>36</v>
      </c>
      <c r="C206" s="0" t="s">
        <v>37</v>
      </c>
      <c r="D206" s="0" t="s">
        <v>268</v>
      </c>
      <c r="E206" s="0" t="n">
        <v>40</v>
      </c>
      <c r="F206" s="0" t="n">
        <v>62</v>
      </c>
      <c r="G206" s="1" t="n">
        <f aca="false">(E206/100)*F206</f>
        <v>24.8</v>
      </c>
      <c r="H206" s="0" t="n">
        <v>4.5</v>
      </c>
      <c r="I206" s="2" t="n">
        <f aca="false">(E206/100)*H206</f>
        <v>1.8</v>
      </c>
      <c r="J206" s="0" t="n">
        <v>0</v>
      </c>
      <c r="K206" s="6" t="n">
        <f aca="false">G206/E206</f>
        <v>0.62</v>
      </c>
      <c r="L206" s="7" t="n">
        <v>0.023</v>
      </c>
      <c r="M206" s="7" t="n">
        <f aca="false">2/G206</f>
        <v>0.0806451612903226</v>
      </c>
      <c r="N206" s="0" t="n">
        <v>0</v>
      </c>
      <c r="O206" s="0" t="n">
        <v>0</v>
      </c>
      <c r="P206" s="0" t="n">
        <v>0</v>
      </c>
      <c r="Q206" s="0" t="n">
        <v>1</v>
      </c>
      <c r="V206" s="0" t="n">
        <v>0</v>
      </c>
    </row>
    <row r="207" customFormat="false" ht="12.8" hidden="false" customHeight="false" outlineLevel="0" collapsed="false">
      <c r="A207" s="10" t="s">
        <v>261</v>
      </c>
      <c r="B207" s="0" t="s">
        <v>45</v>
      </c>
      <c r="C207" s="0" t="s">
        <v>46</v>
      </c>
      <c r="D207" s="0" t="s">
        <v>269</v>
      </c>
      <c r="E207" s="0" t="n">
        <v>40</v>
      </c>
      <c r="F207" s="0" t="n">
        <v>44</v>
      </c>
      <c r="G207" s="1" t="n">
        <f aca="false">(E207/100)*F207</f>
        <v>17.6</v>
      </c>
      <c r="H207" s="0" t="n">
        <v>10</v>
      </c>
      <c r="I207" s="2" t="n">
        <f aca="false">(E207/100)*H207</f>
        <v>4</v>
      </c>
      <c r="J207" s="0" t="n">
        <v>0</v>
      </c>
      <c r="K207" s="6" t="n">
        <f aca="false">G207/E207</f>
        <v>0.44</v>
      </c>
      <c r="L207" s="7" t="n">
        <v>0.12</v>
      </c>
      <c r="M207" s="7" t="n">
        <f aca="false">2/G207</f>
        <v>0.113636363636364</v>
      </c>
      <c r="N207" s="0" t="n">
        <v>0</v>
      </c>
      <c r="O207" s="0" t="n">
        <v>0</v>
      </c>
      <c r="P207" s="0" t="n">
        <v>1</v>
      </c>
      <c r="Q207" s="0" t="n">
        <v>0</v>
      </c>
      <c r="V207" s="0" t="n">
        <v>0</v>
      </c>
    </row>
    <row r="208" customFormat="false" ht="12.8" hidden="false" customHeight="false" outlineLevel="0" collapsed="false">
      <c r="A208" s="10" t="s">
        <v>261</v>
      </c>
      <c r="B208" s="0" t="s">
        <v>36</v>
      </c>
      <c r="C208" s="0" t="s">
        <v>37</v>
      </c>
      <c r="D208" s="0" t="s">
        <v>270</v>
      </c>
      <c r="E208" s="0" t="n">
        <v>60</v>
      </c>
      <c r="F208" s="0" t="n">
        <v>69</v>
      </c>
      <c r="G208" s="1" t="n">
        <f aca="false">(E208/100)*F208</f>
        <v>41.4</v>
      </c>
      <c r="H208" s="0" t="n">
        <v>7.2</v>
      </c>
      <c r="I208" s="2" t="n">
        <f aca="false">(E208/100)*H208</f>
        <v>4.32</v>
      </c>
      <c r="J208" s="0" t="n">
        <v>0</v>
      </c>
      <c r="K208" s="6" t="n">
        <f aca="false">G208/E208</f>
        <v>0.69</v>
      </c>
      <c r="L208" s="7" t="n">
        <v>0</v>
      </c>
      <c r="M208" s="7" t="n">
        <f aca="false">2.6/G208</f>
        <v>0.0628019323671498</v>
      </c>
      <c r="N208" s="0" t="n">
        <v>0</v>
      </c>
      <c r="O208" s="0" t="n">
        <v>0</v>
      </c>
      <c r="P208" s="0" t="n">
        <v>1</v>
      </c>
      <c r="Q208" s="0" t="n">
        <v>0</v>
      </c>
      <c r="S208" s="0" t="s">
        <v>264</v>
      </c>
      <c r="V208" s="0" t="n">
        <v>0</v>
      </c>
    </row>
    <row r="209" customFormat="false" ht="12.8" hidden="false" customHeight="false" outlineLevel="0" collapsed="false">
      <c r="A209" s="10" t="s">
        <v>261</v>
      </c>
      <c r="B209" s="0" t="s">
        <v>36</v>
      </c>
      <c r="C209" s="0" t="s">
        <v>37</v>
      </c>
      <c r="D209" s="0" t="s">
        <v>271</v>
      </c>
      <c r="E209" s="0" t="n">
        <v>60</v>
      </c>
      <c r="F209" s="0" t="n">
        <v>72.3</v>
      </c>
      <c r="G209" s="1" t="n">
        <f aca="false">(E209/100)*F209</f>
        <v>43.38</v>
      </c>
      <c r="H209" s="0" t="n">
        <v>6</v>
      </c>
      <c r="I209" s="2" t="n">
        <f aca="false">(E209/100)*H209</f>
        <v>3.6</v>
      </c>
      <c r="J209" s="0" t="n">
        <v>0</v>
      </c>
      <c r="K209" s="6" t="n">
        <f aca="false">G209/E209</f>
        <v>0.723</v>
      </c>
      <c r="L209" s="7" t="n">
        <v>0</v>
      </c>
      <c r="M209" s="7" t="n">
        <f aca="false">2.6/G209</f>
        <v>0.0599354541263255</v>
      </c>
      <c r="N209" s="0" t="n">
        <v>0</v>
      </c>
      <c r="O209" s="0" t="n">
        <v>0</v>
      </c>
      <c r="P209" s="0" t="n">
        <v>1</v>
      </c>
      <c r="Q209" s="0" t="n">
        <v>1</v>
      </c>
      <c r="V209" s="0" t="n">
        <v>0</v>
      </c>
    </row>
    <row r="210" customFormat="false" ht="12.8" hidden="false" customHeight="false" outlineLevel="0" collapsed="false">
      <c r="A210" s="10" t="s">
        <v>261</v>
      </c>
      <c r="B210" s="0" t="s">
        <v>36</v>
      </c>
      <c r="C210" s="0" t="s">
        <v>37</v>
      </c>
      <c r="D210" s="0" t="s">
        <v>272</v>
      </c>
      <c r="E210" s="0" t="n">
        <v>60</v>
      </c>
      <c r="F210" s="0" t="n">
        <v>68.7</v>
      </c>
      <c r="G210" s="1" t="n">
        <f aca="false">(E210/100)*F210</f>
        <v>41.22</v>
      </c>
      <c r="H210" s="0" t="n">
        <v>7.4</v>
      </c>
      <c r="I210" s="2" t="n">
        <f aca="false">(E210/100)*H210</f>
        <v>4.44</v>
      </c>
      <c r="J210" s="0" t="n">
        <v>40</v>
      </c>
      <c r="K210" s="6" t="n">
        <f aca="false">G210/E210</f>
        <v>0.687</v>
      </c>
      <c r="L210" s="7" t="n">
        <v>0</v>
      </c>
      <c r="M210" s="7" t="n">
        <f aca="false">2.6/G210</f>
        <v>0.0630761766132945</v>
      </c>
      <c r="N210" s="0" t="n">
        <v>0</v>
      </c>
      <c r="O210" s="0" t="n">
        <v>0</v>
      </c>
      <c r="P210" s="0" t="n">
        <v>1</v>
      </c>
      <c r="Q210" s="0" t="n">
        <v>0</v>
      </c>
      <c r="V210" s="0" t="n">
        <v>0</v>
      </c>
    </row>
    <row r="211" customFormat="false" ht="12.8" hidden="false" customHeight="false" outlineLevel="0" collapsed="false">
      <c r="A211" s="10" t="s">
        <v>261</v>
      </c>
      <c r="B211" s="0" t="s">
        <v>36</v>
      </c>
      <c r="C211" s="0" t="s">
        <v>37</v>
      </c>
      <c r="D211" s="10" t="s">
        <v>273</v>
      </c>
      <c r="E211" s="0" t="n">
        <v>50</v>
      </c>
      <c r="F211" s="0" t="n">
        <v>58.5</v>
      </c>
      <c r="G211" s="1" t="n">
        <f aca="false">(E211/100)*F211</f>
        <v>29.25</v>
      </c>
      <c r="H211" s="0" t="n">
        <v>9.5</v>
      </c>
      <c r="I211" s="2" t="n">
        <f aca="false">(E211/100)*H211</f>
        <v>4.75</v>
      </c>
      <c r="J211" s="0" t="n">
        <v>0</v>
      </c>
      <c r="K211" s="6" t="n">
        <f aca="false">G211/E211</f>
        <v>0.585</v>
      </c>
      <c r="L211" s="7" t="n">
        <v>0.04</v>
      </c>
      <c r="M211" s="7" t="n">
        <f aca="false">2.5/G211</f>
        <v>0.0854700854700855</v>
      </c>
      <c r="N211" s="0" t="n">
        <v>0</v>
      </c>
      <c r="O211" s="0" t="n">
        <v>0</v>
      </c>
      <c r="P211" s="0" t="n">
        <v>1</v>
      </c>
      <c r="Q211" s="0" t="n">
        <v>0</v>
      </c>
      <c r="V211" s="0" t="n">
        <v>0</v>
      </c>
    </row>
    <row r="212" customFormat="false" ht="12.8" hidden="false" customHeight="false" outlineLevel="0" collapsed="false">
      <c r="A212" s="10" t="s">
        <v>261</v>
      </c>
      <c r="B212" s="0" t="s">
        <v>20</v>
      </c>
      <c r="C212" s="0" t="s">
        <v>21</v>
      </c>
      <c r="D212" s="0" t="s">
        <v>274</v>
      </c>
      <c r="E212" s="0" t="n">
        <v>40</v>
      </c>
      <c r="F212" s="0" t="n">
        <v>56.5</v>
      </c>
      <c r="G212" s="1" t="n">
        <f aca="false">(E212/100)*F212</f>
        <v>22.6</v>
      </c>
      <c r="H212" s="0" t="n">
        <v>0</v>
      </c>
      <c r="I212" s="2" t="n">
        <f aca="false">(E212/100)*H212</f>
        <v>0</v>
      </c>
      <c r="J212" s="0" t="n">
        <v>0</v>
      </c>
      <c r="K212" s="6" t="n">
        <f aca="false">G212/E212</f>
        <v>0.565</v>
      </c>
      <c r="L212" s="7" t="n">
        <v>0.1</v>
      </c>
      <c r="M212" s="7" t="n">
        <f aca="false">2.6/G212</f>
        <v>0.115044247787611</v>
      </c>
      <c r="N212" s="0" t="n">
        <v>0</v>
      </c>
      <c r="O212" s="0" t="n">
        <v>0</v>
      </c>
      <c r="P212" s="0" t="n">
        <v>0</v>
      </c>
      <c r="Q212" s="0" t="n">
        <v>0</v>
      </c>
      <c r="U212" s="10" t="s">
        <v>206</v>
      </c>
      <c r="V212" s="0" t="n">
        <v>1</v>
      </c>
    </row>
    <row r="213" customFormat="false" ht="12.8" hidden="false" customHeight="false" outlineLevel="0" collapsed="false">
      <c r="A213" s="10" t="s">
        <v>261</v>
      </c>
      <c r="B213" s="0" t="s">
        <v>20</v>
      </c>
      <c r="C213" s="0" t="s">
        <v>21</v>
      </c>
      <c r="D213" s="0" t="s">
        <v>275</v>
      </c>
      <c r="E213" s="0" t="n">
        <v>40</v>
      </c>
      <c r="F213" s="0" t="n">
        <v>56.5</v>
      </c>
      <c r="G213" s="1" t="n">
        <f aca="false">(E213/100)*F213</f>
        <v>22.6</v>
      </c>
      <c r="H213" s="0" t="n">
        <v>0</v>
      </c>
      <c r="I213" s="2" t="n">
        <f aca="false">(E213/100)*H213</f>
        <v>0</v>
      </c>
      <c r="J213" s="0" t="n">
        <v>100</v>
      </c>
      <c r="K213" s="6" t="n">
        <f aca="false">G213/E213</f>
        <v>0.565</v>
      </c>
      <c r="L213" s="7" t="n">
        <v>0</v>
      </c>
      <c r="M213" s="7" t="n">
        <f aca="false">2.6/G213</f>
        <v>0.115044247787611</v>
      </c>
      <c r="N213" s="0" t="n">
        <v>0</v>
      </c>
      <c r="O213" s="0" t="n">
        <v>0</v>
      </c>
      <c r="P213" s="0" t="n">
        <v>0</v>
      </c>
      <c r="Q213" s="0" t="n">
        <v>0</v>
      </c>
      <c r="U213" s="10" t="s">
        <v>206</v>
      </c>
      <c r="V213" s="0" t="n">
        <v>1</v>
      </c>
    </row>
    <row r="214" customFormat="false" ht="12.8" hidden="false" customHeight="false" outlineLevel="0" collapsed="false">
      <c r="A214" s="10" t="s">
        <v>261</v>
      </c>
      <c r="B214" s="0" t="s">
        <v>20</v>
      </c>
      <c r="C214" s="0" t="s">
        <v>21</v>
      </c>
      <c r="D214" s="0" t="s">
        <v>276</v>
      </c>
      <c r="E214" s="0" t="n">
        <v>40</v>
      </c>
      <c r="F214" s="0" t="n">
        <v>56.5</v>
      </c>
      <c r="G214" s="1" t="n">
        <f aca="false">(E214/100)*F214</f>
        <v>22.6</v>
      </c>
      <c r="H214" s="0" t="n">
        <v>0</v>
      </c>
      <c r="I214" s="2" t="n">
        <f aca="false">(E214/100)*H214</f>
        <v>0</v>
      </c>
      <c r="J214" s="0" t="n">
        <v>0</v>
      </c>
      <c r="K214" s="6" t="n">
        <f aca="false">G214/E214</f>
        <v>0.565</v>
      </c>
      <c r="L214" s="7" t="n">
        <v>0.25</v>
      </c>
      <c r="M214" s="7" t="n">
        <f aca="false">2.6/G214</f>
        <v>0.115044247787611</v>
      </c>
      <c r="N214" s="0" t="n">
        <v>0</v>
      </c>
      <c r="O214" s="0" t="n">
        <v>0</v>
      </c>
      <c r="P214" s="0" t="n">
        <v>0</v>
      </c>
      <c r="Q214" s="0" t="n">
        <v>0</v>
      </c>
      <c r="U214" s="10" t="s">
        <v>206</v>
      </c>
      <c r="V214" s="0" t="n">
        <v>1</v>
      </c>
    </row>
    <row r="215" customFormat="false" ht="12.8" hidden="false" customHeight="false" outlineLevel="0" collapsed="false">
      <c r="A215" s="10" t="s">
        <v>261</v>
      </c>
      <c r="B215" s="0" t="s">
        <v>20</v>
      </c>
      <c r="C215" s="0" t="s">
        <v>21</v>
      </c>
      <c r="D215" s="0" t="s">
        <v>277</v>
      </c>
      <c r="E215" s="0" t="n">
        <v>80</v>
      </c>
      <c r="F215" s="0" t="n">
        <v>68.8</v>
      </c>
      <c r="G215" s="1" t="n">
        <f aca="false">(E215/100)*F215</f>
        <v>55.04</v>
      </c>
      <c r="H215" s="0" t="n">
        <v>0</v>
      </c>
      <c r="I215" s="2" t="n">
        <f aca="false">(E215/100)*H215</f>
        <v>0</v>
      </c>
      <c r="J215" s="0" t="n">
        <v>0</v>
      </c>
      <c r="K215" s="6" t="n">
        <f aca="false">G215/E215</f>
        <v>0.688</v>
      </c>
      <c r="L215" s="7" t="n">
        <v>0.25</v>
      </c>
      <c r="M215" s="7" t="n">
        <f aca="false">2.8/G215</f>
        <v>0.0508720930232558</v>
      </c>
      <c r="N215" s="0" t="n">
        <v>0</v>
      </c>
      <c r="O215" s="0" t="n">
        <v>0</v>
      </c>
      <c r="P215" s="0" t="n">
        <v>0</v>
      </c>
      <c r="Q215" s="0" t="n">
        <v>0</v>
      </c>
      <c r="U215" s="10" t="s">
        <v>206</v>
      </c>
      <c r="V215" s="0" t="n">
        <v>1</v>
      </c>
    </row>
    <row r="216" customFormat="false" ht="12.8" hidden="false" customHeight="false" outlineLevel="0" collapsed="false">
      <c r="A216" s="10" t="s">
        <v>261</v>
      </c>
      <c r="B216" s="0" t="s">
        <v>20</v>
      </c>
      <c r="C216" s="0" t="s">
        <v>21</v>
      </c>
      <c r="D216" s="0" t="s">
        <v>278</v>
      </c>
      <c r="E216" s="0" t="n">
        <v>80</v>
      </c>
      <c r="F216" s="0" t="n">
        <v>68.8</v>
      </c>
      <c r="G216" s="1" t="n">
        <f aca="false">(E216/100)*F216</f>
        <v>55.04</v>
      </c>
      <c r="H216" s="0" t="n">
        <v>0</v>
      </c>
      <c r="I216" s="2" t="n">
        <f aca="false">(E216/100)*H216</f>
        <v>0</v>
      </c>
      <c r="J216" s="0" t="n">
        <v>100</v>
      </c>
      <c r="K216" s="6" t="n">
        <f aca="false">G216/E216</f>
        <v>0.688</v>
      </c>
      <c r="L216" s="7" t="n">
        <v>0.25</v>
      </c>
      <c r="M216" s="7" t="n">
        <f aca="false">2.8/G216</f>
        <v>0.0508720930232558</v>
      </c>
      <c r="N216" s="0" t="n">
        <v>0</v>
      </c>
      <c r="O216" s="0" t="n">
        <v>0</v>
      </c>
      <c r="P216" s="0" t="n">
        <v>0</v>
      </c>
      <c r="Q216" s="0" t="n">
        <v>0</v>
      </c>
      <c r="U216" s="10" t="s">
        <v>206</v>
      </c>
      <c r="V216" s="0" t="n">
        <v>1</v>
      </c>
    </row>
    <row r="217" customFormat="false" ht="12.8" hidden="false" customHeight="false" outlineLevel="0" collapsed="false">
      <c r="A217" s="10" t="s">
        <v>261</v>
      </c>
      <c r="B217" s="0" t="s">
        <v>20</v>
      </c>
      <c r="C217" s="0" t="s">
        <v>21</v>
      </c>
      <c r="D217" s="0" t="s">
        <v>279</v>
      </c>
      <c r="E217" s="0" t="n">
        <v>80</v>
      </c>
      <c r="F217" s="0" t="n">
        <v>68.8</v>
      </c>
      <c r="G217" s="1" t="n">
        <f aca="false">(E217/100)*F217</f>
        <v>55.04</v>
      </c>
      <c r="H217" s="0" t="n">
        <v>0</v>
      </c>
      <c r="I217" s="2" t="n">
        <f aca="false">(E217/100)*H217</f>
        <v>0</v>
      </c>
      <c r="J217" s="0" t="n">
        <v>160</v>
      </c>
      <c r="K217" s="6" t="n">
        <f aca="false">G217/E217</f>
        <v>0.688</v>
      </c>
      <c r="L217" s="7" t="n">
        <v>0.25</v>
      </c>
      <c r="M217" s="7" t="n">
        <f aca="false">2.8/G217</f>
        <v>0.0508720930232558</v>
      </c>
      <c r="N217" s="0" t="n">
        <v>0</v>
      </c>
      <c r="O217" s="0" t="n">
        <v>0</v>
      </c>
      <c r="P217" s="0" t="n">
        <v>0</v>
      </c>
      <c r="Q217" s="0" t="n">
        <v>0</v>
      </c>
      <c r="U217" s="10" t="s">
        <v>206</v>
      </c>
      <c r="V217" s="0" t="n">
        <v>1</v>
      </c>
    </row>
    <row r="218" customFormat="false" ht="12.8" hidden="false" customHeight="false" outlineLevel="0" collapsed="false">
      <c r="A218" s="10" t="s">
        <v>261</v>
      </c>
      <c r="B218" s="0" t="s">
        <v>20</v>
      </c>
      <c r="C218" s="0" t="s">
        <v>21</v>
      </c>
      <c r="D218" s="0" t="s">
        <v>280</v>
      </c>
      <c r="E218" s="0" t="n">
        <v>76</v>
      </c>
      <c r="F218" s="0" t="n">
        <v>64</v>
      </c>
      <c r="G218" s="1" t="n">
        <f aca="false">(E218/100)*F218</f>
        <v>48.64</v>
      </c>
      <c r="H218" s="0" t="n">
        <v>1.3</v>
      </c>
      <c r="I218" s="2" t="n">
        <f aca="false">(E218/100)*H218</f>
        <v>0.988</v>
      </c>
      <c r="J218" s="0" t="n">
        <v>0</v>
      </c>
      <c r="K218" s="6" t="n">
        <f aca="false">G218/E218</f>
        <v>0.64</v>
      </c>
      <c r="L218" s="7" t="n">
        <v>0.04</v>
      </c>
      <c r="M218" s="7" t="n">
        <f aca="false">3.5/G218</f>
        <v>0.0719572368421053</v>
      </c>
      <c r="N218" s="0" t="n">
        <v>0</v>
      </c>
      <c r="O218" s="0" t="n">
        <v>0</v>
      </c>
      <c r="P218" s="0" t="n">
        <v>0</v>
      </c>
      <c r="Q218" s="0" t="n">
        <v>0</v>
      </c>
      <c r="R218" s="0" t="n">
        <v>1000</v>
      </c>
      <c r="S218" s="0" t="s">
        <v>264</v>
      </c>
      <c r="U218" s="10" t="s">
        <v>206</v>
      </c>
      <c r="V218" s="0" t="n">
        <v>1</v>
      </c>
    </row>
    <row r="219" customFormat="false" ht="12.8" hidden="false" customHeight="false" outlineLevel="0" collapsed="false">
      <c r="A219" s="10" t="s">
        <v>261</v>
      </c>
      <c r="B219" s="0" t="s">
        <v>20</v>
      </c>
      <c r="C219" s="0" t="s">
        <v>21</v>
      </c>
      <c r="D219" s="0" t="s">
        <v>281</v>
      </c>
      <c r="E219" s="0" t="n">
        <v>76</v>
      </c>
      <c r="F219" s="0" t="n">
        <v>66</v>
      </c>
      <c r="G219" s="1" t="n">
        <f aca="false">(E219/100)*F219</f>
        <v>50.16</v>
      </c>
      <c r="H219" s="0" t="n">
        <v>0</v>
      </c>
      <c r="I219" s="2" t="n">
        <f aca="false">(E219/100)*H219</f>
        <v>0</v>
      </c>
      <c r="J219" s="0" t="n">
        <v>0</v>
      </c>
      <c r="K219" s="6" t="n">
        <f aca="false">G219/E219</f>
        <v>0.66</v>
      </c>
      <c r="L219" s="7" t="n">
        <v>0.04</v>
      </c>
      <c r="M219" s="7" t="n">
        <f aca="false">3.5/G219</f>
        <v>0.0697767145135566</v>
      </c>
      <c r="N219" s="0" t="n">
        <v>0</v>
      </c>
      <c r="O219" s="0" t="n">
        <v>0</v>
      </c>
      <c r="P219" s="0" t="n">
        <v>0</v>
      </c>
      <c r="Q219" s="0" t="n">
        <v>0</v>
      </c>
      <c r="U219" s="10" t="s">
        <v>206</v>
      </c>
      <c r="V219" s="0" t="n">
        <v>1</v>
      </c>
    </row>
    <row r="220" customFormat="false" ht="12.8" hidden="false" customHeight="false" outlineLevel="0" collapsed="false">
      <c r="A220" s="10" t="s">
        <v>261</v>
      </c>
      <c r="B220" s="0" t="s">
        <v>20</v>
      </c>
      <c r="C220" s="0" t="s">
        <v>21</v>
      </c>
      <c r="D220" s="0" t="s">
        <v>282</v>
      </c>
      <c r="E220" s="0" t="n">
        <v>76</v>
      </c>
      <c r="F220" s="0" t="n">
        <v>66</v>
      </c>
      <c r="G220" s="1" t="n">
        <f aca="false">(E220/100)*F220</f>
        <v>50.16</v>
      </c>
      <c r="H220" s="0" t="n">
        <v>0</v>
      </c>
      <c r="I220" s="2" t="n">
        <f aca="false">(E220/100)*H220</f>
        <v>0</v>
      </c>
      <c r="J220" s="0" t="n">
        <v>80</v>
      </c>
      <c r="K220" s="6" t="n">
        <f aca="false">G220/E220</f>
        <v>0.66</v>
      </c>
      <c r="L220" s="7" t="n">
        <v>0.04</v>
      </c>
      <c r="M220" s="7" t="n">
        <f aca="false">3.5/G220</f>
        <v>0.0697767145135566</v>
      </c>
      <c r="N220" s="0" t="n">
        <v>0</v>
      </c>
      <c r="O220" s="0" t="n">
        <v>0</v>
      </c>
      <c r="P220" s="0" t="n">
        <v>0</v>
      </c>
      <c r="Q220" s="0" t="n">
        <v>0</v>
      </c>
      <c r="U220" s="10" t="s">
        <v>206</v>
      </c>
      <c r="V220" s="0" t="n">
        <v>1</v>
      </c>
    </row>
    <row r="221" customFormat="false" ht="12.8" hidden="false" customHeight="false" outlineLevel="0" collapsed="false">
      <c r="A221" s="10" t="s">
        <v>261</v>
      </c>
      <c r="B221" s="0" t="s">
        <v>20</v>
      </c>
      <c r="C221" s="0" t="s">
        <v>21</v>
      </c>
      <c r="D221" s="0" t="s">
        <v>283</v>
      </c>
      <c r="E221" s="0" t="n">
        <v>76</v>
      </c>
      <c r="F221" s="0" t="n">
        <v>66</v>
      </c>
      <c r="G221" s="1" t="n">
        <f aca="false">(E221/100)*F221</f>
        <v>50.16</v>
      </c>
      <c r="H221" s="0" t="n">
        <v>0</v>
      </c>
      <c r="I221" s="2" t="n">
        <f aca="false">(E221/100)*H221</f>
        <v>0</v>
      </c>
      <c r="J221" s="0" t="n">
        <v>160</v>
      </c>
      <c r="K221" s="6" t="n">
        <f aca="false">G221/E221</f>
        <v>0.66</v>
      </c>
      <c r="L221" s="7" t="n">
        <v>0.04</v>
      </c>
      <c r="M221" s="7" t="n">
        <f aca="false">3.5/G221</f>
        <v>0.0697767145135566</v>
      </c>
      <c r="N221" s="0" t="n">
        <v>0</v>
      </c>
      <c r="O221" s="0" t="n">
        <v>0</v>
      </c>
      <c r="P221" s="0" t="n">
        <v>0</v>
      </c>
      <c r="Q221" s="0" t="n">
        <v>0</v>
      </c>
      <c r="U221" s="10" t="s">
        <v>206</v>
      </c>
      <c r="V221" s="0" t="n">
        <v>1</v>
      </c>
    </row>
    <row r="222" customFormat="false" ht="12.8" hidden="false" customHeight="false" outlineLevel="0" collapsed="false">
      <c r="A222" s="10" t="s">
        <v>261</v>
      </c>
      <c r="B222" s="0" t="s">
        <v>20</v>
      </c>
      <c r="C222" s="0" t="s">
        <v>21</v>
      </c>
      <c r="D222" s="0" t="s">
        <v>284</v>
      </c>
      <c r="E222" s="0" t="n">
        <v>76</v>
      </c>
      <c r="F222" s="0" t="n">
        <v>66</v>
      </c>
      <c r="G222" s="1" t="n">
        <f aca="false">(E222/100)*F222</f>
        <v>50.16</v>
      </c>
      <c r="H222" s="0" t="n">
        <v>0</v>
      </c>
      <c r="I222" s="2" t="n">
        <f aca="false">(E222/100)*H222</f>
        <v>0</v>
      </c>
      <c r="J222" s="0" t="n">
        <v>0</v>
      </c>
      <c r="K222" s="6" t="n">
        <f aca="false">G222/E222</f>
        <v>0.66</v>
      </c>
      <c r="L222" s="7" t="n">
        <v>0.25</v>
      </c>
      <c r="M222" s="7" t="n">
        <f aca="false">3.5/G222</f>
        <v>0.0697767145135566</v>
      </c>
      <c r="N222" s="0" t="n">
        <v>0</v>
      </c>
      <c r="O222" s="0" t="n">
        <v>0</v>
      </c>
      <c r="P222" s="0" t="n">
        <v>0</v>
      </c>
      <c r="Q222" s="0" t="n">
        <v>0</v>
      </c>
      <c r="U222" s="10" t="s">
        <v>206</v>
      </c>
      <c r="V222" s="0" t="n">
        <v>1</v>
      </c>
    </row>
    <row r="223" customFormat="false" ht="12.8" hidden="false" customHeight="false" outlineLevel="0" collapsed="false">
      <c r="A223" s="10" t="s">
        <v>261</v>
      </c>
      <c r="B223" s="0" t="s">
        <v>20</v>
      </c>
      <c r="C223" s="0" t="s">
        <v>21</v>
      </c>
      <c r="D223" s="0" t="s">
        <v>285</v>
      </c>
      <c r="E223" s="0" t="n">
        <v>68</v>
      </c>
      <c r="F223" s="0" t="n">
        <v>32</v>
      </c>
      <c r="G223" s="1" t="n">
        <f aca="false">(E223/100)*F223</f>
        <v>21.76</v>
      </c>
      <c r="H223" s="0" t="n">
        <v>0</v>
      </c>
      <c r="I223" s="2" t="n">
        <f aca="false">(E223/100)*H223</f>
        <v>0</v>
      </c>
      <c r="J223" s="0" t="n">
        <v>0</v>
      </c>
      <c r="K223" s="6" t="n">
        <f aca="false">G223/E223</f>
        <v>0.32</v>
      </c>
      <c r="L223" s="7" t="n">
        <f aca="false">0.03*0.4</f>
        <v>0.012</v>
      </c>
      <c r="M223" s="7" t="n">
        <f aca="false">3.2/G223</f>
        <v>0.147058823529412</v>
      </c>
      <c r="N223" s="0" t="n">
        <v>0</v>
      </c>
      <c r="O223" s="0" t="n">
        <v>0</v>
      </c>
      <c r="P223" s="0" t="n">
        <v>0</v>
      </c>
      <c r="Q223" s="0" t="n">
        <v>0</v>
      </c>
      <c r="U223" s="10" t="s">
        <v>206</v>
      </c>
      <c r="V223" s="0" t="n">
        <v>1</v>
      </c>
    </row>
    <row r="224" customFormat="false" ht="12.8" hidden="false" customHeight="false" outlineLevel="0" collapsed="false">
      <c r="A224" s="10" t="s">
        <v>261</v>
      </c>
      <c r="B224" s="0" t="s">
        <v>20</v>
      </c>
      <c r="C224" s="0" t="s">
        <v>21</v>
      </c>
      <c r="D224" s="10" t="s">
        <v>286</v>
      </c>
      <c r="E224" s="0" t="n">
        <v>68</v>
      </c>
      <c r="F224" s="0" t="n">
        <v>32.3</v>
      </c>
      <c r="G224" s="1" t="n">
        <f aca="false">(E224/100)*F224</f>
        <v>21.964</v>
      </c>
      <c r="H224" s="0" t="n">
        <v>0</v>
      </c>
      <c r="I224" s="2" t="n">
        <f aca="false">(E224/100)*H224</f>
        <v>0</v>
      </c>
      <c r="J224" s="0" t="n">
        <v>100</v>
      </c>
      <c r="K224" s="6" t="n">
        <f aca="false">G224/E224</f>
        <v>0.323</v>
      </c>
      <c r="L224" s="7" t="n">
        <f aca="false">0.03*0.4</f>
        <v>0.012</v>
      </c>
      <c r="M224" s="7" t="n">
        <f aca="false">3.2/G224</f>
        <v>0.145692952103442</v>
      </c>
      <c r="N224" s="0" t="n">
        <v>0</v>
      </c>
      <c r="O224" s="0" t="n">
        <v>0</v>
      </c>
      <c r="P224" s="0" t="n">
        <v>0</v>
      </c>
      <c r="Q224" s="0" t="n">
        <v>0</v>
      </c>
      <c r="U224" s="10" t="s">
        <v>206</v>
      </c>
      <c r="V224" s="0" t="n">
        <v>1</v>
      </c>
    </row>
    <row r="225" customFormat="false" ht="12.8" hidden="false" customHeight="false" outlineLevel="0" collapsed="false">
      <c r="A225" s="10" t="s">
        <v>261</v>
      </c>
      <c r="B225" s="0" t="s">
        <v>20</v>
      </c>
      <c r="C225" s="0" t="s">
        <v>21</v>
      </c>
      <c r="D225" s="10" t="s">
        <v>287</v>
      </c>
      <c r="E225" s="0" t="n">
        <v>68</v>
      </c>
      <c r="F225" s="0" t="n">
        <v>32</v>
      </c>
      <c r="G225" s="1" t="n">
        <f aca="false">(E225/100)*F225</f>
        <v>21.76</v>
      </c>
      <c r="H225" s="0" t="n">
        <v>0</v>
      </c>
      <c r="I225" s="2" t="n">
        <f aca="false">(E225/100)*H225</f>
        <v>0</v>
      </c>
      <c r="J225" s="0" t="n">
        <v>0</v>
      </c>
      <c r="K225" s="6" t="n">
        <f aca="false">G225/E225</f>
        <v>0.32</v>
      </c>
      <c r="L225" s="7" t="n">
        <v>0.012</v>
      </c>
      <c r="M225" s="7" t="n">
        <f aca="false">3.2/G225</f>
        <v>0.147058823529412</v>
      </c>
      <c r="N225" s="0" t="n">
        <v>0</v>
      </c>
      <c r="O225" s="0" t="n">
        <v>0</v>
      </c>
      <c r="P225" s="0" t="n">
        <v>0</v>
      </c>
      <c r="Q225" s="0" t="n">
        <v>0</v>
      </c>
      <c r="U225" s="10" t="s">
        <v>206</v>
      </c>
      <c r="V225" s="0" t="n">
        <v>1</v>
      </c>
    </row>
    <row r="226" customFormat="false" ht="12.8" hidden="false" customHeight="false" outlineLevel="0" collapsed="false">
      <c r="A226" s="10" t="s">
        <v>261</v>
      </c>
      <c r="B226" s="0" t="s">
        <v>20</v>
      </c>
      <c r="C226" s="0" t="s">
        <v>21</v>
      </c>
      <c r="D226" s="10" t="s">
        <v>288</v>
      </c>
      <c r="E226" s="0" t="n">
        <v>25</v>
      </c>
      <c r="F226" s="0" t="n">
        <v>73.2</v>
      </c>
      <c r="G226" s="1" t="n">
        <f aca="false">(E226/100)*F226</f>
        <v>18.3</v>
      </c>
      <c r="H226" s="0" t="n">
        <v>0.2</v>
      </c>
      <c r="I226" s="2" t="n">
        <f aca="false">(E226/100)*H226</f>
        <v>0.05</v>
      </c>
      <c r="J226" s="0" t="n">
        <v>0</v>
      </c>
      <c r="K226" s="6" t="n">
        <f aca="false">G226/E226</f>
        <v>0.732</v>
      </c>
      <c r="L226" s="7" t="n">
        <v>0.155</v>
      </c>
      <c r="M226" s="7" t="n">
        <f aca="false">2.4/G226</f>
        <v>0.131147540983607</v>
      </c>
      <c r="N226" s="0" t="n">
        <v>0</v>
      </c>
      <c r="O226" s="0" t="n">
        <v>0</v>
      </c>
      <c r="P226" s="0" t="n">
        <v>0</v>
      </c>
      <c r="Q226" s="0" t="n">
        <v>0</v>
      </c>
      <c r="V226" s="0" t="n">
        <v>0</v>
      </c>
    </row>
    <row r="227" customFormat="false" ht="12.8" hidden="false" customHeight="false" outlineLevel="0" collapsed="false">
      <c r="A227" s="10" t="s">
        <v>261</v>
      </c>
      <c r="B227" s="0" t="s">
        <v>20</v>
      </c>
      <c r="C227" s="0" t="s">
        <v>21</v>
      </c>
      <c r="D227" s="10" t="s">
        <v>289</v>
      </c>
      <c r="E227" s="0" t="n">
        <v>25</v>
      </c>
      <c r="F227" s="0" t="n">
        <v>72</v>
      </c>
      <c r="G227" s="1" t="n">
        <f aca="false">(E227/100)*F227</f>
        <v>18</v>
      </c>
      <c r="H227" s="0" t="n">
        <v>0.2</v>
      </c>
      <c r="I227" s="2" t="n">
        <f aca="false">(E227/100)*H227</f>
        <v>0.05</v>
      </c>
      <c r="J227" s="0" t="n">
        <v>25</v>
      </c>
      <c r="K227" s="6" t="n">
        <f aca="false">G227/E227</f>
        <v>0.72</v>
      </c>
      <c r="L227" s="7" t="n">
        <v>0.155</v>
      </c>
      <c r="M227" s="7" t="n">
        <f aca="false">2.4/G227</f>
        <v>0.133333333333333</v>
      </c>
      <c r="N227" s="0" t="n">
        <v>0</v>
      </c>
      <c r="O227" s="0" t="n">
        <v>0</v>
      </c>
      <c r="P227" s="0" t="n">
        <v>0</v>
      </c>
      <c r="Q227" s="0" t="n">
        <v>0</v>
      </c>
      <c r="V227" s="0" t="n">
        <v>0</v>
      </c>
    </row>
    <row r="228" customFormat="false" ht="12.8" hidden="false" customHeight="false" outlineLevel="0" collapsed="false">
      <c r="A228" s="10" t="s">
        <v>261</v>
      </c>
      <c r="B228" s="0" t="s">
        <v>20</v>
      </c>
      <c r="C228" s="0" t="s">
        <v>21</v>
      </c>
      <c r="D228" s="10" t="s">
        <v>290</v>
      </c>
      <c r="E228" s="0" t="n">
        <v>25</v>
      </c>
      <c r="F228" s="0" t="n">
        <v>73</v>
      </c>
      <c r="G228" s="1" t="n">
        <f aca="false">(E228/100)*F228</f>
        <v>18.25</v>
      </c>
      <c r="H228" s="0" t="n">
        <v>0</v>
      </c>
      <c r="I228" s="2" t="n">
        <f aca="false">(E228/100)*H228</f>
        <v>0</v>
      </c>
      <c r="J228" s="0" t="n">
        <v>50</v>
      </c>
      <c r="K228" s="6" t="n">
        <f aca="false">G228/E228</f>
        <v>0.73</v>
      </c>
      <c r="L228" s="7" t="n">
        <v>0.157</v>
      </c>
      <c r="M228" s="7" t="n">
        <f aca="false">2.4/G228</f>
        <v>0.131506849315068</v>
      </c>
      <c r="N228" s="0" t="n">
        <v>0</v>
      </c>
      <c r="O228" s="0" t="n">
        <v>0</v>
      </c>
      <c r="P228" s="0" t="n">
        <v>0</v>
      </c>
      <c r="Q228" s="0" t="n">
        <v>0</v>
      </c>
      <c r="V228" s="0" t="n">
        <v>0</v>
      </c>
    </row>
    <row r="229" customFormat="false" ht="12.8" hidden="false" customHeight="false" outlineLevel="0" collapsed="false">
      <c r="A229" s="10" t="s">
        <v>261</v>
      </c>
      <c r="B229" s="0" t="s">
        <v>20</v>
      </c>
      <c r="C229" s="0" t="s">
        <v>21</v>
      </c>
      <c r="D229" s="10" t="s">
        <v>291</v>
      </c>
      <c r="E229" s="0" t="n">
        <v>25</v>
      </c>
      <c r="F229" s="0" t="n">
        <v>73</v>
      </c>
      <c r="G229" s="1" t="n">
        <f aca="false">(E229/100)*F229</f>
        <v>18.25</v>
      </c>
      <c r="H229" s="0" t="n">
        <v>0</v>
      </c>
      <c r="I229" s="2" t="n">
        <f aca="false">(E229/100)*H229</f>
        <v>0</v>
      </c>
      <c r="J229" s="0" t="n">
        <v>100</v>
      </c>
      <c r="K229" s="6" t="n">
        <f aca="false">G229/E229</f>
        <v>0.73</v>
      </c>
      <c r="L229" s="7" t="n">
        <v>0.157</v>
      </c>
      <c r="M229" s="7" t="n">
        <f aca="false">2.4/G229</f>
        <v>0.131506849315068</v>
      </c>
      <c r="N229" s="0" t="n">
        <v>0</v>
      </c>
      <c r="O229" s="0" t="n">
        <v>0</v>
      </c>
      <c r="P229" s="0" t="n">
        <v>0</v>
      </c>
      <c r="Q229" s="0" t="n">
        <v>0</v>
      </c>
      <c r="V229" s="0" t="n">
        <v>0</v>
      </c>
    </row>
    <row r="230" customFormat="false" ht="12.8" hidden="false" customHeight="false" outlineLevel="0" collapsed="false">
      <c r="A230" s="10" t="s">
        <v>261</v>
      </c>
      <c r="B230" s="0" t="s">
        <v>20</v>
      </c>
      <c r="C230" s="0" t="s">
        <v>21</v>
      </c>
      <c r="D230" s="10" t="s">
        <v>292</v>
      </c>
      <c r="E230" s="0" t="n">
        <v>40</v>
      </c>
      <c r="F230" s="0" t="n">
        <v>73.2</v>
      </c>
      <c r="G230" s="1" t="n">
        <f aca="false">(E230/100)*F230</f>
        <v>29.28</v>
      </c>
      <c r="H230" s="0" t="n">
        <v>0.1</v>
      </c>
      <c r="I230" s="2" t="n">
        <f aca="false">(E230/100)*H230</f>
        <v>0.04</v>
      </c>
      <c r="J230" s="0" t="n">
        <v>0</v>
      </c>
      <c r="K230" s="6" t="n">
        <f aca="false">G230/E230</f>
        <v>0.732</v>
      </c>
      <c r="L230" s="7" t="n">
        <v>0.248</v>
      </c>
      <c r="M230" s="7" t="n">
        <f aca="false">2.8/G230</f>
        <v>0.0956284153005464</v>
      </c>
      <c r="N230" s="0" t="n">
        <v>0</v>
      </c>
      <c r="O230" s="0" t="n">
        <v>0</v>
      </c>
      <c r="P230" s="0" t="n">
        <v>0</v>
      </c>
      <c r="Q230" s="0" t="n">
        <v>0</v>
      </c>
      <c r="V230" s="0" t="n">
        <v>0</v>
      </c>
    </row>
    <row r="231" customFormat="false" ht="12.8" hidden="false" customHeight="false" outlineLevel="0" collapsed="false">
      <c r="A231" s="10" t="s">
        <v>261</v>
      </c>
      <c r="B231" s="0" t="s">
        <v>20</v>
      </c>
      <c r="C231" s="0" t="s">
        <v>21</v>
      </c>
      <c r="D231" s="0" t="s">
        <v>293</v>
      </c>
      <c r="E231" s="0" t="n">
        <v>40</v>
      </c>
      <c r="F231" s="0" t="n">
        <v>72</v>
      </c>
      <c r="G231" s="1" t="n">
        <f aca="false">(E231/100)*F231</f>
        <v>28.8</v>
      </c>
      <c r="H231" s="0" t="n">
        <v>0.1</v>
      </c>
      <c r="I231" s="2" t="n">
        <f aca="false">(E231/100)*H231</f>
        <v>0.04</v>
      </c>
      <c r="J231" s="0" t="n">
        <v>40</v>
      </c>
      <c r="K231" s="6" t="n">
        <f aca="false">G231/E231</f>
        <v>0.72</v>
      </c>
      <c r="L231" s="7" t="n">
        <v>0.247</v>
      </c>
      <c r="M231" s="7" t="n">
        <f aca="false">2.8/G231</f>
        <v>0.0972222222222222</v>
      </c>
      <c r="N231" s="0" t="n">
        <v>0</v>
      </c>
      <c r="O231" s="0" t="n">
        <v>0</v>
      </c>
      <c r="P231" s="0" t="n">
        <v>0</v>
      </c>
      <c r="Q231" s="0" t="n">
        <v>0</v>
      </c>
      <c r="V231" s="0" t="n">
        <v>0</v>
      </c>
    </row>
    <row r="232" customFormat="false" ht="12.8" hidden="false" customHeight="false" outlineLevel="0" collapsed="false">
      <c r="A232" s="10" t="s">
        <v>261</v>
      </c>
      <c r="B232" s="0" t="s">
        <v>20</v>
      </c>
      <c r="C232" s="0" t="s">
        <v>21</v>
      </c>
      <c r="D232" s="10" t="s">
        <v>294</v>
      </c>
      <c r="E232" s="0" t="n">
        <v>40</v>
      </c>
      <c r="F232" s="0" t="n">
        <v>72.9</v>
      </c>
      <c r="G232" s="1" t="n">
        <f aca="false">(E232/100)*F232</f>
        <v>29.16</v>
      </c>
      <c r="H232" s="0" t="n">
        <v>0.1</v>
      </c>
      <c r="I232" s="2" t="n">
        <f aca="false">(E232/100)*H232</f>
        <v>0.04</v>
      </c>
      <c r="J232" s="0" t="n">
        <v>160</v>
      </c>
      <c r="K232" s="6" t="n">
        <f aca="false">G232/E232</f>
        <v>0.729</v>
      </c>
      <c r="L232" s="7" t="n">
        <v>0.251</v>
      </c>
      <c r="M232" s="7" t="n">
        <f aca="false">2.8/G232</f>
        <v>0.0960219478737997</v>
      </c>
      <c r="N232" s="0" t="n">
        <v>0</v>
      </c>
      <c r="O232" s="0" t="n">
        <v>0</v>
      </c>
      <c r="P232" s="0" t="n">
        <v>0</v>
      </c>
      <c r="Q232" s="0" t="n">
        <v>0</v>
      </c>
      <c r="V232" s="0" t="n">
        <v>0</v>
      </c>
    </row>
    <row r="233" customFormat="false" ht="12.8" hidden="false" customHeight="false" outlineLevel="0" collapsed="false">
      <c r="A233" s="10" t="s">
        <v>261</v>
      </c>
      <c r="B233" s="0" t="s">
        <v>25</v>
      </c>
      <c r="C233" s="0" t="s">
        <v>26</v>
      </c>
      <c r="D233" s="0" t="s">
        <v>295</v>
      </c>
      <c r="E233" s="0" t="n">
        <v>1</v>
      </c>
      <c r="F233" s="0" t="n">
        <v>96.5</v>
      </c>
      <c r="G233" s="1" t="n">
        <f aca="false">(E233/100)*F233</f>
        <v>0.965</v>
      </c>
      <c r="H233" s="0" t="n">
        <v>0</v>
      </c>
      <c r="I233" s="2" t="n">
        <f aca="false">(E233/100)*H233</f>
        <v>0</v>
      </c>
      <c r="J233" s="0" t="n">
        <v>0</v>
      </c>
      <c r="K233" s="6" t="n">
        <f aca="false">G233/E233</f>
        <v>0.965</v>
      </c>
      <c r="L233" s="7" t="n">
        <f aca="false">0.556/100</f>
        <v>0.00556</v>
      </c>
      <c r="M233" s="7" t="n">
        <f aca="false">(33/1000)/G233</f>
        <v>0.0341968911917098</v>
      </c>
      <c r="N233" s="0" t="n">
        <v>0</v>
      </c>
      <c r="O233" s="0" t="n">
        <v>0</v>
      </c>
      <c r="P233" s="0" t="n">
        <v>0</v>
      </c>
      <c r="Q233" s="0" t="n">
        <v>0</v>
      </c>
      <c r="U233" s="10" t="s">
        <v>206</v>
      </c>
      <c r="V233" s="0" t="n">
        <v>1</v>
      </c>
    </row>
    <row r="234" customFormat="false" ht="12.8" hidden="false" customHeight="false" outlineLevel="0" collapsed="false">
      <c r="A234" s="10" t="s">
        <v>261</v>
      </c>
      <c r="B234" s="0" t="s">
        <v>25</v>
      </c>
      <c r="C234" s="0" t="s">
        <v>26</v>
      </c>
      <c r="D234" s="0" t="s">
        <v>296</v>
      </c>
      <c r="E234" s="0" t="n">
        <v>1</v>
      </c>
      <c r="F234" s="0" t="n">
        <v>89</v>
      </c>
      <c r="G234" s="1" t="n">
        <f aca="false">(E234/100)*F234</f>
        <v>0.89</v>
      </c>
      <c r="H234" s="0" t="n">
        <v>0</v>
      </c>
      <c r="I234" s="2" t="n">
        <f aca="false">(E234/100)*H234</f>
        <v>0</v>
      </c>
      <c r="J234" s="0" t="n">
        <v>0</v>
      </c>
      <c r="K234" s="6" t="n">
        <f aca="false">G234/E234</f>
        <v>0.89</v>
      </c>
      <c r="L234" s="7" t="n">
        <v>0</v>
      </c>
      <c r="M234" s="7" t="n">
        <f aca="false">(24/500)/G234</f>
        <v>0.0539325842696629</v>
      </c>
      <c r="N234" s="0" t="n">
        <v>0</v>
      </c>
      <c r="O234" s="0" t="n">
        <v>0</v>
      </c>
      <c r="P234" s="0" t="n">
        <v>0</v>
      </c>
      <c r="Q234" s="0" t="n">
        <v>0</v>
      </c>
      <c r="S234" s="0" t="s">
        <v>253</v>
      </c>
      <c r="V234" s="0" t="n">
        <v>0</v>
      </c>
    </row>
    <row r="235" customFormat="false" ht="12.8" hidden="false" customHeight="false" outlineLevel="0" collapsed="false">
      <c r="A235" s="10" t="s">
        <v>261</v>
      </c>
      <c r="B235" s="0" t="s">
        <v>25</v>
      </c>
      <c r="C235" s="0" t="s">
        <v>26</v>
      </c>
      <c r="D235" s="10" t="s">
        <v>297</v>
      </c>
      <c r="E235" s="0" t="n">
        <v>1</v>
      </c>
      <c r="F235" s="0" t="n">
        <v>85</v>
      </c>
      <c r="G235" s="1" t="n">
        <f aca="false">(E235/100)*F235</f>
        <v>0.85</v>
      </c>
      <c r="H235" s="0" t="n">
        <v>0</v>
      </c>
      <c r="I235" s="2" t="n">
        <f aca="false">(E235/100)*H235</f>
        <v>0</v>
      </c>
      <c r="J235" s="0" t="n">
        <v>0</v>
      </c>
      <c r="K235" s="6" t="n">
        <f aca="false">G235/E235</f>
        <v>0.85</v>
      </c>
      <c r="L235" s="7" t="n">
        <f aca="false">0.49/100</f>
        <v>0.0049</v>
      </c>
      <c r="M235" s="7" t="n">
        <f aca="false">(23/500)/G235</f>
        <v>0.0541176470588235</v>
      </c>
      <c r="N235" s="0" t="n">
        <v>0</v>
      </c>
      <c r="O235" s="0" t="n">
        <v>0</v>
      </c>
      <c r="P235" s="0" t="n">
        <v>0</v>
      </c>
      <c r="Q235" s="0" t="n">
        <v>0</v>
      </c>
      <c r="S235" s="0" t="s">
        <v>298</v>
      </c>
      <c r="V235" s="0" t="n">
        <v>0</v>
      </c>
    </row>
    <row r="236" customFormat="false" ht="12.8" hidden="false" customHeight="false" outlineLevel="0" collapsed="false">
      <c r="A236" s="10" t="s">
        <v>261</v>
      </c>
      <c r="B236" s="0" t="s">
        <v>25</v>
      </c>
      <c r="C236" s="0" t="s">
        <v>26</v>
      </c>
      <c r="D236" s="10" t="s">
        <v>299</v>
      </c>
      <c r="E236" s="0" t="n">
        <v>1</v>
      </c>
      <c r="F236" s="0" t="n">
        <v>75</v>
      </c>
      <c r="G236" s="1" t="n">
        <f aca="false">(E236/100)*F236</f>
        <v>0.75</v>
      </c>
      <c r="H236" s="0" t="n">
        <v>11</v>
      </c>
      <c r="I236" s="2" t="n">
        <f aca="false">(E236/100)*H236</f>
        <v>0.11</v>
      </c>
      <c r="J236" s="0" t="n">
        <v>0</v>
      </c>
      <c r="K236" s="6" t="n">
        <f aca="false">G236/E236</f>
        <v>0.75</v>
      </c>
      <c r="L236" s="7" t="n">
        <f aca="false">(1.3*0.4)/100</f>
        <v>0.0052</v>
      </c>
      <c r="M236" s="7" t="n">
        <f aca="false">(48/1000)/G236</f>
        <v>0.064</v>
      </c>
      <c r="N236" s="0" t="n">
        <v>0</v>
      </c>
      <c r="O236" s="0" t="n">
        <v>0</v>
      </c>
      <c r="P236" s="0" t="n">
        <v>0</v>
      </c>
      <c r="Q236" s="0" t="n">
        <v>1</v>
      </c>
      <c r="S236" s="0" t="s">
        <v>300</v>
      </c>
      <c r="V236" s="0" t="n">
        <v>0</v>
      </c>
    </row>
    <row r="237" customFormat="false" ht="12.8" hidden="false" customHeight="false" outlineLevel="0" collapsed="false">
      <c r="A237" s="10" t="s">
        <v>301</v>
      </c>
      <c r="B237" s="0" t="s">
        <v>36</v>
      </c>
      <c r="C237" s="0" t="s">
        <v>37</v>
      </c>
      <c r="D237" s="0" t="s">
        <v>302</v>
      </c>
      <c r="E237" s="0" t="n">
        <v>40</v>
      </c>
      <c r="F237" s="0" t="n">
        <v>57</v>
      </c>
      <c r="G237" s="1" t="n">
        <f aca="false">(E237/100)*F237</f>
        <v>22.8</v>
      </c>
      <c r="H237" s="0" t="n">
        <v>6</v>
      </c>
      <c r="I237" s="2" t="n">
        <f aca="false">(E237/100)*H237</f>
        <v>2.4</v>
      </c>
      <c r="J237" s="0" t="n">
        <v>0</v>
      </c>
      <c r="K237" s="6" t="n">
        <f aca="false">G237/E237</f>
        <v>0.57</v>
      </c>
      <c r="L237" s="7" t="n">
        <f aca="false">0.14*0.4</f>
        <v>0.056</v>
      </c>
      <c r="M237" s="7" t="n">
        <f aca="false">(7.05/3)/G237</f>
        <v>0.103070175438597</v>
      </c>
      <c r="N237" s="0" t="n">
        <v>0</v>
      </c>
      <c r="O237" s="0" t="n">
        <v>0</v>
      </c>
      <c r="P237" s="0" t="n">
        <v>1</v>
      </c>
      <c r="Q237" s="0" t="n">
        <v>0</v>
      </c>
      <c r="V237" s="0" t="n">
        <v>0</v>
      </c>
    </row>
    <row r="238" customFormat="false" ht="12.8" hidden="false" customHeight="false" outlineLevel="0" collapsed="false">
      <c r="A238" s="10" t="s">
        <v>301</v>
      </c>
      <c r="B238" s="0" t="s">
        <v>36</v>
      </c>
      <c r="C238" s="0" t="s">
        <v>37</v>
      </c>
      <c r="D238" s="0" t="s">
        <v>303</v>
      </c>
      <c r="E238" s="0" t="n">
        <v>40</v>
      </c>
      <c r="F238" s="0" t="n">
        <v>60</v>
      </c>
      <c r="G238" s="1" t="n">
        <f aca="false">(E238/100)*F238</f>
        <v>24</v>
      </c>
      <c r="H238" s="0" t="n">
        <v>5.2</v>
      </c>
      <c r="I238" s="2" t="n">
        <f aca="false">(E238/100)*H238</f>
        <v>2.08</v>
      </c>
      <c r="J238" s="0" t="n">
        <v>0</v>
      </c>
      <c r="K238" s="6" t="n">
        <f aca="false">G238/E238</f>
        <v>0.6</v>
      </c>
      <c r="L238" s="7" t="n">
        <f aca="false">0.17*0.4</f>
        <v>0.068</v>
      </c>
      <c r="M238" s="7" t="n">
        <f aca="false">(7.05/3)/G238</f>
        <v>0.0979166666666667</v>
      </c>
      <c r="N238" s="0" t="n">
        <v>0</v>
      </c>
      <c r="O238" s="0" t="n">
        <v>0</v>
      </c>
      <c r="P238" s="0" t="n">
        <v>1</v>
      </c>
      <c r="Q238" s="0" t="n">
        <v>0</v>
      </c>
      <c r="V238" s="0" t="n">
        <v>0</v>
      </c>
    </row>
    <row r="239" customFormat="false" ht="12.8" hidden="false" customHeight="false" outlineLevel="0" collapsed="false">
      <c r="A239" s="10" t="s">
        <v>301</v>
      </c>
      <c r="B239" s="0" t="s">
        <v>36</v>
      </c>
      <c r="C239" s="0" t="s">
        <v>37</v>
      </c>
      <c r="D239" s="0" t="s">
        <v>304</v>
      </c>
      <c r="E239" s="0" t="n">
        <v>40</v>
      </c>
      <c r="F239" s="0" t="n">
        <v>47</v>
      </c>
      <c r="G239" s="1" t="n">
        <f aca="false">(E239/100)*F239</f>
        <v>18.8</v>
      </c>
      <c r="H239" s="0" t="n">
        <v>5.1</v>
      </c>
      <c r="I239" s="2" t="n">
        <f aca="false">(E239/100)*H239</f>
        <v>2.04</v>
      </c>
      <c r="J239" s="0" t="n">
        <v>0</v>
      </c>
      <c r="K239" s="6" t="n">
        <f aca="false">G239/E239</f>
        <v>0.47</v>
      </c>
      <c r="L239" s="7" t="n">
        <f aca="false">0.17*0.4</f>
        <v>0.068</v>
      </c>
      <c r="M239" s="7" t="n">
        <f aca="false">(7.05/3)/G239</f>
        <v>0.125</v>
      </c>
      <c r="N239" s="0" t="n">
        <v>0</v>
      </c>
      <c r="O239" s="0" t="n">
        <v>0</v>
      </c>
      <c r="P239" s="0" t="n">
        <v>1</v>
      </c>
      <c r="Q239" s="0" t="n">
        <v>0</v>
      </c>
      <c r="V239" s="0" t="n">
        <v>0</v>
      </c>
    </row>
    <row r="240" customFormat="false" ht="12.8" hidden="false" customHeight="false" outlineLevel="0" collapsed="false">
      <c r="A240" s="10" t="s">
        <v>301</v>
      </c>
      <c r="B240" s="0" t="s">
        <v>36</v>
      </c>
      <c r="C240" s="0" t="s">
        <v>37</v>
      </c>
      <c r="D240" s="0" t="s">
        <v>305</v>
      </c>
      <c r="E240" s="0" t="n">
        <v>30</v>
      </c>
      <c r="F240" s="0" t="n">
        <v>80</v>
      </c>
      <c r="G240" s="1" t="n">
        <f aca="false">(E240/100)*F240</f>
        <v>24</v>
      </c>
      <c r="H240" s="0" t="n">
        <v>0.4</v>
      </c>
      <c r="I240" s="2" t="n">
        <f aca="false">(E240/100)*H240</f>
        <v>0.12</v>
      </c>
      <c r="J240" s="0" t="n">
        <v>0</v>
      </c>
      <c r="K240" s="6" t="n">
        <f aca="false">G240/E240</f>
        <v>0.8</v>
      </c>
      <c r="L240" s="7" t="n">
        <f aca="false">0.16*0.4</f>
        <v>0.064</v>
      </c>
      <c r="M240" s="7" t="n">
        <f aca="false">(4.95/6)/G240</f>
        <v>0.034375</v>
      </c>
      <c r="N240" s="0" t="n">
        <v>0</v>
      </c>
      <c r="O240" s="0" t="n">
        <v>1</v>
      </c>
      <c r="P240" s="0" t="n">
        <v>0</v>
      </c>
      <c r="Q240" s="0" t="n">
        <v>0</v>
      </c>
      <c r="V240" s="0" t="n">
        <v>0</v>
      </c>
    </row>
    <row r="241" customFormat="false" ht="12.8" hidden="false" customHeight="false" outlineLevel="0" collapsed="false">
      <c r="A241" s="10" t="s">
        <v>301</v>
      </c>
      <c r="B241" s="0" t="s">
        <v>36</v>
      </c>
      <c r="C241" s="0" t="s">
        <v>37</v>
      </c>
      <c r="D241" s="0" t="s">
        <v>306</v>
      </c>
      <c r="E241" s="0" t="n">
        <v>30</v>
      </c>
      <c r="F241" s="0" t="n">
        <v>79</v>
      </c>
      <c r="G241" s="1" t="n">
        <f aca="false">(E241/100)*F241</f>
        <v>23.7</v>
      </c>
      <c r="H241" s="0" t="n">
        <v>0</v>
      </c>
      <c r="I241" s="2" t="n">
        <f aca="false">(E241/100)*H241</f>
        <v>0</v>
      </c>
      <c r="J241" s="0" t="n">
        <v>50</v>
      </c>
      <c r="K241" s="6" t="n">
        <f aca="false">G241/E241</f>
        <v>0.79</v>
      </c>
      <c r="L241" s="7" t="n">
        <f aca="false">0.17*0.4</f>
        <v>0.068</v>
      </c>
      <c r="M241" s="7" t="n">
        <f aca="false">(4.8/3)/G241</f>
        <v>0.0675105485232067</v>
      </c>
      <c r="N241" s="0" t="n">
        <v>0</v>
      </c>
      <c r="O241" s="0" t="n">
        <v>1</v>
      </c>
      <c r="P241" s="0" t="n">
        <v>0</v>
      </c>
      <c r="Q241" s="0" t="n">
        <v>0</v>
      </c>
      <c r="V241" s="0" t="n">
        <v>0</v>
      </c>
    </row>
    <row r="242" customFormat="false" ht="12.8" hidden="false" customHeight="false" outlineLevel="0" collapsed="false">
      <c r="A242" s="10" t="s">
        <v>301</v>
      </c>
      <c r="B242" s="0" t="s">
        <v>20</v>
      </c>
      <c r="C242" s="0" t="s">
        <v>21</v>
      </c>
      <c r="D242" s="0" t="s">
        <v>307</v>
      </c>
      <c r="E242" s="0" t="n">
        <v>40</v>
      </c>
      <c r="F242" s="0" t="n">
        <v>54</v>
      </c>
      <c r="G242" s="1" t="n">
        <f aca="false">(E242/100)*F242</f>
        <v>21.6</v>
      </c>
      <c r="H242" s="0" t="n">
        <v>0.43</v>
      </c>
      <c r="I242" s="2" t="n">
        <f aca="false">(E242/100)*H242</f>
        <v>0.172</v>
      </c>
      <c r="J242" s="0" t="n">
        <v>45</v>
      </c>
      <c r="K242" s="6" t="n">
        <f aca="false">G242/E242</f>
        <v>0.54</v>
      </c>
      <c r="L242" s="7" t="n">
        <v>0.48</v>
      </c>
      <c r="M242" s="7" t="n">
        <f aca="false">(9/5)/G242</f>
        <v>0.0833333333333333</v>
      </c>
      <c r="N242" s="0" t="n">
        <v>0</v>
      </c>
      <c r="O242" s="0" t="n">
        <v>0</v>
      </c>
      <c r="P242" s="0" t="n">
        <v>0</v>
      </c>
      <c r="Q242" s="0" t="n">
        <v>0</v>
      </c>
      <c r="V242" s="0" t="n">
        <v>0</v>
      </c>
    </row>
    <row r="243" customFormat="false" ht="12.8" hidden="false" customHeight="false" outlineLevel="0" collapsed="false">
      <c r="A243" s="10" t="s">
        <v>301</v>
      </c>
      <c r="B243" s="0" t="s">
        <v>20</v>
      </c>
      <c r="C243" s="0" t="s">
        <v>21</v>
      </c>
      <c r="D243" s="0" t="s">
        <v>308</v>
      </c>
      <c r="E243" s="0" t="n">
        <v>40</v>
      </c>
      <c r="F243" s="0" t="n">
        <v>51</v>
      </c>
      <c r="G243" s="1" t="n">
        <f aca="false">(E243/100)*F243</f>
        <v>20.4</v>
      </c>
      <c r="H243" s="0" t="n">
        <v>0.65</v>
      </c>
      <c r="I243" s="2" t="n">
        <f aca="false">(E243/100)*H243</f>
        <v>0.26</v>
      </c>
      <c r="J243" s="0" t="n">
        <v>0</v>
      </c>
      <c r="K243" s="6" t="n">
        <f aca="false">G243/E243</f>
        <v>0.51</v>
      </c>
      <c r="L243" s="7" t="n">
        <v>0.0022</v>
      </c>
      <c r="M243" s="7" t="n">
        <f aca="false">(9/5)/G243</f>
        <v>0.0882352941176471</v>
      </c>
      <c r="N243" s="0" t="n">
        <v>0</v>
      </c>
      <c r="O243" s="0" t="n">
        <v>0</v>
      </c>
      <c r="P243" s="0" t="n">
        <v>0</v>
      </c>
      <c r="Q243" s="0" t="n">
        <v>0</v>
      </c>
      <c r="V243" s="0" t="n">
        <v>0</v>
      </c>
    </row>
    <row r="244" customFormat="false" ht="12.8" hidden="false" customHeight="false" outlineLevel="0" collapsed="false">
      <c r="A244" s="10" t="s">
        <v>301</v>
      </c>
      <c r="B244" s="0" t="s">
        <v>20</v>
      </c>
      <c r="C244" s="0" t="s">
        <v>21</v>
      </c>
      <c r="D244" s="0" t="s">
        <v>309</v>
      </c>
      <c r="E244" s="0" t="n">
        <v>40</v>
      </c>
      <c r="F244" s="0" t="n">
        <v>53</v>
      </c>
      <c r="G244" s="1" t="n">
        <f aca="false">(E244/100)*F244</f>
        <v>21.2</v>
      </c>
      <c r="H244" s="0" t="n">
        <v>0.38</v>
      </c>
      <c r="I244" s="2" t="n">
        <f aca="false">(E244/100)*H244</f>
        <v>0.152</v>
      </c>
      <c r="J244" s="0" t="n">
        <v>0</v>
      </c>
      <c r="K244" s="6" t="n">
        <f aca="false">G244/E244</f>
        <v>0.53</v>
      </c>
      <c r="L244" s="7" t="n">
        <v>0.0027</v>
      </c>
      <c r="M244" s="7" t="n">
        <f aca="false">(9/5)/G244</f>
        <v>0.0849056603773585</v>
      </c>
      <c r="N244" s="0" t="n">
        <v>0</v>
      </c>
      <c r="O244" s="0" t="n">
        <v>0</v>
      </c>
      <c r="P244" s="0" t="n">
        <v>0</v>
      </c>
      <c r="Q244" s="0" t="n">
        <v>0</v>
      </c>
      <c r="V244" s="0" t="n">
        <v>0</v>
      </c>
    </row>
    <row r="245" customFormat="false" ht="12.8" hidden="false" customHeight="false" outlineLevel="0" collapsed="false">
      <c r="A245" s="10" t="s">
        <v>301</v>
      </c>
      <c r="B245" s="0" t="s">
        <v>27</v>
      </c>
      <c r="C245" s="0" t="s">
        <v>28</v>
      </c>
      <c r="D245" s="0" t="s">
        <v>310</v>
      </c>
      <c r="E245" s="0" t="n">
        <v>90</v>
      </c>
      <c r="F245" s="0" t="n">
        <v>17</v>
      </c>
      <c r="G245" s="1" t="n">
        <f aca="false">(E245/100)*F245</f>
        <v>15.3</v>
      </c>
      <c r="H245" s="0" t="n">
        <v>0.53</v>
      </c>
      <c r="I245" s="2" t="n">
        <f aca="false">(E245/100)*H245</f>
        <v>0.477</v>
      </c>
      <c r="J245" s="0" t="n">
        <v>0</v>
      </c>
      <c r="K245" s="6" t="n">
        <f aca="false">G245/E245</f>
        <v>0.17</v>
      </c>
      <c r="L245" s="7" t="n">
        <v>0.08</v>
      </c>
      <c r="M245" s="7" t="n">
        <f aca="false">(4.99/4)/G245</f>
        <v>0.0815359477124183</v>
      </c>
      <c r="N245" s="0" t="n">
        <v>0</v>
      </c>
      <c r="O245" s="0" t="n">
        <v>0</v>
      </c>
      <c r="P245" s="0" t="n">
        <v>0</v>
      </c>
      <c r="Q245" s="0" t="n">
        <v>0</v>
      </c>
      <c r="V245" s="0" t="n">
        <v>0</v>
      </c>
    </row>
    <row r="246" customFormat="false" ht="12.8" hidden="false" customHeight="false" outlineLevel="0" collapsed="false">
      <c r="A246" s="10" t="s">
        <v>301</v>
      </c>
      <c r="B246" s="0" t="s">
        <v>27</v>
      </c>
      <c r="C246" s="0" t="s">
        <v>28</v>
      </c>
      <c r="D246" s="0" t="s">
        <v>311</v>
      </c>
      <c r="E246" s="0" t="n">
        <v>90</v>
      </c>
      <c r="F246" s="0" t="n">
        <v>6.6</v>
      </c>
      <c r="G246" s="1" t="n">
        <f aca="false">(E246/100)*F246</f>
        <v>5.94</v>
      </c>
      <c r="H246" s="0" t="n">
        <v>0.1</v>
      </c>
      <c r="I246" s="2" t="n">
        <f aca="false">(E246/100)*H246</f>
        <v>0.09</v>
      </c>
      <c r="J246" s="0" t="n">
        <v>0</v>
      </c>
      <c r="K246" s="6" t="n">
        <f aca="false">G246/E246</f>
        <v>0.066</v>
      </c>
      <c r="L246" s="7" t="n">
        <v>0.016</v>
      </c>
      <c r="M246" s="7" t="n">
        <f aca="false">(6.6/4)/G246</f>
        <v>0.277777777777778</v>
      </c>
      <c r="N246" s="0" t="n">
        <v>0</v>
      </c>
      <c r="O246" s="0" t="n">
        <v>0</v>
      </c>
      <c r="P246" s="0" t="n">
        <v>0</v>
      </c>
      <c r="Q246" s="0" t="n">
        <v>0</v>
      </c>
      <c r="V246" s="0" t="n">
        <v>0</v>
      </c>
    </row>
    <row r="247" customFormat="false" ht="12.8" hidden="false" customHeight="false" outlineLevel="0" collapsed="false">
      <c r="A247" s="10" t="s">
        <v>301</v>
      </c>
      <c r="B247" s="0" t="s">
        <v>32</v>
      </c>
      <c r="C247" s="0" t="s">
        <v>33</v>
      </c>
      <c r="D247" s="0" t="s">
        <v>312</v>
      </c>
      <c r="E247" s="0" t="n">
        <v>120</v>
      </c>
      <c r="F247" s="0" t="n">
        <v>16</v>
      </c>
      <c r="G247" s="1" t="n">
        <f aca="false">(E247/100)*F247</f>
        <v>19.2</v>
      </c>
      <c r="H247" s="0" t="n">
        <v>1.7</v>
      </c>
      <c r="I247" s="2" t="n">
        <f aca="false">(E247/100)*H247</f>
        <v>2.04</v>
      </c>
      <c r="J247" s="0" t="n">
        <v>0</v>
      </c>
      <c r="K247" s="6" t="n">
        <f aca="false">G247/E247</f>
        <v>0.16</v>
      </c>
      <c r="L247" s="7" t="n">
        <v>0.11</v>
      </c>
      <c r="M247" s="7" t="n">
        <f aca="false">(8.49/3)/G247</f>
        <v>0.147395833333333</v>
      </c>
      <c r="N247" s="0" t="n">
        <v>0</v>
      </c>
      <c r="O247" s="0" t="n">
        <v>0</v>
      </c>
      <c r="P247" s="0" t="n">
        <v>0</v>
      </c>
      <c r="Q247" s="0" t="n">
        <v>0</v>
      </c>
      <c r="V247" s="0" t="n">
        <v>0</v>
      </c>
    </row>
    <row r="248" customFormat="false" ht="12.8" hidden="false" customHeight="false" outlineLevel="0" collapsed="false">
      <c r="A248" s="10" t="s">
        <v>301</v>
      </c>
      <c r="B248" s="0" t="s">
        <v>32</v>
      </c>
      <c r="C248" s="0" t="s">
        <v>33</v>
      </c>
      <c r="D248" s="0" t="s">
        <v>313</v>
      </c>
      <c r="E248" s="0" t="n">
        <v>120</v>
      </c>
      <c r="F248" s="0" t="n">
        <v>17</v>
      </c>
      <c r="G248" s="1" t="n">
        <f aca="false">(E248/100)*F248</f>
        <v>20.4</v>
      </c>
      <c r="H248" s="0" t="n">
        <v>1.8</v>
      </c>
      <c r="I248" s="2" t="n">
        <f aca="false">(E248/100)*H248</f>
        <v>2.16</v>
      </c>
      <c r="J248" s="0" t="n">
        <v>0</v>
      </c>
      <c r="K248" s="6" t="n">
        <f aca="false">G248/E248</f>
        <v>0.17</v>
      </c>
      <c r="L248" s="7" t="n">
        <v>0.11</v>
      </c>
      <c r="M248" s="7" t="n">
        <f aca="false">(8.49/3)/G248</f>
        <v>0.138725490196078</v>
      </c>
      <c r="N248" s="0" t="n">
        <v>0</v>
      </c>
      <c r="O248" s="0" t="n">
        <v>0</v>
      </c>
      <c r="P248" s="0" t="n">
        <v>0</v>
      </c>
      <c r="Q248" s="0" t="n">
        <v>0</v>
      </c>
      <c r="V248" s="0" t="n">
        <v>0</v>
      </c>
    </row>
    <row r="249" customFormat="false" ht="12.8" hidden="false" customHeight="false" outlineLevel="0" collapsed="false">
      <c r="A249" s="10" t="s">
        <v>301</v>
      </c>
      <c r="B249" s="0" t="s">
        <v>25</v>
      </c>
      <c r="C249" s="0" t="s">
        <v>26</v>
      </c>
      <c r="D249" s="0" t="s">
        <v>314</v>
      </c>
      <c r="E249" s="0" t="n">
        <v>500</v>
      </c>
      <c r="F249" s="0" t="n">
        <v>6.9</v>
      </c>
      <c r="G249" s="1" t="n">
        <f aca="false">(E249/100)*F249</f>
        <v>34.5</v>
      </c>
      <c r="H249" s="0" t="n">
        <v>0.2</v>
      </c>
      <c r="I249" s="2" t="n">
        <f aca="false">(E249/100)*H249</f>
        <v>1</v>
      </c>
      <c r="J249" s="0" t="n">
        <v>0</v>
      </c>
      <c r="K249" s="6" t="n">
        <f aca="false">G249/E249</f>
        <v>0.069</v>
      </c>
      <c r="L249" s="7" t="n">
        <v>0.08</v>
      </c>
      <c r="M249" s="7" t="n">
        <f aca="false">3.5/G249</f>
        <v>0.101449275362319</v>
      </c>
      <c r="N249" s="0" t="n">
        <v>0</v>
      </c>
      <c r="O249" s="0" t="n">
        <v>0</v>
      </c>
      <c r="P249" s="0" t="n">
        <v>0</v>
      </c>
      <c r="Q249" s="0" t="n">
        <v>0</v>
      </c>
      <c r="V249" s="0" t="n">
        <v>0</v>
      </c>
    </row>
    <row r="250" customFormat="false" ht="12.8" hidden="false" customHeight="false" outlineLevel="0" collapsed="false">
      <c r="A250" s="10" t="s">
        <v>315</v>
      </c>
      <c r="B250" s="0" t="s">
        <v>36</v>
      </c>
      <c r="C250" s="0" t="s">
        <v>37</v>
      </c>
      <c r="D250" s="0" t="s">
        <v>316</v>
      </c>
      <c r="E250" s="0" t="n">
        <v>27</v>
      </c>
      <c r="F250" s="0" t="n">
        <v>78</v>
      </c>
      <c r="G250" s="1" t="n">
        <f aca="false">(E250/100)*F250</f>
        <v>21.06</v>
      </c>
      <c r="H250" s="0" t="n">
        <v>1.3</v>
      </c>
      <c r="I250" s="2" t="n">
        <f aca="false">(E250/100)*H250</f>
        <v>0.351</v>
      </c>
      <c r="J250" s="0" t="n">
        <v>0</v>
      </c>
      <c r="K250" s="6" t="n">
        <f aca="false">G250/E250</f>
        <v>0.78</v>
      </c>
      <c r="L250" s="7" t="n">
        <f aca="false">0.12*0.4</f>
        <v>0.048</v>
      </c>
      <c r="M250" s="7" t="n">
        <f aca="false">(3.18/6)/G250</f>
        <v>0.0251661918328585</v>
      </c>
      <c r="N250" s="0" t="n">
        <v>0</v>
      </c>
      <c r="O250" s="0" t="n">
        <v>1</v>
      </c>
      <c r="P250" s="0" t="n">
        <v>0</v>
      </c>
      <c r="Q250" s="0" t="n">
        <v>0</v>
      </c>
      <c r="V250" s="0" t="n">
        <v>0</v>
      </c>
    </row>
    <row r="251" customFormat="false" ht="12.8" hidden="false" customHeight="false" outlineLevel="0" collapsed="false">
      <c r="A251" s="10" t="s">
        <v>315</v>
      </c>
      <c r="B251" s="0" t="s">
        <v>36</v>
      </c>
      <c r="C251" s="0" t="s">
        <v>37</v>
      </c>
      <c r="D251" s="0" t="s">
        <v>317</v>
      </c>
      <c r="E251" s="0" t="n">
        <v>25</v>
      </c>
      <c r="F251" s="0" t="n">
        <v>67</v>
      </c>
      <c r="G251" s="1" t="n">
        <f aca="false">(E251/100)*F251</f>
        <v>16.75</v>
      </c>
      <c r="H251" s="0" t="n">
        <v>8.1</v>
      </c>
      <c r="I251" s="2" t="n">
        <f aca="false">(E251/100)*H251</f>
        <v>2.025</v>
      </c>
      <c r="J251" s="0" t="n">
        <v>0</v>
      </c>
      <c r="K251" s="6" t="n">
        <f aca="false">G251/E251</f>
        <v>0.67</v>
      </c>
      <c r="L251" s="7" t="n">
        <f aca="false">0.013*0.4</f>
        <v>0.0052</v>
      </c>
      <c r="M251" s="7" t="n">
        <f aca="false">(2.79/6)/G251</f>
        <v>0.0277611940298507</v>
      </c>
      <c r="N251" s="0" t="n">
        <v>0</v>
      </c>
      <c r="O251" s="0" t="n">
        <v>1</v>
      </c>
      <c r="P251" s="0" t="n">
        <v>1</v>
      </c>
      <c r="Q251" s="0" t="n">
        <v>0</v>
      </c>
      <c r="V251" s="0" t="n">
        <v>0</v>
      </c>
    </row>
    <row r="252" customFormat="false" ht="12.8" hidden="false" customHeight="false" outlineLevel="0" collapsed="false">
      <c r="A252" s="10" t="s">
        <v>315</v>
      </c>
      <c r="B252" s="0" t="s">
        <v>36</v>
      </c>
      <c r="C252" s="0" t="s">
        <v>37</v>
      </c>
      <c r="D252" s="0" t="s">
        <v>318</v>
      </c>
      <c r="E252" s="0" t="n">
        <v>25</v>
      </c>
      <c r="F252" s="0" t="n">
        <v>68</v>
      </c>
      <c r="G252" s="1" t="n">
        <f aca="false">(E252/100)*F252</f>
        <v>17</v>
      </c>
      <c r="H252" s="0" t="n">
        <v>4.2</v>
      </c>
      <c r="I252" s="2" t="n">
        <f aca="false">(E252/100)*H252</f>
        <v>1.05</v>
      </c>
      <c r="J252" s="0" t="n">
        <v>0</v>
      </c>
      <c r="K252" s="6" t="n">
        <f aca="false">G252/E252</f>
        <v>0.68</v>
      </c>
      <c r="L252" s="7" t="n">
        <f aca="false">0.05*0.4</f>
        <v>0.02</v>
      </c>
      <c r="M252" s="7" t="n">
        <f aca="false">(3.35/6)/G252</f>
        <v>0.032843137254902</v>
      </c>
      <c r="N252" s="0" t="n">
        <v>0</v>
      </c>
      <c r="O252" s="0" t="n">
        <v>1</v>
      </c>
      <c r="P252" s="0" t="n">
        <v>0</v>
      </c>
      <c r="Q252" s="0" t="n">
        <v>0</v>
      </c>
      <c r="V252" s="0" t="n">
        <v>0</v>
      </c>
    </row>
    <row r="253" customFormat="false" ht="12.8" hidden="false" customHeight="false" outlineLevel="0" collapsed="false">
      <c r="A253" s="10" t="s">
        <v>315</v>
      </c>
      <c r="B253" s="0" t="s">
        <v>36</v>
      </c>
      <c r="C253" s="0" t="s">
        <v>37</v>
      </c>
      <c r="D253" s="0" t="s">
        <v>319</v>
      </c>
      <c r="E253" s="0" t="n">
        <v>25</v>
      </c>
      <c r="F253" s="0" t="n">
        <v>75</v>
      </c>
      <c r="G253" s="1" t="n">
        <f aca="false">(E253/100)*F253</f>
        <v>18.75</v>
      </c>
      <c r="H253" s="0" t="n">
        <v>4.3</v>
      </c>
      <c r="I253" s="2" t="n">
        <f aca="false">(E253/100)*H253</f>
        <v>1.075</v>
      </c>
      <c r="J253" s="0" t="n">
        <v>0</v>
      </c>
      <c r="K253" s="6" t="n">
        <f aca="false">G253/E253</f>
        <v>0.75</v>
      </c>
      <c r="L253" s="7" t="n">
        <v>0</v>
      </c>
      <c r="M253" s="7" t="n">
        <f aca="false">(3.35/6)/G253</f>
        <v>0.0297777777777778</v>
      </c>
      <c r="N253" s="0" t="n">
        <v>0</v>
      </c>
      <c r="O253" s="0" t="n">
        <v>1</v>
      </c>
      <c r="P253" s="0" t="n">
        <v>0</v>
      </c>
      <c r="Q253" s="0" t="n">
        <v>0</v>
      </c>
      <c r="V253" s="0" t="n">
        <v>0</v>
      </c>
    </row>
    <row r="254" customFormat="false" ht="12.8" hidden="false" customHeight="false" outlineLevel="0" collapsed="false">
      <c r="A254" s="10" t="s">
        <v>320</v>
      </c>
      <c r="B254" s="0" t="s">
        <v>36</v>
      </c>
      <c r="C254" s="0" t="s">
        <v>37</v>
      </c>
      <c r="D254" s="0" t="s">
        <v>321</v>
      </c>
      <c r="E254" s="0" t="n">
        <v>42</v>
      </c>
      <c r="F254" s="0" t="n">
        <v>64.6</v>
      </c>
      <c r="G254" s="1" t="n">
        <f aca="false">(E254/100)*F254</f>
        <v>27.132</v>
      </c>
      <c r="H254" s="0" t="n">
        <v>7.4</v>
      </c>
      <c r="I254" s="2" t="n">
        <f aca="false">(E254/100)*H254</f>
        <v>3.108</v>
      </c>
      <c r="J254" s="0" t="n">
        <v>0</v>
      </c>
      <c r="K254" s="6" t="n">
        <f aca="false">G254/E254</f>
        <v>0.646</v>
      </c>
      <c r="L254" s="7" t="n">
        <f aca="false">0.28*0.4</f>
        <v>0.112</v>
      </c>
      <c r="M254" s="7" t="n">
        <f aca="false">(3.15/5)/G254</f>
        <v>0.0232198142414861</v>
      </c>
      <c r="N254" s="0" t="n">
        <v>0</v>
      </c>
      <c r="O254" s="0" t="n">
        <v>1</v>
      </c>
      <c r="P254" s="0" t="n">
        <v>0</v>
      </c>
      <c r="Q254" s="0" t="n">
        <v>0</v>
      </c>
      <c r="V254" s="0" t="n">
        <v>0</v>
      </c>
    </row>
    <row r="255" customFormat="false" ht="12.8" hidden="false" customHeight="false" outlineLevel="0" collapsed="false">
      <c r="A255" s="10" t="s">
        <v>320</v>
      </c>
      <c r="B255" s="0" t="s">
        <v>36</v>
      </c>
      <c r="C255" s="0" t="s">
        <v>37</v>
      </c>
      <c r="D255" s="0" t="s">
        <v>322</v>
      </c>
      <c r="E255" s="0" t="n">
        <v>42</v>
      </c>
      <c r="F255" s="0" t="n">
        <v>64.3</v>
      </c>
      <c r="G255" s="1" t="n">
        <f aca="false">(E255/100)*F255</f>
        <v>27.006</v>
      </c>
      <c r="H255" s="0" t="n">
        <v>8.7</v>
      </c>
      <c r="I255" s="2" t="n">
        <f aca="false">(E255/100)*H255</f>
        <v>3.654</v>
      </c>
      <c r="J255" s="0" t="n">
        <v>0</v>
      </c>
      <c r="K255" s="6" t="n">
        <f aca="false">G255/E255</f>
        <v>0.643</v>
      </c>
      <c r="L255" s="7" t="n">
        <f aca="false">0.33*0.4</f>
        <v>0.132</v>
      </c>
      <c r="M255" s="7" t="n">
        <f aca="false">(3.49/5)/G255</f>
        <v>0.0258461082722358</v>
      </c>
      <c r="N255" s="0" t="n">
        <v>0</v>
      </c>
      <c r="O255" s="0" t="n">
        <v>1</v>
      </c>
      <c r="P255" s="0" t="n">
        <v>0</v>
      </c>
      <c r="Q255" s="0" t="n">
        <v>0</v>
      </c>
      <c r="V255" s="0" t="n">
        <v>0</v>
      </c>
    </row>
    <row r="256" customFormat="false" ht="12.8" hidden="false" customHeight="false" outlineLevel="0" collapsed="false">
      <c r="A256" s="10" t="s">
        <v>320</v>
      </c>
      <c r="B256" s="0" t="s">
        <v>36</v>
      </c>
      <c r="C256" s="0" t="s">
        <v>37</v>
      </c>
      <c r="D256" s="0" t="s">
        <v>323</v>
      </c>
      <c r="E256" s="0" t="n">
        <v>42</v>
      </c>
      <c r="F256" s="0" t="n">
        <v>61.5</v>
      </c>
      <c r="G256" s="1" t="n">
        <f aca="false">(E256/100)*F256</f>
        <v>25.83</v>
      </c>
      <c r="H256" s="0" t="n">
        <v>8.7</v>
      </c>
      <c r="I256" s="2" t="n">
        <f aca="false">(E256/100)*H256</f>
        <v>3.654</v>
      </c>
      <c r="J256" s="0" t="n">
        <v>0</v>
      </c>
      <c r="K256" s="6" t="n">
        <f aca="false">G256/E256</f>
        <v>0.615</v>
      </c>
      <c r="L256" s="7" t="n">
        <f aca="false">0.27*0.4</f>
        <v>0.108</v>
      </c>
      <c r="M256" s="7" t="n">
        <f aca="false">(3.49/5)/G256</f>
        <v>0.027022841656988</v>
      </c>
      <c r="N256" s="0" t="n">
        <v>0</v>
      </c>
      <c r="O256" s="0" t="n">
        <v>1</v>
      </c>
      <c r="P256" s="0" t="n">
        <v>0</v>
      </c>
      <c r="Q256" s="0" t="n">
        <v>0</v>
      </c>
      <c r="V256" s="0" t="n">
        <v>0</v>
      </c>
    </row>
    <row r="257" customFormat="false" ht="12.8" hidden="false" customHeight="false" outlineLevel="0" collapsed="false">
      <c r="A257" s="10" t="s">
        <v>320</v>
      </c>
      <c r="B257" s="0" t="s">
        <v>36</v>
      </c>
      <c r="C257" s="0" t="s">
        <v>37</v>
      </c>
      <c r="D257" s="0" t="s">
        <v>324</v>
      </c>
      <c r="E257" s="0" t="n">
        <v>23</v>
      </c>
      <c r="F257" s="0" t="n">
        <v>68.8</v>
      </c>
      <c r="G257" s="1" t="n">
        <f aca="false">(E257/100)*F257</f>
        <v>15.824</v>
      </c>
      <c r="H257" s="0" t="n">
        <v>7.2</v>
      </c>
      <c r="I257" s="2" t="n">
        <f aca="false">(E257/100)*H257</f>
        <v>1.656</v>
      </c>
      <c r="J257" s="0" t="n">
        <v>0</v>
      </c>
      <c r="K257" s="6" t="n">
        <f aca="false">G257/E257</f>
        <v>0.688</v>
      </c>
      <c r="L257" s="7" t="n">
        <v>0.04</v>
      </c>
      <c r="M257" s="7" t="n">
        <f aca="false">(2.85/5)/G257</f>
        <v>0.0360212335692619</v>
      </c>
      <c r="N257" s="0" t="n">
        <v>0</v>
      </c>
      <c r="O257" s="0" t="n">
        <v>1</v>
      </c>
      <c r="P257" s="0" t="n">
        <v>0</v>
      </c>
      <c r="Q257" s="0" t="n">
        <v>1</v>
      </c>
      <c r="V257" s="0" t="n">
        <v>0</v>
      </c>
    </row>
    <row r="258" customFormat="false" ht="12.8" hidden="false" customHeight="false" outlineLevel="0" collapsed="false">
      <c r="A258" s="10" t="s">
        <v>320</v>
      </c>
      <c r="B258" s="0" t="s">
        <v>36</v>
      </c>
      <c r="C258" s="0" t="s">
        <v>37</v>
      </c>
      <c r="D258" s="0" t="s">
        <v>325</v>
      </c>
      <c r="E258" s="0" t="n">
        <v>30</v>
      </c>
      <c r="F258" s="0" t="n">
        <v>48.3</v>
      </c>
      <c r="G258" s="1" t="n">
        <f aca="false">(E258/100)*F258</f>
        <v>14.49</v>
      </c>
      <c r="H258" s="0" t="n">
        <v>4.5</v>
      </c>
      <c r="I258" s="2" t="n">
        <f aca="false">(E258/100)*H258</f>
        <v>1.35</v>
      </c>
      <c r="J258" s="0" t="n">
        <v>0</v>
      </c>
      <c r="K258" s="6" t="n">
        <f aca="false">G258/E258</f>
        <v>0.483</v>
      </c>
      <c r="L258" s="7" t="n">
        <f aca="false">0.34*0.4</f>
        <v>0.136</v>
      </c>
      <c r="M258" s="7" t="n">
        <f aca="false">(2.79/4)/G258</f>
        <v>0.0481366459627329</v>
      </c>
      <c r="N258" s="0" t="n">
        <v>0</v>
      </c>
      <c r="O258" s="0" t="n">
        <v>1</v>
      </c>
      <c r="P258" s="0" t="n">
        <v>0</v>
      </c>
      <c r="Q258" s="0" t="n">
        <v>0</v>
      </c>
      <c r="V258" s="0" t="n">
        <v>0</v>
      </c>
    </row>
    <row r="259" customFormat="false" ht="12.8" hidden="false" customHeight="false" outlineLevel="0" collapsed="false">
      <c r="A259" s="10" t="s">
        <v>326</v>
      </c>
      <c r="B259" s="0" t="s">
        <v>36</v>
      </c>
      <c r="C259" s="0" t="s">
        <v>37</v>
      </c>
      <c r="D259" s="0" t="s">
        <v>327</v>
      </c>
      <c r="E259" s="0" t="n">
        <v>40</v>
      </c>
      <c r="F259" s="0" t="n">
        <v>60.6</v>
      </c>
      <c r="G259" s="1" t="n">
        <f aca="false">(E259/100)*F259</f>
        <v>24.24</v>
      </c>
      <c r="H259" s="0" t="n">
        <v>10.9</v>
      </c>
      <c r="I259" s="2" t="n">
        <f aca="false">(E259/100)*H259</f>
        <v>4.36</v>
      </c>
      <c r="J259" s="0" t="n">
        <v>0</v>
      </c>
      <c r="K259" s="6" t="n">
        <f aca="false">G259/E259</f>
        <v>0.606</v>
      </c>
      <c r="L259" s="7" t="n">
        <v>0.0487</v>
      </c>
      <c r="M259" s="7" t="n">
        <f aca="false">(11.25/5)/G259</f>
        <v>0.0928217821782178</v>
      </c>
      <c r="N259" s="0" t="n">
        <v>0</v>
      </c>
      <c r="O259" s="0" t="n">
        <v>1</v>
      </c>
      <c r="P259" s="0" t="n">
        <v>1</v>
      </c>
      <c r="Q259" s="0" t="n">
        <v>0</v>
      </c>
      <c r="V259" s="0" t="n">
        <v>0</v>
      </c>
    </row>
    <row r="260" customFormat="false" ht="12.8" hidden="false" customHeight="false" outlineLevel="0" collapsed="false">
      <c r="A260" s="10" t="s">
        <v>326</v>
      </c>
      <c r="B260" s="0" t="s">
        <v>36</v>
      </c>
      <c r="C260" s="0" t="s">
        <v>37</v>
      </c>
      <c r="D260" s="0" t="s">
        <v>328</v>
      </c>
      <c r="E260" s="0" t="n">
        <v>40</v>
      </c>
      <c r="F260" s="0" t="n">
        <v>60</v>
      </c>
      <c r="G260" s="1" t="n">
        <f aca="false">(E260/100)*F260</f>
        <v>24</v>
      </c>
      <c r="H260" s="0" t="n">
        <v>12.5</v>
      </c>
      <c r="I260" s="2" t="n">
        <f aca="false">(E260/100)*H260</f>
        <v>5</v>
      </c>
      <c r="J260" s="0" t="n">
        <v>0</v>
      </c>
      <c r="K260" s="6" t="n">
        <f aca="false">G260/E260</f>
        <v>0.6</v>
      </c>
      <c r="L260" s="7" t="n">
        <v>0.056</v>
      </c>
      <c r="M260" s="7" t="n">
        <f aca="false">(6.75/3)/G260</f>
        <v>0.09375</v>
      </c>
      <c r="N260" s="0" t="n">
        <v>0</v>
      </c>
      <c r="O260" s="0" t="n">
        <v>1</v>
      </c>
      <c r="P260" s="0" t="n">
        <v>1</v>
      </c>
      <c r="Q260" s="0" t="n">
        <v>1</v>
      </c>
      <c r="V260" s="0" t="n">
        <v>0</v>
      </c>
    </row>
    <row r="261" customFormat="false" ht="12.8" hidden="false" customHeight="false" outlineLevel="0" collapsed="false">
      <c r="A261" s="10" t="s">
        <v>326</v>
      </c>
      <c r="B261" s="0" t="s">
        <v>36</v>
      </c>
      <c r="C261" s="0" t="s">
        <v>37</v>
      </c>
      <c r="D261" s="0" t="s">
        <v>329</v>
      </c>
      <c r="E261" s="0" t="n">
        <v>35</v>
      </c>
      <c r="F261" s="0" t="n">
        <v>57.2</v>
      </c>
      <c r="G261" s="1" t="n">
        <f aca="false">(E261/100)*F261</f>
        <v>20.02</v>
      </c>
      <c r="H261" s="0" t="n">
        <v>15.6</v>
      </c>
      <c r="I261" s="2" t="n">
        <f aca="false">(E261/100)*H261</f>
        <v>5.46</v>
      </c>
      <c r="J261" s="0" t="n">
        <v>0</v>
      </c>
      <c r="K261" s="6" t="n">
        <f aca="false">G261/E261</f>
        <v>0.572</v>
      </c>
      <c r="L261" s="7" t="n">
        <v>0.051</v>
      </c>
      <c r="M261" s="7" t="n">
        <f aca="false">(11.25/5)/G261</f>
        <v>0.112387612387612</v>
      </c>
      <c r="N261" s="0" t="n">
        <v>0</v>
      </c>
      <c r="O261" s="0" t="n">
        <v>1</v>
      </c>
      <c r="P261" s="0" t="n">
        <v>1</v>
      </c>
      <c r="Q261" s="0" t="n">
        <v>0</v>
      </c>
      <c r="V261" s="0" t="n">
        <v>0</v>
      </c>
    </row>
    <row r="262" customFormat="false" ht="12.8" hidden="false" customHeight="false" outlineLevel="0" collapsed="false">
      <c r="A262" s="10" t="s">
        <v>326</v>
      </c>
      <c r="B262" s="0" t="s">
        <v>36</v>
      </c>
      <c r="C262" s="0" t="s">
        <v>37</v>
      </c>
      <c r="D262" s="0" t="s">
        <v>330</v>
      </c>
      <c r="E262" s="0" t="n">
        <v>25</v>
      </c>
      <c r="F262" s="0" t="n">
        <v>64.6</v>
      </c>
      <c r="G262" s="1" t="n">
        <f aca="false">(E262/100)*F262</f>
        <v>16.15</v>
      </c>
      <c r="H262" s="0" t="n">
        <v>11</v>
      </c>
      <c r="I262" s="2" t="n">
        <f aca="false">(E262/100)*H262</f>
        <v>2.75</v>
      </c>
      <c r="J262" s="0" t="n">
        <v>0</v>
      </c>
      <c r="K262" s="6" t="n">
        <f aca="false">G262/E262</f>
        <v>0.646</v>
      </c>
      <c r="L262" s="7" t="n">
        <v>0.02</v>
      </c>
      <c r="M262" s="7" t="n">
        <f aca="false">(9.25/5)/G262</f>
        <v>0.114551083591331</v>
      </c>
      <c r="N262" s="0" t="n">
        <v>0</v>
      </c>
      <c r="O262" s="0" t="n">
        <v>0</v>
      </c>
      <c r="P262" s="0" t="n">
        <v>1</v>
      </c>
      <c r="Q262" s="0" t="n">
        <v>1</v>
      </c>
      <c r="V262" s="0" t="n">
        <v>0</v>
      </c>
    </row>
    <row r="263" customFormat="false" ht="12.8" hidden="false" customHeight="false" outlineLevel="0" collapsed="false">
      <c r="A263" s="10" t="s">
        <v>326</v>
      </c>
      <c r="B263" s="0" t="s">
        <v>25</v>
      </c>
      <c r="C263" s="0" t="s">
        <v>26</v>
      </c>
      <c r="D263" s="0" t="s">
        <v>331</v>
      </c>
      <c r="E263" s="0" t="n">
        <v>1</v>
      </c>
      <c r="F263" s="0" t="n">
        <v>82</v>
      </c>
      <c r="G263" s="1" t="n">
        <f aca="false">(E263/100)*F263</f>
        <v>0.82</v>
      </c>
      <c r="H263" s="0" t="n">
        <v>6.3</v>
      </c>
      <c r="I263" s="2" t="n">
        <f aca="false">(E263/100)*H263</f>
        <v>0.063</v>
      </c>
      <c r="J263" s="0" t="n">
        <v>0</v>
      </c>
      <c r="K263" s="6" t="n">
        <f aca="false">G263/E263</f>
        <v>0.82</v>
      </c>
      <c r="L263" s="7" t="n">
        <f aca="false">0.017*0.4</f>
        <v>0.0068</v>
      </c>
      <c r="M263" s="7" t="n">
        <f aca="false">(19.25/500)/G263</f>
        <v>0.0469512195121951</v>
      </c>
      <c r="N263" s="0" t="n">
        <v>0</v>
      </c>
      <c r="O263" s="0" t="n">
        <v>0</v>
      </c>
      <c r="P263" s="0" t="n">
        <v>0</v>
      </c>
      <c r="Q263" s="0" t="n">
        <v>0</v>
      </c>
      <c r="R263" s="0" t="n">
        <v>22</v>
      </c>
      <c r="U263" s="10" t="s">
        <v>162</v>
      </c>
      <c r="V263" s="0" t="n">
        <v>1</v>
      </c>
    </row>
    <row r="264" customFormat="false" ht="12.8" hidden="false" customHeight="false" outlineLevel="0" collapsed="false">
      <c r="A264" s="10" t="s">
        <v>326</v>
      </c>
      <c r="B264" s="0" t="s">
        <v>25</v>
      </c>
      <c r="C264" s="0" t="s">
        <v>26</v>
      </c>
      <c r="D264" s="0" t="s">
        <v>332</v>
      </c>
      <c r="E264" s="0" t="n">
        <v>1</v>
      </c>
      <c r="F264" s="0" t="n">
        <v>86.5</v>
      </c>
      <c r="G264" s="1" t="n">
        <f aca="false">(E264/100)*F264</f>
        <v>0.865</v>
      </c>
      <c r="H264" s="0" t="n">
        <v>0</v>
      </c>
      <c r="I264" s="2" t="n">
        <f aca="false">(E264/100)*H264</f>
        <v>0</v>
      </c>
      <c r="J264" s="0" t="n">
        <v>0</v>
      </c>
      <c r="K264" s="6" t="n">
        <f aca="false">G264/E264</f>
        <v>0.865</v>
      </c>
      <c r="L264" s="7" t="n">
        <f aca="false">0.76/100</f>
        <v>0.0076</v>
      </c>
      <c r="M264" s="7" t="n">
        <f aca="false">(18/500)/G264</f>
        <v>0.0416184971098266</v>
      </c>
      <c r="N264" s="0" t="n">
        <v>0</v>
      </c>
      <c r="O264" s="0" t="n">
        <v>0</v>
      </c>
      <c r="P264" s="0" t="n">
        <v>0</v>
      </c>
      <c r="Q264" s="0" t="n">
        <v>0</v>
      </c>
      <c r="U264" s="10" t="s">
        <v>162</v>
      </c>
      <c r="V264" s="0" t="n">
        <v>1</v>
      </c>
    </row>
    <row r="265" customFormat="false" ht="12.8" hidden="false" customHeight="false" outlineLevel="0" collapsed="false">
      <c r="A265" s="10" t="s">
        <v>326</v>
      </c>
      <c r="B265" s="0" t="s">
        <v>20</v>
      </c>
      <c r="C265" s="0" t="s">
        <v>21</v>
      </c>
      <c r="D265" s="0" t="s">
        <v>333</v>
      </c>
      <c r="E265" s="0" t="n">
        <v>35</v>
      </c>
      <c r="F265" s="0" t="n">
        <v>58.5</v>
      </c>
      <c r="G265" s="1" t="n">
        <f aca="false">(E265/100)*F265</f>
        <v>20.475</v>
      </c>
      <c r="H265" s="0" t="n">
        <v>0</v>
      </c>
      <c r="I265" s="2" t="n">
        <f aca="false">(E265/100)*H265</f>
        <v>0</v>
      </c>
      <c r="J265" s="0" t="n">
        <v>0</v>
      </c>
      <c r="K265" s="6" t="n">
        <f aca="false">G265/E265</f>
        <v>0.585</v>
      </c>
      <c r="L265" s="7" t="n">
        <v>0.05</v>
      </c>
      <c r="M265" s="7" t="n">
        <f aca="false">(12.5/5)/G265</f>
        <v>0.122100122100122</v>
      </c>
      <c r="N265" s="0" t="n">
        <v>0</v>
      </c>
      <c r="O265" s="0" t="n">
        <v>0</v>
      </c>
      <c r="P265" s="0" t="n">
        <v>0</v>
      </c>
      <c r="Q265" s="0" t="n">
        <v>0</v>
      </c>
      <c r="U265" s="10" t="s">
        <v>162</v>
      </c>
      <c r="V265" s="0" t="n">
        <v>1</v>
      </c>
    </row>
    <row r="266" customFormat="false" ht="12.8" hidden="false" customHeight="false" outlineLevel="0" collapsed="false">
      <c r="A266" s="10" t="s">
        <v>326</v>
      </c>
      <c r="B266" s="0" t="s">
        <v>20</v>
      </c>
      <c r="C266" s="0" t="s">
        <v>21</v>
      </c>
      <c r="D266" s="0" t="s">
        <v>334</v>
      </c>
      <c r="E266" s="0" t="n">
        <v>35</v>
      </c>
      <c r="F266" s="0" t="n">
        <v>57</v>
      </c>
      <c r="G266" s="1" t="n">
        <f aca="false">(E266/100)*F266</f>
        <v>19.95</v>
      </c>
      <c r="H266" s="0" t="n">
        <v>0</v>
      </c>
      <c r="I266" s="2" t="n">
        <f aca="false">(E266/100)*H266</f>
        <v>0</v>
      </c>
      <c r="J266" s="0" t="n">
        <v>21</v>
      </c>
      <c r="K266" s="6" t="n">
        <f aca="false">G266/E266</f>
        <v>0.57</v>
      </c>
      <c r="L266" s="7" t="n">
        <v>0.05</v>
      </c>
      <c r="M266" s="7" t="n">
        <f aca="false">(12.5/5)/G266</f>
        <v>0.12531328320802</v>
      </c>
      <c r="N266" s="0" t="n">
        <v>0</v>
      </c>
      <c r="O266" s="0" t="n">
        <v>0</v>
      </c>
      <c r="P266" s="0" t="n">
        <v>0</v>
      </c>
      <c r="Q266" s="0" t="n">
        <v>0</v>
      </c>
      <c r="U266" s="10" t="s">
        <v>162</v>
      </c>
      <c r="V266" s="0" t="n">
        <v>1</v>
      </c>
    </row>
    <row r="267" customFormat="false" ht="12.8" hidden="false" customHeight="false" outlineLevel="0" collapsed="false">
      <c r="A267" s="10" t="s">
        <v>326</v>
      </c>
      <c r="B267" s="0" t="s">
        <v>20</v>
      </c>
      <c r="C267" s="0" t="s">
        <v>21</v>
      </c>
      <c r="D267" s="0" t="s">
        <v>335</v>
      </c>
      <c r="E267" s="0" t="n">
        <v>35</v>
      </c>
      <c r="F267" s="0" t="n">
        <v>58</v>
      </c>
      <c r="G267" s="1" t="n">
        <f aca="false">(E267/100)*F267</f>
        <v>20.3</v>
      </c>
      <c r="H267" s="0" t="n">
        <v>0</v>
      </c>
      <c r="I267" s="2" t="n">
        <f aca="false">(E267/100)*H267</f>
        <v>0</v>
      </c>
      <c r="J267" s="0" t="n">
        <v>74.9</v>
      </c>
      <c r="K267" s="6" t="n">
        <f aca="false">G267/E267</f>
        <v>0.58</v>
      </c>
      <c r="L267" s="7" t="n">
        <f aca="false">0.13*0.4</f>
        <v>0.052</v>
      </c>
      <c r="M267" s="7" t="n">
        <f aca="false">(12.5/5)/G267</f>
        <v>0.123152709359606</v>
      </c>
      <c r="N267" s="0" t="n">
        <v>0</v>
      </c>
      <c r="O267" s="0" t="n">
        <v>0</v>
      </c>
      <c r="P267" s="0" t="n">
        <v>0</v>
      </c>
      <c r="Q267" s="0" t="n">
        <v>0</v>
      </c>
      <c r="U267" s="10" t="s">
        <v>162</v>
      </c>
      <c r="V267" s="0" t="n">
        <v>1</v>
      </c>
    </row>
    <row r="268" customFormat="false" ht="12.8" hidden="false" customHeight="false" outlineLevel="0" collapsed="false">
      <c r="A268" s="10" t="s">
        <v>326</v>
      </c>
      <c r="B268" s="0" t="s">
        <v>20</v>
      </c>
      <c r="C268" s="0" t="s">
        <v>21</v>
      </c>
      <c r="D268" s="10" t="s">
        <v>336</v>
      </c>
      <c r="E268" s="0" t="n">
        <v>35</v>
      </c>
      <c r="F268" s="0" t="n">
        <v>58</v>
      </c>
      <c r="G268" s="1" t="n">
        <f aca="false">(E268/100)*F268</f>
        <v>20.3</v>
      </c>
      <c r="H268" s="0" t="n">
        <v>0</v>
      </c>
      <c r="I268" s="2" t="n">
        <f aca="false">(E268/100)*H268</f>
        <v>0</v>
      </c>
      <c r="J268" s="0" t="n">
        <v>0</v>
      </c>
      <c r="K268" s="6" t="n">
        <f aca="false">G268/E268</f>
        <v>0.58</v>
      </c>
      <c r="L268" s="7" t="n">
        <v>0.05</v>
      </c>
      <c r="M268" s="7" t="n">
        <f aca="false">(12.5/5)/G268</f>
        <v>0.123152709359606</v>
      </c>
      <c r="N268" s="0" t="n">
        <v>0</v>
      </c>
      <c r="O268" s="0" t="n">
        <v>0</v>
      </c>
      <c r="P268" s="0" t="n">
        <v>0</v>
      </c>
      <c r="Q268" s="0" t="n">
        <v>0</v>
      </c>
      <c r="U268" s="10" t="s">
        <v>162</v>
      </c>
      <c r="V268" s="0" t="n">
        <v>1</v>
      </c>
    </row>
    <row r="269" customFormat="false" ht="12.8" hidden="false" customHeight="false" outlineLevel="0" collapsed="false">
      <c r="A269" s="10" t="s">
        <v>337</v>
      </c>
      <c r="B269" s="0" t="s">
        <v>25</v>
      </c>
      <c r="C269" s="0" t="s">
        <v>26</v>
      </c>
      <c r="D269" s="0" t="s">
        <v>338</v>
      </c>
      <c r="E269" s="0" t="n">
        <v>1</v>
      </c>
      <c r="F269" s="0" t="n">
        <v>87.5</v>
      </c>
      <c r="G269" s="1" t="n">
        <f aca="false">(E269/100)*F269</f>
        <v>0.875</v>
      </c>
      <c r="H269" s="0" t="n">
        <v>0</v>
      </c>
      <c r="I269" s="2" t="n">
        <f aca="false">(E269/100)*H269</f>
        <v>0</v>
      </c>
      <c r="J269" s="0" t="n">
        <v>0</v>
      </c>
      <c r="K269" s="6" t="n">
        <f aca="false">G269/E269</f>
        <v>0.875</v>
      </c>
      <c r="L269" s="7" t="n">
        <f aca="false">(0.87*0.4)/100</f>
        <v>0.00348</v>
      </c>
      <c r="M269" s="7" t="n">
        <f aca="false">(29.9/520)/G269</f>
        <v>0.0657142857142857</v>
      </c>
      <c r="N269" s="0" t="n">
        <v>0</v>
      </c>
      <c r="O269" s="0" t="n">
        <v>0</v>
      </c>
      <c r="P269" s="0" t="n">
        <v>0</v>
      </c>
      <c r="Q269" s="0" t="n">
        <v>0</v>
      </c>
      <c r="R269" s="0" t="n">
        <v>2.5</v>
      </c>
      <c r="S269" s="0" t="s">
        <v>63</v>
      </c>
      <c r="V269" s="0" t="n">
        <v>0</v>
      </c>
    </row>
    <row r="270" customFormat="false" ht="12.8" hidden="false" customHeight="false" outlineLevel="0" collapsed="false">
      <c r="A270" s="10" t="s">
        <v>337</v>
      </c>
      <c r="B270" s="0" t="s">
        <v>25</v>
      </c>
      <c r="C270" s="0" t="s">
        <v>26</v>
      </c>
      <c r="D270" s="10" t="s">
        <v>339</v>
      </c>
      <c r="E270" s="0" t="n">
        <v>1</v>
      </c>
      <c r="F270" s="10" t="n">
        <v>87.5</v>
      </c>
      <c r="G270" s="1" t="n">
        <f aca="false">(E270/100)*F270</f>
        <v>0.875</v>
      </c>
      <c r="H270" s="0" t="n">
        <v>0</v>
      </c>
      <c r="I270" s="2" t="n">
        <f aca="false">(E270/100)*H270</f>
        <v>0</v>
      </c>
      <c r="J270" s="0" t="n">
        <v>1</v>
      </c>
      <c r="K270" s="6" t="n">
        <f aca="false">G270/E270</f>
        <v>0.875</v>
      </c>
      <c r="L270" s="7" t="n">
        <v>0.0035</v>
      </c>
      <c r="M270" s="7" t="n">
        <f aca="false">(29.9/520)/G270</f>
        <v>0.0657142857142857</v>
      </c>
      <c r="N270" s="0" t="n">
        <v>0</v>
      </c>
      <c r="O270" s="0" t="n">
        <v>0</v>
      </c>
      <c r="P270" s="0" t="n">
        <v>0</v>
      </c>
      <c r="Q270" s="0" t="n">
        <v>0</v>
      </c>
      <c r="R270" s="0" t="n">
        <v>3.5</v>
      </c>
      <c r="S270" s="0" t="s">
        <v>63</v>
      </c>
      <c r="V270" s="0" t="n">
        <v>0</v>
      </c>
    </row>
    <row r="271" customFormat="false" ht="12.8" hidden="false" customHeight="false" outlineLevel="0" collapsed="false">
      <c r="A271" s="10" t="s">
        <v>337</v>
      </c>
      <c r="B271" s="0" t="s">
        <v>20</v>
      </c>
      <c r="C271" s="0" t="s">
        <v>21</v>
      </c>
      <c r="D271" s="0" t="s">
        <v>340</v>
      </c>
      <c r="E271" s="0" t="n">
        <v>40</v>
      </c>
      <c r="F271" s="0" t="n">
        <v>82</v>
      </c>
      <c r="G271" s="1" t="n">
        <f aca="false">(E271/100)*F271</f>
        <v>32.8</v>
      </c>
      <c r="H271" s="0" t="n">
        <v>1.3</v>
      </c>
      <c r="I271" s="2" t="n">
        <f aca="false">(E271/100)*H271</f>
        <v>0.52</v>
      </c>
      <c r="J271" s="0" t="n">
        <v>0</v>
      </c>
      <c r="K271" s="6" t="n">
        <f aca="false">G271/E271</f>
        <v>0.82</v>
      </c>
      <c r="L271" s="7" t="n">
        <f aca="false">0.13*0.4</f>
        <v>0.052</v>
      </c>
      <c r="M271" s="7" t="n">
        <f aca="false">2.5/G271</f>
        <v>0.0762195121951219</v>
      </c>
      <c r="N271" s="0" t="n">
        <v>0</v>
      </c>
      <c r="O271" s="0" t="n">
        <v>0</v>
      </c>
      <c r="P271" s="0" t="n">
        <v>0</v>
      </c>
      <c r="Q271" s="0" t="n">
        <v>0</v>
      </c>
      <c r="R271" s="0" t="n">
        <v>500</v>
      </c>
      <c r="S271" s="0" t="s">
        <v>63</v>
      </c>
      <c r="V271" s="0" t="n">
        <v>0</v>
      </c>
    </row>
    <row r="272" customFormat="false" ht="12.8" hidden="false" customHeight="false" outlineLevel="0" collapsed="false">
      <c r="A272" s="10" t="s">
        <v>337</v>
      </c>
      <c r="B272" s="0" t="s">
        <v>20</v>
      </c>
      <c r="C272" s="0" t="s">
        <v>21</v>
      </c>
      <c r="D272" s="0" t="s">
        <v>341</v>
      </c>
      <c r="E272" s="0" t="n">
        <v>40</v>
      </c>
      <c r="F272" s="0" t="n">
        <v>82</v>
      </c>
      <c r="G272" s="1" t="n">
        <f aca="false">(E272/100)*F272</f>
        <v>32.8</v>
      </c>
      <c r="H272" s="0" t="n">
        <v>1.3</v>
      </c>
      <c r="I272" s="2" t="n">
        <f aca="false">(E272/100)*H272</f>
        <v>0.52</v>
      </c>
      <c r="J272" s="0" t="n">
        <v>50</v>
      </c>
      <c r="K272" s="6" t="n">
        <f aca="false">G272/E272</f>
        <v>0.82</v>
      </c>
      <c r="L272" s="7" t="n">
        <f aca="false">0.13*0.4</f>
        <v>0.052</v>
      </c>
      <c r="M272" s="7" t="n">
        <f aca="false">2.5/G272</f>
        <v>0.0762195121951219</v>
      </c>
      <c r="N272" s="0" t="n">
        <v>0</v>
      </c>
      <c r="O272" s="0" t="n">
        <v>0</v>
      </c>
      <c r="P272" s="0" t="n">
        <v>0</v>
      </c>
      <c r="Q272" s="0" t="n">
        <v>0</v>
      </c>
      <c r="R272" s="0" t="n">
        <v>500</v>
      </c>
      <c r="S272" s="0" t="s">
        <v>63</v>
      </c>
      <c r="V272" s="0" t="n">
        <v>0</v>
      </c>
    </row>
    <row r="273" customFormat="false" ht="12.8" hidden="false" customHeight="false" outlineLevel="0" collapsed="false">
      <c r="A273" s="10" t="s">
        <v>337</v>
      </c>
      <c r="B273" s="0" t="s">
        <v>20</v>
      </c>
      <c r="C273" s="0" t="s">
        <v>21</v>
      </c>
      <c r="D273" s="10" t="s">
        <v>342</v>
      </c>
      <c r="E273" s="0" t="n">
        <v>40</v>
      </c>
      <c r="F273" s="0" t="n">
        <v>82</v>
      </c>
      <c r="G273" s="1" t="n">
        <f aca="false">(E273/100)*F273</f>
        <v>32.8</v>
      </c>
      <c r="H273" s="0" t="n">
        <v>1.3</v>
      </c>
      <c r="I273" s="2" t="n">
        <f aca="false">(E273/100)*H273</f>
        <v>0.52</v>
      </c>
      <c r="J273" s="0" t="n">
        <v>0</v>
      </c>
      <c r="K273" s="6" t="n">
        <f aca="false">G273/E273</f>
        <v>0.82</v>
      </c>
      <c r="L273" s="7" t="n">
        <v>0.1</v>
      </c>
      <c r="M273" s="7" t="n">
        <f aca="false">2.5/G273</f>
        <v>0.0762195121951219</v>
      </c>
      <c r="N273" s="0" t="n">
        <v>0</v>
      </c>
      <c r="O273" s="0" t="n">
        <v>0</v>
      </c>
      <c r="P273" s="0" t="n">
        <v>0</v>
      </c>
      <c r="Q273" s="0" t="n">
        <v>0</v>
      </c>
      <c r="R273" s="0" t="n">
        <v>500</v>
      </c>
      <c r="S273" s="0" t="s">
        <v>63</v>
      </c>
      <c r="V273" s="0" t="n">
        <v>0</v>
      </c>
    </row>
    <row r="274" customFormat="false" ht="12.8" hidden="false" customHeight="false" outlineLevel="0" collapsed="false">
      <c r="A274" s="10" t="s">
        <v>337</v>
      </c>
      <c r="B274" s="0" t="s">
        <v>36</v>
      </c>
      <c r="C274" s="0" t="s">
        <v>37</v>
      </c>
      <c r="D274" s="0" t="s">
        <v>343</v>
      </c>
      <c r="E274" s="0" t="n">
        <v>30</v>
      </c>
      <c r="F274" s="0" t="n">
        <v>80</v>
      </c>
      <c r="G274" s="1" t="n">
        <f aca="false">(E274/100)*F274</f>
        <v>24</v>
      </c>
      <c r="H274" s="0" t="n">
        <v>0</v>
      </c>
      <c r="I274" s="2" t="n">
        <f aca="false">(E274/100)*H274</f>
        <v>0</v>
      </c>
      <c r="J274" s="0" t="n">
        <v>0</v>
      </c>
      <c r="K274" s="6" t="n">
        <f aca="false">G274/E274</f>
        <v>0.8</v>
      </c>
      <c r="L274" s="7" t="n">
        <v>0.106</v>
      </c>
      <c r="M274" s="7" t="n">
        <f aca="false">2/G274</f>
        <v>0.0833333333333333</v>
      </c>
      <c r="N274" s="0" t="n">
        <v>0</v>
      </c>
      <c r="O274" s="0" t="n">
        <v>0</v>
      </c>
      <c r="P274" s="0" t="n">
        <v>0</v>
      </c>
      <c r="Q274" s="0" t="n">
        <v>0</v>
      </c>
      <c r="S274" s="0" t="s">
        <v>63</v>
      </c>
      <c r="V274" s="0" t="n">
        <v>0</v>
      </c>
    </row>
    <row r="275" customFormat="false" ht="12.8" hidden="false" customHeight="false" outlineLevel="0" collapsed="false">
      <c r="A275" s="10" t="s">
        <v>337</v>
      </c>
      <c r="B275" s="0" t="s">
        <v>36</v>
      </c>
      <c r="C275" s="0" t="s">
        <v>37</v>
      </c>
      <c r="D275" s="0" t="s">
        <v>344</v>
      </c>
      <c r="E275" s="0" t="n">
        <v>30</v>
      </c>
      <c r="F275" s="0" t="n">
        <v>80</v>
      </c>
      <c r="G275" s="1" t="n">
        <f aca="false">(E275/100)*F275</f>
        <v>24</v>
      </c>
      <c r="H275" s="0" t="n">
        <v>0</v>
      </c>
      <c r="I275" s="2" t="n">
        <f aca="false">(E275/100)*H275</f>
        <v>0</v>
      </c>
      <c r="J275" s="0" t="n">
        <v>50</v>
      </c>
      <c r="K275" s="6" t="n">
        <f aca="false">G275/E275</f>
        <v>0.8</v>
      </c>
      <c r="L275" s="7" t="n">
        <v>0.106</v>
      </c>
      <c r="M275" s="7" t="n">
        <f aca="false">2/G275</f>
        <v>0.0833333333333333</v>
      </c>
      <c r="N275" s="0" t="n">
        <v>0</v>
      </c>
      <c r="O275" s="0" t="n">
        <v>0</v>
      </c>
      <c r="P275" s="0" t="n">
        <v>0</v>
      </c>
      <c r="Q275" s="0" t="n">
        <v>0</v>
      </c>
      <c r="S275" s="0" t="s">
        <v>63</v>
      </c>
      <c r="V275" s="0" t="n">
        <v>0</v>
      </c>
    </row>
    <row r="276" customFormat="false" ht="12.8" hidden="false" customHeight="false" outlineLevel="0" collapsed="false">
      <c r="A276" s="10" t="s">
        <v>337</v>
      </c>
      <c r="B276" s="0" t="s">
        <v>36</v>
      </c>
      <c r="C276" s="0" t="s">
        <v>37</v>
      </c>
      <c r="D276" s="0" t="s">
        <v>345</v>
      </c>
      <c r="E276" s="0" t="n">
        <v>38</v>
      </c>
      <c r="F276" s="0" t="n">
        <v>40.6</v>
      </c>
      <c r="G276" s="1" t="n">
        <f aca="false">(E276/100)*F276</f>
        <v>15.428</v>
      </c>
      <c r="H276" s="0" t="n">
        <v>9.4</v>
      </c>
      <c r="I276" s="2" t="n">
        <f aca="false">(E276/100)*H276</f>
        <v>3.572</v>
      </c>
      <c r="J276" s="0" t="n">
        <v>0</v>
      </c>
      <c r="K276" s="6" t="n">
        <f aca="false">G276/E276</f>
        <v>0.406</v>
      </c>
      <c r="L276" s="7" t="n">
        <v>0.076</v>
      </c>
      <c r="M276" s="7" t="n">
        <f aca="false">2.5/G276</f>
        <v>0.16204303863106</v>
      </c>
      <c r="N276" s="0" t="n">
        <v>1</v>
      </c>
      <c r="O276" s="0" t="n">
        <v>1</v>
      </c>
      <c r="P276" s="0" t="n">
        <v>1</v>
      </c>
      <c r="Q276" s="0" t="n">
        <v>0</v>
      </c>
      <c r="V276" s="0" t="n">
        <v>0</v>
      </c>
    </row>
    <row r="277" customFormat="false" ht="12.8" hidden="false" customHeight="false" outlineLevel="0" collapsed="false">
      <c r="A277" s="10" t="s">
        <v>337</v>
      </c>
      <c r="B277" s="0" t="s">
        <v>36</v>
      </c>
      <c r="C277" s="0" t="s">
        <v>37</v>
      </c>
      <c r="D277" s="10" t="s">
        <v>346</v>
      </c>
      <c r="E277" s="0" t="n">
        <v>38</v>
      </c>
      <c r="F277" s="0" t="n">
        <v>52.8</v>
      </c>
      <c r="G277" s="1" t="n">
        <f aca="false">(E277/100)*F277</f>
        <v>20.064</v>
      </c>
      <c r="H277" s="0" t="n">
        <v>7.8</v>
      </c>
      <c r="I277" s="2" t="n">
        <f aca="false">(E277/100)*H277</f>
        <v>2.964</v>
      </c>
      <c r="J277" s="0" t="n">
        <v>0</v>
      </c>
      <c r="K277" s="6" t="n">
        <f aca="false">G277/E277</f>
        <v>0.528</v>
      </c>
      <c r="L277" s="7" t="n">
        <v>0.08</v>
      </c>
      <c r="M277" s="7" t="n">
        <f aca="false">2.5/G277</f>
        <v>0.124601275917065</v>
      </c>
      <c r="N277" s="0" t="n">
        <v>1</v>
      </c>
      <c r="O277" s="0" t="n">
        <v>1</v>
      </c>
      <c r="P277" s="0" t="n">
        <v>1</v>
      </c>
      <c r="Q277" s="0" t="n">
        <v>0</v>
      </c>
      <c r="V277" s="0" t="n">
        <v>0</v>
      </c>
    </row>
    <row r="278" customFormat="false" ht="12.8" hidden="false" customHeight="false" outlineLevel="0" collapsed="false">
      <c r="A278" s="10" t="s">
        <v>337</v>
      </c>
      <c r="B278" s="0" t="s">
        <v>36</v>
      </c>
      <c r="C278" s="0" t="s">
        <v>37</v>
      </c>
      <c r="D278" s="10" t="s">
        <v>347</v>
      </c>
      <c r="E278" s="0" t="n">
        <v>38</v>
      </c>
      <c r="F278" s="0" t="n">
        <v>59.5</v>
      </c>
      <c r="G278" s="1" t="n">
        <f aca="false">(E278/100)*F278</f>
        <v>22.61</v>
      </c>
      <c r="H278" s="0" t="n">
        <v>6</v>
      </c>
      <c r="I278" s="2" t="n">
        <f aca="false">(E278/100)*H278</f>
        <v>2.28</v>
      </c>
      <c r="J278" s="0" t="n">
        <v>0</v>
      </c>
      <c r="K278" s="6" t="n">
        <f aca="false">G278/E278</f>
        <v>0.595</v>
      </c>
      <c r="L278" s="7" t="n">
        <v>0.078</v>
      </c>
      <c r="M278" s="7" t="n">
        <f aca="false">2.5/G278</f>
        <v>0.110570544007077</v>
      </c>
      <c r="N278" s="0" t="n">
        <v>1</v>
      </c>
      <c r="O278" s="0" t="n">
        <v>1</v>
      </c>
      <c r="P278" s="0" t="n">
        <v>1</v>
      </c>
      <c r="Q278" s="0" t="n">
        <v>0</v>
      </c>
      <c r="V278" s="0" t="n">
        <v>0</v>
      </c>
    </row>
    <row r="279" customFormat="false" ht="12.8" hidden="false" customHeight="false" outlineLevel="0" collapsed="false">
      <c r="A279" s="10" t="s">
        <v>348</v>
      </c>
      <c r="B279" s="0" t="s">
        <v>36</v>
      </c>
      <c r="C279" s="0" t="s">
        <v>37</v>
      </c>
      <c r="D279" s="0" t="s">
        <v>349</v>
      </c>
      <c r="E279" s="0" t="n">
        <v>35</v>
      </c>
      <c r="F279" s="0" t="n">
        <v>47.7</v>
      </c>
      <c r="G279" s="1" t="n">
        <f aca="false">(E279/100)*F279</f>
        <v>16.695</v>
      </c>
      <c r="H279" s="0" t="n">
        <v>5.6</v>
      </c>
      <c r="I279" s="2" t="n">
        <f aca="false">(E279/100)*H279</f>
        <v>1.96</v>
      </c>
      <c r="J279" s="0" t="n">
        <v>0</v>
      </c>
      <c r="K279" s="6" t="n">
        <f aca="false">G279/E279</f>
        <v>0.477</v>
      </c>
      <c r="L279" s="7" t="n">
        <v>0</v>
      </c>
      <c r="M279" s="7" t="n">
        <f aca="false">(24.9/12)/G279</f>
        <v>0.12428870919437</v>
      </c>
      <c r="N279" s="0" t="n">
        <v>1</v>
      </c>
      <c r="O279" s="0" t="n">
        <v>0</v>
      </c>
      <c r="P279" s="0" t="n">
        <v>0</v>
      </c>
      <c r="Q279" s="0" t="n">
        <v>0</v>
      </c>
      <c r="V279" s="0" t="n">
        <v>0</v>
      </c>
    </row>
    <row r="280" customFormat="false" ht="12.8" hidden="false" customHeight="false" outlineLevel="0" collapsed="false">
      <c r="A280" s="10" t="s">
        <v>348</v>
      </c>
      <c r="B280" s="0" t="s">
        <v>36</v>
      </c>
      <c r="C280" s="0" t="s">
        <v>37</v>
      </c>
      <c r="D280" s="0" t="s">
        <v>350</v>
      </c>
      <c r="E280" s="0" t="n">
        <v>35</v>
      </c>
      <c r="F280" s="0" t="n">
        <v>38.6</v>
      </c>
      <c r="G280" s="1" t="n">
        <f aca="false">(E280/100)*F280</f>
        <v>13.51</v>
      </c>
      <c r="H280" s="0" t="n">
        <v>10</v>
      </c>
      <c r="I280" s="2" t="n">
        <f aca="false">(E280/100)*H280</f>
        <v>3.5</v>
      </c>
      <c r="J280" s="0" t="n">
        <v>0</v>
      </c>
      <c r="K280" s="6" t="n">
        <f aca="false">G280/E280</f>
        <v>0.386</v>
      </c>
      <c r="L280" s="7" t="n">
        <v>0</v>
      </c>
      <c r="M280" s="7" t="n">
        <f aca="false">(24.9/12)/G280</f>
        <v>0.153589933382679</v>
      </c>
      <c r="N280" s="0" t="n">
        <v>1</v>
      </c>
      <c r="O280" s="0" t="n">
        <v>0</v>
      </c>
      <c r="P280" s="0" t="n">
        <v>1</v>
      </c>
      <c r="Q280" s="0" t="n">
        <v>0</v>
      </c>
      <c r="V280" s="0" t="n">
        <v>0</v>
      </c>
    </row>
    <row r="281" customFormat="false" ht="12.8" hidden="false" customHeight="false" outlineLevel="0" collapsed="false">
      <c r="A281" s="10" t="s">
        <v>348</v>
      </c>
      <c r="B281" s="0" t="s">
        <v>36</v>
      </c>
      <c r="C281" s="0" t="s">
        <v>37</v>
      </c>
      <c r="D281" s="0" t="s">
        <v>351</v>
      </c>
      <c r="E281" s="0" t="n">
        <v>35</v>
      </c>
      <c r="F281" s="0" t="n">
        <v>43.5</v>
      </c>
      <c r="G281" s="1" t="n">
        <f aca="false">(E281/100)*F281</f>
        <v>15.225</v>
      </c>
      <c r="H281" s="0" t="n">
        <v>9.8</v>
      </c>
      <c r="I281" s="2" t="n">
        <f aca="false">(E281/100)*H281</f>
        <v>3.43</v>
      </c>
      <c r="J281" s="0" t="n">
        <v>0</v>
      </c>
      <c r="K281" s="6" t="n">
        <f aca="false">G281/E281</f>
        <v>0.435</v>
      </c>
      <c r="L281" s="7" t="n">
        <f aca="false">0.06*0.4</f>
        <v>0.024</v>
      </c>
      <c r="M281" s="7" t="n">
        <f aca="false">(24.9/12)/G281</f>
        <v>0.136288998357964</v>
      </c>
      <c r="N281" s="0" t="n">
        <v>1</v>
      </c>
      <c r="O281" s="0" t="n">
        <v>0</v>
      </c>
      <c r="P281" s="0" t="n">
        <v>1</v>
      </c>
      <c r="Q281" s="0" t="n">
        <v>0</v>
      </c>
      <c r="V281" s="0" t="n">
        <v>0</v>
      </c>
    </row>
    <row r="282" customFormat="false" ht="12.8" hidden="false" customHeight="false" outlineLevel="0" collapsed="false">
      <c r="A282" s="10" t="s">
        <v>348</v>
      </c>
      <c r="B282" s="0" t="s">
        <v>36</v>
      </c>
      <c r="C282" s="0" t="s">
        <v>37</v>
      </c>
      <c r="D282" s="0" t="s">
        <v>352</v>
      </c>
      <c r="E282" s="0" t="n">
        <v>35</v>
      </c>
      <c r="F282" s="0" t="n">
        <v>53.1</v>
      </c>
      <c r="G282" s="1" t="n">
        <f aca="false">(E282/100)*F282</f>
        <v>18.585</v>
      </c>
      <c r="H282" s="0" t="n">
        <v>10.2</v>
      </c>
      <c r="I282" s="2" t="n">
        <f aca="false">(E282/100)*H282</f>
        <v>3.57</v>
      </c>
      <c r="J282" s="0" t="n">
        <v>0</v>
      </c>
      <c r="K282" s="6" t="n">
        <f aca="false">G282/E282</f>
        <v>0.531</v>
      </c>
      <c r="L282" s="7" t="n">
        <v>0</v>
      </c>
      <c r="M282" s="7" t="n">
        <f aca="false">(24.9/12)/G282</f>
        <v>0.11164917944579</v>
      </c>
      <c r="N282" s="0" t="n">
        <v>1</v>
      </c>
      <c r="O282" s="0" t="n">
        <v>0</v>
      </c>
      <c r="P282" s="0" t="n">
        <v>1</v>
      </c>
      <c r="Q282" s="0" t="n">
        <v>0</v>
      </c>
      <c r="V282" s="0" t="n">
        <v>0</v>
      </c>
    </row>
    <row r="283" customFormat="false" ht="12.8" hidden="false" customHeight="false" outlineLevel="0" collapsed="false">
      <c r="A283" s="10" t="s">
        <v>348</v>
      </c>
      <c r="B283" s="0" t="s">
        <v>36</v>
      </c>
      <c r="C283" s="0" t="s">
        <v>37</v>
      </c>
      <c r="D283" s="0" t="s">
        <v>353</v>
      </c>
      <c r="E283" s="0" t="n">
        <v>35</v>
      </c>
      <c r="F283" s="0" t="n">
        <v>56.2</v>
      </c>
      <c r="G283" s="1" t="n">
        <f aca="false">(E283/100)*F283</f>
        <v>19.67</v>
      </c>
      <c r="H283" s="0" t="n">
        <v>8.1</v>
      </c>
      <c r="I283" s="2" t="n">
        <f aca="false">(E283/100)*H283</f>
        <v>2.835</v>
      </c>
      <c r="J283" s="0" t="n">
        <v>0</v>
      </c>
      <c r="K283" s="6" t="n">
        <f aca="false">G283/E283</f>
        <v>0.562</v>
      </c>
      <c r="L283" s="7" t="n">
        <v>0</v>
      </c>
      <c r="M283" s="7" t="n">
        <f aca="false">(24.9/12)/G283</f>
        <v>0.105490594814438</v>
      </c>
      <c r="N283" s="0" t="n">
        <v>1</v>
      </c>
      <c r="O283" s="0" t="n">
        <v>0</v>
      </c>
      <c r="P283" s="0" t="n">
        <v>0</v>
      </c>
      <c r="Q283" s="0" t="n">
        <v>0</v>
      </c>
      <c r="V283" s="0" t="n">
        <v>0</v>
      </c>
    </row>
    <row r="284" customFormat="false" ht="12.8" hidden="false" customHeight="false" outlineLevel="0" collapsed="false">
      <c r="A284" s="10" t="s">
        <v>348</v>
      </c>
      <c r="B284" s="0" t="s">
        <v>36</v>
      </c>
      <c r="C284" s="0" t="s">
        <v>37</v>
      </c>
      <c r="D284" s="0" t="s">
        <v>354</v>
      </c>
      <c r="E284" s="0" t="n">
        <v>35</v>
      </c>
      <c r="F284" s="0" t="n">
        <v>47.2</v>
      </c>
      <c r="G284" s="1" t="n">
        <f aca="false">(E284/100)*F284</f>
        <v>16.52</v>
      </c>
      <c r="H284" s="0" t="n">
        <v>6.2</v>
      </c>
      <c r="I284" s="2" t="n">
        <f aca="false">(E284/100)*H284</f>
        <v>2.17</v>
      </c>
      <c r="J284" s="0" t="n">
        <v>0</v>
      </c>
      <c r="K284" s="6" t="n">
        <f aca="false">G284/E284</f>
        <v>0.472</v>
      </c>
      <c r="L284" s="7" t="n">
        <v>0</v>
      </c>
      <c r="M284" s="7" t="n">
        <f aca="false">(24.9/12)/G284</f>
        <v>0.125605326876513</v>
      </c>
      <c r="N284" s="0" t="n">
        <v>1</v>
      </c>
      <c r="O284" s="0" t="n">
        <v>0</v>
      </c>
      <c r="P284" s="0" t="n">
        <v>1</v>
      </c>
      <c r="Q284" s="0" t="n">
        <v>0</v>
      </c>
      <c r="V284" s="0" t="n">
        <v>0</v>
      </c>
    </row>
    <row r="285" customFormat="false" ht="12.8" hidden="false" customHeight="false" outlineLevel="0" collapsed="false">
      <c r="A285" s="10" t="s">
        <v>348</v>
      </c>
      <c r="B285" s="0" t="s">
        <v>36</v>
      </c>
      <c r="C285" s="0" t="s">
        <v>37</v>
      </c>
      <c r="D285" s="0" t="s">
        <v>355</v>
      </c>
      <c r="E285" s="0" t="n">
        <v>35</v>
      </c>
      <c r="F285" s="0" t="n">
        <v>37.8</v>
      </c>
      <c r="G285" s="1" t="n">
        <f aca="false">(E285/100)*F285</f>
        <v>13.23</v>
      </c>
      <c r="H285" s="0" t="n">
        <v>9.9</v>
      </c>
      <c r="I285" s="2" t="n">
        <f aca="false">(E285/100)*H285</f>
        <v>3.465</v>
      </c>
      <c r="J285" s="0" t="n">
        <v>0</v>
      </c>
      <c r="K285" s="6" t="n">
        <f aca="false">G285/E285</f>
        <v>0.378</v>
      </c>
      <c r="L285" s="7" t="n">
        <v>0</v>
      </c>
      <c r="M285" s="7" t="n">
        <f aca="false">(24.9/12)/G285</f>
        <v>0.156840513983371</v>
      </c>
      <c r="N285" s="0" t="n">
        <v>1</v>
      </c>
      <c r="O285" s="0" t="n">
        <v>0</v>
      </c>
      <c r="P285" s="0" t="n">
        <v>1</v>
      </c>
      <c r="Q285" s="0" t="n">
        <v>0</v>
      </c>
      <c r="V285" s="0" t="n">
        <v>0</v>
      </c>
    </row>
    <row r="286" customFormat="false" ht="12.8" hidden="false" customHeight="false" outlineLevel="0" collapsed="false">
      <c r="A286" s="10" t="s">
        <v>348</v>
      </c>
      <c r="B286" s="0" t="s">
        <v>36</v>
      </c>
      <c r="C286" s="0" t="s">
        <v>37</v>
      </c>
      <c r="D286" s="0" t="s">
        <v>356</v>
      </c>
      <c r="E286" s="0" t="n">
        <v>35</v>
      </c>
      <c r="F286" s="0" t="n">
        <v>45.3</v>
      </c>
      <c r="G286" s="1" t="n">
        <f aca="false">(E286/100)*F286</f>
        <v>15.855</v>
      </c>
      <c r="H286" s="0" t="n">
        <v>11.7</v>
      </c>
      <c r="I286" s="2" t="n">
        <f aca="false">(E286/100)*H286</f>
        <v>4.095</v>
      </c>
      <c r="J286" s="0" t="n">
        <v>0</v>
      </c>
      <c r="K286" s="6" t="n">
        <f aca="false">G286/E286</f>
        <v>0.453</v>
      </c>
      <c r="L286" s="7" t="n">
        <v>0</v>
      </c>
      <c r="M286" s="7" t="n">
        <f aca="false">(24.9/12)/G286</f>
        <v>0.130873541469568</v>
      </c>
      <c r="N286" s="0" t="n">
        <v>1</v>
      </c>
      <c r="O286" s="0" t="n">
        <v>0</v>
      </c>
      <c r="P286" s="0" t="n">
        <v>0</v>
      </c>
      <c r="Q286" s="0" t="n">
        <v>0</v>
      </c>
      <c r="V286" s="0" t="n">
        <v>0</v>
      </c>
    </row>
    <row r="287" customFormat="false" ht="12.8" hidden="false" customHeight="false" outlineLevel="0" collapsed="false">
      <c r="A287" s="10" t="s">
        <v>348</v>
      </c>
      <c r="B287" s="0" t="s">
        <v>36</v>
      </c>
      <c r="C287" s="0" t="s">
        <v>37</v>
      </c>
      <c r="D287" s="0" t="s">
        <v>357</v>
      </c>
      <c r="E287" s="0" t="n">
        <v>35</v>
      </c>
      <c r="F287" s="0" t="n">
        <v>46.7</v>
      </c>
      <c r="G287" s="1" t="n">
        <f aca="false">(E287/100)*F287</f>
        <v>16.345</v>
      </c>
      <c r="H287" s="0" t="n">
        <v>4.2</v>
      </c>
      <c r="I287" s="2" t="n">
        <f aca="false">(E287/100)*H287</f>
        <v>1.47</v>
      </c>
      <c r="J287" s="0" t="n">
        <v>0</v>
      </c>
      <c r="K287" s="6" t="n">
        <f aca="false">G287/E287</f>
        <v>0.467</v>
      </c>
      <c r="L287" s="7" t="n">
        <v>0</v>
      </c>
      <c r="M287" s="7" t="n">
        <f aca="false">(24.9/12)/G287</f>
        <v>0.126950137656776</v>
      </c>
      <c r="N287" s="0" t="n">
        <v>1</v>
      </c>
      <c r="O287" s="0" t="n">
        <v>0</v>
      </c>
      <c r="P287" s="0" t="n">
        <v>0</v>
      </c>
      <c r="Q287" s="0" t="n">
        <v>0</v>
      </c>
      <c r="V287" s="0" t="n">
        <v>0</v>
      </c>
    </row>
    <row r="288" customFormat="false" ht="12.8" hidden="false" customHeight="false" outlineLevel="0" collapsed="false">
      <c r="A288" s="10" t="s">
        <v>348</v>
      </c>
      <c r="B288" s="0" t="s">
        <v>36</v>
      </c>
      <c r="C288" s="0" t="s">
        <v>37</v>
      </c>
      <c r="D288" s="0" t="s">
        <v>358</v>
      </c>
      <c r="E288" s="0" t="n">
        <v>35</v>
      </c>
      <c r="F288" s="0" t="n">
        <v>41.5</v>
      </c>
      <c r="G288" s="1" t="n">
        <f aca="false">(E288/100)*F288</f>
        <v>14.525</v>
      </c>
      <c r="H288" s="0" t="n">
        <v>7.1</v>
      </c>
      <c r="I288" s="2" t="n">
        <f aca="false">(E288/100)*H288</f>
        <v>2.485</v>
      </c>
      <c r="J288" s="0" t="n">
        <v>0</v>
      </c>
      <c r="K288" s="6" t="n">
        <f aca="false">G288/E288</f>
        <v>0.415</v>
      </c>
      <c r="L288" s="7" t="n">
        <v>0.02</v>
      </c>
      <c r="M288" s="7" t="n">
        <f aca="false">(24.9/12)/G288</f>
        <v>0.142857142857143</v>
      </c>
      <c r="N288" s="0" t="n">
        <v>1</v>
      </c>
      <c r="O288" s="0" t="n">
        <v>0</v>
      </c>
      <c r="P288" s="0" t="n">
        <v>0</v>
      </c>
      <c r="Q288" s="0" t="n">
        <v>0</v>
      </c>
      <c r="V288" s="0" t="n">
        <v>0</v>
      </c>
    </row>
    <row r="289" customFormat="false" ht="12.8" hidden="false" customHeight="false" outlineLevel="0" collapsed="false">
      <c r="A289" s="10" t="s">
        <v>359</v>
      </c>
      <c r="B289" s="0" t="s">
        <v>20</v>
      </c>
      <c r="C289" s="0" t="s">
        <v>21</v>
      </c>
      <c r="D289" s="0" t="s">
        <v>360</v>
      </c>
      <c r="E289" s="0" t="n">
        <v>32</v>
      </c>
      <c r="F289" s="0" t="n">
        <v>70</v>
      </c>
      <c r="G289" s="1" t="n">
        <f aca="false">(E289/100)*F289</f>
        <v>22.4</v>
      </c>
      <c r="H289" s="0" t="n">
        <v>0</v>
      </c>
      <c r="I289" s="2" t="n">
        <f aca="false">(E289/100)*H289</f>
        <v>0</v>
      </c>
      <c r="J289" s="0" t="n">
        <v>20</v>
      </c>
      <c r="K289" s="6" t="n">
        <f aca="false">G289/E289</f>
        <v>0.7</v>
      </c>
      <c r="L289" s="7" t="n">
        <v>0.06</v>
      </c>
      <c r="M289" s="7" t="n">
        <f aca="false">2.5/G289</f>
        <v>0.111607142857143</v>
      </c>
      <c r="N289" s="0" t="n">
        <v>0</v>
      </c>
      <c r="O289" s="0" t="n">
        <v>0</v>
      </c>
      <c r="P289" s="0" t="n">
        <v>0</v>
      </c>
      <c r="Q289" s="0" t="n">
        <v>0</v>
      </c>
      <c r="R289" s="0" t="n">
        <v>450</v>
      </c>
      <c r="S289" s="0" t="s">
        <v>63</v>
      </c>
      <c r="V289" s="0" t="n">
        <v>0</v>
      </c>
    </row>
    <row r="290" customFormat="false" ht="12.8" hidden="false" customHeight="false" outlineLevel="0" collapsed="false">
      <c r="A290" s="10" t="s">
        <v>359</v>
      </c>
      <c r="B290" s="0" t="s">
        <v>20</v>
      </c>
      <c r="C290" s="0" t="s">
        <v>21</v>
      </c>
      <c r="D290" s="0" t="s">
        <v>361</v>
      </c>
      <c r="E290" s="0" t="n">
        <v>32</v>
      </c>
      <c r="F290" s="0" t="n">
        <v>72</v>
      </c>
      <c r="G290" s="1" t="n">
        <f aca="false">(E290/100)*F290</f>
        <v>23.04</v>
      </c>
      <c r="H290" s="0" t="n">
        <v>0</v>
      </c>
      <c r="I290" s="2" t="n">
        <f aca="false">(E290/100)*H290</f>
        <v>0</v>
      </c>
      <c r="J290" s="0" t="n">
        <v>0</v>
      </c>
      <c r="K290" s="6" t="n">
        <f aca="false">G290/E290</f>
        <v>0.72</v>
      </c>
      <c r="L290" s="7" t="n">
        <v>0.055</v>
      </c>
      <c r="M290" s="7" t="n">
        <f aca="false">2.5/G290</f>
        <v>0.108506944444444</v>
      </c>
      <c r="N290" s="0" t="n">
        <v>0</v>
      </c>
      <c r="O290" s="0" t="n">
        <v>0</v>
      </c>
      <c r="P290" s="0" t="n">
        <v>0</v>
      </c>
      <c r="Q290" s="0" t="n">
        <v>0</v>
      </c>
      <c r="R290" s="0" t="n">
        <v>450</v>
      </c>
      <c r="S290" s="0" t="s">
        <v>63</v>
      </c>
      <c r="V290" s="0" t="n">
        <v>0</v>
      </c>
    </row>
    <row r="291" customFormat="false" ht="12.8" hidden="false" customHeight="false" outlineLevel="0" collapsed="false">
      <c r="A291" s="10" t="s">
        <v>359</v>
      </c>
      <c r="B291" s="0" t="s">
        <v>20</v>
      </c>
      <c r="C291" s="0" t="s">
        <v>21</v>
      </c>
      <c r="D291" s="0" t="s">
        <v>362</v>
      </c>
      <c r="E291" s="0" t="n">
        <v>32</v>
      </c>
      <c r="F291" s="0" t="n">
        <v>69</v>
      </c>
      <c r="G291" s="1" t="n">
        <f aca="false">(E291/100)*F291</f>
        <v>22.08</v>
      </c>
      <c r="H291" s="0" t="n">
        <v>0</v>
      </c>
      <c r="I291" s="2" t="n">
        <f aca="false">(E291/100)*H291</f>
        <v>0</v>
      </c>
      <c r="J291" s="0" t="n">
        <v>20</v>
      </c>
      <c r="K291" s="6" t="n">
        <f aca="false">G291/E291</f>
        <v>0.69</v>
      </c>
      <c r="L291" s="7" t="n">
        <v>0.125</v>
      </c>
      <c r="M291" s="7" t="n">
        <f aca="false">2.5/G291</f>
        <v>0.113224637681159</v>
      </c>
      <c r="N291" s="0" t="n">
        <v>0</v>
      </c>
      <c r="O291" s="0" t="n">
        <v>0</v>
      </c>
      <c r="P291" s="0" t="n">
        <v>0</v>
      </c>
      <c r="Q291" s="0" t="n">
        <v>0</v>
      </c>
      <c r="R291" s="0" t="n">
        <v>450</v>
      </c>
      <c r="S291" s="0" t="s">
        <v>63</v>
      </c>
      <c r="V291" s="0" t="n">
        <v>0</v>
      </c>
    </row>
    <row r="292" customFormat="false" ht="12.8" hidden="false" customHeight="false" outlineLevel="0" collapsed="false">
      <c r="A292" s="10" t="s">
        <v>359</v>
      </c>
      <c r="B292" s="0" t="s">
        <v>20</v>
      </c>
      <c r="C292" s="0" t="s">
        <v>21</v>
      </c>
      <c r="D292" s="0" t="s">
        <v>363</v>
      </c>
      <c r="E292" s="0" t="n">
        <v>32</v>
      </c>
      <c r="F292" s="0" t="n">
        <v>66</v>
      </c>
      <c r="G292" s="1" t="n">
        <f aca="false">(E292/100)*F292</f>
        <v>21.12</v>
      </c>
      <c r="H292" s="0" t="n">
        <v>0</v>
      </c>
      <c r="I292" s="2" t="n">
        <f aca="false">(E292/100)*H292</f>
        <v>0</v>
      </c>
      <c r="J292" s="0" t="n">
        <v>35</v>
      </c>
      <c r="K292" s="6" t="n">
        <f aca="false">G292/E292</f>
        <v>0.66</v>
      </c>
      <c r="L292" s="7" t="n">
        <v>0.18</v>
      </c>
      <c r="M292" s="7" t="n">
        <f aca="false">3.2/G292</f>
        <v>0.151515151515152</v>
      </c>
      <c r="N292" s="0" t="n">
        <v>0</v>
      </c>
      <c r="O292" s="0" t="n">
        <v>0</v>
      </c>
      <c r="P292" s="0" t="n">
        <v>0</v>
      </c>
      <c r="Q292" s="0" t="n">
        <v>0</v>
      </c>
      <c r="R292" s="0" t="n">
        <v>1425</v>
      </c>
      <c r="S292" s="0" t="s">
        <v>364</v>
      </c>
      <c r="V292" s="0" t="n">
        <v>0</v>
      </c>
    </row>
    <row r="293" customFormat="false" ht="12.8" hidden="false" customHeight="false" outlineLevel="0" collapsed="false">
      <c r="A293" s="10" t="s">
        <v>359</v>
      </c>
      <c r="B293" s="0" t="s">
        <v>20</v>
      </c>
      <c r="C293" s="0" t="s">
        <v>21</v>
      </c>
      <c r="D293" s="0" t="s">
        <v>365</v>
      </c>
      <c r="E293" s="0" t="n">
        <v>32</v>
      </c>
      <c r="F293" s="0" t="n">
        <v>66</v>
      </c>
      <c r="G293" s="1" t="n">
        <f aca="false">(E293/100)*F293</f>
        <v>21.12</v>
      </c>
      <c r="H293" s="0" t="n">
        <v>0</v>
      </c>
      <c r="I293" s="2" t="n">
        <f aca="false">(E293/100)*H293</f>
        <v>0</v>
      </c>
      <c r="J293" s="0" t="n">
        <v>0</v>
      </c>
      <c r="K293" s="6" t="n">
        <f aca="false">G293/E293</f>
        <v>0.66</v>
      </c>
      <c r="L293" s="7" t="n">
        <v>0.125</v>
      </c>
      <c r="M293" s="7" t="n">
        <f aca="false">3.2/G293</f>
        <v>0.151515151515152</v>
      </c>
      <c r="N293" s="0" t="n">
        <v>0</v>
      </c>
      <c r="O293" s="0" t="n">
        <v>0</v>
      </c>
      <c r="P293" s="0" t="n">
        <v>0</v>
      </c>
      <c r="Q293" s="0" t="n">
        <v>0</v>
      </c>
      <c r="R293" s="0" t="n">
        <v>1425</v>
      </c>
      <c r="S293" s="0" t="s">
        <v>364</v>
      </c>
      <c r="V293" s="0" t="n">
        <v>0</v>
      </c>
    </row>
    <row r="294" customFormat="false" ht="12.8" hidden="false" customHeight="false" outlineLevel="0" collapsed="false">
      <c r="A294" s="10" t="s">
        <v>359</v>
      </c>
      <c r="B294" s="0" t="s">
        <v>20</v>
      </c>
      <c r="C294" s="0" t="s">
        <v>21</v>
      </c>
      <c r="D294" s="0" t="s">
        <v>366</v>
      </c>
      <c r="E294" s="0" t="n">
        <v>60</v>
      </c>
      <c r="F294" s="0" t="n">
        <v>38</v>
      </c>
      <c r="G294" s="1" t="n">
        <f aca="false">(E294/100)*F294</f>
        <v>22.8</v>
      </c>
      <c r="H294" s="0" t="n">
        <v>0</v>
      </c>
      <c r="I294" s="2" t="n">
        <f aca="false">(E294/100)*H294</f>
        <v>0</v>
      </c>
      <c r="J294" s="0" t="n">
        <v>20</v>
      </c>
      <c r="K294" s="6" t="n">
        <f aca="false">G294/E294</f>
        <v>0.38</v>
      </c>
      <c r="L294" s="7" t="n">
        <f aca="false">0.19*0.4</f>
        <v>0.076</v>
      </c>
      <c r="M294" s="7" t="n">
        <f aca="false">2.5/G294</f>
        <v>0.109649122807018</v>
      </c>
      <c r="N294" s="0" t="n">
        <v>0</v>
      </c>
      <c r="O294" s="0" t="n">
        <v>0</v>
      </c>
      <c r="P294" s="0" t="n">
        <v>0</v>
      </c>
      <c r="Q294" s="0" t="n">
        <v>0</v>
      </c>
      <c r="R294" s="0" t="n">
        <v>450</v>
      </c>
      <c r="S294" s="0" t="s">
        <v>63</v>
      </c>
      <c r="V294" s="0" t="n">
        <v>0</v>
      </c>
    </row>
    <row r="295" customFormat="false" ht="12.8" hidden="false" customHeight="false" outlineLevel="0" collapsed="false">
      <c r="A295" s="10" t="s">
        <v>359</v>
      </c>
      <c r="B295" s="0" t="s">
        <v>20</v>
      </c>
      <c r="C295" s="0" t="s">
        <v>21</v>
      </c>
      <c r="D295" s="0" t="s">
        <v>367</v>
      </c>
      <c r="E295" s="0" t="n">
        <v>60</v>
      </c>
      <c r="F295" s="0" t="n">
        <v>38</v>
      </c>
      <c r="G295" s="1" t="n">
        <f aca="false">(E295/100)*F295</f>
        <v>22.8</v>
      </c>
      <c r="H295" s="0" t="n">
        <v>0</v>
      </c>
      <c r="I295" s="2" t="n">
        <f aca="false">(E295/100)*H295</f>
        <v>0</v>
      </c>
      <c r="J295" s="0" t="n">
        <v>40</v>
      </c>
      <c r="K295" s="6" t="n">
        <f aca="false">G295/E295</f>
        <v>0.38</v>
      </c>
      <c r="L295" s="7" t="n">
        <f aca="false">0.19*0.4</f>
        <v>0.076</v>
      </c>
      <c r="M295" s="7" t="n">
        <f aca="false">2.5/G295</f>
        <v>0.109649122807018</v>
      </c>
      <c r="N295" s="0" t="n">
        <v>0</v>
      </c>
      <c r="O295" s="0" t="n">
        <v>0</v>
      </c>
      <c r="P295" s="0" t="n">
        <v>0</v>
      </c>
      <c r="Q295" s="0" t="n">
        <v>0</v>
      </c>
      <c r="R295" s="0" t="n">
        <v>450</v>
      </c>
      <c r="S295" s="0" t="s">
        <v>63</v>
      </c>
      <c r="V295" s="0" t="n">
        <v>0</v>
      </c>
    </row>
    <row r="296" customFormat="false" ht="12.8" hidden="false" customHeight="false" outlineLevel="0" collapsed="false">
      <c r="A296" s="10" t="s">
        <v>359</v>
      </c>
      <c r="B296" s="0" t="s">
        <v>20</v>
      </c>
      <c r="C296" s="0" t="s">
        <v>21</v>
      </c>
      <c r="D296" s="0" t="s">
        <v>368</v>
      </c>
      <c r="E296" s="0" t="n">
        <v>60</v>
      </c>
      <c r="F296" s="0" t="n">
        <v>38</v>
      </c>
      <c r="G296" s="1" t="n">
        <f aca="false">(E296/100)*F296</f>
        <v>22.8</v>
      </c>
      <c r="H296" s="0" t="n">
        <v>0</v>
      </c>
      <c r="I296" s="2" t="n">
        <f aca="false">(E296/100)*H296</f>
        <v>0</v>
      </c>
      <c r="J296" s="0" t="n">
        <v>0</v>
      </c>
      <c r="K296" s="6" t="n">
        <f aca="false">G296/E296</f>
        <v>0.38</v>
      </c>
      <c r="L296" s="7" t="n">
        <f aca="false">0.19*0.4</f>
        <v>0.076</v>
      </c>
      <c r="M296" s="7" t="n">
        <f aca="false">2.5/G296</f>
        <v>0.109649122807018</v>
      </c>
      <c r="N296" s="0" t="n">
        <v>0</v>
      </c>
      <c r="O296" s="0" t="n">
        <v>0</v>
      </c>
      <c r="P296" s="0" t="n">
        <v>0</v>
      </c>
      <c r="Q296" s="0" t="n">
        <v>0</v>
      </c>
      <c r="R296" s="0" t="n">
        <v>450</v>
      </c>
      <c r="S296" s="0" t="s">
        <v>63</v>
      </c>
      <c r="V296" s="0" t="n">
        <v>0</v>
      </c>
    </row>
    <row r="297" customFormat="false" ht="12.8" hidden="false" customHeight="false" outlineLevel="0" collapsed="false">
      <c r="A297" s="10" t="s">
        <v>359</v>
      </c>
      <c r="B297" s="0" t="s">
        <v>20</v>
      </c>
      <c r="C297" s="0" t="s">
        <v>21</v>
      </c>
      <c r="D297" s="0" t="s">
        <v>369</v>
      </c>
      <c r="E297" s="0" t="n">
        <v>60</v>
      </c>
      <c r="F297" s="0" t="n">
        <v>74</v>
      </c>
      <c r="G297" s="1" t="n">
        <f aca="false">(E297/100)*F297</f>
        <v>44.4</v>
      </c>
      <c r="H297" s="0" t="n">
        <v>0</v>
      </c>
      <c r="I297" s="2" t="n">
        <f aca="false">(E297/100)*H297</f>
        <v>0</v>
      </c>
      <c r="J297" s="0" t="n">
        <v>20</v>
      </c>
      <c r="K297" s="6" t="n">
        <f aca="false">G297/E297</f>
        <v>0.74</v>
      </c>
      <c r="L297" s="7" t="n">
        <v>0.04</v>
      </c>
      <c r="M297" s="7" t="n">
        <f aca="false">4/G297</f>
        <v>0.0900900900900901</v>
      </c>
      <c r="N297" s="0" t="n">
        <v>0</v>
      </c>
      <c r="O297" s="0" t="n">
        <v>0</v>
      </c>
      <c r="P297" s="0" t="n">
        <v>0</v>
      </c>
      <c r="Q297" s="0" t="n">
        <v>0</v>
      </c>
      <c r="R297" s="0" t="n">
        <v>400</v>
      </c>
      <c r="S297" s="0" t="s">
        <v>63</v>
      </c>
      <c r="V297" s="0" t="n">
        <v>0</v>
      </c>
    </row>
    <row r="298" customFormat="false" ht="12.8" hidden="false" customHeight="false" outlineLevel="0" collapsed="false">
      <c r="A298" s="10" t="s">
        <v>359</v>
      </c>
      <c r="B298" s="0" t="s">
        <v>20</v>
      </c>
      <c r="C298" s="0" t="s">
        <v>21</v>
      </c>
      <c r="D298" s="0" t="s">
        <v>370</v>
      </c>
      <c r="E298" s="0" t="n">
        <v>60</v>
      </c>
      <c r="F298" s="0" t="n">
        <v>74</v>
      </c>
      <c r="G298" s="1" t="n">
        <f aca="false">(E298/100)*F298</f>
        <v>44.4</v>
      </c>
      <c r="H298" s="0" t="n">
        <v>0</v>
      </c>
      <c r="I298" s="2" t="n">
        <f aca="false">(E298/100)*H298</f>
        <v>0</v>
      </c>
      <c r="J298" s="0" t="n">
        <v>0</v>
      </c>
      <c r="K298" s="6" t="n">
        <f aca="false">G298/E298</f>
        <v>0.74</v>
      </c>
      <c r="L298" s="7" t="n">
        <v>0.04</v>
      </c>
      <c r="M298" s="7" t="n">
        <f aca="false">4/G298</f>
        <v>0.0900900900900901</v>
      </c>
      <c r="N298" s="0" t="n">
        <v>0</v>
      </c>
      <c r="O298" s="0" t="n">
        <v>0</v>
      </c>
      <c r="P298" s="0" t="n">
        <v>0</v>
      </c>
      <c r="Q298" s="0" t="n">
        <v>0</v>
      </c>
      <c r="R298" s="0" t="n">
        <v>400</v>
      </c>
      <c r="S298" s="0" t="s">
        <v>63</v>
      </c>
      <c r="V298" s="0" t="n">
        <v>0</v>
      </c>
    </row>
    <row r="299" customFormat="false" ht="12.8" hidden="false" customHeight="false" outlineLevel="0" collapsed="false">
      <c r="A299" s="10" t="s">
        <v>359</v>
      </c>
      <c r="B299" s="0" t="s">
        <v>25</v>
      </c>
      <c r="C299" s="0" t="s">
        <v>26</v>
      </c>
      <c r="D299" s="0" t="s">
        <v>371</v>
      </c>
      <c r="E299" s="0" t="n">
        <v>1</v>
      </c>
      <c r="F299" s="0" t="n">
        <v>92.8</v>
      </c>
      <c r="G299" s="1" t="n">
        <f aca="false">(E299/100)*F299</f>
        <v>0.928</v>
      </c>
      <c r="H299" s="0" t="n">
        <v>0</v>
      </c>
      <c r="I299" s="2" t="n">
        <f aca="false">(E299/100)*H299</f>
        <v>0</v>
      </c>
      <c r="J299" s="0" t="n">
        <v>0</v>
      </c>
      <c r="K299" s="6" t="n">
        <f aca="false">G299/E299</f>
        <v>0.928</v>
      </c>
      <c r="L299" s="7" t="n">
        <v>0.009</v>
      </c>
      <c r="M299" s="7" t="n">
        <f aca="false">(34.9/840)/G299</f>
        <v>0.0447711412151067</v>
      </c>
      <c r="N299" s="0" t="n">
        <v>0</v>
      </c>
      <c r="O299" s="0" t="n">
        <v>0</v>
      </c>
      <c r="P299" s="0" t="n">
        <v>0</v>
      </c>
      <c r="Q299" s="0" t="n">
        <v>0</v>
      </c>
      <c r="S299" s="0" t="s">
        <v>63</v>
      </c>
      <c r="V299" s="0" t="n">
        <v>0</v>
      </c>
    </row>
    <row r="300" customFormat="false" ht="12.8" hidden="false" customHeight="false" outlineLevel="0" collapsed="false">
      <c r="A300" s="10" t="s">
        <v>359</v>
      </c>
      <c r="B300" s="0" t="s">
        <v>25</v>
      </c>
      <c r="C300" s="0" t="s">
        <v>26</v>
      </c>
      <c r="D300" s="0" t="s">
        <v>372</v>
      </c>
      <c r="E300" s="0" t="n">
        <v>1</v>
      </c>
      <c r="F300" s="0" t="n">
        <v>92</v>
      </c>
      <c r="G300" s="1" t="n">
        <f aca="false">(E300/100)*F300</f>
        <v>0.92</v>
      </c>
      <c r="H300" s="0" t="n">
        <v>0</v>
      </c>
      <c r="I300" s="2" t="n">
        <f aca="false">(E300/100)*H300</f>
        <v>0</v>
      </c>
      <c r="J300" s="0" t="n">
        <v>0</v>
      </c>
      <c r="K300" s="6" t="n">
        <f aca="false">G300/E300</f>
        <v>0.92</v>
      </c>
      <c r="L300" s="7" t="n">
        <f aca="false">0.005</f>
        <v>0.005</v>
      </c>
      <c r="M300" s="7" t="n">
        <f aca="false">(38.5/780)/G300</f>
        <v>0.0536510590858417</v>
      </c>
      <c r="N300" s="0" t="n">
        <v>0</v>
      </c>
      <c r="O300" s="0" t="n">
        <v>0</v>
      </c>
      <c r="P300" s="0" t="n">
        <v>0</v>
      </c>
      <c r="Q300" s="0" t="n">
        <v>0</v>
      </c>
      <c r="R300" s="0" t="n">
        <v>2.9</v>
      </c>
      <c r="S300" s="0" t="s">
        <v>364</v>
      </c>
      <c r="V300" s="0" t="n">
        <v>0</v>
      </c>
    </row>
    <row r="301" customFormat="false" ht="12.8" hidden="false" customHeight="false" outlineLevel="0" collapsed="false">
      <c r="A301" s="10" t="s">
        <v>359</v>
      </c>
      <c r="B301" s="0" t="s">
        <v>25</v>
      </c>
      <c r="C301" s="0" t="s">
        <v>26</v>
      </c>
      <c r="D301" s="0" t="s">
        <v>373</v>
      </c>
      <c r="E301" s="0" t="n">
        <v>1</v>
      </c>
      <c r="F301" s="0" t="n">
        <v>92</v>
      </c>
      <c r="G301" s="1" t="n">
        <f aca="false">(E301/100)*F301</f>
        <v>0.92</v>
      </c>
      <c r="H301" s="0" t="n">
        <v>0</v>
      </c>
      <c r="I301" s="2" t="n">
        <f aca="false">(E301/100)*H301</f>
        <v>0</v>
      </c>
      <c r="J301" s="0" t="n">
        <v>0.53</v>
      </c>
      <c r="K301" s="6" t="n">
        <f aca="false">G301/E301</f>
        <v>0.92</v>
      </c>
      <c r="L301" s="7" t="n">
        <f aca="false">0.005</f>
        <v>0.005</v>
      </c>
      <c r="M301" s="7" t="n">
        <f aca="false">(38.5/780)/G301</f>
        <v>0.0536510590858417</v>
      </c>
      <c r="N301" s="0" t="n">
        <v>0</v>
      </c>
      <c r="O301" s="0" t="n">
        <v>0</v>
      </c>
      <c r="P301" s="0" t="n">
        <v>0</v>
      </c>
      <c r="Q301" s="0" t="n">
        <v>0</v>
      </c>
      <c r="R301" s="0" t="n">
        <v>2.9</v>
      </c>
      <c r="S301" s="0" t="s">
        <v>364</v>
      </c>
      <c r="V301" s="0" t="n">
        <v>0</v>
      </c>
    </row>
    <row r="302" customFormat="false" ht="12.8" hidden="false" customHeight="false" outlineLevel="0" collapsed="false">
      <c r="A302" s="10" t="s">
        <v>374</v>
      </c>
      <c r="B302" s="0" t="s">
        <v>25</v>
      </c>
      <c r="C302" s="0" t="s">
        <v>26</v>
      </c>
      <c r="D302" s="0" t="s">
        <v>375</v>
      </c>
      <c r="E302" s="0" t="n">
        <v>1</v>
      </c>
      <c r="F302" s="0" t="n">
        <v>95</v>
      </c>
      <c r="G302" s="1" t="n">
        <f aca="false">(E302/100)*F302</f>
        <v>0.95</v>
      </c>
      <c r="H302" s="0" t="n">
        <v>0</v>
      </c>
      <c r="I302" s="2" t="n">
        <f aca="false">(E302/100)*H302</f>
        <v>0</v>
      </c>
      <c r="J302" s="0" t="n">
        <v>0</v>
      </c>
      <c r="K302" s="6" t="n">
        <f aca="false">G302/E302</f>
        <v>0.95</v>
      </c>
      <c r="L302" s="7" t="n">
        <v>0</v>
      </c>
      <c r="M302" s="7" t="n">
        <f aca="false">(35.99/1000)/G302</f>
        <v>0.0378842105263158</v>
      </c>
      <c r="N302" s="0" t="n">
        <v>0</v>
      </c>
      <c r="O302" s="0" t="n">
        <v>0</v>
      </c>
      <c r="P302" s="0" t="n">
        <v>0</v>
      </c>
      <c r="Q302" s="0" t="n">
        <v>0</v>
      </c>
      <c r="U302" s="0" t="s">
        <v>115</v>
      </c>
      <c r="V302" s="0" t="n">
        <v>1</v>
      </c>
    </row>
    <row r="303" customFormat="false" ht="12.8" hidden="false" customHeight="false" outlineLevel="0" collapsed="false">
      <c r="A303" s="10" t="s">
        <v>374</v>
      </c>
      <c r="B303" s="0" t="s">
        <v>25</v>
      </c>
      <c r="C303" s="0" t="s">
        <v>26</v>
      </c>
      <c r="D303" s="0" t="s">
        <v>376</v>
      </c>
      <c r="E303" s="0" t="n">
        <v>1</v>
      </c>
      <c r="F303" s="0" t="n">
        <v>89</v>
      </c>
      <c r="G303" s="1" t="n">
        <f aca="false">(E303/100)*F303</f>
        <v>0.89</v>
      </c>
      <c r="H303" s="0" t="n">
        <v>0</v>
      </c>
      <c r="I303" s="2" t="n">
        <f aca="false">(E303/100)*H303</f>
        <v>0</v>
      </c>
      <c r="J303" s="0" t="n">
        <v>0</v>
      </c>
      <c r="K303" s="6" t="n">
        <f aca="false">G303/E303</f>
        <v>0.89</v>
      </c>
      <c r="L303" s="7" t="n">
        <f aca="false">0.552/100</f>
        <v>0.00552</v>
      </c>
      <c r="M303" s="7" t="n">
        <f aca="false">(31.99/1000)/G303</f>
        <v>0.0359438202247191</v>
      </c>
      <c r="N303" s="0" t="n">
        <v>0</v>
      </c>
      <c r="O303" s="0" t="n">
        <v>0</v>
      </c>
      <c r="P303" s="0" t="n">
        <v>0</v>
      </c>
      <c r="Q303" s="0" t="n">
        <v>0</v>
      </c>
      <c r="U303" s="0" t="s">
        <v>115</v>
      </c>
      <c r="V303" s="0" t="n">
        <v>1</v>
      </c>
    </row>
    <row r="304" customFormat="false" ht="12.8" hidden="false" customHeight="false" outlineLevel="0" collapsed="false">
      <c r="A304" s="10" t="s">
        <v>374</v>
      </c>
      <c r="B304" s="0" t="s">
        <v>25</v>
      </c>
      <c r="C304" s="0" t="s">
        <v>26</v>
      </c>
      <c r="D304" s="0" t="s">
        <v>377</v>
      </c>
      <c r="E304" s="0" t="n">
        <v>22.2</v>
      </c>
      <c r="F304" s="0" t="n">
        <v>73</v>
      </c>
      <c r="G304" s="1" t="n">
        <f aca="false">(E304/100)*F304</f>
        <v>16.206</v>
      </c>
      <c r="H304" s="0" t="n">
        <v>0</v>
      </c>
      <c r="I304" s="2" t="n">
        <f aca="false">(E304/100)*H304</f>
        <v>0</v>
      </c>
      <c r="J304" s="0" t="n">
        <v>0</v>
      </c>
      <c r="K304" s="6" t="n">
        <f aca="false">G304/E304</f>
        <v>0.73</v>
      </c>
      <c r="L304" s="7" t="n">
        <f aca="false">0.84*0.4</f>
        <v>0.336</v>
      </c>
      <c r="M304" s="7" t="n">
        <f aca="false">(25.99/15)/G304</f>
        <v>0.106915134312395</v>
      </c>
      <c r="N304" s="0" t="n">
        <v>0</v>
      </c>
      <c r="O304" s="0" t="n">
        <v>0</v>
      </c>
      <c r="P304" s="0" t="n">
        <v>0</v>
      </c>
      <c r="Q304" s="0" t="n">
        <v>0</v>
      </c>
      <c r="U304" s="0" t="s">
        <v>115</v>
      </c>
      <c r="V304" s="0" t="n">
        <v>1</v>
      </c>
    </row>
    <row r="305" customFormat="false" ht="12.8" hidden="false" customHeight="false" outlineLevel="0" collapsed="false">
      <c r="A305" s="10" t="s">
        <v>374</v>
      </c>
      <c r="B305" s="0" t="s">
        <v>20</v>
      </c>
      <c r="C305" s="0" t="s">
        <v>21</v>
      </c>
      <c r="D305" s="0" t="s">
        <v>378</v>
      </c>
      <c r="E305" s="0" t="n">
        <v>38</v>
      </c>
      <c r="F305" s="0" t="n">
        <v>63.5</v>
      </c>
      <c r="G305" s="1" t="n">
        <f aca="false">(E305/100)*F305</f>
        <v>24.13</v>
      </c>
      <c r="H305" s="0" t="n">
        <v>0</v>
      </c>
      <c r="I305" s="2" t="n">
        <f aca="false">(E305/100)*H305</f>
        <v>0</v>
      </c>
      <c r="J305" s="0" t="n">
        <v>0</v>
      </c>
      <c r="K305" s="6" t="n">
        <f aca="false">G305/E305</f>
        <v>0.635</v>
      </c>
      <c r="L305" s="7" t="n">
        <v>0</v>
      </c>
      <c r="M305" s="7" t="n">
        <f aca="false">(35.99/12)/G305</f>
        <v>0.124292029285813</v>
      </c>
      <c r="N305" s="0" t="n">
        <v>0</v>
      </c>
      <c r="O305" s="0" t="n">
        <v>0</v>
      </c>
      <c r="P305" s="0" t="n">
        <v>0</v>
      </c>
      <c r="Q305" s="0" t="n">
        <v>0</v>
      </c>
      <c r="U305" s="0" t="s">
        <v>115</v>
      </c>
      <c r="V305" s="0" t="n">
        <v>1</v>
      </c>
    </row>
    <row r="306" customFormat="false" ht="12.8" hidden="false" customHeight="false" outlineLevel="0" collapsed="false">
      <c r="A306" s="10" t="s">
        <v>374</v>
      </c>
      <c r="B306" s="0" t="s">
        <v>20</v>
      </c>
      <c r="C306" s="0" t="s">
        <v>21</v>
      </c>
      <c r="D306" s="0" t="s">
        <v>379</v>
      </c>
      <c r="E306" s="0" t="n">
        <v>60</v>
      </c>
      <c r="F306" s="0" t="n">
        <v>36</v>
      </c>
      <c r="G306" s="1" t="n">
        <f aca="false">(E306/100)*F306</f>
        <v>21.6</v>
      </c>
      <c r="H306" s="0" t="n">
        <v>0</v>
      </c>
      <c r="I306" s="2" t="n">
        <f aca="false">(E306/100)*H306</f>
        <v>0</v>
      </c>
      <c r="J306" s="0" t="n">
        <v>0</v>
      </c>
      <c r="K306" s="6" t="n">
        <f aca="false">G306/E306</f>
        <v>0.36</v>
      </c>
      <c r="L306" s="7" t="n">
        <f aca="false">0.03*0.4</f>
        <v>0.012</v>
      </c>
      <c r="M306" s="7" t="n">
        <f aca="false">3.6/G306</f>
        <v>0.166666666666667</v>
      </c>
      <c r="N306" s="0" t="n">
        <v>0</v>
      </c>
      <c r="O306" s="0" t="n">
        <v>0</v>
      </c>
      <c r="P306" s="0" t="n">
        <v>0</v>
      </c>
      <c r="Q306" s="0" t="n">
        <v>0</v>
      </c>
      <c r="U306" s="0" t="s">
        <v>115</v>
      </c>
      <c r="V306" s="0" t="n">
        <v>1</v>
      </c>
    </row>
    <row r="307" customFormat="false" ht="12.8" hidden="false" customHeight="false" outlineLevel="0" collapsed="false">
      <c r="A307" s="10" t="s">
        <v>374</v>
      </c>
      <c r="B307" s="0" t="s">
        <v>20</v>
      </c>
      <c r="C307" s="0" t="s">
        <v>21</v>
      </c>
      <c r="D307" s="0" t="s">
        <v>380</v>
      </c>
      <c r="E307" s="0" t="n">
        <v>50</v>
      </c>
      <c r="F307" s="0" t="n">
        <v>59.1</v>
      </c>
      <c r="G307" s="1" t="n">
        <f aca="false">(E307/100)*F307</f>
        <v>29.55</v>
      </c>
      <c r="H307" s="0" t="n">
        <v>1</v>
      </c>
      <c r="I307" s="2" t="n">
        <f aca="false">(E307/100)*H307</f>
        <v>0.5</v>
      </c>
      <c r="J307" s="0" t="n">
        <v>53</v>
      </c>
      <c r="K307" s="6" t="n">
        <f aca="false">G307/E307</f>
        <v>0.591</v>
      </c>
      <c r="L307" s="7" t="n">
        <v>0</v>
      </c>
      <c r="M307" s="7" t="n">
        <f aca="false">(35.99/12)/G307</f>
        <v>0.101494641849972</v>
      </c>
      <c r="N307" s="0" t="n">
        <v>0</v>
      </c>
      <c r="O307" s="0" t="n">
        <v>0</v>
      </c>
      <c r="P307" s="0" t="n">
        <v>0</v>
      </c>
      <c r="Q307" s="0" t="n">
        <v>0</v>
      </c>
      <c r="U307" s="0" t="s">
        <v>115</v>
      </c>
      <c r="V307" s="0" t="n">
        <v>1</v>
      </c>
    </row>
    <row r="308" customFormat="false" ht="12.8" hidden="false" customHeight="false" outlineLevel="0" collapsed="false">
      <c r="A308" s="10" t="s">
        <v>374</v>
      </c>
      <c r="B308" s="0" t="s">
        <v>20</v>
      </c>
      <c r="C308" s="0" t="s">
        <v>21</v>
      </c>
      <c r="D308" s="0" t="s">
        <v>381</v>
      </c>
      <c r="E308" s="0" t="n">
        <v>40</v>
      </c>
      <c r="F308" s="0" t="n">
        <v>61.8</v>
      </c>
      <c r="G308" s="1" t="n">
        <f aca="false">(E308/100)*F308</f>
        <v>24.72</v>
      </c>
      <c r="H308" s="0" t="n">
        <v>0</v>
      </c>
      <c r="I308" s="2" t="n">
        <f aca="false">(E308/100)*H308</f>
        <v>0</v>
      </c>
      <c r="J308" s="0" t="n">
        <v>0</v>
      </c>
      <c r="K308" s="6" t="n">
        <f aca="false">G308/E308</f>
        <v>0.618</v>
      </c>
      <c r="L308" s="7" t="n">
        <v>0.255</v>
      </c>
      <c r="M308" s="7" t="n">
        <f aca="false">(35.99/12)/G308</f>
        <v>0.12132551240561</v>
      </c>
      <c r="N308" s="0" t="n">
        <v>0</v>
      </c>
      <c r="O308" s="0" t="n">
        <v>0</v>
      </c>
      <c r="P308" s="0" t="n">
        <v>0</v>
      </c>
      <c r="Q308" s="0" t="n">
        <v>0</v>
      </c>
      <c r="U308" s="0" t="s">
        <v>115</v>
      </c>
      <c r="V308" s="0" t="n">
        <v>1</v>
      </c>
    </row>
    <row r="309" customFormat="false" ht="12.8" hidden="false" customHeight="false" outlineLevel="0" collapsed="false">
      <c r="A309" s="10" t="s">
        <v>374</v>
      </c>
      <c r="B309" s="0" t="s">
        <v>20</v>
      </c>
      <c r="C309" s="0" t="s">
        <v>21</v>
      </c>
      <c r="D309" s="0" t="s">
        <v>382</v>
      </c>
      <c r="E309" s="0" t="n">
        <v>60</v>
      </c>
      <c r="F309" s="0" t="n">
        <v>83.4</v>
      </c>
      <c r="G309" s="1" t="n">
        <f aca="false">(E309/100)*F309</f>
        <v>50.04</v>
      </c>
      <c r="H309" s="0" t="n">
        <v>0</v>
      </c>
      <c r="I309" s="2" t="n">
        <f aca="false">(E309/100)*H309</f>
        <v>0</v>
      </c>
      <c r="J309" s="0" t="n">
        <v>0</v>
      </c>
      <c r="K309" s="6" t="n">
        <f aca="false">G309/E309</f>
        <v>0.834</v>
      </c>
      <c r="L309" s="7" t="n">
        <v>0.2</v>
      </c>
      <c r="M309" s="7" t="n">
        <f aca="false">3.6/G309</f>
        <v>0.0719424460431655</v>
      </c>
      <c r="N309" s="0" t="n">
        <v>0</v>
      </c>
      <c r="O309" s="0" t="n">
        <v>0</v>
      </c>
      <c r="P309" s="0" t="n">
        <v>0</v>
      </c>
      <c r="Q309" s="0" t="n">
        <v>0</v>
      </c>
      <c r="U309" s="0" t="s">
        <v>115</v>
      </c>
      <c r="V309" s="0" t="n">
        <v>1</v>
      </c>
    </row>
    <row r="310" customFormat="false" ht="12.8" hidden="false" customHeight="false" outlineLevel="0" collapsed="false">
      <c r="A310" s="10" t="s">
        <v>374</v>
      </c>
      <c r="B310" s="0" t="s">
        <v>20</v>
      </c>
      <c r="C310" s="0" t="s">
        <v>21</v>
      </c>
      <c r="D310" s="0" t="s">
        <v>383</v>
      </c>
      <c r="E310" s="0" t="n">
        <v>60</v>
      </c>
      <c r="F310" s="0" t="n">
        <v>83.4</v>
      </c>
      <c r="G310" s="1" t="n">
        <f aca="false">(E310/100)*F310</f>
        <v>50.04</v>
      </c>
      <c r="H310" s="0" t="n">
        <v>0</v>
      </c>
      <c r="I310" s="2" t="n">
        <f aca="false">(E310/100)*H310</f>
        <v>0</v>
      </c>
      <c r="J310" s="0" t="n">
        <v>80</v>
      </c>
      <c r="K310" s="6" t="n">
        <f aca="false">G310/E310</f>
        <v>0.834</v>
      </c>
      <c r="L310" s="7" t="n">
        <v>0.2</v>
      </c>
      <c r="M310" s="7" t="n">
        <f aca="false">3.6/G310</f>
        <v>0.0719424460431655</v>
      </c>
      <c r="N310" s="0" t="n">
        <v>0</v>
      </c>
      <c r="O310" s="0" t="n">
        <v>0</v>
      </c>
      <c r="P310" s="0" t="n">
        <v>0</v>
      </c>
      <c r="Q310" s="0" t="n">
        <v>0</v>
      </c>
      <c r="U310" s="0" t="s">
        <v>115</v>
      </c>
      <c r="V310" s="0" t="n">
        <v>1</v>
      </c>
    </row>
    <row r="311" customFormat="false" ht="12.8" hidden="false" customHeight="false" outlineLevel="0" collapsed="false">
      <c r="A311" s="10" t="s">
        <v>374</v>
      </c>
      <c r="B311" s="0" t="s">
        <v>36</v>
      </c>
      <c r="C311" s="0" t="s">
        <v>37</v>
      </c>
      <c r="D311" s="0" t="s">
        <v>384</v>
      </c>
      <c r="E311" s="0" t="n">
        <v>40</v>
      </c>
      <c r="F311" s="0" t="n">
        <v>70</v>
      </c>
      <c r="G311" s="1" t="n">
        <f aca="false">(E311/100)*F311</f>
        <v>28</v>
      </c>
      <c r="H311" s="0" t="n">
        <v>5.5</v>
      </c>
      <c r="I311" s="2" t="n">
        <f aca="false">(E311/100)*H311</f>
        <v>2.2</v>
      </c>
      <c r="J311" s="0" t="n">
        <v>0</v>
      </c>
      <c r="K311" s="6" t="n">
        <f aca="false">G311/E311</f>
        <v>0.7</v>
      </c>
      <c r="L311" s="7" t="n">
        <f aca="false">2*0.4</f>
        <v>0.8</v>
      </c>
      <c r="M311" s="7" t="n">
        <f aca="false">3.6/G311</f>
        <v>0.128571428571429</v>
      </c>
      <c r="N311" s="0" t="n">
        <v>0</v>
      </c>
      <c r="O311" s="0" t="n">
        <v>1</v>
      </c>
      <c r="P311" s="0" t="n">
        <v>0</v>
      </c>
      <c r="Q311" s="0" t="n">
        <v>0</v>
      </c>
      <c r="U311" s="0" t="s">
        <v>115</v>
      </c>
      <c r="V311" s="0" t="n">
        <v>1</v>
      </c>
    </row>
    <row r="312" customFormat="false" ht="12.8" hidden="false" customHeight="false" outlineLevel="0" collapsed="false">
      <c r="A312" s="10" t="s">
        <v>374</v>
      </c>
      <c r="B312" s="0" t="s">
        <v>36</v>
      </c>
      <c r="C312" s="0" t="s">
        <v>37</v>
      </c>
      <c r="D312" s="0" t="s">
        <v>385</v>
      </c>
      <c r="E312" s="0" t="n">
        <v>38</v>
      </c>
      <c r="F312" s="0" t="n">
        <v>80</v>
      </c>
      <c r="G312" s="1" t="n">
        <f aca="false">(E312/100)*F312</f>
        <v>30.4</v>
      </c>
      <c r="H312" s="0" t="n">
        <v>0</v>
      </c>
      <c r="I312" s="2" t="n">
        <f aca="false">(E312/100)*H312</f>
        <v>0</v>
      </c>
      <c r="J312" s="0" t="n">
        <v>0</v>
      </c>
      <c r="K312" s="6" t="n">
        <f aca="false">G312/E312</f>
        <v>0.8</v>
      </c>
      <c r="L312" s="7" t="n">
        <v>0.1</v>
      </c>
      <c r="M312" s="7" t="n">
        <f aca="false">(29.99/12)/G312</f>
        <v>0.0822094298245614</v>
      </c>
      <c r="N312" s="0" t="n">
        <v>0</v>
      </c>
      <c r="O312" s="0" t="n">
        <v>0</v>
      </c>
      <c r="P312" s="0" t="n">
        <v>0</v>
      </c>
      <c r="Q312" s="0" t="n">
        <v>0</v>
      </c>
      <c r="U312" s="0" t="s">
        <v>115</v>
      </c>
      <c r="V312" s="0" t="n">
        <v>1</v>
      </c>
    </row>
    <row r="313" customFormat="false" ht="12.8" hidden="false" customHeight="false" outlineLevel="0" collapsed="false">
      <c r="A313" s="10" t="s">
        <v>374</v>
      </c>
      <c r="B313" s="0" t="s">
        <v>36</v>
      </c>
      <c r="C313" s="0" t="s">
        <v>37</v>
      </c>
      <c r="D313" s="0" t="s">
        <v>386</v>
      </c>
      <c r="E313" s="0" t="n">
        <v>40</v>
      </c>
      <c r="F313" s="0" t="n">
        <v>83</v>
      </c>
      <c r="G313" s="1" t="n">
        <f aca="false">(E313/100)*F313</f>
        <v>33.2</v>
      </c>
      <c r="H313" s="0" t="n">
        <v>4.6</v>
      </c>
      <c r="I313" s="2" t="n">
        <f aca="false">(E313/100)*H313</f>
        <v>1.84</v>
      </c>
      <c r="J313" s="0" t="n">
        <v>0</v>
      </c>
      <c r="K313" s="6" t="n">
        <f aca="false">G313/E313</f>
        <v>0.83</v>
      </c>
      <c r="L313" s="7" t="n">
        <f aca="false">0.01*0.4</f>
        <v>0.004</v>
      </c>
      <c r="M313" s="7" t="n">
        <f aca="false">(35.99/12)/G313</f>
        <v>0.0903363453815261</v>
      </c>
      <c r="N313" s="0" t="n">
        <v>0</v>
      </c>
      <c r="O313" s="0" t="n">
        <v>0</v>
      </c>
      <c r="P313" s="0" t="n">
        <v>1</v>
      </c>
      <c r="Q313" s="0" t="n">
        <v>0</v>
      </c>
      <c r="U313" s="0" t="s">
        <v>115</v>
      </c>
      <c r="V313" s="0" t="n">
        <v>1</v>
      </c>
    </row>
    <row r="314" customFormat="false" ht="12.8" hidden="false" customHeight="false" outlineLevel="0" collapsed="false">
      <c r="A314" s="10" t="s">
        <v>374</v>
      </c>
      <c r="B314" s="0" t="s">
        <v>36</v>
      </c>
      <c r="C314" s="0" t="s">
        <v>37</v>
      </c>
      <c r="D314" s="0" t="s">
        <v>387</v>
      </c>
      <c r="E314" s="0" t="n">
        <v>55</v>
      </c>
      <c r="F314" s="0" t="n">
        <v>61</v>
      </c>
      <c r="G314" s="1" t="n">
        <f aca="false">(E314/100)*F314</f>
        <v>33.55</v>
      </c>
      <c r="H314" s="0" t="n">
        <v>7.3</v>
      </c>
      <c r="I314" s="2" t="n">
        <f aca="false">(E314/100)*H314</f>
        <v>4.015</v>
      </c>
      <c r="J314" s="0" t="n">
        <v>0</v>
      </c>
      <c r="K314" s="6" t="n">
        <f aca="false">G314/E314</f>
        <v>0.61</v>
      </c>
      <c r="L314" s="7" t="n">
        <v>0.156</v>
      </c>
      <c r="M314" s="7" t="n">
        <f aca="false">3.6/G314</f>
        <v>0.107302533532042</v>
      </c>
      <c r="N314" s="0" t="n">
        <v>0</v>
      </c>
      <c r="O314" s="0" t="n">
        <v>1</v>
      </c>
      <c r="P314" s="0" t="n">
        <v>0</v>
      </c>
      <c r="Q314" s="0" t="n">
        <v>1</v>
      </c>
      <c r="U314" s="0" t="s">
        <v>115</v>
      </c>
      <c r="V314" s="0" t="n">
        <v>1</v>
      </c>
    </row>
    <row r="315" customFormat="false" ht="12.8" hidden="false" customHeight="false" outlineLevel="0" collapsed="false">
      <c r="A315" s="10" t="s">
        <v>374</v>
      </c>
      <c r="B315" s="0" t="s">
        <v>36</v>
      </c>
      <c r="C315" s="0" t="s">
        <v>37</v>
      </c>
      <c r="D315" s="0" t="s">
        <v>388</v>
      </c>
      <c r="E315" s="0" t="n">
        <v>50</v>
      </c>
      <c r="F315" s="0" t="n">
        <v>62</v>
      </c>
      <c r="G315" s="1" t="n">
        <f aca="false">(E315/100)*F315</f>
        <v>31</v>
      </c>
      <c r="H315" s="0" t="n">
        <v>7.3</v>
      </c>
      <c r="I315" s="2" t="n">
        <f aca="false">(E315/100)*H315</f>
        <v>3.65</v>
      </c>
      <c r="J315" s="0" t="n">
        <v>0</v>
      </c>
      <c r="K315" s="6" t="n">
        <f aca="false">G315/E315</f>
        <v>0.62</v>
      </c>
      <c r="L315" s="7" t="n">
        <v>0</v>
      </c>
      <c r="M315" s="7" t="n">
        <f aca="false">(35.99/12)/G315</f>
        <v>0.096747311827957</v>
      </c>
      <c r="N315" s="0" t="n">
        <v>0</v>
      </c>
      <c r="O315" s="0" t="n">
        <v>0</v>
      </c>
      <c r="P315" s="0" t="n">
        <v>1</v>
      </c>
      <c r="Q315" s="0" t="n">
        <v>0</v>
      </c>
      <c r="U315" s="0" t="s">
        <v>115</v>
      </c>
      <c r="V315" s="0" t="n">
        <v>1</v>
      </c>
    </row>
    <row r="316" customFormat="false" ht="12.8" hidden="false" customHeight="false" outlineLevel="0" collapsed="false">
      <c r="A316" s="10" t="s">
        <v>374</v>
      </c>
      <c r="B316" s="0" t="s">
        <v>36</v>
      </c>
      <c r="C316" s="0" t="s">
        <v>37</v>
      </c>
      <c r="D316" s="0" t="s">
        <v>389</v>
      </c>
      <c r="E316" s="0" t="n">
        <v>40</v>
      </c>
      <c r="F316" s="0" t="n">
        <v>75.2</v>
      </c>
      <c r="G316" s="1" t="n">
        <f aca="false">(E316/100)*F316</f>
        <v>30.08</v>
      </c>
      <c r="H316" s="0" t="n">
        <v>7.3</v>
      </c>
      <c r="I316" s="2" t="n">
        <f aca="false">(E316/100)*H316</f>
        <v>2.92</v>
      </c>
      <c r="J316" s="0" t="n">
        <v>0</v>
      </c>
      <c r="K316" s="6" t="n">
        <f aca="false">G316/E316</f>
        <v>0.752</v>
      </c>
      <c r="L316" s="7" t="n">
        <v>0.1</v>
      </c>
      <c r="M316" s="7" t="n">
        <f aca="false">(35.99/12)/G316</f>
        <v>0.0997063386524823</v>
      </c>
      <c r="N316" s="0" t="n">
        <v>0</v>
      </c>
      <c r="O316" s="0" t="n">
        <v>0</v>
      </c>
      <c r="P316" s="0" t="n">
        <v>0</v>
      </c>
      <c r="Q316" s="0" t="n">
        <v>0</v>
      </c>
      <c r="U316" s="0" t="s">
        <v>115</v>
      </c>
      <c r="V316" s="0" t="n">
        <v>1</v>
      </c>
    </row>
    <row r="317" customFormat="false" ht="12.8" hidden="false" customHeight="false" outlineLevel="0" collapsed="false">
      <c r="A317" s="10" t="s">
        <v>374</v>
      </c>
      <c r="B317" s="0" t="s">
        <v>36</v>
      </c>
      <c r="C317" s="0" t="s">
        <v>37</v>
      </c>
      <c r="D317" s="0" t="s">
        <v>390</v>
      </c>
      <c r="E317" s="0" t="n">
        <v>30</v>
      </c>
      <c r="F317" s="0" t="n">
        <v>75</v>
      </c>
      <c r="G317" s="1" t="n">
        <f aca="false">(E317/100)*F317</f>
        <v>22.5</v>
      </c>
      <c r="H317" s="0" t="n">
        <v>7.3</v>
      </c>
      <c r="I317" s="2" t="n">
        <f aca="false">(E317/100)*H317</f>
        <v>2.19</v>
      </c>
      <c r="J317" s="0" t="n">
        <v>80</v>
      </c>
      <c r="K317" s="6" t="n">
        <f aca="false">G317/E317</f>
        <v>0.75</v>
      </c>
      <c r="L317" s="7" t="n">
        <v>0.004</v>
      </c>
      <c r="M317" s="7" t="n">
        <f aca="false">(35.99/12)/G317</f>
        <v>0.133296296296296</v>
      </c>
      <c r="N317" s="0" t="n">
        <v>0</v>
      </c>
      <c r="O317" s="0" t="n">
        <v>0</v>
      </c>
      <c r="P317" s="0" t="n">
        <v>0</v>
      </c>
      <c r="Q317" s="0" t="n">
        <v>0</v>
      </c>
      <c r="U317" s="0" t="s">
        <v>115</v>
      </c>
      <c r="V317" s="0" t="n">
        <v>1</v>
      </c>
    </row>
    <row r="318" customFormat="false" ht="12.8" hidden="false" customHeight="false" outlineLevel="0" collapsed="false">
      <c r="A318" s="10" t="s">
        <v>391</v>
      </c>
      <c r="B318" s="0" t="s">
        <v>36</v>
      </c>
      <c r="C318" s="0" t="s">
        <v>37</v>
      </c>
      <c r="D318" s="0" t="s">
        <v>392</v>
      </c>
      <c r="E318" s="0" t="n">
        <v>55</v>
      </c>
      <c r="F318" s="0" t="n">
        <v>62</v>
      </c>
      <c r="G318" s="1" t="n">
        <f aca="false">(E318/100)*F318</f>
        <v>34.1</v>
      </c>
      <c r="H318" s="0" t="n">
        <v>7.3</v>
      </c>
      <c r="I318" s="2" t="n">
        <f aca="false">(E318/100)*H318</f>
        <v>4.015</v>
      </c>
      <c r="J318" s="0" t="n">
        <v>100</v>
      </c>
      <c r="K318" s="6" t="n">
        <f aca="false">G318/E318</f>
        <v>0.62</v>
      </c>
      <c r="L318" s="7" t="n">
        <f aca="false">0.13*0.4</f>
        <v>0.052</v>
      </c>
      <c r="M318" s="7" t="n">
        <f aca="false">2.5/G318</f>
        <v>0.0733137829912023</v>
      </c>
      <c r="N318" s="0" t="n">
        <v>0</v>
      </c>
      <c r="O318" s="0" t="n">
        <v>0</v>
      </c>
      <c r="P318" s="0" t="n">
        <v>1</v>
      </c>
      <c r="Q318" s="0" t="n">
        <v>0</v>
      </c>
      <c r="V318" s="0" t="n">
        <v>0</v>
      </c>
    </row>
    <row r="319" customFormat="false" ht="12.8" hidden="false" customHeight="false" outlineLevel="0" collapsed="false">
      <c r="A319" s="10" t="s">
        <v>391</v>
      </c>
      <c r="B319" s="0" t="s">
        <v>36</v>
      </c>
      <c r="C319" s="0" t="s">
        <v>37</v>
      </c>
      <c r="D319" s="0" t="s">
        <v>393</v>
      </c>
      <c r="E319" s="0" t="n">
        <v>55</v>
      </c>
      <c r="F319" s="0" t="n">
        <v>59</v>
      </c>
      <c r="G319" s="1" t="n">
        <f aca="false">(E319/100)*F319</f>
        <v>32.45</v>
      </c>
      <c r="H319" s="0" t="n">
        <v>8.6</v>
      </c>
      <c r="I319" s="2" t="n">
        <f aca="false">(E319/100)*H319</f>
        <v>4.73</v>
      </c>
      <c r="J319" s="0" t="n">
        <v>0</v>
      </c>
      <c r="K319" s="6" t="n">
        <f aca="false">G319/E319</f>
        <v>0.59</v>
      </c>
      <c r="L319" s="7" t="n">
        <f aca="false">0.13*0.4</f>
        <v>0.052</v>
      </c>
      <c r="M319" s="7" t="n">
        <f aca="false">2.5/G319</f>
        <v>0.0770416024653313</v>
      </c>
      <c r="N319" s="0" t="n">
        <v>0</v>
      </c>
      <c r="O319" s="0" t="n">
        <v>0</v>
      </c>
      <c r="P319" s="0" t="n">
        <v>1</v>
      </c>
      <c r="Q319" s="0" t="n">
        <v>0</v>
      </c>
      <c r="V319" s="0" t="n">
        <v>0</v>
      </c>
    </row>
    <row r="320" customFormat="false" ht="12.8" hidden="false" customHeight="false" outlineLevel="0" collapsed="false">
      <c r="A320" s="10" t="s">
        <v>391</v>
      </c>
      <c r="B320" s="0" t="s">
        <v>36</v>
      </c>
      <c r="C320" s="0" t="s">
        <v>37</v>
      </c>
      <c r="D320" s="0" t="s">
        <v>394</v>
      </c>
      <c r="E320" s="0" t="n">
        <v>55</v>
      </c>
      <c r="F320" s="0" t="n">
        <v>50</v>
      </c>
      <c r="G320" s="1" t="n">
        <f aca="false">(E320/100)*F320</f>
        <v>27.5</v>
      </c>
      <c r="H320" s="0" t="n">
        <v>14</v>
      </c>
      <c r="I320" s="2" t="n">
        <f aca="false">(E320/100)*H320</f>
        <v>7.7</v>
      </c>
      <c r="J320" s="0" t="n">
        <v>0</v>
      </c>
      <c r="K320" s="6" t="n">
        <f aca="false">G320/E320</f>
        <v>0.5</v>
      </c>
      <c r="L320" s="7" t="n">
        <v>0.04</v>
      </c>
      <c r="M320" s="7" t="n">
        <f aca="false">2.2/G320</f>
        <v>0.08</v>
      </c>
      <c r="N320" s="0" t="n">
        <v>1</v>
      </c>
      <c r="O320" s="0" t="n">
        <v>0</v>
      </c>
      <c r="P320" s="0" t="n">
        <v>1</v>
      </c>
      <c r="Q320" s="0" t="n">
        <v>0</v>
      </c>
      <c r="V320" s="0" t="n">
        <v>0</v>
      </c>
    </row>
    <row r="321" customFormat="false" ht="12.8" hidden="false" customHeight="false" outlineLevel="0" collapsed="false">
      <c r="A321" s="10" t="s">
        <v>391</v>
      </c>
      <c r="B321" s="0" t="s">
        <v>36</v>
      </c>
      <c r="C321" s="0" t="s">
        <v>37</v>
      </c>
      <c r="D321" s="0" t="s">
        <v>395</v>
      </c>
      <c r="E321" s="0" t="n">
        <v>55</v>
      </c>
      <c r="F321" s="0" t="n">
        <v>57</v>
      </c>
      <c r="G321" s="1" t="n">
        <f aca="false">(E321/100)*F321</f>
        <v>31.35</v>
      </c>
      <c r="H321" s="0" t="n">
        <v>13</v>
      </c>
      <c r="I321" s="2" t="n">
        <f aca="false">(E321/100)*H321</f>
        <v>7.15</v>
      </c>
      <c r="J321" s="0" t="n">
        <v>1</v>
      </c>
      <c r="K321" s="6" t="n">
        <f aca="false">G321/E321</f>
        <v>0.57</v>
      </c>
      <c r="L321" s="7" t="n">
        <f aca="false">0.16*0.4</f>
        <v>0.064</v>
      </c>
      <c r="M321" s="7" t="n">
        <f aca="false">2.2/G321</f>
        <v>0.0701754385964912</v>
      </c>
      <c r="N321" s="0" t="n">
        <v>1</v>
      </c>
      <c r="O321" s="0" t="n">
        <v>0</v>
      </c>
      <c r="P321" s="0" t="n">
        <v>1</v>
      </c>
      <c r="Q321" s="0" t="n">
        <v>0</v>
      </c>
      <c r="V321" s="0" t="n">
        <v>0</v>
      </c>
    </row>
    <row r="322" customFormat="false" ht="12.8" hidden="false" customHeight="false" outlineLevel="0" collapsed="false">
      <c r="A322" s="10" t="s">
        <v>391</v>
      </c>
      <c r="B322" s="0" t="s">
        <v>36</v>
      </c>
      <c r="C322" s="0" t="s">
        <v>37</v>
      </c>
      <c r="D322" s="10" t="s">
        <v>396</v>
      </c>
      <c r="E322" s="0" t="n">
        <v>55</v>
      </c>
      <c r="F322" s="0" t="n">
        <v>52</v>
      </c>
      <c r="G322" s="1" t="n">
        <f aca="false">(E322/100)*F322</f>
        <v>28.6</v>
      </c>
      <c r="H322" s="0" t="n">
        <v>14</v>
      </c>
      <c r="I322" s="2" t="n">
        <f aca="false">(E322/100)*H322</f>
        <v>7.7</v>
      </c>
      <c r="J322" s="0" t="n">
        <v>0</v>
      </c>
      <c r="K322" s="6" t="n">
        <f aca="false">G322/E322</f>
        <v>0.52</v>
      </c>
      <c r="L322" s="7" t="n">
        <v>0.032</v>
      </c>
      <c r="M322" s="7" t="n">
        <f aca="false">2.2/G322</f>
        <v>0.0769230769230769</v>
      </c>
      <c r="N322" s="0" t="n">
        <v>1</v>
      </c>
      <c r="O322" s="0" t="n">
        <v>0</v>
      </c>
      <c r="P322" s="0" t="n">
        <v>1</v>
      </c>
      <c r="Q322" s="0" t="n">
        <v>1</v>
      </c>
      <c r="V322" s="0" t="n">
        <v>0</v>
      </c>
    </row>
    <row r="323" customFormat="false" ht="12.8" hidden="false" customHeight="false" outlineLevel="0" collapsed="false">
      <c r="A323" s="10" t="s">
        <v>391</v>
      </c>
      <c r="B323" s="0" t="s">
        <v>36</v>
      </c>
      <c r="C323" s="0" t="s">
        <v>37</v>
      </c>
      <c r="D323" s="0" t="s">
        <v>397</v>
      </c>
      <c r="E323" s="0" t="n">
        <v>55</v>
      </c>
      <c r="F323" s="0" t="n">
        <v>55</v>
      </c>
      <c r="G323" s="1" t="n">
        <f aca="false">(E323/100)*F323</f>
        <v>30.25</v>
      </c>
      <c r="H323" s="0" t="n">
        <v>13</v>
      </c>
      <c r="I323" s="2" t="n">
        <f aca="false">(E323/100)*H323</f>
        <v>7.15</v>
      </c>
      <c r="J323" s="0" t="n">
        <v>0</v>
      </c>
      <c r="K323" s="6" t="n">
        <f aca="false">G323/E323</f>
        <v>0.55</v>
      </c>
      <c r="L323" s="7" t="n">
        <f aca="false">0.2*0.4</f>
        <v>0.08</v>
      </c>
      <c r="M323" s="7" t="n">
        <f aca="false">2.2/G323</f>
        <v>0.0727272727272727</v>
      </c>
      <c r="N323" s="0" t="n">
        <v>1</v>
      </c>
      <c r="O323" s="0" t="n">
        <v>0</v>
      </c>
      <c r="P323" s="0" t="n">
        <v>1</v>
      </c>
      <c r="Q323" s="0" t="n">
        <v>0</v>
      </c>
      <c r="V323" s="0" t="n">
        <v>0</v>
      </c>
    </row>
    <row r="324" customFormat="false" ht="12.8" hidden="false" customHeight="false" outlineLevel="0" collapsed="false">
      <c r="A324" s="10" t="s">
        <v>391</v>
      </c>
      <c r="B324" s="0" t="s">
        <v>36</v>
      </c>
      <c r="C324" s="0" t="s">
        <v>37</v>
      </c>
      <c r="D324" s="0" t="s">
        <v>398</v>
      </c>
      <c r="E324" s="0" t="n">
        <v>55</v>
      </c>
      <c r="F324" s="0" t="n">
        <v>46</v>
      </c>
      <c r="G324" s="1" t="n">
        <f aca="false">(E324/100)*F324</f>
        <v>25.3</v>
      </c>
      <c r="H324" s="0" t="n">
        <v>15.5</v>
      </c>
      <c r="I324" s="2" t="n">
        <f aca="false">(E324/100)*H324</f>
        <v>8.525</v>
      </c>
      <c r="J324" s="0" t="n">
        <v>0</v>
      </c>
      <c r="K324" s="6" t="n">
        <f aca="false">G324/E324</f>
        <v>0.46</v>
      </c>
      <c r="L324" s="7" t="n">
        <v>0.04</v>
      </c>
      <c r="M324" s="7" t="n">
        <f aca="false">2.2/G324</f>
        <v>0.0869565217391305</v>
      </c>
      <c r="N324" s="0" t="n">
        <v>1</v>
      </c>
      <c r="O324" s="0" t="n">
        <v>1</v>
      </c>
      <c r="P324" s="0" t="n">
        <v>1</v>
      </c>
      <c r="Q324" s="0" t="n">
        <v>0</v>
      </c>
      <c r="V324" s="0" t="n">
        <v>0</v>
      </c>
    </row>
    <row r="325" customFormat="false" ht="12.8" hidden="false" customHeight="false" outlineLevel="0" collapsed="false">
      <c r="A325" s="10" t="s">
        <v>391</v>
      </c>
      <c r="B325" s="0" t="s">
        <v>45</v>
      </c>
      <c r="C325" s="0" t="s">
        <v>46</v>
      </c>
      <c r="D325" s="0" t="s">
        <v>399</v>
      </c>
      <c r="E325" s="0" t="n">
        <v>50</v>
      </c>
      <c r="F325" s="0" t="n">
        <v>52</v>
      </c>
      <c r="G325" s="1" t="n">
        <f aca="false">(E325/100)*F325</f>
        <v>26</v>
      </c>
      <c r="H325" s="0" t="n">
        <v>9</v>
      </c>
      <c r="I325" s="2" t="n">
        <f aca="false">(E325/100)*H325</f>
        <v>4.5</v>
      </c>
      <c r="J325" s="0" t="n">
        <v>0</v>
      </c>
      <c r="K325" s="6" t="n">
        <f aca="false">G325/E325</f>
        <v>0.52</v>
      </c>
      <c r="L325" s="7" t="n">
        <v>0.04</v>
      </c>
      <c r="M325" s="7" t="n">
        <f aca="false">2.3/G325</f>
        <v>0.0884615384615385</v>
      </c>
      <c r="N325" s="0" t="n">
        <v>1</v>
      </c>
      <c r="O325" s="0" t="n">
        <v>0</v>
      </c>
      <c r="P325" s="0" t="n">
        <v>1</v>
      </c>
      <c r="Q325" s="0" t="n">
        <v>0</v>
      </c>
      <c r="V325" s="0" t="n">
        <v>0</v>
      </c>
    </row>
    <row r="326" customFormat="false" ht="12.8" hidden="false" customHeight="false" outlineLevel="0" collapsed="false">
      <c r="A326" s="10" t="s">
        <v>391</v>
      </c>
      <c r="B326" s="0" t="s">
        <v>36</v>
      </c>
      <c r="C326" s="0" t="s">
        <v>37</v>
      </c>
      <c r="D326" s="0" t="s">
        <v>400</v>
      </c>
      <c r="E326" s="0" t="n">
        <v>35</v>
      </c>
      <c r="F326" s="0" t="n">
        <v>73</v>
      </c>
      <c r="G326" s="1" t="n">
        <f aca="false">(E326/100)*F326</f>
        <v>25.55</v>
      </c>
      <c r="H326" s="0" t="n">
        <v>1.2</v>
      </c>
      <c r="I326" s="2" t="n">
        <f aca="false">(E326/100)*H326</f>
        <v>0.42</v>
      </c>
      <c r="J326" s="0" t="n">
        <v>0</v>
      </c>
      <c r="K326" s="6" t="n">
        <f aca="false">G326/E326</f>
        <v>0.73</v>
      </c>
      <c r="L326" s="7" t="n">
        <f aca="false">0.03*0.4</f>
        <v>0.012</v>
      </c>
      <c r="M326" s="7" t="n">
        <f aca="false">2/G326</f>
        <v>0.0782778864970646</v>
      </c>
      <c r="N326" s="0" t="n">
        <v>0</v>
      </c>
      <c r="O326" s="0" t="n">
        <v>0</v>
      </c>
      <c r="P326" s="0" t="n">
        <v>0</v>
      </c>
      <c r="Q326" s="0" t="n">
        <v>0</v>
      </c>
      <c r="V326" s="0" t="n">
        <v>0</v>
      </c>
    </row>
    <row r="327" customFormat="false" ht="12.8" hidden="false" customHeight="false" outlineLevel="0" collapsed="false">
      <c r="A327" s="10" t="s">
        <v>391</v>
      </c>
      <c r="B327" s="0" t="s">
        <v>36</v>
      </c>
      <c r="C327" s="0" t="s">
        <v>37</v>
      </c>
      <c r="D327" s="0" t="s">
        <v>401</v>
      </c>
      <c r="E327" s="0" t="n">
        <v>35</v>
      </c>
      <c r="F327" s="0" t="n">
        <v>84</v>
      </c>
      <c r="G327" s="1" t="n">
        <f aca="false">(E327/100)*F327</f>
        <v>29.4</v>
      </c>
      <c r="H327" s="0" t="n">
        <v>0</v>
      </c>
      <c r="I327" s="2" t="n">
        <f aca="false">(E327/100)*H327</f>
        <v>0</v>
      </c>
      <c r="J327" s="0" t="n">
        <v>0</v>
      </c>
      <c r="K327" s="6" t="n">
        <f aca="false">G327/E327</f>
        <v>0.84</v>
      </c>
      <c r="L327" s="7" t="n">
        <f aca="false">0.07*0.4</f>
        <v>0.028</v>
      </c>
      <c r="M327" s="7" t="n">
        <f aca="false">2/G327</f>
        <v>0.0680272108843537</v>
      </c>
      <c r="N327" s="0" t="n">
        <v>0</v>
      </c>
      <c r="O327" s="0" t="n">
        <v>0</v>
      </c>
      <c r="P327" s="0" t="n">
        <v>0</v>
      </c>
      <c r="Q327" s="0" t="n">
        <v>0</v>
      </c>
      <c r="V327" s="0" t="n">
        <v>0</v>
      </c>
    </row>
    <row r="328" customFormat="false" ht="12.8" hidden="false" customHeight="false" outlineLevel="0" collapsed="false">
      <c r="A328" s="0" t="s">
        <v>391</v>
      </c>
      <c r="B328" s="0" t="s">
        <v>20</v>
      </c>
      <c r="C328" s="0" t="s">
        <v>21</v>
      </c>
      <c r="D328" s="0" t="s">
        <v>402</v>
      </c>
      <c r="E328" s="0" t="n">
        <v>35</v>
      </c>
      <c r="F328" s="0" t="n">
        <v>55</v>
      </c>
      <c r="G328" s="1" t="n">
        <f aca="false">(E328/100)*F328</f>
        <v>19.25</v>
      </c>
      <c r="H328" s="0" t="n">
        <v>0</v>
      </c>
      <c r="I328" s="2" t="n">
        <f aca="false">(E328/100)*H328</f>
        <v>0</v>
      </c>
      <c r="J328" s="0" t="n">
        <v>30</v>
      </c>
      <c r="K328" s="6" t="n">
        <f aca="false">G328/E328</f>
        <v>0.55</v>
      </c>
      <c r="L328" s="7" t="n">
        <v>0.03</v>
      </c>
      <c r="M328" s="7" t="n">
        <f aca="false">2.5/G328</f>
        <v>0.12987012987013</v>
      </c>
      <c r="N328" s="0" t="n">
        <v>1</v>
      </c>
      <c r="O328" s="0" t="n">
        <v>0</v>
      </c>
      <c r="P328" s="0" t="n">
        <v>0</v>
      </c>
      <c r="Q328" s="0" t="n">
        <v>0</v>
      </c>
      <c r="V328" s="0" t="n">
        <v>0</v>
      </c>
    </row>
    <row r="329" customFormat="false" ht="12.8" hidden="false" customHeight="false" outlineLevel="0" collapsed="false">
      <c r="A329" s="0" t="s">
        <v>391</v>
      </c>
      <c r="B329" s="0" t="s">
        <v>20</v>
      </c>
      <c r="C329" s="0" t="s">
        <v>21</v>
      </c>
      <c r="D329" s="0" t="s">
        <v>403</v>
      </c>
      <c r="E329" s="0" t="n">
        <v>35</v>
      </c>
      <c r="F329" s="0" t="n">
        <v>59</v>
      </c>
      <c r="G329" s="1" t="n">
        <f aca="false">(E329/100)*F329</f>
        <v>20.65</v>
      </c>
      <c r="H329" s="0" t="n">
        <v>0.5</v>
      </c>
      <c r="I329" s="2" t="n">
        <f aca="false">(E329/100)*H329</f>
        <v>0.175</v>
      </c>
      <c r="J329" s="0" t="n">
        <v>0</v>
      </c>
      <c r="K329" s="6" t="n">
        <f aca="false">G329/E329</f>
        <v>0.59</v>
      </c>
      <c r="L329" s="7" t="n">
        <f aca="false">0.03*0.4</f>
        <v>0.012</v>
      </c>
      <c r="M329" s="7" t="n">
        <f aca="false">2.5/G329</f>
        <v>0.121065375302663</v>
      </c>
      <c r="N329" s="0" t="n">
        <v>1</v>
      </c>
      <c r="O329" s="0" t="n">
        <v>0</v>
      </c>
      <c r="P329" s="0" t="n">
        <v>0</v>
      </c>
      <c r="Q329" s="0" t="n">
        <v>0</v>
      </c>
      <c r="V329" s="0" t="n">
        <v>0</v>
      </c>
    </row>
    <row r="330" customFormat="false" ht="12.8" hidden="false" customHeight="false" outlineLevel="0" collapsed="false">
      <c r="A330" s="0" t="s">
        <v>391</v>
      </c>
      <c r="B330" s="0" t="s">
        <v>20</v>
      </c>
      <c r="C330" s="0" t="s">
        <v>21</v>
      </c>
      <c r="D330" s="0" t="s">
        <v>404</v>
      </c>
      <c r="E330" s="0" t="n">
        <v>35</v>
      </c>
      <c r="F330" s="0" t="n">
        <v>75</v>
      </c>
      <c r="G330" s="1" t="n">
        <f aca="false">(E330/100)*F330</f>
        <v>26.25</v>
      </c>
      <c r="H330" s="0" t="n">
        <v>0</v>
      </c>
      <c r="I330" s="2" t="n">
        <f aca="false">(E330/100)*H330</f>
        <v>0</v>
      </c>
      <c r="J330" s="0" t="n">
        <v>20</v>
      </c>
      <c r="K330" s="6" t="n">
        <f aca="false">G330/E330</f>
        <v>0.75</v>
      </c>
      <c r="L330" s="7" t="n">
        <v>0.082</v>
      </c>
      <c r="M330" s="7" t="n">
        <f aca="false">2.5/G330</f>
        <v>0.0952380952380952</v>
      </c>
      <c r="N330" s="0" t="n">
        <v>1</v>
      </c>
      <c r="O330" s="0" t="n">
        <v>0</v>
      </c>
      <c r="P330" s="0" t="n">
        <v>0</v>
      </c>
      <c r="Q330" s="0" t="n">
        <v>0</v>
      </c>
      <c r="V330" s="0" t="n">
        <v>0</v>
      </c>
    </row>
    <row r="331" customFormat="false" ht="12.8" hidden="false" customHeight="false" outlineLevel="0" collapsed="false">
      <c r="A331" s="0" t="s">
        <v>391</v>
      </c>
      <c r="B331" s="0" t="s">
        <v>20</v>
      </c>
      <c r="C331" s="0" t="s">
        <v>21</v>
      </c>
      <c r="D331" s="0" t="s">
        <v>405</v>
      </c>
      <c r="E331" s="0" t="n">
        <v>35</v>
      </c>
      <c r="F331" s="0" t="n">
        <v>76</v>
      </c>
      <c r="G331" s="1" t="n">
        <f aca="false">(E331/100)*F331</f>
        <v>26.6</v>
      </c>
      <c r="H331" s="0" t="n">
        <v>0.1</v>
      </c>
      <c r="I331" s="2" t="n">
        <f aca="false">(E331/100)*H331</f>
        <v>0.035</v>
      </c>
      <c r="J331" s="0" t="n">
        <v>0</v>
      </c>
      <c r="K331" s="6" t="n">
        <f aca="false">G331/E331</f>
        <v>0.76</v>
      </c>
      <c r="L331" s="7" t="n">
        <v>0</v>
      </c>
      <c r="M331" s="7" t="n">
        <f aca="false">2.5/G331</f>
        <v>0.0939849624060151</v>
      </c>
      <c r="N331" s="0" t="n">
        <v>1</v>
      </c>
      <c r="O331" s="0" t="n">
        <v>0</v>
      </c>
      <c r="P331" s="0" t="n">
        <v>0</v>
      </c>
      <c r="Q331" s="0" t="n">
        <v>0</v>
      </c>
      <c r="V331" s="0" t="n">
        <v>0</v>
      </c>
    </row>
    <row r="332" customFormat="false" ht="12.8" hidden="false" customHeight="false" outlineLevel="0" collapsed="false">
      <c r="A332" s="0" t="s">
        <v>391</v>
      </c>
      <c r="B332" s="0" t="s">
        <v>25</v>
      </c>
      <c r="C332" s="0" t="s">
        <v>26</v>
      </c>
      <c r="D332" s="0" t="s">
        <v>406</v>
      </c>
      <c r="E332" s="0" t="n">
        <v>1</v>
      </c>
      <c r="F332" s="0" t="n">
        <v>90</v>
      </c>
      <c r="G332" s="1" t="n">
        <f aca="false">(E332/100)*F332</f>
        <v>0.9</v>
      </c>
      <c r="H332" s="0" t="n">
        <v>0</v>
      </c>
      <c r="I332" s="2" t="n">
        <f aca="false">(E332/100)*H332</f>
        <v>0</v>
      </c>
      <c r="J332" s="0" t="n">
        <v>0</v>
      </c>
      <c r="K332" s="6" t="n">
        <f aca="false">G332/E332</f>
        <v>0.9</v>
      </c>
      <c r="L332" s="7" t="n">
        <f aca="false">(1.5*0.4)/100</f>
        <v>0.006</v>
      </c>
      <c r="M332" s="7" t="n">
        <f aca="false">(22/600)/G332</f>
        <v>0.0407407407407407</v>
      </c>
      <c r="N332" s="0" t="n">
        <v>0</v>
      </c>
      <c r="O332" s="0" t="n">
        <v>0</v>
      </c>
      <c r="P332" s="0" t="n">
        <v>0</v>
      </c>
      <c r="Q332" s="0" t="n">
        <v>0</v>
      </c>
      <c r="V332" s="0" t="n">
        <v>0</v>
      </c>
    </row>
    <row r="333" customFormat="false" ht="12.8" hidden="false" customHeight="false" outlineLevel="0" collapsed="false">
      <c r="A333" s="0" t="s">
        <v>391</v>
      </c>
      <c r="B333" s="0" t="s">
        <v>25</v>
      </c>
      <c r="C333" s="0" t="s">
        <v>26</v>
      </c>
      <c r="D333" s="0" t="s">
        <v>407</v>
      </c>
      <c r="E333" s="0" t="n">
        <v>1</v>
      </c>
      <c r="F333" s="0" t="n">
        <v>78</v>
      </c>
      <c r="G333" s="1" t="n">
        <f aca="false">(E333/100)*F333</f>
        <v>0.78</v>
      </c>
      <c r="H333" s="0" t="n">
        <v>0</v>
      </c>
      <c r="I333" s="2" t="n">
        <f aca="false">(E333/100)*H333</f>
        <v>0</v>
      </c>
      <c r="J333" s="0" t="n">
        <v>0</v>
      </c>
      <c r="K333" s="6" t="n">
        <f aca="false">G333/E333</f>
        <v>0.78</v>
      </c>
      <c r="L333" s="7" t="n">
        <f aca="false">2.4/100</f>
        <v>0.024</v>
      </c>
      <c r="M333" s="7" t="n">
        <f aca="false">(22/450)/G333</f>
        <v>0.0626780626780627</v>
      </c>
      <c r="N333" s="0" t="n">
        <v>0</v>
      </c>
      <c r="O333" s="0" t="n">
        <v>0</v>
      </c>
      <c r="P333" s="0" t="n">
        <v>0</v>
      </c>
      <c r="Q333" s="0" t="n">
        <v>0</v>
      </c>
      <c r="V333" s="0" t="n">
        <v>0</v>
      </c>
    </row>
    <row r="334" customFormat="false" ht="12.8" hidden="false" customHeight="false" outlineLevel="0" collapsed="false">
      <c r="A334" s="10" t="s">
        <v>408</v>
      </c>
      <c r="B334" s="0" t="s">
        <v>20</v>
      </c>
      <c r="C334" s="0" t="s">
        <v>21</v>
      </c>
      <c r="D334" s="0" t="s">
        <v>409</v>
      </c>
      <c r="E334" s="0" t="n">
        <v>37</v>
      </c>
      <c r="F334" s="0" t="n">
        <v>74</v>
      </c>
      <c r="G334" s="1" t="n">
        <f aca="false">(E334/100)*F334</f>
        <v>27.38</v>
      </c>
      <c r="H334" s="0" t="n">
        <v>1.5</v>
      </c>
      <c r="I334" s="2" t="n">
        <f aca="false">(E334/100)*H334</f>
        <v>0.555</v>
      </c>
      <c r="J334" s="0" t="n">
        <v>0</v>
      </c>
      <c r="K334" s="6" t="n">
        <f aca="false">G334/E334</f>
        <v>0.74</v>
      </c>
      <c r="L334" s="7" t="n">
        <f aca="false">0.3*0.4</f>
        <v>0.12</v>
      </c>
      <c r="M334" s="7" t="n">
        <f aca="false">2.7/G334</f>
        <v>0.0986121256391527</v>
      </c>
      <c r="N334" s="0" t="n">
        <v>0</v>
      </c>
      <c r="O334" s="0" t="n">
        <v>0</v>
      </c>
      <c r="P334" s="0" t="n">
        <v>0</v>
      </c>
      <c r="Q334" s="0" t="n">
        <v>1</v>
      </c>
      <c r="V334" s="0" t="n">
        <v>0</v>
      </c>
    </row>
    <row r="335" customFormat="false" ht="12.8" hidden="false" customHeight="false" outlineLevel="0" collapsed="false">
      <c r="A335" s="10" t="s">
        <v>408</v>
      </c>
      <c r="B335" s="0" t="s">
        <v>20</v>
      </c>
      <c r="C335" s="0" t="s">
        <v>21</v>
      </c>
      <c r="D335" s="0" t="s">
        <v>410</v>
      </c>
      <c r="E335" s="0" t="n">
        <v>37</v>
      </c>
      <c r="F335" s="0" t="n">
        <v>72</v>
      </c>
      <c r="G335" s="1" t="n">
        <f aca="false">(E335/100)*F335</f>
        <v>26.64</v>
      </c>
      <c r="H335" s="0" t="n">
        <v>0.3</v>
      </c>
      <c r="I335" s="2" t="n">
        <f aca="false">(E335/100)*H335</f>
        <v>0.111</v>
      </c>
      <c r="J335" s="0" t="n">
        <v>0</v>
      </c>
      <c r="K335" s="6" t="n">
        <f aca="false">G335/E335</f>
        <v>0.72</v>
      </c>
      <c r="L335" s="7" t="n">
        <v>0.04</v>
      </c>
      <c r="M335" s="7" t="n">
        <f aca="false">2.7/G335</f>
        <v>0.101351351351351</v>
      </c>
      <c r="N335" s="0" t="n">
        <v>0</v>
      </c>
      <c r="O335" s="0" t="n">
        <v>0</v>
      </c>
      <c r="P335" s="0" t="n">
        <v>0</v>
      </c>
      <c r="Q335" s="0" t="n">
        <v>0</v>
      </c>
      <c r="V335" s="0" t="n">
        <v>0</v>
      </c>
    </row>
    <row r="336" customFormat="false" ht="12.8" hidden="false" customHeight="false" outlineLevel="0" collapsed="false">
      <c r="A336" s="10" t="s">
        <v>408</v>
      </c>
      <c r="B336" s="0" t="s">
        <v>20</v>
      </c>
      <c r="C336" s="0" t="s">
        <v>21</v>
      </c>
      <c r="D336" s="0" t="s">
        <v>411</v>
      </c>
      <c r="E336" s="0" t="n">
        <v>37</v>
      </c>
      <c r="F336" s="0" t="n">
        <v>75</v>
      </c>
      <c r="G336" s="1" t="n">
        <f aca="false">(E336/100)*F336</f>
        <v>27.75</v>
      </c>
      <c r="H336" s="0" t="n">
        <v>0.8</v>
      </c>
      <c r="I336" s="2" t="n">
        <f aca="false">(E336/100)*H336</f>
        <v>0.296</v>
      </c>
      <c r="J336" s="0" t="n">
        <v>50</v>
      </c>
      <c r="K336" s="6" t="n">
        <f aca="false">G336/E336</f>
        <v>0.75</v>
      </c>
      <c r="L336" s="7" t="n">
        <v>0.04</v>
      </c>
      <c r="M336" s="7" t="n">
        <f aca="false">2.7/G336</f>
        <v>0.0972972972972973</v>
      </c>
      <c r="N336" s="0" t="n">
        <v>0</v>
      </c>
      <c r="O336" s="0" t="n">
        <v>0</v>
      </c>
      <c r="P336" s="0" t="n">
        <v>0</v>
      </c>
      <c r="Q336" s="0" t="n">
        <v>0</v>
      </c>
      <c r="V336" s="0" t="n">
        <v>0</v>
      </c>
    </row>
    <row r="337" customFormat="false" ht="12.8" hidden="false" customHeight="false" outlineLevel="0" collapsed="false">
      <c r="A337" s="10" t="s">
        <v>408</v>
      </c>
      <c r="B337" s="0" t="s">
        <v>20</v>
      </c>
      <c r="C337" s="0" t="s">
        <v>21</v>
      </c>
      <c r="D337" s="0" t="s">
        <v>412</v>
      </c>
      <c r="E337" s="0" t="n">
        <v>37</v>
      </c>
      <c r="F337" s="0" t="n">
        <v>74</v>
      </c>
      <c r="G337" s="1" t="n">
        <f aca="false">(E337/100)*F337</f>
        <v>27.38</v>
      </c>
      <c r="H337" s="0" t="n">
        <v>1.5</v>
      </c>
      <c r="I337" s="2" t="n">
        <f aca="false">(E337/100)*H337</f>
        <v>0.555</v>
      </c>
      <c r="J337" s="0" t="n">
        <v>100</v>
      </c>
      <c r="K337" s="6" t="n">
        <f aca="false">G337/E337</f>
        <v>0.74</v>
      </c>
      <c r="L337" s="7" t="n">
        <v>0.04</v>
      </c>
      <c r="M337" s="7" t="n">
        <f aca="false">2.7/G337</f>
        <v>0.0986121256391527</v>
      </c>
      <c r="N337" s="0" t="n">
        <v>0</v>
      </c>
      <c r="O337" s="0" t="n">
        <v>1</v>
      </c>
      <c r="P337" s="0" t="n">
        <v>0</v>
      </c>
      <c r="Q337" s="0" t="n">
        <v>0</v>
      </c>
      <c r="V337" s="0" t="n">
        <v>0</v>
      </c>
    </row>
    <row r="338" customFormat="false" ht="12.8" hidden="false" customHeight="false" outlineLevel="0" collapsed="false">
      <c r="A338" s="10" t="s">
        <v>408</v>
      </c>
      <c r="B338" s="0" t="s">
        <v>27</v>
      </c>
      <c r="C338" s="0" t="s">
        <v>28</v>
      </c>
      <c r="D338" s="0" t="s">
        <v>413</v>
      </c>
      <c r="E338" s="0" t="n">
        <v>65</v>
      </c>
      <c r="F338" s="0" t="n">
        <v>54</v>
      </c>
      <c r="G338" s="1" t="n">
        <f aca="false">(E338/100)*F338</f>
        <v>35.1</v>
      </c>
      <c r="H338" s="0" t="n">
        <v>0.7</v>
      </c>
      <c r="I338" s="2" t="n">
        <f aca="false">(E338/100)*H338</f>
        <v>0.455</v>
      </c>
      <c r="J338" s="0" t="n">
        <v>0</v>
      </c>
      <c r="K338" s="6" t="n">
        <f aca="false">G338/E338</f>
        <v>0.54</v>
      </c>
      <c r="L338" s="7" t="n">
        <v>0.04</v>
      </c>
      <c r="M338" s="7" t="n">
        <f aca="false">2.8/G338</f>
        <v>0.0797720797720798</v>
      </c>
      <c r="N338" s="0" t="n">
        <v>1</v>
      </c>
      <c r="O338" s="0" t="n">
        <v>0</v>
      </c>
      <c r="P338" s="0" t="n">
        <v>0</v>
      </c>
      <c r="Q338" s="0" t="n">
        <v>0</v>
      </c>
      <c r="V338" s="0" t="n">
        <v>0</v>
      </c>
    </row>
    <row r="339" customFormat="false" ht="12.8" hidden="false" customHeight="false" outlineLevel="0" collapsed="false">
      <c r="A339" s="10" t="s">
        <v>408</v>
      </c>
      <c r="B339" s="0" t="s">
        <v>27</v>
      </c>
      <c r="C339" s="0" t="s">
        <v>28</v>
      </c>
      <c r="D339" s="0" t="s">
        <v>414</v>
      </c>
      <c r="E339" s="0" t="n">
        <v>65</v>
      </c>
      <c r="F339" s="0" t="n">
        <v>49</v>
      </c>
      <c r="G339" s="1" t="n">
        <f aca="false">(E339/100)*F339</f>
        <v>31.85</v>
      </c>
      <c r="H339" s="0" t="n">
        <v>1</v>
      </c>
      <c r="I339" s="2" t="n">
        <f aca="false">(E339/100)*H339</f>
        <v>0.65</v>
      </c>
      <c r="J339" s="0" t="n">
        <v>0</v>
      </c>
      <c r="K339" s="6" t="n">
        <f aca="false">G339/E339</f>
        <v>0.49</v>
      </c>
      <c r="L339" s="7" t="n">
        <v>0.04</v>
      </c>
      <c r="M339" s="7" t="n">
        <f aca="false">2.8/G339</f>
        <v>0.0879120879120879</v>
      </c>
      <c r="N339" s="0" t="n">
        <v>0</v>
      </c>
      <c r="O339" s="0" t="n">
        <v>0</v>
      </c>
      <c r="P339" s="0" t="n">
        <v>0</v>
      </c>
      <c r="Q339" s="0" t="n">
        <v>0</v>
      </c>
      <c r="V339" s="0" t="n">
        <v>0</v>
      </c>
    </row>
    <row r="340" customFormat="false" ht="12.8" hidden="false" customHeight="false" outlineLevel="0" collapsed="false">
      <c r="A340" s="10" t="s">
        <v>408</v>
      </c>
      <c r="B340" s="0" t="s">
        <v>32</v>
      </c>
      <c r="C340" s="0" t="s">
        <v>33</v>
      </c>
      <c r="D340" s="0" t="s">
        <v>415</v>
      </c>
      <c r="E340" s="0" t="n">
        <v>65</v>
      </c>
      <c r="F340" s="0" t="n">
        <v>49</v>
      </c>
      <c r="G340" s="1" t="n">
        <f aca="false">(E340/100)*F340</f>
        <v>31.85</v>
      </c>
      <c r="H340" s="0" t="n">
        <v>1</v>
      </c>
      <c r="I340" s="2" t="n">
        <f aca="false">(E340/100)*H340</f>
        <v>0.65</v>
      </c>
      <c r="J340" s="0" t="n">
        <v>0</v>
      </c>
      <c r="K340" s="6" t="n">
        <f aca="false">G340/E340</f>
        <v>0.49</v>
      </c>
      <c r="L340" s="7" t="n">
        <f aca="false">0.03*0.4</f>
        <v>0.012</v>
      </c>
      <c r="M340" s="7" t="n">
        <f aca="false">2.8/G340</f>
        <v>0.0879120879120879</v>
      </c>
      <c r="N340" s="0" t="n">
        <v>0</v>
      </c>
      <c r="O340" s="0" t="n">
        <v>0</v>
      </c>
      <c r="P340" s="0" t="n">
        <v>0</v>
      </c>
      <c r="Q340" s="0" t="n">
        <v>0</v>
      </c>
      <c r="V340" s="0" t="n">
        <v>0</v>
      </c>
    </row>
    <row r="341" customFormat="false" ht="12.8" hidden="false" customHeight="false" outlineLevel="0" collapsed="false">
      <c r="A341" s="10" t="s">
        <v>408</v>
      </c>
      <c r="B341" s="0" t="s">
        <v>27</v>
      </c>
      <c r="C341" s="0" t="s">
        <v>28</v>
      </c>
      <c r="D341" s="0" t="s">
        <v>416</v>
      </c>
      <c r="E341" s="0" t="n">
        <v>65</v>
      </c>
      <c r="F341" s="0" t="n">
        <v>54</v>
      </c>
      <c r="G341" s="1" t="n">
        <f aca="false">(E341/100)*F341</f>
        <v>35.1</v>
      </c>
      <c r="H341" s="0" t="n">
        <v>0.7</v>
      </c>
      <c r="I341" s="2" t="n">
        <f aca="false">(E341/100)*H341</f>
        <v>0.455</v>
      </c>
      <c r="J341" s="0" t="n">
        <v>0</v>
      </c>
      <c r="K341" s="6" t="n">
        <f aca="false">G341/E341</f>
        <v>0.54</v>
      </c>
      <c r="L341" s="7" t="n">
        <v>0.04</v>
      </c>
      <c r="M341" s="7" t="n">
        <f aca="false">2.8/G341</f>
        <v>0.0797720797720798</v>
      </c>
      <c r="N341" s="0" t="n">
        <v>0</v>
      </c>
      <c r="O341" s="0" t="n">
        <v>0</v>
      </c>
      <c r="P341" s="0" t="n">
        <v>0</v>
      </c>
      <c r="Q341" s="0" t="n">
        <v>0</v>
      </c>
      <c r="V341" s="0" t="n">
        <v>0</v>
      </c>
    </row>
    <row r="342" customFormat="false" ht="12.8" hidden="false" customHeight="false" outlineLevel="0" collapsed="false">
      <c r="A342" s="10" t="s">
        <v>408</v>
      </c>
      <c r="B342" s="0" t="s">
        <v>36</v>
      </c>
      <c r="C342" s="0" t="s">
        <v>37</v>
      </c>
      <c r="D342" s="0" t="s">
        <v>417</v>
      </c>
      <c r="E342" s="0" t="n">
        <v>40</v>
      </c>
      <c r="F342" s="0" t="n">
        <v>64</v>
      </c>
      <c r="G342" s="1" t="n">
        <f aca="false">(E342/100)*F342</f>
        <v>25.6</v>
      </c>
      <c r="H342" s="0" t="n">
        <v>11</v>
      </c>
      <c r="I342" s="2" t="n">
        <f aca="false">(E342/100)*H342</f>
        <v>4.4</v>
      </c>
      <c r="J342" s="0" t="n">
        <v>0</v>
      </c>
      <c r="K342" s="6" t="n">
        <f aca="false">G342/E342</f>
        <v>0.64</v>
      </c>
      <c r="L342" s="7" t="n">
        <v>0.08</v>
      </c>
      <c r="M342" s="7" t="n">
        <f aca="false">2.5/G342</f>
        <v>0.09765625</v>
      </c>
      <c r="N342" s="0" t="n">
        <v>1</v>
      </c>
      <c r="O342" s="0" t="n">
        <v>1</v>
      </c>
      <c r="P342" s="0" t="n">
        <v>0</v>
      </c>
      <c r="Q342" s="0" t="n">
        <v>0</v>
      </c>
      <c r="V342" s="0" t="n">
        <v>0</v>
      </c>
    </row>
    <row r="343" customFormat="false" ht="12.8" hidden="false" customHeight="false" outlineLevel="0" collapsed="false">
      <c r="A343" s="10" t="s">
        <v>408</v>
      </c>
      <c r="B343" s="0" t="s">
        <v>36</v>
      </c>
      <c r="C343" s="0" t="s">
        <v>37</v>
      </c>
      <c r="D343" s="0" t="s">
        <v>418</v>
      </c>
      <c r="E343" s="0" t="n">
        <v>40</v>
      </c>
      <c r="F343" s="0" t="n">
        <v>64</v>
      </c>
      <c r="G343" s="1" t="n">
        <f aca="false">(E343/100)*F343</f>
        <v>25.6</v>
      </c>
      <c r="H343" s="0" t="n">
        <v>6.8</v>
      </c>
      <c r="I343" s="2" t="n">
        <f aca="false">(E343/100)*H343</f>
        <v>2.72</v>
      </c>
      <c r="J343" s="0" t="n">
        <v>0</v>
      </c>
      <c r="K343" s="6" t="n">
        <f aca="false">G343/E343</f>
        <v>0.64</v>
      </c>
      <c r="L343" s="7" t="n">
        <f aca="false">0.06*0.4</f>
        <v>0.024</v>
      </c>
      <c r="M343" s="7" t="n">
        <f aca="false">2.5/G343</f>
        <v>0.09765625</v>
      </c>
      <c r="N343" s="0" t="n">
        <v>0</v>
      </c>
      <c r="O343" s="0" t="n">
        <v>1</v>
      </c>
      <c r="P343" s="0" t="n">
        <v>0</v>
      </c>
      <c r="Q343" s="0" t="n">
        <v>0</v>
      </c>
      <c r="V343" s="0" t="n">
        <v>0</v>
      </c>
    </row>
    <row r="344" customFormat="false" ht="12.8" hidden="false" customHeight="false" outlineLevel="0" collapsed="false">
      <c r="A344" s="10" t="s">
        <v>408</v>
      </c>
      <c r="B344" s="0" t="s">
        <v>36</v>
      </c>
      <c r="C344" s="0" t="s">
        <v>37</v>
      </c>
      <c r="D344" s="0" t="s">
        <v>419</v>
      </c>
      <c r="E344" s="0" t="n">
        <v>40</v>
      </c>
      <c r="F344" s="0" t="n">
        <v>54.3</v>
      </c>
      <c r="G344" s="1" t="n">
        <f aca="false">(E344/100)*F344</f>
        <v>21.72</v>
      </c>
      <c r="H344" s="0" t="n">
        <v>5.5</v>
      </c>
      <c r="I344" s="2" t="n">
        <f aca="false">(E344/100)*H344</f>
        <v>2.2</v>
      </c>
      <c r="J344" s="0" t="n">
        <v>0</v>
      </c>
      <c r="K344" s="6" t="n">
        <f aca="false">G344/E344</f>
        <v>0.543</v>
      </c>
      <c r="L344" s="7" t="n">
        <f aca="false">0.03*0.4</f>
        <v>0.012</v>
      </c>
      <c r="M344" s="7" t="n">
        <f aca="false">2.5/G344</f>
        <v>0.115101289134438</v>
      </c>
      <c r="N344" s="0" t="n">
        <v>1</v>
      </c>
      <c r="O344" s="0" t="n">
        <v>1</v>
      </c>
      <c r="P344" s="0" t="n">
        <v>1</v>
      </c>
      <c r="Q344" s="0" t="n">
        <v>0</v>
      </c>
      <c r="V344" s="0" t="n">
        <v>0</v>
      </c>
    </row>
    <row r="345" customFormat="false" ht="12.8" hidden="false" customHeight="false" outlineLevel="0" collapsed="false">
      <c r="A345" s="10" t="s">
        <v>408</v>
      </c>
      <c r="B345" s="0" t="s">
        <v>36</v>
      </c>
      <c r="C345" s="0" t="s">
        <v>37</v>
      </c>
      <c r="D345" s="0" t="s">
        <v>420</v>
      </c>
      <c r="E345" s="0" t="n">
        <v>40</v>
      </c>
      <c r="F345" s="0" t="n">
        <v>63.6</v>
      </c>
      <c r="G345" s="1" t="n">
        <f aca="false">(E345/100)*F345</f>
        <v>25.44</v>
      </c>
      <c r="H345" s="0" t="n">
        <v>13.4</v>
      </c>
      <c r="I345" s="2" t="n">
        <f aca="false">(E345/100)*H345</f>
        <v>5.36</v>
      </c>
      <c r="J345" s="0" t="n">
        <v>0</v>
      </c>
      <c r="K345" s="6" t="n">
        <f aca="false">G345/E345</f>
        <v>0.636</v>
      </c>
      <c r="L345" s="7" t="n">
        <f aca="false">0.12*0.4</f>
        <v>0.048</v>
      </c>
      <c r="M345" s="7" t="n">
        <f aca="false">2.5/G345</f>
        <v>0.0982704402515723</v>
      </c>
      <c r="N345" s="0" t="n">
        <v>1</v>
      </c>
      <c r="O345" s="0" t="n">
        <v>1</v>
      </c>
      <c r="P345" s="0" t="n">
        <v>1</v>
      </c>
      <c r="Q345" s="0" t="n">
        <v>0</v>
      </c>
      <c r="V345" s="0" t="n">
        <v>0</v>
      </c>
    </row>
    <row r="346" customFormat="false" ht="12.8" hidden="false" customHeight="false" outlineLevel="0" collapsed="false">
      <c r="A346" s="10" t="s">
        <v>408</v>
      </c>
      <c r="B346" s="0" t="s">
        <v>36</v>
      </c>
      <c r="C346" s="0" t="s">
        <v>37</v>
      </c>
      <c r="D346" s="0" t="s">
        <v>421</v>
      </c>
      <c r="E346" s="0" t="n">
        <v>40</v>
      </c>
      <c r="F346" s="0" t="n">
        <v>61</v>
      </c>
      <c r="G346" s="1" t="n">
        <f aca="false">(E346/100)*F346</f>
        <v>24.4</v>
      </c>
      <c r="H346" s="0" t="n">
        <v>5.9</v>
      </c>
      <c r="I346" s="2" t="n">
        <f aca="false">(E346/100)*H346</f>
        <v>2.36</v>
      </c>
      <c r="J346" s="0" t="n">
        <v>0</v>
      </c>
      <c r="K346" s="6" t="n">
        <f aca="false">G346/E346</f>
        <v>0.61</v>
      </c>
      <c r="L346" s="7" t="n">
        <f aca="false">0.03*0.4</f>
        <v>0.012</v>
      </c>
      <c r="M346" s="7" t="n">
        <f aca="false">2.5/G346</f>
        <v>0.102459016393443</v>
      </c>
      <c r="N346" s="0" t="n">
        <v>0</v>
      </c>
      <c r="O346" s="0" t="n">
        <v>1</v>
      </c>
      <c r="P346" s="0" t="n">
        <v>1</v>
      </c>
      <c r="Q346" s="0" t="n">
        <v>0</v>
      </c>
      <c r="V346" s="0" t="n">
        <v>0</v>
      </c>
    </row>
    <row r="347" customFormat="false" ht="12.8" hidden="false" customHeight="false" outlineLevel="0" collapsed="false">
      <c r="A347" s="10" t="s">
        <v>408</v>
      </c>
      <c r="B347" s="0" t="s">
        <v>36</v>
      </c>
      <c r="C347" s="0" t="s">
        <v>37</v>
      </c>
      <c r="D347" s="0" t="s">
        <v>422</v>
      </c>
      <c r="E347" s="0" t="n">
        <v>40</v>
      </c>
      <c r="F347" s="0" t="n">
        <v>59.4</v>
      </c>
      <c r="G347" s="1" t="n">
        <f aca="false">(E347/100)*F347</f>
        <v>23.76</v>
      </c>
      <c r="H347" s="0" t="n">
        <v>12.5</v>
      </c>
      <c r="I347" s="2" t="n">
        <f aca="false">(E347/100)*H347</f>
        <v>5</v>
      </c>
      <c r="J347" s="0" t="n">
        <v>0</v>
      </c>
      <c r="K347" s="6" t="n">
        <f aca="false">G347/E347</f>
        <v>0.594</v>
      </c>
      <c r="L347" s="7" t="n">
        <f aca="false">0.14*0.4</f>
        <v>0.056</v>
      </c>
      <c r="M347" s="7" t="n">
        <f aca="false">2.5/G347</f>
        <v>0.105218855218855</v>
      </c>
      <c r="N347" s="0" t="n">
        <v>0</v>
      </c>
      <c r="O347" s="0" t="n">
        <v>1</v>
      </c>
      <c r="P347" s="0" t="n">
        <v>0</v>
      </c>
      <c r="Q347" s="0" t="n">
        <v>0</v>
      </c>
      <c r="V347" s="0" t="n">
        <v>0</v>
      </c>
    </row>
    <row r="348" customFormat="false" ht="12.8" hidden="false" customHeight="false" outlineLevel="0" collapsed="false">
      <c r="A348" s="10" t="s">
        <v>408</v>
      </c>
      <c r="B348" s="0" t="s">
        <v>25</v>
      </c>
      <c r="C348" s="0" t="s">
        <v>26</v>
      </c>
      <c r="D348" s="0" t="s">
        <v>423</v>
      </c>
      <c r="E348" s="0" t="n">
        <v>1</v>
      </c>
      <c r="F348" s="0" t="n">
        <v>88.6</v>
      </c>
      <c r="G348" s="1" t="n">
        <f aca="false">(E348/100)*F348</f>
        <v>0.886</v>
      </c>
      <c r="H348" s="0" t="n">
        <v>0</v>
      </c>
      <c r="I348" s="2" t="n">
        <f aca="false">(E348/100)*H348</f>
        <v>0</v>
      </c>
      <c r="J348" s="0" t="n">
        <v>0</v>
      </c>
      <c r="K348" s="6" t="n">
        <f aca="false">G348/E348</f>
        <v>0.886</v>
      </c>
      <c r="L348" s="7" t="n">
        <f aca="false">(1.9*0.4)/100</f>
        <v>0.0076</v>
      </c>
      <c r="M348" s="7" t="n">
        <f aca="false">(24/600)/G348</f>
        <v>0.0451467268623025</v>
      </c>
      <c r="N348" s="0" t="n">
        <v>0</v>
      </c>
      <c r="O348" s="0" t="n">
        <v>0</v>
      </c>
      <c r="P348" s="0" t="n">
        <v>0</v>
      </c>
      <c r="Q348" s="0" t="n">
        <v>0</v>
      </c>
      <c r="R348" s="0" t="n">
        <f aca="false">2530/100</f>
        <v>25.3</v>
      </c>
      <c r="S348" s="0" t="s">
        <v>63</v>
      </c>
      <c r="U348" s="11" t="s">
        <v>424</v>
      </c>
      <c r="V348" s="0" t="n">
        <v>1</v>
      </c>
    </row>
    <row r="349" customFormat="false" ht="12.8" hidden="false" customHeight="false" outlineLevel="0" collapsed="false">
      <c r="A349" s="10" t="s">
        <v>425</v>
      </c>
      <c r="B349" s="0" t="s">
        <v>25</v>
      </c>
      <c r="C349" s="0" t="s">
        <v>26</v>
      </c>
      <c r="D349" s="0" t="s">
        <v>426</v>
      </c>
      <c r="E349" s="0" t="n">
        <v>1</v>
      </c>
      <c r="F349" s="0" t="n">
        <v>94</v>
      </c>
      <c r="G349" s="1" t="n">
        <f aca="false">(E349/100)*F349</f>
        <v>0.94</v>
      </c>
      <c r="H349" s="0" t="n">
        <v>0</v>
      </c>
      <c r="I349" s="2" t="n">
        <f aca="false">(E349/100)*H349</f>
        <v>0</v>
      </c>
      <c r="J349" s="0" t="n">
        <v>0</v>
      </c>
      <c r="K349" s="6" t="n">
        <f aca="false">G349/E349</f>
        <v>0.94</v>
      </c>
      <c r="L349" s="7" t="n">
        <f aca="false">0.6/100</f>
        <v>0.006</v>
      </c>
      <c r="M349" s="7" t="n">
        <f aca="false">(14.99/800)/G349</f>
        <v>0.0199335106382979</v>
      </c>
      <c r="N349" s="0" t="n">
        <v>0</v>
      </c>
      <c r="O349" s="0" t="n">
        <v>0</v>
      </c>
      <c r="P349" s="0" t="n">
        <v>0</v>
      </c>
      <c r="Q349" s="0" t="n">
        <v>0</v>
      </c>
      <c r="V349" s="0" t="n">
        <v>0</v>
      </c>
    </row>
    <row r="350" customFormat="false" ht="12.8" hidden="false" customHeight="false" outlineLevel="0" collapsed="false">
      <c r="A350" s="10" t="s">
        <v>425</v>
      </c>
      <c r="B350" s="0" t="s">
        <v>20</v>
      </c>
      <c r="C350" s="0" t="s">
        <v>21</v>
      </c>
      <c r="D350" s="0" t="s">
        <v>427</v>
      </c>
      <c r="E350" s="0" t="n">
        <v>50</v>
      </c>
      <c r="F350" s="0" t="n">
        <v>59</v>
      </c>
      <c r="G350" s="1" t="n">
        <f aca="false">(E350/100)*F350</f>
        <v>29.5</v>
      </c>
      <c r="H350" s="0" t="n">
        <v>0</v>
      </c>
      <c r="I350" s="2" t="n">
        <f aca="false">(E350/100)*H350</f>
        <v>0</v>
      </c>
      <c r="J350" s="0" t="n">
        <v>0</v>
      </c>
      <c r="K350" s="6" t="n">
        <f aca="false">G350/E350</f>
        <v>0.59</v>
      </c>
      <c r="L350" s="7" t="n">
        <v>0.004</v>
      </c>
      <c r="M350" s="7" t="n">
        <f aca="false">(3.56/4)/G350</f>
        <v>0.0301694915254237</v>
      </c>
      <c r="N350" s="0" t="n">
        <v>0</v>
      </c>
      <c r="O350" s="0" t="n">
        <v>0</v>
      </c>
      <c r="P350" s="0" t="n">
        <v>0</v>
      </c>
      <c r="Q350" s="0" t="n">
        <v>0</v>
      </c>
      <c r="V350" s="0" t="n">
        <v>0</v>
      </c>
    </row>
    <row r="351" customFormat="false" ht="12.8" hidden="false" customHeight="false" outlineLevel="0" collapsed="false">
      <c r="A351" s="10" t="s">
        <v>425</v>
      </c>
      <c r="B351" s="0" t="s">
        <v>20</v>
      </c>
      <c r="C351" s="0" t="s">
        <v>21</v>
      </c>
      <c r="D351" s="0" t="s">
        <v>428</v>
      </c>
      <c r="E351" s="0" t="n">
        <v>25</v>
      </c>
      <c r="F351" s="0" t="n">
        <v>59</v>
      </c>
      <c r="G351" s="1" t="n">
        <f aca="false">(E351/100)*F351</f>
        <v>14.75</v>
      </c>
      <c r="H351" s="0" t="n">
        <v>0</v>
      </c>
      <c r="I351" s="2" t="n">
        <f aca="false">(E351/100)*H351</f>
        <v>0</v>
      </c>
      <c r="J351" s="0" t="n">
        <v>0</v>
      </c>
      <c r="K351" s="6" t="n">
        <f aca="false">G351/E351</f>
        <v>0.59</v>
      </c>
      <c r="L351" s="7" t="n">
        <v>0.002</v>
      </c>
      <c r="M351" s="7" t="n">
        <f aca="false">(16.56/24)/G351</f>
        <v>0.0467796610169492</v>
      </c>
      <c r="N351" s="0" t="n">
        <v>0</v>
      </c>
      <c r="O351" s="0" t="n">
        <v>0</v>
      </c>
      <c r="P351" s="0" t="n">
        <v>0</v>
      </c>
      <c r="Q351" s="0" t="n">
        <v>0</v>
      </c>
      <c r="V351" s="0" t="n">
        <v>0</v>
      </c>
    </row>
    <row r="352" customFormat="false" ht="12.8" hidden="false" customHeight="false" outlineLevel="0" collapsed="false">
      <c r="A352" s="10" t="s">
        <v>425</v>
      </c>
      <c r="B352" s="0" t="s">
        <v>20</v>
      </c>
      <c r="C352" s="0" t="s">
        <v>21</v>
      </c>
      <c r="D352" s="0" t="s">
        <v>429</v>
      </c>
      <c r="E352" s="0" t="n">
        <v>50</v>
      </c>
      <c r="F352" s="0" t="n">
        <v>59</v>
      </c>
      <c r="G352" s="1" t="n">
        <f aca="false">(E352/100)*F352</f>
        <v>29.5</v>
      </c>
      <c r="H352" s="0" t="n">
        <v>0</v>
      </c>
      <c r="I352" s="2" t="n">
        <f aca="false">(E352/100)*H352</f>
        <v>0</v>
      </c>
      <c r="J352" s="0" t="n">
        <v>100</v>
      </c>
      <c r="K352" s="6" t="n">
        <f aca="false">G352/E352</f>
        <v>0.59</v>
      </c>
      <c r="L352" s="7" t="n">
        <v>0.004</v>
      </c>
      <c r="M352" s="7" t="n">
        <f aca="false">(3.96/4)/G352</f>
        <v>0.0335593220338983</v>
      </c>
      <c r="N352" s="0" t="n">
        <v>0</v>
      </c>
      <c r="O352" s="0" t="n">
        <v>0</v>
      </c>
      <c r="P352" s="0" t="n">
        <v>0</v>
      </c>
      <c r="Q352" s="0" t="n">
        <v>0</v>
      </c>
      <c r="V352" s="0" t="n">
        <v>0</v>
      </c>
    </row>
    <row r="353" customFormat="false" ht="12.8" hidden="false" customHeight="false" outlineLevel="0" collapsed="false">
      <c r="A353" s="10" t="s">
        <v>425</v>
      </c>
      <c r="B353" s="0" t="s">
        <v>20</v>
      </c>
      <c r="C353" s="0" t="s">
        <v>21</v>
      </c>
      <c r="D353" s="0" t="s">
        <v>430</v>
      </c>
      <c r="E353" s="0" t="n">
        <v>25</v>
      </c>
      <c r="F353" s="0" t="n">
        <v>59</v>
      </c>
      <c r="G353" s="1" t="n">
        <f aca="false">(E353/100)*F353</f>
        <v>14.75</v>
      </c>
      <c r="H353" s="0" t="n">
        <v>0</v>
      </c>
      <c r="I353" s="2" t="n">
        <f aca="false">(E353/100)*H353</f>
        <v>0</v>
      </c>
      <c r="J353" s="0" t="n">
        <v>50</v>
      </c>
      <c r="K353" s="6" t="n">
        <f aca="false">G353/E353</f>
        <v>0.59</v>
      </c>
      <c r="L353" s="7" t="n">
        <v>0.002</v>
      </c>
      <c r="M353" s="7" t="n">
        <f aca="false">(18.96/24)/G353</f>
        <v>0.0535593220338983</v>
      </c>
      <c r="N353" s="0" t="n">
        <v>0</v>
      </c>
      <c r="O353" s="0" t="n">
        <v>0</v>
      </c>
      <c r="P353" s="0" t="n">
        <v>0</v>
      </c>
      <c r="Q353" s="0" t="n">
        <v>0</v>
      </c>
      <c r="V353" s="0" t="n">
        <v>0</v>
      </c>
    </row>
    <row r="354" customFormat="false" ht="12.8" hidden="false" customHeight="false" outlineLevel="0" collapsed="false">
      <c r="A354" s="10" t="s">
        <v>425</v>
      </c>
      <c r="B354" s="0" t="s">
        <v>36</v>
      </c>
      <c r="C354" s="0" t="s">
        <v>37</v>
      </c>
      <c r="D354" s="0" t="s">
        <v>431</v>
      </c>
      <c r="E354" s="0" t="n">
        <v>40</v>
      </c>
      <c r="F354" s="0" t="n">
        <v>59</v>
      </c>
      <c r="G354" s="1" t="n">
        <f aca="false">(E354/100)*F354</f>
        <v>23.6</v>
      </c>
      <c r="H354" s="0" t="n">
        <v>15</v>
      </c>
      <c r="I354" s="2" t="n">
        <f aca="false">(E354/100)*H354</f>
        <v>6</v>
      </c>
      <c r="J354" s="0" t="n">
        <v>0</v>
      </c>
      <c r="K354" s="6" t="n">
        <f aca="false">G354/E354</f>
        <v>0.59</v>
      </c>
      <c r="L354" s="7" t="n">
        <f aca="false">0.21*0.4</f>
        <v>0.084</v>
      </c>
      <c r="M354" s="7" t="n">
        <f aca="false">(4.76/4)/G354</f>
        <v>0.0504237288135593</v>
      </c>
      <c r="N354" s="0" t="n">
        <v>0</v>
      </c>
      <c r="O354" s="0" t="n">
        <v>1</v>
      </c>
      <c r="P354" s="0" t="n">
        <v>0</v>
      </c>
      <c r="Q354" s="0" t="n">
        <v>0</v>
      </c>
      <c r="V354" s="0" t="n">
        <v>0</v>
      </c>
    </row>
    <row r="355" customFormat="false" ht="12.8" hidden="false" customHeight="false" outlineLevel="0" collapsed="false">
      <c r="A355" s="10" t="s">
        <v>425</v>
      </c>
      <c r="B355" s="0" t="s">
        <v>36</v>
      </c>
      <c r="C355" s="0" t="s">
        <v>37</v>
      </c>
      <c r="D355" s="0" t="s">
        <v>432</v>
      </c>
      <c r="E355" s="0" t="n">
        <v>40</v>
      </c>
      <c r="F355" s="0" t="n">
        <v>59</v>
      </c>
      <c r="G355" s="1" t="n">
        <f aca="false">(E355/100)*F355</f>
        <v>23.6</v>
      </c>
      <c r="H355" s="0" t="n">
        <v>14</v>
      </c>
      <c r="I355" s="2" t="n">
        <f aca="false">(E355/100)*H355</f>
        <v>5.6</v>
      </c>
      <c r="J355" s="0" t="n">
        <v>0</v>
      </c>
      <c r="K355" s="6" t="n">
        <f aca="false">G355/E355</f>
        <v>0.59</v>
      </c>
      <c r="L355" s="7" t="n">
        <f aca="false">0.18*0.4</f>
        <v>0.072</v>
      </c>
      <c r="M355" s="7" t="n">
        <f aca="false">(4.76/4)/G355</f>
        <v>0.0504237288135593</v>
      </c>
      <c r="N355" s="0" t="n">
        <v>0</v>
      </c>
      <c r="O355" s="0" t="n">
        <v>1</v>
      </c>
      <c r="P355" s="0" t="n">
        <v>0</v>
      </c>
      <c r="Q355" s="0" t="n">
        <v>1</v>
      </c>
      <c r="V355" s="0" t="n">
        <v>0</v>
      </c>
    </row>
    <row r="356" customFormat="false" ht="12.8" hidden="false" customHeight="false" outlineLevel="0" collapsed="false">
      <c r="A356" s="10" t="s">
        <v>425</v>
      </c>
      <c r="B356" s="0" t="s">
        <v>36</v>
      </c>
      <c r="C356" s="0" t="s">
        <v>37</v>
      </c>
      <c r="D356" s="0" t="s">
        <v>433</v>
      </c>
      <c r="E356" s="0" t="n">
        <v>40</v>
      </c>
      <c r="F356" s="0" t="n">
        <v>53</v>
      </c>
      <c r="G356" s="1" t="n">
        <f aca="false">(E356/100)*F356</f>
        <v>21.2</v>
      </c>
      <c r="H356" s="0" t="n">
        <v>13</v>
      </c>
      <c r="I356" s="2" t="n">
        <f aca="false">(E356/100)*H356</f>
        <v>5.2</v>
      </c>
      <c r="J356" s="0" t="n">
        <v>0</v>
      </c>
      <c r="K356" s="6" t="n">
        <f aca="false">G356/E356</f>
        <v>0.53</v>
      </c>
      <c r="L356" s="7" t="n">
        <f aca="false">0.15*0.4</f>
        <v>0.06</v>
      </c>
      <c r="M356" s="7" t="n">
        <f aca="false">(7.99/4)/G356</f>
        <v>0.0942216981132075</v>
      </c>
      <c r="N356" s="0" t="n">
        <v>0</v>
      </c>
      <c r="O356" s="0" t="n">
        <v>1</v>
      </c>
      <c r="P356" s="0" t="n">
        <v>0</v>
      </c>
      <c r="Q356" s="0" t="n">
        <v>1</v>
      </c>
      <c r="V356" s="0" t="n">
        <v>0</v>
      </c>
    </row>
    <row r="357" customFormat="false" ht="12.8" hidden="false" customHeight="false" outlineLevel="0" collapsed="false">
      <c r="A357" s="0" t="s">
        <v>434</v>
      </c>
      <c r="B357" s="0" t="s">
        <v>25</v>
      </c>
      <c r="C357" s="0" t="s">
        <v>26</v>
      </c>
      <c r="D357" s="0" t="s">
        <v>435</v>
      </c>
      <c r="E357" s="0" t="n">
        <v>1</v>
      </c>
      <c r="F357" s="0" t="n">
        <v>88.2</v>
      </c>
      <c r="G357" s="1" t="n">
        <f aca="false">(E357/100)*F357</f>
        <v>0.882</v>
      </c>
      <c r="H357" s="0" t="n">
        <v>0</v>
      </c>
      <c r="I357" s="2" t="n">
        <f aca="false">(E357/100)*H357</f>
        <v>0</v>
      </c>
      <c r="J357" s="0" t="n">
        <v>0</v>
      </c>
      <c r="K357" s="6" t="n">
        <f aca="false">G357/E357</f>
        <v>0.882</v>
      </c>
      <c r="L357" s="7" t="n">
        <v>0.009</v>
      </c>
      <c r="M357" s="7" t="n">
        <f aca="false">(23.99/1020)/G357</f>
        <v>0.0266662220443733</v>
      </c>
      <c r="N357" s="0" t="n">
        <v>0</v>
      </c>
      <c r="O357" s="0" t="n">
        <v>0</v>
      </c>
      <c r="P357" s="0" t="n">
        <v>0</v>
      </c>
      <c r="Q357" s="0" t="n">
        <v>0</v>
      </c>
      <c r="V357" s="0" t="n">
        <v>0</v>
      </c>
    </row>
    <row r="358" customFormat="false" ht="12.8" hidden="false" customHeight="false" outlineLevel="0" collapsed="false">
      <c r="A358" s="0" t="s">
        <v>434</v>
      </c>
      <c r="B358" s="0" t="s">
        <v>20</v>
      </c>
      <c r="C358" s="0" t="s">
        <v>21</v>
      </c>
      <c r="D358" s="0" t="s">
        <v>436</v>
      </c>
      <c r="E358" s="0" t="n">
        <v>50</v>
      </c>
      <c r="F358" s="0" t="n">
        <v>50</v>
      </c>
      <c r="G358" s="1" t="n">
        <f aca="false">(E358/100)*F358</f>
        <v>25</v>
      </c>
      <c r="H358" s="0" t="n">
        <v>0</v>
      </c>
      <c r="I358" s="2" t="n">
        <f aca="false">(E358/100)*H358</f>
        <v>0</v>
      </c>
      <c r="J358" s="0" t="n">
        <v>0</v>
      </c>
      <c r="K358" s="6" t="n">
        <f aca="false">G358/E358</f>
        <v>0.5</v>
      </c>
      <c r="L358" s="7" t="n">
        <f aca="false">0.15*0.4</f>
        <v>0.06</v>
      </c>
      <c r="M358" s="7" t="n">
        <f aca="false">(28.99/20)/G358</f>
        <v>0.05798</v>
      </c>
      <c r="N358" s="0" t="n">
        <v>0</v>
      </c>
      <c r="O358" s="0" t="n">
        <v>0</v>
      </c>
      <c r="P358" s="0" t="n">
        <v>0</v>
      </c>
      <c r="Q358" s="0" t="n">
        <v>0</v>
      </c>
      <c r="U358" s="0" t="s">
        <v>115</v>
      </c>
      <c r="V358" s="0" t="n">
        <v>1</v>
      </c>
    </row>
    <row r="359" customFormat="false" ht="12.8" hidden="false" customHeight="false" outlineLevel="0" collapsed="false">
      <c r="A359" s="0" t="s">
        <v>434</v>
      </c>
      <c r="B359" s="0" t="s">
        <v>20</v>
      </c>
      <c r="C359" s="0" t="s">
        <v>21</v>
      </c>
      <c r="D359" s="0" t="s">
        <v>437</v>
      </c>
      <c r="E359" s="0" t="n">
        <v>60</v>
      </c>
      <c r="F359" s="0" t="n">
        <v>50</v>
      </c>
      <c r="G359" s="1" t="n">
        <f aca="false">(E359/100)*F359</f>
        <v>30</v>
      </c>
      <c r="H359" s="0" t="n">
        <v>0</v>
      </c>
      <c r="I359" s="2" t="n">
        <f aca="false">(E359/100)*H359</f>
        <v>0</v>
      </c>
      <c r="J359" s="0" t="n">
        <v>0</v>
      </c>
      <c r="K359" s="6" t="n">
        <f aca="false">G359/E359</f>
        <v>0.5</v>
      </c>
      <c r="L359" s="7" t="n">
        <v>0.08</v>
      </c>
      <c r="M359" s="7" t="n">
        <f aca="false">(28.99/20)/G359</f>
        <v>0.0483166666666667</v>
      </c>
      <c r="N359" s="0" t="n">
        <v>0</v>
      </c>
      <c r="O359" s="0" t="n">
        <v>0</v>
      </c>
      <c r="P359" s="0" t="n">
        <v>0</v>
      </c>
      <c r="Q359" s="0" t="n">
        <v>0</v>
      </c>
      <c r="V359" s="0" t="n">
        <v>0</v>
      </c>
    </row>
    <row r="360" customFormat="false" ht="12.8" hidden="false" customHeight="false" outlineLevel="0" collapsed="false">
      <c r="A360" s="10" t="s">
        <v>438</v>
      </c>
      <c r="B360" s="0" t="s">
        <v>36</v>
      </c>
      <c r="C360" s="0" t="s">
        <v>37</v>
      </c>
      <c r="D360" s="0" t="s">
        <v>439</v>
      </c>
      <c r="E360" s="0" t="n">
        <v>35</v>
      </c>
      <c r="F360" s="0" t="n">
        <v>67</v>
      </c>
      <c r="G360" s="1" t="n">
        <f aca="false">(E360/100)*F360</f>
        <v>23.45</v>
      </c>
      <c r="H360" s="0" t="n">
        <v>5.6</v>
      </c>
      <c r="I360" s="2" t="n">
        <f aca="false">(E360/100)*H360</f>
        <v>1.96</v>
      </c>
      <c r="J360" s="0" t="n">
        <v>0</v>
      </c>
      <c r="K360" s="6" t="n">
        <f aca="false">G360/E360</f>
        <v>0.67</v>
      </c>
      <c r="L360" s="7" t="n">
        <f aca="false">0.02*0.4</f>
        <v>0.008</v>
      </c>
      <c r="M360" s="7" t="n">
        <f aca="false">2.59/G360</f>
        <v>0.11044776119403</v>
      </c>
      <c r="N360" s="0" t="n">
        <v>0</v>
      </c>
      <c r="O360" s="0" t="n">
        <v>1</v>
      </c>
      <c r="P360" s="0" t="n">
        <v>1</v>
      </c>
      <c r="Q360" s="0" t="n">
        <v>0</v>
      </c>
      <c r="V360" s="0" t="n">
        <v>0</v>
      </c>
    </row>
    <row r="361" customFormat="false" ht="12.8" hidden="false" customHeight="false" outlineLevel="0" collapsed="false">
      <c r="A361" s="10" t="s">
        <v>438</v>
      </c>
      <c r="B361" s="0" t="s">
        <v>36</v>
      </c>
      <c r="C361" s="0" t="s">
        <v>37</v>
      </c>
      <c r="D361" s="0" t="s">
        <v>440</v>
      </c>
      <c r="E361" s="0" t="n">
        <v>35</v>
      </c>
      <c r="F361" s="0" t="n">
        <v>72</v>
      </c>
      <c r="G361" s="1" t="n">
        <f aca="false">(E361/100)*F361</f>
        <v>25.2</v>
      </c>
      <c r="H361" s="0" t="n">
        <v>4</v>
      </c>
      <c r="I361" s="2" t="n">
        <f aca="false">(E361/100)*H361</f>
        <v>1.4</v>
      </c>
      <c r="J361" s="0" t="n">
        <v>0</v>
      </c>
      <c r="K361" s="6" t="n">
        <f aca="false">G361/E361</f>
        <v>0.72</v>
      </c>
      <c r="L361" s="7" t="n">
        <f aca="false">0.09*0.4</f>
        <v>0.036</v>
      </c>
      <c r="M361" s="7" t="n">
        <f aca="false">2.59/G361</f>
        <v>0.102777777777778</v>
      </c>
      <c r="N361" s="0" t="n">
        <v>0</v>
      </c>
      <c r="O361" s="0" t="n">
        <v>1</v>
      </c>
      <c r="P361" s="0" t="n">
        <v>1</v>
      </c>
      <c r="Q361" s="0" t="n">
        <v>0</v>
      </c>
      <c r="V361" s="0" t="n">
        <v>0</v>
      </c>
    </row>
    <row r="362" customFormat="false" ht="12.8" hidden="false" customHeight="false" outlineLevel="0" collapsed="false">
      <c r="A362" s="10" t="s">
        <v>438</v>
      </c>
      <c r="B362" s="0" t="s">
        <v>36</v>
      </c>
      <c r="C362" s="0" t="s">
        <v>37</v>
      </c>
      <c r="D362" s="0" t="s">
        <v>441</v>
      </c>
      <c r="E362" s="0" t="n">
        <v>35</v>
      </c>
      <c r="F362" s="0" t="n">
        <v>64</v>
      </c>
      <c r="G362" s="1" t="n">
        <f aca="false">(E362/100)*F362</f>
        <v>22.4</v>
      </c>
      <c r="H362" s="0" t="n">
        <v>4</v>
      </c>
      <c r="I362" s="2" t="n">
        <f aca="false">(E362/100)*H362</f>
        <v>1.4</v>
      </c>
      <c r="J362" s="0" t="n">
        <v>0</v>
      </c>
      <c r="K362" s="6" t="n">
        <f aca="false">G362/E362</f>
        <v>0.64</v>
      </c>
      <c r="L362" s="7" t="n">
        <f aca="false">0.09*0.4</f>
        <v>0.036</v>
      </c>
      <c r="M362" s="7" t="n">
        <f aca="false">2.59/G362</f>
        <v>0.115625</v>
      </c>
      <c r="N362" s="0" t="n">
        <v>0</v>
      </c>
      <c r="O362" s="0" t="n">
        <v>1</v>
      </c>
      <c r="P362" s="0" t="n">
        <v>1</v>
      </c>
      <c r="Q362" s="0" t="n">
        <v>0</v>
      </c>
      <c r="V362" s="0" t="n">
        <v>0</v>
      </c>
    </row>
    <row r="363" customFormat="false" ht="12.8" hidden="false" customHeight="false" outlineLevel="0" collapsed="false">
      <c r="A363" s="10" t="s">
        <v>438</v>
      </c>
      <c r="B363" s="0" t="s">
        <v>36</v>
      </c>
      <c r="C363" s="0" t="s">
        <v>37</v>
      </c>
      <c r="D363" s="0" t="s">
        <v>442</v>
      </c>
      <c r="E363" s="0" t="n">
        <v>35</v>
      </c>
      <c r="F363" s="0" t="n">
        <v>80</v>
      </c>
      <c r="G363" s="1" t="n">
        <f aca="false">(E363/100)*F363</f>
        <v>28</v>
      </c>
      <c r="H363" s="0" t="n">
        <v>3</v>
      </c>
      <c r="I363" s="2" t="n">
        <f aca="false">(E363/100)*H363</f>
        <v>1.05</v>
      </c>
      <c r="J363" s="0" t="n">
        <v>0</v>
      </c>
      <c r="K363" s="6" t="n">
        <f aca="false">G363/E363</f>
        <v>0.8</v>
      </c>
      <c r="L363" s="7" t="n">
        <f aca="false">0.14*0.4</f>
        <v>0.056</v>
      </c>
      <c r="M363" s="7" t="n">
        <f aca="false">2.29/G363</f>
        <v>0.0817857142857143</v>
      </c>
      <c r="N363" s="0" t="n">
        <v>0</v>
      </c>
      <c r="O363" s="0" t="n">
        <v>1</v>
      </c>
      <c r="P363" s="0" t="n">
        <v>0</v>
      </c>
      <c r="Q363" s="0" t="n">
        <v>0</v>
      </c>
      <c r="V363" s="0" t="n">
        <v>0</v>
      </c>
    </row>
    <row r="364" customFormat="false" ht="12.8" hidden="false" customHeight="false" outlineLevel="0" collapsed="false">
      <c r="A364" s="10" t="s">
        <v>438</v>
      </c>
      <c r="B364" s="0" t="s">
        <v>36</v>
      </c>
      <c r="C364" s="0" t="s">
        <v>37</v>
      </c>
      <c r="D364" s="0" t="s">
        <v>443</v>
      </c>
      <c r="E364" s="0" t="n">
        <v>35</v>
      </c>
      <c r="F364" s="0" t="n">
        <v>75</v>
      </c>
      <c r="G364" s="1" t="n">
        <f aca="false">(E364/100)*F364</f>
        <v>26.25</v>
      </c>
      <c r="H364" s="0" t="n">
        <v>2.5</v>
      </c>
      <c r="I364" s="2" t="n">
        <f aca="false">(E364/100)*H364</f>
        <v>0.875</v>
      </c>
      <c r="J364" s="0" t="n">
        <v>0</v>
      </c>
      <c r="K364" s="6" t="n">
        <f aca="false">G364/E364</f>
        <v>0.75</v>
      </c>
      <c r="L364" s="7" t="n">
        <f aca="false">0.07*0.4</f>
        <v>0.028</v>
      </c>
      <c r="M364" s="7" t="n">
        <f aca="false">2.29/G364</f>
        <v>0.0872380952380952</v>
      </c>
      <c r="N364" s="0" t="n">
        <v>0</v>
      </c>
      <c r="O364" s="0" t="n">
        <v>1</v>
      </c>
      <c r="P364" s="0" t="n">
        <v>0</v>
      </c>
      <c r="Q364" s="0" t="n">
        <v>0</v>
      </c>
      <c r="V364" s="0" t="n">
        <v>0</v>
      </c>
    </row>
    <row r="365" customFormat="false" ht="12.8" hidden="false" customHeight="false" outlineLevel="0" collapsed="false">
      <c r="A365" s="10" t="s">
        <v>438</v>
      </c>
      <c r="B365" s="0" t="s">
        <v>20</v>
      </c>
      <c r="C365" s="0" t="s">
        <v>21</v>
      </c>
      <c r="D365" s="0" t="s">
        <v>444</v>
      </c>
      <c r="E365" s="0" t="n">
        <v>100</v>
      </c>
      <c r="F365" s="0" t="n">
        <v>26</v>
      </c>
      <c r="G365" s="1" t="n">
        <f aca="false">(E365/100)*F365</f>
        <v>26</v>
      </c>
      <c r="H365" s="0" t="n">
        <v>0</v>
      </c>
      <c r="I365" s="2" t="n">
        <f aca="false">(E365/100)*H365</f>
        <v>0</v>
      </c>
      <c r="J365" s="0" t="n">
        <v>50</v>
      </c>
      <c r="K365" s="6" t="n">
        <f aca="false">G365/E365</f>
        <v>0.26</v>
      </c>
      <c r="L365" s="7" t="n">
        <f aca="false">0.15*0.4</f>
        <v>0.06</v>
      </c>
      <c r="M365" s="7" t="n">
        <f aca="false">3.39/G365</f>
        <v>0.130384615384615</v>
      </c>
      <c r="N365" s="0" t="n">
        <v>0</v>
      </c>
      <c r="O365" s="0" t="n">
        <v>0</v>
      </c>
      <c r="P365" s="0" t="n">
        <v>0</v>
      </c>
      <c r="Q365" s="0" t="n">
        <v>0</v>
      </c>
      <c r="V365" s="0" t="n">
        <v>0</v>
      </c>
    </row>
    <row r="366" customFormat="false" ht="12.8" hidden="false" customHeight="false" outlineLevel="0" collapsed="false">
      <c r="A366" s="10" t="s">
        <v>438</v>
      </c>
      <c r="B366" s="0" t="s">
        <v>20</v>
      </c>
      <c r="C366" s="0" t="s">
        <v>21</v>
      </c>
      <c r="D366" s="0" t="s">
        <v>445</v>
      </c>
      <c r="E366" s="0" t="n">
        <v>100</v>
      </c>
      <c r="F366" s="0" t="n">
        <v>30</v>
      </c>
      <c r="G366" s="1" t="n">
        <f aca="false">(E366/100)*F366</f>
        <v>30</v>
      </c>
      <c r="H366" s="0" t="n">
        <v>0</v>
      </c>
      <c r="I366" s="2" t="n">
        <f aca="false">(E366/100)*H366</f>
        <v>0</v>
      </c>
      <c r="J366" s="0" t="n">
        <v>50</v>
      </c>
      <c r="K366" s="6" t="n">
        <f aca="false">G366/E366</f>
        <v>0.3</v>
      </c>
      <c r="L366" s="7" t="n">
        <f aca="false">0.2*0.4</f>
        <v>0.08</v>
      </c>
      <c r="M366" s="7" t="n">
        <f aca="false">3.39/G366</f>
        <v>0.113</v>
      </c>
      <c r="N366" s="0" t="n">
        <v>0</v>
      </c>
      <c r="O366" s="0" t="n">
        <v>0</v>
      </c>
      <c r="P366" s="0" t="n">
        <v>0</v>
      </c>
      <c r="Q366" s="0" t="n">
        <v>0</v>
      </c>
      <c r="V366" s="0" t="n">
        <v>0</v>
      </c>
    </row>
    <row r="367" customFormat="false" ht="12.8" hidden="false" customHeight="false" outlineLevel="0" collapsed="false">
      <c r="A367" s="10" t="s">
        <v>438</v>
      </c>
      <c r="B367" s="0" t="s">
        <v>20</v>
      </c>
      <c r="C367" s="0" t="s">
        <v>21</v>
      </c>
      <c r="D367" s="0" t="s">
        <v>446</v>
      </c>
      <c r="E367" s="0" t="n">
        <v>25</v>
      </c>
      <c r="F367" s="0" t="n">
        <v>58</v>
      </c>
      <c r="G367" s="1" t="n">
        <f aca="false">(E367/100)*F367</f>
        <v>14.5</v>
      </c>
      <c r="H367" s="0" t="n">
        <v>0</v>
      </c>
      <c r="I367" s="2" t="n">
        <f aca="false">(E367/100)*H367</f>
        <v>0</v>
      </c>
      <c r="J367" s="0" t="n">
        <v>50</v>
      </c>
      <c r="K367" s="6" t="n">
        <f aca="false">G367/E367</f>
        <v>0.58</v>
      </c>
      <c r="L367" s="7" t="n">
        <v>0</v>
      </c>
      <c r="M367" s="7" t="n">
        <f aca="false">2.09/G367</f>
        <v>0.144137931034483</v>
      </c>
      <c r="N367" s="0" t="n">
        <v>0</v>
      </c>
      <c r="O367" s="0" t="n">
        <v>0</v>
      </c>
      <c r="P367" s="0" t="n">
        <v>0</v>
      </c>
      <c r="Q367" s="0" t="n">
        <v>0</v>
      </c>
      <c r="V367" s="0" t="n">
        <v>0</v>
      </c>
    </row>
    <row r="368" customFormat="false" ht="12.8" hidden="false" customHeight="false" outlineLevel="0" collapsed="false">
      <c r="A368" s="10" t="s">
        <v>438</v>
      </c>
      <c r="B368" s="0" t="s">
        <v>20</v>
      </c>
      <c r="C368" s="0" t="s">
        <v>21</v>
      </c>
      <c r="D368" s="0" t="s">
        <v>447</v>
      </c>
      <c r="E368" s="0" t="n">
        <v>25</v>
      </c>
      <c r="F368" s="0" t="n">
        <v>58</v>
      </c>
      <c r="G368" s="1" t="n">
        <f aca="false">(E368/100)*F368</f>
        <v>14.5</v>
      </c>
      <c r="H368" s="0" t="n">
        <v>0</v>
      </c>
      <c r="I368" s="2" t="n">
        <f aca="false">(E368/100)*H368</f>
        <v>0</v>
      </c>
      <c r="J368" s="0" t="n">
        <v>0</v>
      </c>
      <c r="K368" s="6" t="n">
        <f aca="false">G368/E368</f>
        <v>0.58</v>
      </c>
      <c r="L368" s="7" t="n">
        <f aca="false">0.03*0.4</f>
        <v>0.012</v>
      </c>
      <c r="M368" s="7" t="n">
        <f aca="false">2.09/G368</f>
        <v>0.144137931034483</v>
      </c>
      <c r="N368" s="0" t="n">
        <v>0</v>
      </c>
      <c r="O368" s="0" t="n">
        <v>0</v>
      </c>
      <c r="P368" s="0" t="n">
        <v>0</v>
      </c>
      <c r="Q368" s="0" t="n">
        <v>0</v>
      </c>
      <c r="V368" s="0" t="n">
        <v>0</v>
      </c>
    </row>
    <row r="369" customFormat="false" ht="12.8" hidden="false" customHeight="false" outlineLevel="0" collapsed="false">
      <c r="A369" s="10" t="s">
        <v>438</v>
      </c>
      <c r="B369" s="0" t="s">
        <v>20</v>
      </c>
      <c r="C369" s="0" t="s">
        <v>21</v>
      </c>
      <c r="D369" s="0" t="s">
        <v>448</v>
      </c>
      <c r="E369" s="0" t="n">
        <v>42</v>
      </c>
      <c r="F369" s="0" t="n">
        <v>41</v>
      </c>
      <c r="G369" s="1" t="n">
        <f aca="false">(E369/100)*F369</f>
        <v>17.22</v>
      </c>
      <c r="H369" s="0" t="n">
        <v>0.5</v>
      </c>
      <c r="I369" s="2" t="n">
        <f aca="false">(E369/100)*H369</f>
        <v>0.21</v>
      </c>
      <c r="J369" s="0" t="n">
        <v>0</v>
      </c>
      <c r="K369" s="6" t="n">
        <f aca="false">G369/E369</f>
        <v>0.41</v>
      </c>
      <c r="L369" s="7" t="n">
        <v>0</v>
      </c>
      <c r="M369" s="7" t="n">
        <f aca="false">2.59/G369</f>
        <v>0.150406504065041</v>
      </c>
      <c r="N369" s="0" t="n">
        <v>0</v>
      </c>
      <c r="O369" s="0" t="n">
        <v>0</v>
      </c>
      <c r="P369" s="0" t="n">
        <v>0</v>
      </c>
      <c r="Q369" s="0" t="n">
        <v>0</v>
      </c>
      <c r="V369" s="0" t="n">
        <v>0</v>
      </c>
    </row>
    <row r="370" customFormat="false" ht="12.8" hidden="false" customHeight="false" outlineLevel="0" collapsed="false">
      <c r="A370" s="10" t="s">
        <v>438</v>
      </c>
      <c r="B370" s="0" t="s">
        <v>20</v>
      </c>
      <c r="C370" s="0" t="s">
        <v>21</v>
      </c>
      <c r="D370" s="0" t="s">
        <v>449</v>
      </c>
      <c r="E370" s="0" t="n">
        <v>60</v>
      </c>
      <c r="F370" s="0" t="n">
        <v>36</v>
      </c>
      <c r="G370" s="1" t="n">
        <f aca="false">(E370/100)*F370</f>
        <v>21.6</v>
      </c>
      <c r="H370" s="0" t="n">
        <v>0</v>
      </c>
      <c r="I370" s="2" t="n">
        <f aca="false">(E370/100)*H370</f>
        <v>0</v>
      </c>
      <c r="J370" s="0" t="n">
        <v>0</v>
      </c>
      <c r="K370" s="6" t="n">
        <f aca="false">G370/E370</f>
        <v>0.36</v>
      </c>
      <c r="L370" s="7" t="n">
        <v>0</v>
      </c>
      <c r="M370" s="7" t="n">
        <f aca="false">2.89/G370</f>
        <v>0.133796296296296</v>
      </c>
      <c r="N370" s="0" t="n">
        <v>0</v>
      </c>
      <c r="O370" s="0" t="n">
        <v>0</v>
      </c>
      <c r="P370" s="0" t="n">
        <v>0</v>
      </c>
      <c r="Q370" s="0" t="n">
        <v>0</v>
      </c>
      <c r="U370" s="0" t="s">
        <v>115</v>
      </c>
      <c r="V370" s="0" t="n">
        <v>1</v>
      </c>
    </row>
    <row r="371" customFormat="false" ht="12.8" hidden="false" customHeight="false" outlineLevel="0" collapsed="false">
      <c r="A371" s="10" t="s">
        <v>438</v>
      </c>
      <c r="B371" s="0" t="s">
        <v>20</v>
      </c>
      <c r="C371" s="0" t="s">
        <v>21</v>
      </c>
      <c r="D371" s="0" t="s">
        <v>450</v>
      </c>
      <c r="E371" s="0" t="n">
        <v>60</v>
      </c>
      <c r="F371" s="0" t="n">
        <v>67</v>
      </c>
      <c r="G371" s="1" t="n">
        <f aca="false">(E371/100)*F371</f>
        <v>40.2</v>
      </c>
      <c r="H371" s="0" t="n">
        <v>0</v>
      </c>
      <c r="I371" s="2" t="n">
        <f aca="false">(E371/100)*H371</f>
        <v>0</v>
      </c>
      <c r="J371" s="0" t="n">
        <v>0</v>
      </c>
      <c r="K371" s="6" t="n">
        <f aca="false">G371/E371</f>
        <v>0.67</v>
      </c>
      <c r="L371" s="7" t="n">
        <v>0</v>
      </c>
      <c r="M371" s="7" t="n">
        <f aca="false">3/G371</f>
        <v>0.0746268656716418</v>
      </c>
      <c r="N371" s="0" t="n">
        <v>0</v>
      </c>
      <c r="O371" s="0" t="n">
        <v>0</v>
      </c>
      <c r="P371" s="0" t="n">
        <v>0</v>
      </c>
      <c r="Q371" s="0" t="n">
        <v>0</v>
      </c>
      <c r="U371" s="0" t="s">
        <v>115</v>
      </c>
      <c r="V371" s="0" t="n">
        <v>1</v>
      </c>
    </row>
    <row r="372" customFormat="false" ht="12.8" hidden="false" customHeight="false" outlineLevel="0" collapsed="false">
      <c r="A372" s="10" t="s">
        <v>438</v>
      </c>
      <c r="B372" s="0" t="s">
        <v>20</v>
      </c>
      <c r="C372" s="0" t="s">
        <v>21</v>
      </c>
      <c r="D372" s="0" t="s">
        <v>451</v>
      </c>
      <c r="E372" s="0" t="n">
        <v>40</v>
      </c>
      <c r="F372" s="0" t="n">
        <v>76</v>
      </c>
      <c r="G372" s="1" t="n">
        <f aca="false">(E372/100)*F372</f>
        <v>30.4</v>
      </c>
      <c r="H372" s="0" t="n">
        <v>0</v>
      </c>
      <c r="I372" s="2" t="n">
        <f aca="false">(E372/100)*H372</f>
        <v>0</v>
      </c>
      <c r="J372" s="0" t="n">
        <v>0</v>
      </c>
      <c r="K372" s="6" t="n">
        <f aca="false">G372/E372</f>
        <v>0.76</v>
      </c>
      <c r="L372" s="7" t="n">
        <f aca="false">0.135*0.4</f>
        <v>0.054</v>
      </c>
      <c r="M372" s="7" t="n">
        <f aca="false">2.59/G372</f>
        <v>0.0851973684210526</v>
      </c>
      <c r="N372" s="0" t="n">
        <v>0</v>
      </c>
      <c r="O372" s="0" t="n">
        <v>0</v>
      </c>
      <c r="P372" s="0" t="n">
        <v>0</v>
      </c>
      <c r="Q372" s="0" t="n">
        <v>0</v>
      </c>
      <c r="V372" s="0" t="n">
        <v>0</v>
      </c>
    </row>
    <row r="373" customFormat="false" ht="12.8" hidden="false" customHeight="false" outlineLevel="0" collapsed="false">
      <c r="A373" s="10" t="s">
        <v>438</v>
      </c>
      <c r="B373" s="0" t="s">
        <v>20</v>
      </c>
      <c r="C373" s="0" t="s">
        <v>21</v>
      </c>
      <c r="D373" s="0" t="s">
        <v>452</v>
      </c>
      <c r="E373" s="0" t="n">
        <v>40</v>
      </c>
      <c r="F373" s="0" t="n">
        <v>74</v>
      </c>
      <c r="G373" s="1" t="n">
        <f aca="false">(E373/100)*F373</f>
        <v>29.6</v>
      </c>
      <c r="H373" s="0" t="n">
        <v>0</v>
      </c>
      <c r="I373" s="2" t="n">
        <f aca="false">(E373/100)*H373</f>
        <v>0</v>
      </c>
      <c r="J373" s="0" t="n">
        <v>50</v>
      </c>
      <c r="K373" s="6" t="n">
        <f aca="false">G373/E373</f>
        <v>0.74</v>
      </c>
      <c r="L373" s="7" t="n">
        <f aca="false">0.135*0.4</f>
        <v>0.054</v>
      </c>
      <c r="M373" s="7" t="n">
        <f aca="false">2.59/G373</f>
        <v>0.0875</v>
      </c>
      <c r="N373" s="0" t="n">
        <v>0</v>
      </c>
      <c r="O373" s="0" t="n">
        <v>0</v>
      </c>
      <c r="P373" s="0" t="n">
        <v>0</v>
      </c>
      <c r="Q373" s="0" t="n">
        <v>0</v>
      </c>
      <c r="V373" s="0" t="n">
        <v>0</v>
      </c>
    </row>
    <row r="374" customFormat="false" ht="12.8" hidden="false" customHeight="false" outlineLevel="0" collapsed="false">
      <c r="A374" s="10" t="s">
        <v>438</v>
      </c>
      <c r="B374" s="0" t="s">
        <v>20</v>
      </c>
      <c r="C374" s="0" t="s">
        <v>21</v>
      </c>
      <c r="D374" s="0" t="s">
        <v>453</v>
      </c>
      <c r="E374" s="0" t="n">
        <v>50</v>
      </c>
      <c r="F374" s="0" t="n">
        <v>53</v>
      </c>
      <c r="G374" s="1" t="n">
        <f aca="false">(E374/100)*F374</f>
        <v>26.5</v>
      </c>
      <c r="H374" s="0" t="n">
        <v>0</v>
      </c>
      <c r="I374" s="2" t="n">
        <f aca="false">(E374/100)*H374</f>
        <v>0</v>
      </c>
      <c r="J374" s="0" t="n">
        <v>0</v>
      </c>
      <c r="K374" s="6" t="n">
        <f aca="false">G374/E374</f>
        <v>0.53</v>
      </c>
      <c r="L374" s="7" t="n">
        <v>0</v>
      </c>
      <c r="M374" s="7" t="n">
        <f aca="false">2.69/G374</f>
        <v>0.101509433962264</v>
      </c>
      <c r="N374" s="0" t="n">
        <v>0</v>
      </c>
      <c r="O374" s="0" t="n">
        <v>0</v>
      </c>
      <c r="P374" s="0" t="n">
        <v>0</v>
      </c>
      <c r="Q374" s="0" t="n">
        <v>0</v>
      </c>
      <c r="S374" s="0" t="s">
        <v>63</v>
      </c>
      <c r="V374" s="0" t="n">
        <v>0</v>
      </c>
    </row>
    <row r="375" customFormat="false" ht="12.8" hidden="false" customHeight="false" outlineLevel="0" collapsed="false">
      <c r="A375" s="10" t="s">
        <v>438</v>
      </c>
      <c r="B375" s="0" t="s">
        <v>25</v>
      </c>
      <c r="C375" s="0" t="s">
        <v>26</v>
      </c>
      <c r="D375" s="0" t="s">
        <v>454</v>
      </c>
      <c r="E375" s="0" t="n">
        <v>1</v>
      </c>
      <c r="F375" s="0" t="n">
        <v>77</v>
      </c>
      <c r="G375" s="1" t="n">
        <f aca="false">(E375/100)*F375</f>
        <v>0.77</v>
      </c>
      <c r="H375" s="0" t="n">
        <v>0</v>
      </c>
      <c r="I375" s="2" t="n">
        <f aca="false">(E375/100)*H375</f>
        <v>0</v>
      </c>
      <c r="J375" s="0" t="n">
        <v>0</v>
      </c>
      <c r="K375" s="6" t="n">
        <f aca="false">G375/E375</f>
        <v>0.77</v>
      </c>
      <c r="L375" s="7" t="n">
        <f aca="false">1.18/100</f>
        <v>0.0118</v>
      </c>
      <c r="M375" s="7" t="n">
        <f aca="false">(10.99/400)/G375</f>
        <v>0.0356818181818182</v>
      </c>
      <c r="N375" s="0" t="n">
        <v>0</v>
      </c>
      <c r="O375" s="0" t="n">
        <v>0</v>
      </c>
      <c r="P375" s="0" t="n">
        <v>0</v>
      </c>
      <c r="Q375" s="0" t="n">
        <v>0</v>
      </c>
      <c r="U375" s="0" t="s">
        <v>115</v>
      </c>
      <c r="V375" s="0" t="n">
        <v>1</v>
      </c>
    </row>
    <row r="376" customFormat="false" ht="12.8" hidden="false" customHeight="false" outlineLevel="0" collapsed="false">
      <c r="A376" s="10" t="s">
        <v>455</v>
      </c>
      <c r="B376" s="0" t="s">
        <v>25</v>
      </c>
      <c r="C376" s="0" t="s">
        <v>26</v>
      </c>
      <c r="D376" s="0" t="s">
        <v>456</v>
      </c>
      <c r="E376" s="0" t="n">
        <v>1</v>
      </c>
      <c r="F376" s="0" t="n">
        <v>86.8</v>
      </c>
      <c r="G376" s="1" t="n">
        <f aca="false">(E376/100)*F376</f>
        <v>0.868</v>
      </c>
      <c r="H376" s="0" t="n">
        <v>0</v>
      </c>
      <c r="I376" s="2" t="n">
        <f aca="false">(E376/100)*H376</f>
        <v>0</v>
      </c>
      <c r="J376" s="0" t="n">
        <v>3</v>
      </c>
      <c r="K376" s="6" t="n">
        <f aca="false">G376/E376</f>
        <v>0.868</v>
      </c>
      <c r="L376" s="7" t="n">
        <v>0.005</v>
      </c>
      <c r="M376" s="7" t="n">
        <f aca="false">(18.5/500)/G376</f>
        <v>0.0426267281105991</v>
      </c>
      <c r="N376" s="0" t="n">
        <v>0</v>
      </c>
      <c r="O376" s="0" t="n">
        <v>0</v>
      </c>
      <c r="P376" s="0" t="n">
        <v>0</v>
      </c>
      <c r="Q376" s="0" t="n">
        <v>0</v>
      </c>
      <c r="V376" s="0" t="n">
        <v>0</v>
      </c>
    </row>
    <row r="377" customFormat="false" ht="12.8" hidden="false" customHeight="false" outlineLevel="0" collapsed="false">
      <c r="A377" s="10" t="s">
        <v>455</v>
      </c>
      <c r="B377" s="0" t="s">
        <v>25</v>
      </c>
      <c r="C377" s="0" t="s">
        <v>26</v>
      </c>
      <c r="D377" s="0" t="s">
        <v>457</v>
      </c>
      <c r="E377" s="0" t="n">
        <v>1</v>
      </c>
      <c r="F377" s="0" t="n">
        <v>91.7</v>
      </c>
      <c r="G377" s="1" t="n">
        <f aca="false">(E377/100)*F377</f>
        <v>0.917</v>
      </c>
      <c r="H377" s="0" t="n">
        <v>0</v>
      </c>
      <c r="I377" s="2" t="n">
        <f aca="false">(E377/100)*H377</f>
        <v>0</v>
      </c>
      <c r="J377" s="0" t="n">
        <v>0</v>
      </c>
      <c r="K377" s="6" t="n">
        <f aca="false">G377/E377</f>
        <v>0.917</v>
      </c>
      <c r="L377" s="7" t="n">
        <v>0.005</v>
      </c>
      <c r="M377" s="7" t="n">
        <f aca="false">(16.5/500)/G377</f>
        <v>0.0359869138495093</v>
      </c>
      <c r="N377" s="0" t="n">
        <v>0</v>
      </c>
      <c r="O377" s="0" t="n">
        <v>0</v>
      </c>
      <c r="P377" s="0" t="n">
        <v>0</v>
      </c>
      <c r="Q377" s="0" t="n">
        <v>0</v>
      </c>
      <c r="V377" s="0" t="n">
        <v>0</v>
      </c>
    </row>
    <row r="378" customFormat="false" ht="12.8" hidden="false" customHeight="false" outlineLevel="0" collapsed="false">
      <c r="A378" s="10" t="s">
        <v>455</v>
      </c>
      <c r="B378" s="0" t="s">
        <v>36</v>
      </c>
      <c r="C378" s="0" t="s">
        <v>37</v>
      </c>
      <c r="D378" s="0" t="s">
        <v>458</v>
      </c>
      <c r="E378" s="0" t="n">
        <v>40</v>
      </c>
      <c r="F378" s="0" t="n">
        <v>87</v>
      </c>
      <c r="G378" s="1" t="n">
        <f aca="false">(E378/100)*F378</f>
        <v>34.8</v>
      </c>
      <c r="H378" s="0" t="n">
        <v>2</v>
      </c>
      <c r="I378" s="2" t="n">
        <f aca="false">(E378/100)*H378</f>
        <v>0.8</v>
      </c>
      <c r="J378" s="0" t="n">
        <v>0</v>
      </c>
      <c r="K378" s="6" t="n">
        <f aca="false">G378/E378</f>
        <v>0.87</v>
      </c>
      <c r="L378" s="7" t="n">
        <v>0</v>
      </c>
      <c r="M378" s="7" t="n">
        <f aca="false">2.99/G378</f>
        <v>0.0859195402298851</v>
      </c>
      <c r="N378" s="0" t="n">
        <v>0</v>
      </c>
      <c r="O378" s="0" t="n">
        <v>1</v>
      </c>
      <c r="P378" s="0" t="n">
        <v>0</v>
      </c>
      <c r="Q378" s="0" t="n">
        <v>0</v>
      </c>
      <c r="V378" s="0" t="n">
        <v>0</v>
      </c>
    </row>
    <row r="379" customFormat="false" ht="12.8" hidden="false" customHeight="false" outlineLevel="0" collapsed="false">
      <c r="A379" s="10" t="s">
        <v>455</v>
      </c>
      <c r="B379" s="0" t="s">
        <v>36</v>
      </c>
      <c r="C379" s="0" t="s">
        <v>37</v>
      </c>
      <c r="D379" s="0" t="s">
        <v>459</v>
      </c>
      <c r="E379" s="0" t="n">
        <v>35</v>
      </c>
      <c r="F379" s="0" t="n">
        <v>78</v>
      </c>
      <c r="G379" s="1" t="n">
        <f aca="false">(E379/100)*F379</f>
        <v>27.3</v>
      </c>
      <c r="H379" s="0" t="n">
        <v>1</v>
      </c>
      <c r="I379" s="2" t="n">
        <f aca="false">(E379/100)*H379</f>
        <v>0.35</v>
      </c>
      <c r="J379" s="0" t="n">
        <v>0</v>
      </c>
      <c r="K379" s="6" t="n">
        <f aca="false">G379/E379</f>
        <v>0.78</v>
      </c>
      <c r="L379" s="7" t="n">
        <v>0</v>
      </c>
      <c r="M379" s="7" t="n">
        <f aca="false">2.99/G379</f>
        <v>0.10952380952381</v>
      </c>
      <c r="N379" s="0" t="n">
        <v>0</v>
      </c>
      <c r="O379" s="0" t="n">
        <v>1</v>
      </c>
      <c r="P379" s="0" t="n">
        <v>0</v>
      </c>
      <c r="Q379" s="0" t="n">
        <v>0</v>
      </c>
      <c r="S379" s="0" t="s">
        <v>460</v>
      </c>
      <c r="V379" s="0" t="n">
        <v>0</v>
      </c>
    </row>
    <row r="380" customFormat="false" ht="12.8" hidden="false" customHeight="false" outlineLevel="0" collapsed="false">
      <c r="A380" s="10" t="s">
        <v>455</v>
      </c>
      <c r="B380" s="0" t="s">
        <v>20</v>
      </c>
      <c r="C380" s="0" t="s">
        <v>21</v>
      </c>
      <c r="D380" s="0" t="s">
        <v>461</v>
      </c>
      <c r="E380" s="0" t="n">
        <v>80</v>
      </c>
      <c r="F380" s="0" t="n">
        <v>64</v>
      </c>
      <c r="G380" s="1" t="n">
        <f aca="false">(E380/100)*F380</f>
        <v>51.2</v>
      </c>
      <c r="H380" s="0" t="n">
        <v>0.5</v>
      </c>
      <c r="I380" s="2" t="n">
        <f aca="false">(E380/100)*H380</f>
        <v>0.4</v>
      </c>
      <c r="J380" s="0" t="n">
        <v>120</v>
      </c>
      <c r="K380" s="6" t="n">
        <f aca="false">G380/E380</f>
        <v>0.64</v>
      </c>
      <c r="L380" s="7" t="n">
        <v>0</v>
      </c>
      <c r="M380" s="7" t="n">
        <f aca="false">3.65/G380</f>
        <v>0.0712890625</v>
      </c>
      <c r="N380" s="0" t="n">
        <v>0</v>
      </c>
      <c r="O380" s="0" t="n">
        <v>0</v>
      </c>
      <c r="P380" s="0" t="n">
        <v>0</v>
      </c>
      <c r="Q380" s="0" t="n">
        <v>0</v>
      </c>
      <c r="V380" s="0" t="n">
        <v>0</v>
      </c>
    </row>
    <row r="381" customFormat="false" ht="12.8" hidden="false" customHeight="false" outlineLevel="0" collapsed="false">
      <c r="A381" s="10" t="s">
        <v>455</v>
      </c>
      <c r="B381" s="0" t="s">
        <v>20</v>
      </c>
      <c r="C381" s="0" t="s">
        <v>21</v>
      </c>
      <c r="D381" s="0" t="s">
        <v>462</v>
      </c>
      <c r="E381" s="0" t="n">
        <v>50</v>
      </c>
      <c r="F381" s="0" t="n">
        <v>52.3</v>
      </c>
      <c r="G381" s="1" t="n">
        <f aca="false">(E381/100)*F381</f>
        <v>26.15</v>
      </c>
      <c r="H381" s="0" t="n">
        <v>0</v>
      </c>
      <c r="I381" s="2" t="n">
        <f aca="false">(E381/100)*H381</f>
        <v>0</v>
      </c>
      <c r="J381" s="0" t="n">
        <v>60</v>
      </c>
      <c r="K381" s="6" t="n">
        <f aca="false">G381/E381</f>
        <v>0.523</v>
      </c>
      <c r="L381" s="7" t="n">
        <v>0</v>
      </c>
      <c r="M381" s="7" t="n">
        <f aca="false">2.5/G381</f>
        <v>0.0956022944550669</v>
      </c>
      <c r="N381" s="0" t="n">
        <v>0</v>
      </c>
      <c r="O381" s="0" t="n">
        <v>0</v>
      </c>
      <c r="P381" s="0" t="n">
        <v>0</v>
      </c>
      <c r="Q381" s="0" t="n">
        <v>0</v>
      </c>
      <c r="S381" s="0" t="s">
        <v>460</v>
      </c>
      <c r="V381" s="0" t="n">
        <v>0</v>
      </c>
    </row>
    <row r="382" customFormat="false" ht="12.8" hidden="false" customHeight="false" outlineLevel="0" collapsed="false">
      <c r="A382" s="10" t="s">
        <v>455</v>
      </c>
      <c r="B382" s="0" t="s">
        <v>20</v>
      </c>
      <c r="C382" s="0" t="s">
        <v>21</v>
      </c>
      <c r="D382" s="0" t="s">
        <v>463</v>
      </c>
      <c r="E382" s="0" t="n">
        <v>50</v>
      </c>
      <c r="F382" s="0" t="n">
        <v>52.2</v>
      </c>
      <c r="G382" s="1" t="n">
        <f aca="false">(E382/100)*F382</f>
        <v>26.1</v>
      </c>
      <c r="H382" s="0" t="n">
        <v>0</v>
      </c>
      <c r="I382" s="2" t="n">
        <f aca="false">(E382/100)*H382</f>
        <v>0</v>
      </c>
      <c r="J382" s="0" t="n">
        <v>0</v>
      </c>
      <c r="K382" s="6" t="n">
        <f aca="false">G382/E382</f>
        <v>0.522</v>
      </c>
      <c r="L382" s="7" t="n">
        <v>0</v>
      </c>
      <c r="M382" s="7" t="n">
        <f aca="false">2.5/G382</f>
        <v>0.0957854406130268</v>
      </c>
      <c r="N382" s="0" t="n">
        <v>0</v>
      </c>
      <c r="O382" s="0" t="n">
        <v>0</v>
      </c>
      <c r="P382" s="0" t="n">
        <v>0</v>
      </c>
      <c r="Q382" s="0" t="n">
        <v>0</v>
      </c>
      <c r="R382" s="0" t="n">
        <v>1000</v>
      </c>
      <c r="V382" s="0" t="n">
        <v>0</v>
      </c>
    </row>
    <row r="383" customFormat="false" ht="12.8" hidden="false" customHeight="false" outlineLevel="0" collapsed="false">
      <c r="A383" s="10" t="s">
        <v>455</v>
      </c>
      <c r="B383" s="0" t="s">
        <v>20</v>
      </c>
      <c r="C383" s="0" t="s">
        <v>21</v>
      </c>
      <c r="D383" s="0" t="s">
        <v>464</v>
      </c>
      <c r="E383" s="0" t="n">
        <v>30</v>
      </c>
      <c r="F383" s="0" t="n">
        <v>39</v>
      </c>
      <c r="G383" s="1" t="n">
        <f aca="false">(E383/100)*F383</f>
        <v>11.7</v>
      </c>
      <c r="H383" s="0" t="n">
        <v>1</v>
      </c>
      <c r="I383" s="2" t="n">
        <f aca="false">(E383/100)*H383</f>
        <v>0.3</v>
      </c>
      <c r="J383" s="0" t="n">
        <v>92</v>
      </c>
      <c r="K383" s="6" t="n">
        <f aca="false">G383/E383</f>
        <v>0.39</v>
      </c>
      <c r="L383" s="7" t="n">
        <v>0</v>
      </c>
      <c r="M383" s="7" t="n">
        <f aca="false">2/G383</f>
        <v>0.170940170940171</v>
      </c>
      <c r="N383" s="0" t="n">
        <v>0</v>
      </c>
      <c r="O383" s="0" t="n">
        <v>0</v>
      </c>
      <c r="P383" s="0" t="n">
        <v>0</v>
      </c>
      <c r="Q383" s="0" t="n">
        <v>0</v>
      </c>
      <c r="R383" s="0" t="n">
        <v>1000</v>
      </c>
      <c r="S383" s="0" t="s">
        <v>460</v>
      </c>
      <c r="V383" s="0" t="n">
        <v>0</v>
      </c>
    </row>
    <row r="384" customFormat="false" ht="12.8" hidden="false" customHeight="false" outlineLevel="0" collapsed="false">
      <c r="A384" s="10" t="s">
        <v>455</v>
      </c>
      <c r="B384" s="0" t="s">
        <v>20</v>
      </c>
      <c r="C384" s="0" t="s">
        <v>21</v>
      </c>
      <c r="D384" s="0" t="s">
        <v>465</v>
      </c>
      <c r="E384" s="0" t="n">
        <v>30</v>
      </c>
      <c r="F384" s="0" t="n">
        <v>39</v>
      </c>
      <c r="G384" s="1" t="n">
        <f aca="false">(E384/100)*F384</f>
        <v>11.7</v>
      </c>
      <c r="H384" s="0" t="n">
        <v>1</v>
      </c>
      <c r="I384" s="2" t="n">
        <f aca="false">(E384/100)*H384</f>
        <v>0.3</v>
      </c>
      <c r="J384" s="0" t="n">
        <v>0</v>
      </c>
      <c r="K384" s="6" t="n">
        <f aca="false">G384/E384</f>
        <v>0.39</v>
      </c>
      <c r="L384" s="7" t="n">
        <v>0</v>
      </c>
      <c r="M384" s="7" t="n">
        <f aca="false">2/G384</f>
        <v>0.170940170940171</v>
      </c>
      <c r="N384" s="0" t="n">
        <v>0</v>
      </c>
      <c r="O384" s="0" t="n">
        <v>0</v>
      </c>
      <c r="P384" s="0" t="n">
        <v>0</v>
      </c>
      <c r="Q384" s="0" t="n">
        <v>0</v>
      </c>
      <c r="R384" s="0" t="n">
        <v>1000</v>
      </c>
      <c r="S384" s="0" t="s">
        <v>460</v>
      </c>
      <c r="V384" s="0" t="n">
        <v>0</v>
      </c>
    </row>
    <row r="385" customFormat="false" ht="12.8" hidden="false" customHeight="false" outlineLevel="0" collapsed="false">
      <c r="A385" s="10" t="s">
        <v>455</v>
      </c>
      <c r="B385" s="0" t="s">
        <v>20</v>
      </c>
      <c r="C385" s="0" t="s">
        <v>21</v>
      </c>
      <c r="D385" s="0" t="s">
        <v>466</v>
      </c>
      <c r="E385" s="0" t="n">
        <v>25</v>
      </c>
      <c r="F385" s="0" t="n">
        <v>67.6</v>
      </c>
      <c r="G385" s="1" t="n">
        <f aca="false">(E385/100)*F385</f>
        <v>16.9</v>
      </c>
      <c r="H385" s="0" t="n">
        <v>0</v>
      </c>
      <c r="I385" s="2" t="n">
        <f aca="false">(E385/100)*H385</f>
        <v>0</v>
      </c>
      <c r="J385" s="0" t="n">
        <v>180</v>
      </c>
      <c r="K385" s="6" t="n">
        <f aca="false">G385/E385</f>
        <v>0.676</v>
      </c>
      <c r="L385" s="7" t="n">
        <v>0</v>
      </c>
      <c r="M385" s="7" t="n">
        <f aca="false">(4.95/2)/G385</f>
        <v>0.146449704142012</v>
      </c>
      <c r="N385" s="0" t="n">
        <v>0</v>
      </c>
      <c r="O385" s="0" t="n">
        <v>0</v>
      </c>
      <c r="P385" s="0" t="n">
        <v>0</v>
      </c>
      <c r="Q385" s="0" t="n">
        <v>0</v>
      </c>
      <c r="V385" s="0" t="n">
        <v>0</v>
      </c>
    </row>
    <row r="386" customFormat="false" ht="12.8" hidden="false" customHeight="false" outlineLevel="0" collapsed="false">
      <c r="A386" s="0" t="s">
        <v>467</v>
      </c>
      <c r="B386" s="0" t="s">
        <v>20</v>
      </c>
      <c r="C386" s="0" t="s">
        <v>21</v>
      </c>
      <c r="D386" s="0" t="s">
        <v>468</v>
      </c>
      <c r="E386" s="0" t="n">
        <v>25</v>
      </c>
      <c r="F386" s="0" t="n">
        <v>72</v>
      </c>
      <c r="G386" s="1" t="n">
        <f aca="false">(E386/100)*F386</f>
        <v>18</v>
      </c>
      <c r="H386" s="0" t="n">
        <v>0.4</v>
      </c>
      <c r="I386" s="2" t="n">
        <f aca="false">(E386/100)*H386</f>
        <v>0.1</v>
      </c>
      <c r="J386" s="0" t="n">
        <v>30</v>
      </c>
      <c r="K386" s="6" t="n">
        <f aca="false">G386/E386</f>
        <v>0.72</v>
      </c>
      <c r="L386" s="7" t="n">
        <f aca="false">0.339/4</f>
        <v>0.08475</v>
      </c>
      <c r="M386" s="7" t="n">
        <f aca="false">2.9/G386</f>
        <v>0.161111111111111</v>
      </c>
      <c r="N386" s="0" t="n">
        <v>1</v>
      </c>
      <c r="O386" s="0" t="n">
        <v>0</v>
      </c>
      <c r="P386" s="0" t="n">
        <v>0</v>
      </c>
      <c r="Q386" s="0" t="n">
        <v>0</v>
      </c>
      <c r="V386" s="0" t="n">
        <v>0</v>
      </c>
    </row>
    <row r="387" customFormat="false" ht="12.8" hidden="false" customHeight="false" outlineLevel="0" collapsed="false">
      <c r="A387" s="0" t="s">
        <v>467</v>
      </c>
      <c r="B387" s="0" t="s">
        <v>20</v>
      </c>
      <c r="C387" s="0" t="s">
        <v>21</v>
      </c>
      <c r="D387" s="0" t="s">
        <v>469</v>
      </c>
      <c r="E387" s="0" t="n">
        <v>25</v>
      </c>
      <c r="F387" s="0" t="n">
        <v>72</v>
      </c>
      <c r="G387" s="1" t="n">
        <f aca="false">(E387/100)*F387</f>
        <v>18</v>
      </c>
      <c r="H387" s="0" t="n">
        <v>0.4</v>
      </c>
      <c r="I387" s="2" t="n">
        <f aca="false">(E387/100)*H387</f>
        <v>0.1</v>
      </c>
      <c r="J387" s="0" t="n">
        <v>0</v>
      </c>
      <c r="K387" s="6" t="n">
        <f aca="false">G387/E387</f>
        <v>0.72</v>
      </c>
      <c r="L387" s="7" t="n">
        <f aca="false">0.08</f>
        <v>0.08</v>
      </c>
      <c r="M387" s="7" t="n">
        <f aca="false">2.9/G387</f>
        <v>0.161111111111111</v>
      </c>
      <c r="N387" s="0" t="n">
        <v>1</v>
      </c>
      <c r="O387" s="0" t="n">
        <v>0</v>
      </c>
      <c r="P387" s="0" t="n">
        <v>0</v>
      </c>
      <c r="Q387" s="0" t="n">
        <v>0</v>
      </c>
      <c r="V387" s="0" t="n">
        <v>0</v>
      </c>
    </row>
    <row r="388" customFormat="false" ht="12.8" hidden="false" customHeight="false" outlineLevel="0" collapsed="false">
      <c r="A388" s="0" t="s">
        <v>467</v>
      </c>
      <c r="B388" s="0" t="s">
        <v>32</v>
      </c>
      <c r="C388" s="0" t="s">
        <v>33</v>
      </c>
      <c r="D388" s="0" t="s">
        <v>470</v>
      </c>
      <c r="E388" s="0" t="n">
        <v>100</v>
      </c>
      <c r="F388" s="0" t="n">
        <v>8.7</v>
      </c>
      <c r="G388" s="1" t="n">
        <f aca="false">(E388/100)*F388</f>
        <v>8.7</v>
      </c>
      <c r="H388" s="0" t="n">
        <v>4</v>
      </c>
      <c r="I388" s="2" t="n">
        <f aca="false">(E388/100)*H388</f>
        <v>4</v>
      </c>
      <c r="J388" s="0" t="n">
        <v>0</v>
      </c>
      <c r="K388" s="6" t="n">
        <f aca="false">G388/E388</f>
        <v>0.087</v>
      </c>
      <c r="L388" s="7" t="n">
        <f aca="false">0.2*0.4</f>
        <v>0.08</v>
      </c>
      <c r="M388" s="7" t="n">
        <f aca="false">3.49/G388</f>
        <v>0.401149425287356</v>
      </c>
      <c r="N388" s="0" t="n">
        <v>1</v>
      </c>
      <c r="O388" s="0" t="n">
        <v>0</v>
      </c>
      <c r="P388" s="0" t="n">
        <v>1</v>
      </c>
      <c r="Q388" s="0" t="n">
        <v>0</v>
      </c>
      <c r="V388" s="0" t="n">
        <v>0</v>
      </c>
    </row>
    <row r="389" customFormat="false" ht="12.8" hidden="false" customHeight="false" outlineLevel="0" collapsed="false">
      <c r="A389" s="0" t="s">
        <v>467</v>
      </c>
      <c r="B389" s="0" t="s">
        <v>27</v>
      </c>
      <c r="C389" s="0" t="s">
        <v>28</v>
      </c>
      <c r="D389" s="0" t="s">
        <v>471</v>
      </c>
      <c r="E389" s="0" t="n">
        <v>100</v>
      </c>
      <c r="F389" s="0" t="n">
        <v>29.5</v>
      </c>
      <c r="G389" s="1" t="n">
        <f aca="false">(E389/100)*F389</f>
        <v>29.5</v>
      </c>
      <c r="H389" s="0" t="n">
        <v>0.4</v>
      </c>
      <c r="I389" s="2" t="n">
        <f aca="false">(E389/100)*H389</f>
        <v>0.4</v>
      </c>
      <c r="J389" s="0" t="n">
        <v>0</v>
      </c>
      <c r="K389" s="6" t="n">
        <f aca="false">G389/E389</f>
        <v>0.295</v>
      </c>
      <c r="L389" s="7" t="n">
        <v>0.008</v>
      </c>
      <c r="M389" s="7" t="n">
        <f aca="false">3.25/G389</f>
        <v>0.110169491525424</v>
      </c>
      <c r="N389" s="0" t="n">
        <v>1</v>
      </c>
      <c r="O389" s="0" t="n">
        <v>0</v>
      </c>
      <c r="P389" s="0" t="n">
        <v>0</v>
      </c>
      <c r="Q389" s="0" t="n">
        <v>0</v>
      </c>
      <c r="V389" s="0" t="n">
        <v>0</v>
      </c>
    </row>
    <row r="390" customFormat="false" ht="12.8" hidden="false" customHeight="false" outlineLevel="0" collapsed="false">
      <c r="A390" s="0" t="s">
        <v>467</v>
      </c>
      <c r="B390" s="0" t="s">
        <v>27</v>
      </c>
      <c r="C390" s="0" t="s">
        <v>28</v>
      </c>
      <c r="D390" s="0" t="s">
        <v>472</v>
      </c>
      <c r="E390" s="0" t="n">
        <v>100</v>
      </c>
      <c r="F390" s="0" t="n">
        <v>25.9</v>
      </c>
      <c r="G390" s="1" t="n">
        <f aca="false">(E390/100)*F390</f>
        <v>25.9</v>
      </c>
      <c r="H390" s="0" t="n">
        <v>0.3</v>
      </c>
      <c r="I390" s="2" t="n">
        <f aca="false">(E390/100)*H390</f>
        <v>0.3</v>
      </c>
      <c r="J390" s="0" t="n">
        <v>0</v>
      </c>
      <c r="K390" s="6" t="n">
        <f aca="false">G390/E390</f>
        <v>0.259</v>
      </c>
      <c r="L390" s="7" t="n">
        <v>0.008</v>
      </c>
      <c r="M390" s="7" t="n">
        <f aca="false">3.25/G390</f>
        <v>0.125482625482625</v>
      </c>
      <c r="N390" s="0" t="n">
        <v>1</v>
      </c>
      <c r="O390" s="0" t="n">
        <v>0</v>
      </c>
      <c r="P390" s="0" t="n">
        <v>0</v>
      </c>
      <c r="Q390" s="0" t="n">
        <v>0</v>
      </c>
      <c r="V390" s="0" t="n">
        <v>0</v>
      </c>
    </row>
    <row r="391" customFormat="false" ht="12.8" hidden="false" customHeight="false" outlineLevel="0" collapsed="false">
      <c r="A391" s="0" t="s">
        <v>467</v>
      </c>
      <c r="B391" s="0" t="s">
        <v>27</v>
      </c>
      <c r="C391" s="0" t="s">
        <v>28</v>
      </c>
      <c r="D391" s="0" t="s">
        <v>473</v>
      </c>
      <c r="E391" s="0" t="n">
        <v>100</v>
      </c>
      <c r="F391" s="0" t="n">
        <v>23.3</v>
      </c>
      <c r="G391" s="1" t="n">
        <f aca="false">(E391/100)*F391</f>
        <v>23.3</v>
      </c>
      <c r="H391" s="0" t="n">
        <v>10</v>
      </c>
      <c r="I391" s="2" t="n">
        <f aca="false">(E391/100)*H391</f>
        <v>10</v>
      </c>
      <c r="J391" s="0" t="n">
        <v>0</v>
      </c>
      <c r="K391" s="6" t="n">
        <f aca="false">G391/E391</f>
        <v>0.233</v>
      </c>
      <c r="L391" s="7" t="n">
        <v>0.2</v>
      </c>
      <c r="M391" s="7" t="n">
        <f aca="false">3.5/G391</f>
        <v>0.150214592274678</v>
      </c>
      <c r="N391" s="0" t="n">
        <v>1</v>
      </c>
      <c r="O391" s="0" t="n">
        <v>0</v>
      </c>
      <c r="P391" s="0" t="n">
        <v>0</v>
      </c>
      <c r="Q391" s="0" t="n">
        <v>1</v>
      </c>
      <c r="V391" s="0" t="n">
        <v>0</v>
      </c>
    </row>
    <row r="392" customFormat="false" ht="12.8" hidden="false" customHeight="false" outlineLevel="0" collapsed="false">
      <c r="A392" s="0" t="s">
        <v>467</v>
      </c>
      <c r="B392" s="0" t="s">
        <v>25</v>
      </c>
      <c r="C392" s="0" t="s">
        <v>26</v>
      </c>
      <c r="D392" s="0" t="s">
        <v>474</v>
      </c>
      <c r="E392" s="0" t="n">
        <v>1</v>
      </c>
      <c r="F392" s="0" t="n">
        <v>90.7</v>
      </c>
      <c r="G392" s="1" t="n">
        <f aca="false">(E392/100)*F392</f>
        <v>0.907</v>
      </c>
      <c r="H392" s="0" t="n">
        <v>0.6</v>
      </c>
      <c r="I392" s="2" t="n">
        <f aca="false">(E392/100)*H392</f>
        <v>0.006</v>
      </c>
      <c r="J392" s="0" t="n">
        <v>0</v>
      </c>
      <c r="K392" s="6" t="n">
        <f aca="false">G392/E392</f>
        <v>0.907</v>
      </c>
      <c r="L392" s="7" t="n">
        <f aca="false">0.0075</f>
        <v>0.0075</v>
      </c>
      <c r="M392" s="7" t="n">
        <f aca="false">(21.5/450)/G392</f>
        <v>0.0526767119931398</v>
      </c>
      <c r="N392" s="0" t="n">
        <v>1</v>
      </c>
      <c r="O392" s="0" t="n">
        <v>0</v>
      </c>
      <c r="P392" s="0" t="n">
        <v>0</v>
      </c>
      <c r="Q392" s="0" t="n">
        <v>0</v>
      </c>
      <c r="V392" s="0" t="n">
        <v>0</v>
      </c>
    </row>
    <row r="393" customFormat="false" ht="12.8" hidden="false" customHeight="false" outlineLevel="0" collapsed="false">
      <c r="A393" s="0" t="s">
        <v>467</v>
      </c>
      <c r="B393" s="0" t="s">
        <v>25</v>
      </c>
      <c r="C393" s="0" t="s">
        <v>26</v>
      </c>
      <c r="D393" s="0" t="s">
        <v>475</v>
      </c>
      <c r="E393" s="0" t="n">
        <v>1</v>
      </c>
      <c r="F393" s="0" t="n">
        <v>95.5</v>
      </c>
      <c r="G393" s="1" t="n">
        <f aca="false">(E393/100)*F393</f>
        <v>0.955</v>
      </c>
      <c r="H393" s="0" t="n">
        <v>0.3</v>
      </c>
      <c r="I393" s="2" t="n">
        <f aca="false">(E393/100)*H393</f>
        <v>0.003</v>
      </c>
      <c r="J393" s="0" t="n">
        <v>0</v>
      </c>
      <c r="K393" s="6" t="n">
        <f aca="false">G393/E393</f>
        <v>0.955</v>
      </c>
      <c r="L393" s="7" t="n">
        <f aca="false">0.0075</f>
        <v>0.0075</v>
      </c>
      <c r="M393" s="7" t="n">
        <f aca="false">(21.5/450)/G393</f>
        <v>0.0500290866783013</v>
      </c>
      <c r="N393" s="0" t="n">
        <v>1</v>
      </c>
      <c r="O393" s="0" t="n">
        <v>0</v>
      </c>
      <c r="P393" s="0" t="n">
        <v>0</v>
      </c>
      <c r="Q393" s="0" t="n">
        <v>0</v>
      </c>
      <c r="V393" s="0" t="n">
        <v>0</v>
      </c>
    </row>
    <row r="394" customFormat="false" ht="12.8" hidden="false" customHeight="false" outlineLevel="0" collapsed="false">
      <c r="A394" s="0" t="s">
        <v>467</v>
      </c>
      <c r="B394" s="0" t="s">
        <v>36</v>
      </c>
      <c r="C394" s="0" t="s">
        <v>37</v>
      </c>
      <c r="D394" s="0" t="s">
        <v>476</v>
      </c>
      <c r="E394" s="0" t="n">
        <v>50</v>
      </c>
      <c r="F394" s="0" t="n">
        <v>42</v>
      </c>
      <c r="G394" s="1" t="n">
        <f aca="false">(E394/100)*F394</f>
        <v>21</v>
      </c>
      <c r="H394" s="0" t="n">
        <v>6.9</v>
      </c>
      <c r="I394" s="2" t="n">
        <f aca="false">(E394/100)*H394</f>
        <v>3.45</v>
      </c>
      <c r="J394" s="0" t="n">
        <v>0</v>
      </c>
      <c r="K394" s="6" t="n">
        <f aca="false">G394/E394</f>
        <v>0.42</v>
      </c>
      <c r="L394" s="7" t="n">
        <f aca="false">(0.14*0.4)/2</f>
        <v>0.028</v>
      </c>
      <c r="M394" s="7" t="n">
        <f aca="false">3.25/G394</f>
        <v>0.154761904761905</v>
      </c>
      <c r="N394" s="0" t="n">
        <v>1</v>
      </c>
      <c r="O394" s="0" t="n">
        <v>1</v>
      </c>
      <c r="P394" s="0" t="n">
        <v>1</v>
      </c>
      <c r="Q394" s="0" t="n">
        <v>1</v>
      </c>
      <c r="S394" s="0" t="s">
        <v>63</v>
      </c>
      <c r="V394" s="0" t="n">
        <v>0</v>
      </c>
    </row>
    <row r="395" customFormat="false" ht="12.8" hidden="false" customHeight="false" outlineLevel="0" collapsed="false">
      <c r="A395" s="0" t="s">
        <v>467</v>
      </c>
      <c r="B395" s="0" t="s">
        <v>45</v>
      </c>
      <c r="C395" s="0" t="s">
        <v>46</v>
      </c>
      <c r="D395" s="0" t="s">
        <v>477</v>
      </c>
      <c r="E395" s="0" t="n">
        <v>30</v>
      </c>
      <c r="F395" s="0" t="n">
        <v>42.9</v>
      </c>
      <c r="G395" s="1" t="n">
        <f aca="false">(E395/100)*F395</f>
        <v>12.87</v>
      </c>
      <c r="H395" s="0" t="n">
        <v>20.1</v>
      </c>
      <c r="I395" s="2" t="n">
        <f aca="false">(E395/100)*H395</f>
        <v>6.03</v>
      </c>
      <c r="J395" s="0" t="n">
        <v>0</v>
      </c>
      <c r="K395" s="6" t="n">
        <f aca="false">G395/E395</f>
        <v>0.429</v>
      </c>
      <c r="L395" s="7" t="n">
        <f aca="false">(0.33*0.4)*0.3</f>
        <v>0.0396</v>
      </c>
      <c r="M395" s="7" t="n">
        <f aca="false">2.95/G395</f>
        <v>0.229215229215229</v>
      </c>
      <c r="N395" s="0" t="n">
        <v>1</v>
      </c>
      <c r="O395" s="0" t="n">
        <v>0</v>
      </c>
      <c r="P395" s="0" t="n">
        <v>0</v>
      </c>
      <c r="Q395" s="0" t="n">
        <v>0</v>
      </c>
      <c r="V395" s="0" t="n">
        <v>0</v>
      </c>
    </row>
    <row r="396" customFormat="false" ht="12.8" hidden="false" customHeight="false" outlineLevel="0" collapsed="false">
      <c r="A396" s="0" t="s">
        <v>467</v>
      </c>
      <c r="B396" s="0" t="s">
        <v>45</v>
      </c>
      <c r="C396" s="0" t="s">
        <v>46</v>
      </c>
      <c r="D396" s="0" t="s">
        <v>478</v>
      </c>
      <c r="E396" s="0" t="n">
        <v>25</v>
      </c>
      <c r="F396" s="0" t="n">
        <v>43.4</v>
      </c>
      <c r="G396" s="1" t="n">
        <f aca="false">(E396/100)*F396</f>
        <v>10.85</v>
      </c>
      <c r="H396" s="0" t="n">
        <v>8.8</v>
      </c>
      <c r="I396" s="2" t="n">
        <f aca="false">(E396/100)*H396</f>
        <v>2.2</v>
      </c>
      <c r="J396" s="0" t="n">
        <v>0</v>
      </c>
      <c r="K396" s="6" t="n">
        <f aca="false">G396/E396</f>
        <v>0.434</v>
      </c>
      <c r="L396" s="7" t="n">
        <f aca="false">1.4*0.4*0.25</f>
        <v>0.14</v>
      </c>
      <c r="M396" s="7" t="n">
        <f aca="false">2.9/G396</f>
        <v>0.267281105990783</v>
      </c>
      <c r="N396" s="0" t="n">
        <v>1</v>
      </c>
      <c r="O396" s="0" t="n">
        <v>0</v>
      </c>
      <c r="P396" s="0" t="n">
        <v>1</v>
      </c>
      <c r="Q396" s="0" t="n">
        <v>0</v>
      </c>
      <c r="V396" s="0" t="n">
        <v>0</v>
      </c>
    </row>
    <row r="397" customFormat="false" ht="12.8" hidden="false" customHeight="false" outlineLevel="0" collapsed="false">
      <c r="A397" s="0" t="s">
        <v>467</v>
      </c>
      <c r="B397" s="0" t="s">
        <v>36</v>
      </c>
      <c r="C397" s="0" t="s">
        <v>37</v>
      </c>
      <c r="D397" s="0" t="s">
        <v>479</v>
      </c>
      <c r="E397" s="0" t="n">
        <v>25</v>
      </c>
      <c r="F397" s="0" t="n">
        <v>58.8</v>
      </c>
      <c r="G397" s="1" t="n">
        <f aca="false">(E397/100)*F397</f>
        <v>14.7</v>
      </c>
      <c r="H397" s="0" t="n">
        <v>7.3</v>
      </c>
      <c r="I397" s="2" t="n">
        <f aca="false">(E397/100)*H397</f>
        <v>1.825</v>
      </c>
      <c r="J397" s="0" t="n">
        <v>0</v>
      </c>
      <c r="K397" s="6" t="n">
        <f aca="false">G397/E397</f>
        <v>0.588</v>
      </c>
      <c r="L397" s="7" t="n">
        <f aca="false">0.11*0.1</f>
        <v>0.011</v>
      </c>
      <c r="M397" s="7" t="n">
        <f aca="false">2.9/G397</f>
        <v>0.197278911564626</v>
      </c>
      <c r="N397" s="0" t="n">
        <v>1</v>
      </c>
      <c r="O397" s="0" t="n">
        <v>0</v>
      </c>
      <c r="P397" s="0" t="n">
        <v>0</v>
      </c>
      <c r="Q397" s="0" t="n">
        <v>0</v>
      </c>
      <c r="V397" s="0" t="n">
        <v>0</v>
      </c>
    </row>
    <row r="398" customFormat="false" ht="12.8" hidden="false" customHeight="false" outlineLevel="0" collapsed="false">
      <c r="A398" s="0" t="s">
        <v>467</v>
      </c>
      <c r="B398" s="0" t="s">
        <v>36</v>
      </c>
      <c r="C398" s="0" t="s">
        <v>37</v>
      </c>
      <c r="D398" s="0" t="s">
        <v>480</v>
      </c>
      <c r="E398" s="0" t="n">
        <v>25</v>
      </c>
      <c r="F398" s="0" t="n">
        <v>51.8</v>
      </c>
      <c r="G398" s="1" t="n">
        <f aca="false">(E398/100)*F398</f>
        <v>12.95</v>
      </c>
      <c r="H398" s="0" t="n">
        <v>9.1</v>
      </c>
      <c r="I398" s="2" t="n">
        <f aca="false">(E398/100)*H398</f>
        <v>2.275</v>
      </c>
      <c r="J398" s="0" t="n">
        <v>0</v>
      </c>
      <c r="K398" s="6" t="n">
        <f aca="false">G398/E398</f>
        <v>0.518</v>
      </c>
      <c r="L398" s="7" t="n">
        <v>0.012</v>
      </c>
      <c r="M398" s="7" t="n">
        <f aca="false">2.9/G398</f>
        <v>0.223938223938224</v>
      </c>
      <c r="N398" s="0" t="n">
        <v>1</v>
      </c>
      <c r="O398" s="0" t="n">
        <v>0</v>
      </c>
      <c r="P398" s="0" t="n">
        <v>1</v>
      </c>
      <c r="Q398" s="0" t="n">
        <v>0</v>
      </c>
      <c r="V398" s="0" t="n">
        <v>0</v>
      </c>
    </row>
    <row r="399" customFormat="false" ht="12.8" hidden="false" customHeight="false" outlineLevel="0" collapsed="false">
      <c r="A399" s="0" t="s">
        <v>467</v>
      </c>
      <c r="B399" s="0" t="s">
        <v>36</v>
      </c>
      <c r="C399" s="0" t="s">
        <v>37</v>
      </c>
      <c r="D399" s="0" t="s">
        <v>481</v>
      </c>
      <c r="E399" s="0" t="n">
        <v>40</v>
      </c>
      <c r="F399" s="0" t="n">
        <v>51</v>
      </c>
      <c r="G399" s="1" t="n">
        <f aca="false">(E399/100)*F399</f>
        <v>20.4</v>
      </c>
      <c r="H399" s="0" t="n">
        <v>3.9</v>
      </c>
      <c r="I399" s="2" t="n">
        <f aca="false">(E399/100)*H399</f>
        <v>1.56</v>
      </c>
      <c r="J399" s="0" t="n">
        <v>0</v>
      </c>
      <c r="K399" s="6" t="n">
        <f aca="false">G399/E399</f>
        <v>0.51</v>
      </c>
      <c r="L399" s="7" t="n">
        <f aca="false">0.19*0.4*0.4</f>
        <v>0.0304</v>
      </c>
      <c r="M399" s="7" t="n">
        <f aca="false">(6.95/4)/G399</f>
        <v>0.085171568627451</v>
      </c>
      <c r="N399" s="0" t="n">
        <v>1</v>
      </c>
      <c r="O399" s="0" t="n">
        <v>0</v>
      </c>
      <c r="P399" s="0" t="n">
        <v>0</v>
      </c>
      <c r="Q399" s="0" t="n">
        <v>0</v>
      </c>
      <c r="V399" s="0" t="n">
        <v>0</v>
      </c>
    </row>
    <row r="400" customFormat="false" ht="12.8" hidden="false" customHeight="false" outlineLevel="0" collapsed="false">
      <c r="A400" s="0" t="s">
        <v>482</v>
      </c>
      <c r="B400" s="0" t="s">
        <v>36</v>
      </c>
      <c r="C400" s="0" t="s">
        <v>37</v>
      </c>
      <c r="D400" s="0" t="s">
        <v>483</v>
      </c>
      <c r="E400" s="0" t="n">
        <v>90</v>
      </c>
      <c r="F400" s="0" t="n">
        <v>59</v>
      </c>
      <c r="G400" s="1" t="n">
        <f aca="false">(E400/100)*F400</f>
        <v>53.1</v>
      </c>
      <c r="H400" s="0" t="n">
        <v>6</v>
      </c>
      <c r="I400" s="2" t="n">
        <f aca="false">(E400/100)*H400</f>
        <v>5.4</v>
      </c>
      <c r="J400" s="0" t="n">
        <v>0</v>
      </c>
      <c r="K400" s="6" t="n">
        <f aca="false">G400/E400</f>
        <v>0.59</v>
      </c>
      <c r="L400" s="7" t="n">
        <f aca="false">0.14*0.4</f>
        <v>0.056</v>
      </c>
      <c r="M400" s="7" t="n">
        <f aca="false">3.325/G400</f>
        <v>0.0626177024482109</v>
      </c>
      <c r="N400" s="0" t="n">
        <v>0</v>
      </c>
      <c r="O400" s="0" t="n">
        <v>1</v>
      </c>
      <c r="P400" s="0" t="n">
        <v>0</v>
      </c>
      <c r="Q400" s="0" t="n">
        <v>0</v>
      </c>
      <c r="V400" s="0" t="n">
        <v>0</v>
      </c>
    </row>
    <row r="401" customFormat="false" ht="12.8" hidden="false" customHeight="false" outlineLevel="0" collapsed="false">
      <c r="A401" s="0" t="s">
        <v>482</v>
      </c>
      <c r="B401" s="0" t="s">
        <v>45</v>
      </c>
      <c r="C401" s="0" t="s">
        <v>46</v>
      </c>
      <c r="D401" s="0" t="s">
        <v>484</v>
      </c>
      <c r="E401" s="0" t="n">
        <v>80</v>
      </c>
      <c r="F401" s="0" t="n">
        <v>46</v>
      </c>
      <c r="G401" s="1" t="n">
        <f aca="false">(E401/100)*F401</f>
        <v>36.8</v>
      </c>
      <c r="H401" s="0" t="n">
        <v>8</v>
      </c>
      <c r="I401" s="2" t="n">
        <f aca="false">(E401/100)*H401</f>
        <v>6.4</v>
      </c>
      <c r="J401" s="0" t="n">
        <v>0</v>
      </c>
      <c r="K401" s="6" t="n">
        <f aca="false">G401/E401</f>
        <v>0.46</v>
      </c>
      <c r="L401" s="7" t="n">
        <f aca="false">0.56*0.4</f>
        <v>0.224</v>
      </c>
      <c r="M401" s="7" t="n">
        <f aca="false">2.5/G401</f>
        <v>0.0679347826086956</v>
      </c>
      <c r="N401" s="0" t="n">
        <v>0</v>
      </c>
      <c r="O401" s="0" t="n">
        <v>1</v>
      </c>
      <c r="P401" s="0" t="n">
        <v>0</v>
      </c>
      <c r="Q401" s="0" t="n">
        <v>0</v>
      </c>
      <c r="V401" s="0" t="n">
        <v>0</v>
      </c>
    </row>
    <row r="402" customFormat="false" ht="12.8" hidden="false" customHeight="false" outlineLevel="0" collapsed="false">
      <c r="A402" s="0" t="s">
        <v>482</v>
      </c>
      <c r="B402" s="0" t="s">
        <v>36</v>
      </c>
      <c r="C402" s="0" t="s">
        <v>37</v>
      </c>
      <c r="D402" s="0" t="s">
        <v>485</v>
      </c>
      <c r="E402" s="0" t="n">
        <v>30</v>
      </c>
      <c r="F402" s="0" t="n">
        <v>72.9</v>
      </c>
      <c r="G402" s="1" t="n">
        <f aca="false">(E402/100)*F402</f>
        <v>21.87</v>
      </c>
      <c r="H402" s="0" t="n">
        <v>1</v>
      </c>
      <c r="I402" s="2" t="n">
        <f aca="false">(E402/100)*H402</f>
        <v>0.3</v>
      </c>
      <c r="J402" s="0" t="n">
        <v>0</v>
      </c>
      <c r="K402" s="6" t="n">
        <f aca="false">G402/E402</f>
        <v>0.729</v>
      </c>
      <c r="L402" s="7" t="n">
        <v>0.05</v>
      </c>
      <c r="M402" s="7" t="n">
        <f aca="false">4.99/G402</f>
        <v>0.228166438042981</v>
      </c>
      <c r="N402" s="0" t="n">
        <v>0</v>
      </c>
      <c r="O402" s="0" t="n">
        <v>0</v>
      </c>
      <c r="P402" s="0" t="n">
        <v>0</v>
      </c>
      <c r="Q402" s="0" t="n">
        <v>0</v>
      </c>
      <c r="R402" s="0" t="n">
        <v>200</v>
      </c>
      <c r="S402" s="0" t="s">
        <v>63</v>
      </c>
      <c r="V402" s="0" t="n">
        <v>0</v>
      </c>
    </row>
    <row r="403" customFormat="false" ht="12.8" hidden="false" customHeight="false" outlineLevel="0" collapsed="false">
      <c r="A403" s="0" t="s">
        <v>482</v>
      </c>
      <c r="B403" s="0" t="s">
        <v>20</v>
      </c>
      <c r="C403" s="0" t="s">
        <v>21</v>
      </c>
      <c r="D403" s="0" t="s">
        <v>486</v>
      </c>
      <c r="E403" s="0" t="n">
        <v>30</v>
      </c>
      <c r="F403" s="0" t="n">
        <v>60</v>
      </c>
      <c r="G403" s="1" t="n">
        <f aca="false">(E403/100)*F403</f>
        <v>18</v>
      </c>
      <c r="H403" s="0" t="n">
        <v>0.06</v>
      </c>
      <c r="I403" s="2" t="n">
        <f aca="false">(E403/100)*H403</f>
        <v>0.018</v>
      </c>
      <c r="J403" s="0" t="n">
        <v>0</v>
      </c>
      <c r="K403" s="6" t="n">
        <f aca="false">G403/E403</f>
        <v>0.6</v>
      </c>
      <c r="L403" s="7" t="n">
        <v>0.045</v>
      </c>
      <c r="M403" s="7" t="n">
        <f aca="false">2.3/G403</f>
        <v>0.127777777777778</v>
      </c>
      <c r="N403" s="0" t="n">
        <v>0</v>
      </c>
      <c r="O403" s="0" t="n">
        <v>0</v>
      </c>
      <c r="P403" s="0" t="n">
        <v>0</v>
      </c>
      <c r="Q403" s="0" t="n">
        <v>0</v>
      </c>
      <c r="R403" s="0" t="n">
        <v>360</v>
      </c>
      <c r="V403" s="0" t="n">
        <v>0</v>
      </c>
    </row>
    <row r="404" customFormat="false" ht="12.8" hidden="false" customHeight="false" outlineLevel="0" collapsed="false">
      <c r="A404" s="0" t="s">
        <v>482</v>
      </c>
      <c r="B404" s="0" t="s">
        <v>25</v>
      </c>
      <c r="C404" s="0" t="s">
        <v>26</v>
      </c>
      <c r="D404" s="0" t="s">
        <v>487</v>
      </c>
      <c r="E404" s="0" t="n">
        <v>1</v>
      </c>
      <c r="F404" s="0" t="n">
        <v>86</v>
      </c>
      <c r="G404" s="1" t="n">
        <f aca="false">(E404/100)*F404</f>
        <v>0.86</v>
      </c>
      <c r="H404" s="0" t="n">
        <v>0.14</v>
      </c>
      <c r="I404" s="2" t="n">
        <f aca="false">(E404/100)*H404</f>
        <v>0.0014</v>
      </c>
      <c r="J404" s="0" t="n">
        <v>0</v>
      </c>
      <c r="K404" s="6" t="n">
        <f aca="false">G404/E404</f>
        <v>0.86</v>
      </c>
      <c r="L404" s="7" t="n">
        <f aca="false">0.75/100</f>
        <v>0.0075</v>
      </c>
      <c r="M404" s="7" t="n">
        <f aca="false">(21.45/500)/G404</f>
        <v>0.0498837209302326</v>
      </c>
      <c r="N404" s="0" t="n">
        <v>0</v>
      </c>
      <c r="O404" s="0" t="n">
        <v>0</v>
      </c>
      <c r="P404" s="0" t="n">
        <v>0</v>
      </c>
      <c r="Q404" s="0" t="n">
        <v>0</v>
      </c>
      <c r="R404" s="0" t="n">
        <v>25</v>
      </c>
      <c r="V404" s="0" t="n">
        <v>0</v>
      </c>
    </row>
    <row r="405" customFormat="false" ht="12.8" hidden="false" customHeight="false" outlineLevel="0" collapsed="false">
      <c r="A405" s="0" t="s">
        <v>488</v>
      </c>
      <c r="B405" s="0" t="s">
        <v>25</v>
      </c>
      <c r="C405" s="0" t="s">
        <v>26</v>
      </c>
      <c r="D405" s="0" t="s">
        <v>489</v>
      </c>
      <c r="E405" s="0" t="n">
        <v>1</v>
      </c>
      <c r="F405" s="0" t="n">
        <v>92</v>
      </c>
      <c r="G405" s="1" t="n">
        <f aca="false">(E405/100)*F405</f>
        <v>0.92</v>
      </c>
      <c r="H405" s="0" t="n">
        <v>0</v>
      </c>
      <c r="I405" s="2" t="n">
        <f aca="false">(E405/100)*H405</f>
        <v>0</v>
      </c>
      <c r="J405" s="0" t="n">
        <v>0</v>
      </c>
      <c r="K405" s="6" t="n">
        <f aca="false">G405/E405</f>
        <v>0.92</v>
      </c>
      <c r="L405" s="7" t="n">
        <f aca="false">(3.1*0.4)/100</f>
        <v>0.0124</v>
      </c>
      <c r="M405" s="7" t="n">
        <f aca="false">(28.5/1000)/G405</f>
        <v>0.0309782608695652</v>
      </c>
      <c r="N405" s="0" t="n">
        <v>0</v>
      </c>
      <c r="O405" s="0" t="n">
        <v>0</v>
      </c>
      <c r="P405" s="0" t="n">
        <v>0</v>
      </c>
      <c r="Q405" s="0" t="n">
        <v>0</v>
      </c>
      <c r="S405" s="0" t="s">
        <v>63</v>
      </c>
      <c r="U405" s="0" t="s">
        <v>115</v>
      </c>
      <c r="V405" s="0" t="n">
        <v>1</v>
      </c>
    </row>
    <row r="406" customFormat="false" ht="12.8" hidden="false" customHeight="false" outlineLevel="0" collapsed="false">
      <c r="A406" s="0" t="s">
        <v>488</v>
      </c>
      <c r="B406" s="0" t="s">
        <v>25</v>
      </c>
      <c r="C406" s="0" t="s">
        <v>26</v>
      </c>
      <c r="D406" s="0" t="s">
        <v>490</v>
      </c>
      <c r="E406" s="0" t="n">
        <v>1</v>
      </c>
      <c r="F406" s="0" t="n">
        <v>96</v>
      </c>
      <c r="G406" s="1" t="n">
        <f aca="false">(E406/100)*F406</f>
        <v>0.96</v>
      </c>
      <c r="H406" s="0" t="n">
        <v>0</v>
      </c>
      <c r="I406" s="2" t="n">
        <f aca="false">(E406/100)*H406</f>
        <v>0</v>
      </c>
      <c r="J406" s="0" t="n">
        <v>0</v>
      </c>
      <c r="K406" s="6" t="n">
        <f aca="false">G406/E406</f>
        <v>0.96</v>
      </c>
      <c r="L406" s="7" t="n">
        <f aca="false">0.44/100</f>
        <v>0.0044</v>
      </c>
      <c r="M406" s="7" t="n">
        <f aca="false">(29.5/940)/G406</f>
        <v>0.0326906028368794</v>
      </c>
      <c r="N406" s="0" t="n">
        <v>0</v>
      </c>
      <c r="O406" s="0" t="n">
        <v>0</v>
      </c>
      <c r="P406" s="0" t="n">
        <v>0</v>
      </c>
      <c r="Q406" s="0" t="n">
        <v>0</v>
      </c>
      <c r="S406" s="0" t="s">
        <v>63</v>
      </c>
      <c r="U406" s="0" t="s">
        <v>115</v>
      </c>
      <c r="V406" s="0" t="n">
        <v>1</v>
      </c>
    </row>
    <row r="407" customFormat="false" ht="12.8" hidden="false" customHeight="false" outlineLevel="0" collapsed="false">
      <c r="A407" s="0" t="s">
        <v>488</v>
      </c>
      <c r="B407" s="0" t="s">
        <v>25</v>
      </c>
      <c r="C407" s="0" t="s">
        <v>26</v>
      </c>
      <c r="D407" s="0" t="s">
        <v>491</v>
      </c>
      <c r="E407" s="0" t="n">
        <v>1</v>
      </c>
      <c r="F407" s="0" t="n">
        <v>93</v>
      </c>
      <c r="G407" s="1" t="n">
        <f aca="false">(E407/100)*F407</f>
        <v>0.93</v>
      </c>
      <c r="H407" s="0" t="n">
        <v>0</v>
      </c>
      <c r="I407" s="2" t="n">
        <f aca="false">(E407/100)*H407</f>
        <v>0</v>
      </c>
      <c r="J407" s="0" t="n">
        <v>0</v>
      </c>
      <c r="K407" s="6" t="n">
        <f aca="false">G407/E407</f>
        <v>0.93</v>
      </c>
      <c r="L407" s="7" t="n">
        <f aca="false">0.036*0.4</f>
        <v>0.0144</v>
      </c>
      <c r="M407" s="7" t="n">
        <f aca="false">(34.95/970)/G407</f>
        <v>0.0387429331559694</v>
      </c>
      <c r="N407" s="0" t="n">
        <v>0</v>
      </c>
      <c r="O407" s="0" t="n">
        <v>0</v>
      </c>
      <c r="P407" s="0" t="n">
        <v>0</v>
      </c>
      <c r="Q407" s="0" t="n">
        <v>0</v>
      </c>
      <c r="U407" s="0" t="s">
        <v>115</v>
      </c>
      <c r="V407" s="0" t="n">
        <v>1</v>
      </c>
    </row>
    <row r="408" customFormat="false" ht="12.8" hidden="false" customHeight="false" outlineLevel="0" collapsed="false">
      <c r="A408" s="0" t="s">
        <v>488</v>
      </c>
      <c r="B408" s="0" t="s">
        <v>20</v>
      </c>
      <c r="C408" s="0" t="s">
        <v>21</v>
      </c>
      <c r="D408" s="0" t="s">
        <v>492</v>
      </c>
      <c r="E408" s="0" t="n">
        <v>45</v>
      </c>
      <c r="F408" s="0" t="n">
        <v>67</v>
      </c>
      <c r="G408" s="1" t="n">
        <f aca="false">(E408/100)*F408</f>
        <v>30.15</v>
      </c>
      <c r="H408" s="0" t="n">
        <v>0</v>
      </c>
      <c r="I408" s="2" t="n">
        <f aca="false">(E408/100)*H408</f>
        <v>0</v>
      </c>
      <c r="J408" s="0" t="n">
        <v>0</v>
      </c>
      <c r="K408" s="6" t="n">
        <f aca="false">G408/E408</f>
        <v>0.67</v>
      </c>
      <c r="L408" s="7" t="n">
        <v>0.2</v>
      </c>
      <c r="M408" s="7" t="n">
        <f aca="false">(15.5/6)/G408</f>
        <v>0.0856826976229961</v>
      </c>
      <c r="N408" s="0" t="n">
        <v>0</v>
      </c>
      <c r="O408" s="0" t="n">
        <v>0</v>
      </c>
      <c r="P408" s="0" t="n">
        <v>0</v>
      </c>
      <c r="Q408" s="0" t="n">
        <v>0</v>
      </c>
      <c r="U408" s="0" t="s">
        <v>115</v>
      </c>
      <c r="V408" s="0" t="n">
        <v>1</v>
      </c>
    </row>
    <row r="409" customFormat="false" ht="12.8" hidden="false" customHeight="false" outlineLevel="0" collapsed="false">
      <c r="A409" s="0" t="s">
        <v>488</v>
      </c>
      <c r="B409" s="0" t="s">
        <v>20</v>
      </c>
      <c r="C409" s="0" t="s">
        <v>21</v>
      </c>
      <c r="D409" s="0" t="s">
        <v>493</v>
      </c>
      <c r="E409" s="0" t="n">
        <v>45</v>
      </c>
      <c r="F409" s="0" t="n">
        <v>67</v>
      </c>
      <c r="G409" s="1" t="n">
        <f aca="false">(E409/100)*F409</f>
        <v>30.15</v>
      </c>
      <c r="H409" s="0" t="n">
        <v>0</v>
      </c>
      <c r="I409" s="2" t="n">
        <f aca="false">(E410/100)*H409</f>
        <v>0</v>
      </c>
      <c r="J409" s="0" t="n">
        <v>75</v>
      </c>
      <c r="K409" s="6" t="n">
        <f aca="false">G409/E410</f>
        <v>0.391558441558442</v>
      </c>
      <c r="L409" s="7" t="n">
        <v>0.2</v>
      </c>
      <c r="M409" s="7" t="n">
        <f aca="false">(15.5/6)/G409</f>
        <v>0.0856826976229961</v>
      </c>
      <c r="N409" s="0" t="n">
        <v>0</v>
      </c>
      <c r="O409" s="0" t="n">
        <v>0</v>
      </c>
      <c r="P409" s="0" t="n">
        <v>0</v>
      </c>
      <c r="Q409" s="0" t="n">
        <v>0</v>
      </c>
      <c r="U409" s="0" t="s">
        <v>115</v>
      </c>
      <c r="V409" s="0" t="n">
        <v>1</v>
      </c>
    </row>
    <row r="410" customFormat="false" ht="12.8" hidden="false" customHeight="false" outlineLevel="0" collapsed="false">
      <c r="A410" s="0" t="s">
        <v>488</v>
      </c>
      <c r="B410" s="0" t="s">
        <v>20</v>
      </c>
      <c r="C410" s="0" t="s">
        <v>21</v>
      </c>
      <c r="D410" s="0" t="s">
        <v>494</v>
      </c>
      <c r="E410" s="0" t="n">
        <v>77</v>
      </c>
      <c r="F410" s="0" t="n">
        <v>39</v>
      </c>
      <c r="G410" s="1" t="n">
        <f aca="false">(E410/100)*F410</f>
        <v>30.03</v>
      </c>
      <c r="H410" s="0" t="n">
        <v>0</v>
      </c>
      <c r="I410" s="2" t="n">
        <f aca="false">(E410/100)*H410</f>
        <v>0</v>
      </c>
      <c r="J410" s="0" t="n">
        <v>0</v>
      </c>
      <c r="K410" s="6" t="n">
        <f aca="false">G410/E410</f>
        <v>0.39</v>
      </c>
      <c r="L410" s="7" t="n">
        <v>0.2</v>
      </c>
      <c r="M410" s="7" t="n">
        <f aca="false">(31.5/8)/G410</f>
        <v>0.131118881118881</v>
      </c>
      <c r="N410" s="0" t="n">
        <v>0</v>
      </c>
      <c r="O410" s="0" t="n">
        <v>0</v>
      </c>
      <c r="P410" s="0" t="n">
        <v>0</v>
      </c>
      <c r="Q410" s="0" t="n">
        <v>0</v>
      </c>
      <c r="U410" s="0" t="s">
        <v>115</v>
      </c>
      <c r="V410" s="0" t="n">
        <v>1</v>
      </c>
    </row>
    <row r="411" customFormat="false" ht="12.8" hidden="false" customHeight="false" outlineLevel="0" collapsed="false">
      <c r="A411" s="0" t="s">
        <v>488</v>
      </c>
      <c r="B411" s="0" t="s">
        <v>20</v>
      </c>
      <c r="C411" s="0" t="s">
        <v>21</v>
      </c>
      <c r="D411" s="0" t="s">
        <v>495</v>
      </c>
      <c r="E411" s="0" t="n">
        <v>70</v>
      </c>
      <c r="F411" s="0" t="n">
        <v>64</v>
      </c>
      <c r="G411" s="1" t="n">
        <f aca="false">(E411/100)*F411</f>
        <v>44.8</v>
      </c>
      <c r="H411" s="0" t="n">
        <v>0</v>
      </c>
      <c r="I411" s="2" t="n">
        <f aca="false">(E411/100)*H411</f>
        <v>0</v>
      </c>
      <c r="J411" s="0" t="n">
        <v>0</v>
      </c>
      <c r="K411" s="6" t="n">
        <f aca="false">G411/E411</f>
        <v>0.64</v>
      </c>
      <c r="L411" s="7" t="n">
        <v>0.2</v>
      </c>
      <c r="M411" s="7" t="n">
        <f aca="false">(18.95/6)/G411</f>
        <v>0.0704985119047619</v>
      </c>
      <c r="N411" s="0" t="n">
        <v>0</v>
      </c>
      <c r="O411" s="0" t="n">
        <v>0</v>
      </c>
      <c r="P411" s="0" t="n">
        <v>0</v>
      </c>
      <c r="Q411" s="0" t="n">
        <v>0</v>
      </c>
      <c r="U411" s="0" t="s">
        <v>115</v>
      </c>
      <c r="V411" s="0" t="n">
        <v>1</v>
      </c>
    </row>
    <row r="412" customFormat="false" ht="12.8" hidden="false" customHeight="false" outlineLevel="0" collapsed="false">
      <c r="A412" s="0" t="s">
        <v>488</v>
      </c>
      <c r="B412" s="0" t="s">
        <v>20</v>
      </c>
      <c r="C412" s="0" t="s">
        <v>21</v>
      </c>
      <c r="D412" s="0" t="s">
        <v>496</v>
      </c>
      <c r="E412" s="0" t="n">
        <v>70</v>
      </c>
      <c r="F412" s="0" t="n">
        <v>64</v>
      </c>
      <c r="G412" s="1" t="n">
        <f aca="false">(E412/100)*F412</f>
        <v>44.8</v>
      </c>
      <c r="H412" s="0" t="n">
        <v>0</v>
      </c>
      <c r="I412" s="2" t="n">
        <f aca="false">(E412/100)*H412</f>
        <v>0</v>
      </c>
      <c r="J412" s="0" t="n">
        <v>75</v>
      </c>
      <c r="K412" s="6" t="n">
        <f aca="false">G412/E412</f>
        <v>0.64</v>
      </c>
      <c r="L412" s="7" t="n">
        <v>0.2</v>
      </c>
      <c r="M412" s="7" t="n">
        <f aca="false">(18.95/6)/G412</f>
        <v>0.0704985119047619</v>
      </c>
      <c r="N412" s="0" t="n">
        <v>0</v>
      </c>
      <c r="O412" s="0" t="n">
        <v>0</v>
      </c>
      <c r="P412" s="0" t="n">
        <v>0</v>
      </c>
      <c r="Q412" s="0" t="n">
        <v>0</v>
      </c>
      <c r="U412" s="0" t="s">
        <v>115</v>
      </c>
      <c r="V412" s="0" t="n">
        <v>1</v>
      </c>
    </row>
    <row r="413" customFormat="false" ht="12.8" hidden="false" customHeight="false" outlineLevel="0" collapsed="false">
      <c r="A413" s="0" t="s">
        <v>488</v>
      </c>
      <c r="B413" s="0" t="s">
        <v>20</v>
      </c>
      <c r="C413" s="0" t="s">
        <v>21</v>
      </c>
      <c r="D413" s="0" t="s">
        <v>497</v>
      </c>
      <c r="E413" s="0" t="n">
        <v>60</v>
      </c>
      <c r="F413" s="0" t="n">
        <v>34</v>
      </c>
      <c r="G413" s="1" t="n">
        <f aca="false">(E413/100)*F413</f>
        <v>20.4</v>
      </c>
      <c r="H413" s="0" t="n">
        <v>0</v>
      </c>
      <c r="I413" s="2" t="n">
        <f aca="false">(E413/100)*H413</f>
        <v>0</v>
      </c>
      <c r="J413" s="0" t="n">
        <v>0</v>
      </c>
      <c r="K413" s="6" t="n">
        <f aca="false">G413/E413</f>
        <v>0.34</v>
      </c>
      <c r="L413" s="7" t="n">
        <v>0</v>
      </c>
      <c r="M413" s="7" t="n">
        <f aca="false">(15.95/6)/G413</f>
        <v>0.13031045751634</v>
      </c>
      <c r="N413" s="0" t="n">
        <v>0</v>
      </c>
      <c r="O413" s="0" t="n">
        <v>0</v>
      </c>
      <c r="P413" s="0" t="n">
        <v>0</v>
      </c>
      <c r="Q413" s="0" t="n">
        <v>0</v>
      </c>
      <c r="U413" s="0" t="s">
        <v>115</v>
      </c>
      <c r="V413" s="0" t="n">
        <v>1</v>
      </c>
    </row>
    <row r="414" customFormat="false" ht="12.8" hidden="false" customHeight="false" outlineLevel="0" collapsed="false">
      <c r="A414" s="0" t="s">
        <v>488</v>
      </c>
      <c r="B414" s="0" t="s">
        <v>20</v>
      </c>
      <c r="C414" s="0" t="s">
        <v>21</v>
      </c>
      <c r="D414" s="0" t="s">
        <v>498</v>
      </c>
      <c r="E414" s="0" t="n">
        <v>60</v>
      </c>
      <c r="F414" s="0" t="n">
        <v>34</v>
      </c>
      <c r="G414" s="1" t="n">
        <f aca="false">(E414/100)*F414</f>
        <v>20.4</v>
      </c>
      <c r="H414" s="0" t="n">
        <v>0</v>
      </c>
      <c r="I414" s="2" t="n">
        <f aca="false">(E414/100)*H414</f>
        <v>0</v>
      </c>
      <c r="J414" s="0" t="n">
        <v>75</v>
      </c>
      <c r="K414" s="6" t="n">
        <f aca="false">G414/E414</f>
        <v>0.34</v>
      </c>
      <c r="L414" s="7" t="n">
        <v>0</v>
      </c>
      <c r="M414" s="7" t="n">
        <f aca="false">(15.95/6)/G414</f>
        <v>0.13031045751634</v>
      </c>
      <c r="N414" s="0" t="n">
        <v>0</v>
      </c>
      <c r="O414" s="0" t="n">
        <v>0</v>
      </c>
      <c r="P414" s="0" t="n">
        <v>0</v>
      </c>
      <c r="Q414" s="0" t="n">
        <v>0</v>
      </c>
      <c r="U414" s="0" t="s">
        <v>115</v>
      </c>
      <c r="V414" s="0" t="n">
        <v>1</v>
      </c>
    </row>
    <row r="415" customFormat="false" ht="12.8" hidden="false" customHeight="false" outlineLevel="0" collapsed="false">
      <c r="A415" s="0" t="s">
        <v>488</v>
      </c>
      <c r="B415" s="0" t="s">
        <v>36</v>
      </c>
      <c r="C415" s="0" t="s">
        <v>37</v>
      </c>
      <c r="D415" s="0" t="s">
        <v>499</v>
      </c>
      <c r="E415" s="0" t="n">
        <v>38</v>
      </c>
      <c r="F415" s="0" t="n">
        <v>80</v>
      </c>
      <c r="G415" s="1" t="n">
        <f aca="false">(E415/100)*F415</f>
        <v>30.4</v>
      </c>
      <c r="H415" s="0" t="n">
        <v>0</v>
      </c>
      <c r="I415" s="2" t="n">
        <f aca="false">(E415/100)*H415</f>
        <v>0</v>
      </c>
      <c r="J415" s="0" t="n">
        <v>0</v>
      </c>
      <c r="K415" s="6" t="n">
        <f aca="false">G415/E415</f>
        <v>0.8</v>
      </c>
      <c r="L415" s="7" t="n">
        <v>0.08</v>
      </c>
      <c r="M415" s="7" t="n">
        <f aca="false">2.25/G415</f>
        <v>0.0740131578947369</v>
      </c>
      <c r="N415" s="0" t="n">
        <v>0</v>
      </c>
      <c r="O415" s="0" t="n">
        <v>0</v>
      </c>
      <c r="P415" s="0" t="n">
        <v>0</v>
      </c>
      <c r="Q415" s="0" t="n">
        <v>0</v>
      </c>
      <c r="U415" s="0" t="s">
        <v>115</v>
      </c>
      <c r="V415" s="0" t="n">
        <v>1</v>
      </c>
    </row>
    <row r="416" customFormat="false" ht="12.8" hidden="false" customHeight="false" outlineLevel="0" collapsed="false">
      <c r="A416" s="0" t="s">
        <v>488</v>
      </c>
      <c r="B416" s="0" t="s">
        <v>36</v>
      </c>
      <c r="C416" s="0" t="s">
        <v>37</v>
      </c>
      <c r="D416" s="0" t="s">
        <v>500</v>
      </c>
      <c r="E416" s="0" t="n">
        <v>38</v>
      </c>
      <c r="F416" s="0" t="n">
        <v>80</v>
      </c>
      <c r="G416" s="1" t="n">
        <f aca="false">(E416/100)*F416</f>
        <v>30.4</v>
      </c>
      <c r="H416" s="0" t="n">
        <v>0</v>
      </c>
      <c r="I416" s="2" t="n">
        <f aca="false">(E416/100)*H416</f>
        <v>0</v>
      </c>
      <c r="J416" s="0" t="n">
        <v>75</v>
      </c>
      <c r="K416" s="6" t="n">
        <f aca="false">G416/E416</f>
        <v>0.8</v>
      </c>
      <c r="L416" s="7" t="n">
        <v>0.08</v>
      </c>
      <c r="M416" s="7" t="n">
        <f aca="false">2.25/G416</f>
        <v>0.0740131578947369</v>
      </c>
      <c r="N416" s="0" t="n">
        <v>0</v>
      </c>
      <c r="O416" s="0" t="n">
        <v>0</v>
      </c>
      <c r="P416" s="0" t="n">
        <v>0</v>
      </c>
      <c r="Q416" s="0" t="n">
        <v>0</v>
      </c>
      <c r="U416" s="0" t="s">
        <v>115</v>
      </c>
      <c r="V416" s="0" t="n">
        <v>1</v>
      </c>
    </row>
    <row r="417" customFormat="false" ht="12.8" hidden="false" customHeight="false" outlineLevel="0" collapsed="false">
      <c r="A417" s="0" t="s">
        <v>488</v>
      </c>
      <c r="B417" s="0" t="s">
        <v>36</v>
      </c>
      <c r="C417" s="0" t="s">
        <v>37</v>
      </c>
      <c r="D417" s="0" t="s">
        <v>501</v>
      </c>
      <c r="E417" s="0" t="n">
        <v>46</v>
      </c>
      <c r="F417" s="0" t="n">
        <v>66</v>
      </c>
      <c r="G417" s="1" t="n">
        <f aca="false">(E417/100)*F417</f>
        <v>30.36</v>
      </c>
      <c r="H417" s="0" t="n">
        <v>6</v>
      </c>
      <c r="I417" s="2" t="n">
        <f aca="false">(E417/100)*H417</f>
        <v>2.76</v>
      </c>
      <c r="J417" s="0" t="n">
        <v>0</v>
      </c>
      <c r="K417" s="6" t="n">
        <f aca="false">G417/E417</f>
        <v>0.66</v>
      </c>
      <c r="L417" s="7" t="n">
        <v>0</v>
      </c>
      <c r="M417" s="7" t="n">
        <f aca="false">(13.95/6)/G417</f>
        <v>0.0765810276679842</v>
      </c>
      <c r="N417" s="0" t="n">
        <v>0</v>
      </c>
      <c r="O417" s="0" t="n">
        <v>1</v>
      </c>
      <c r="P417" s="0" t="n">
        <v>0</v>
      </c>
      <c r="Q417" s="0" t="n">
        <v>0</v>
      </c>
      <c r="U417" s="0" t="s">
        <v>115</v>
      </c>
      <c r="V417" s="0" t="n">
        <v>1</v>
      </c>
    </row>
    <row r="418" customFormat="false" ht="12.8" hidden="false" customHeight="false" outlineLevel="0" collapsed="false">
      <c r="A418" s="0" t="s">
        <v>488</v>
      </c>
      <c r="B418" s="0" t="s">
        <v>36</v>
      </c>
      <c r="C418" s="0" t="s">
        <v>37</v>
      </c>
      <c r="D418" s="0" t="s">
        <v>502</v>
      </c>
      <c r="E418" s="0" t="n">
        <v>46</v>
      </c>
      <c r="F418" s="0" t="n">
        <v>65</v>
      </c>
      <c r="G418" s="1" t="n">
        <f aca="false">(E418/100)*F418</f>
        <v>29.9</v>
      </c>
      <c r="H418" s="0" t="n">
        <v>6.5</v>
      </c>
      <c r="I418" s="2" t="n">
        <f aca="false">(E418/100)*H418</f>
        <v>2.99</v>
      </c>
      <c r="J418" s="0" t="n">
        <v>0</v>
      </c>
      <c r="K418" s="6" t="n">
        <f aca="false">G418/E418</f>
        <v>0.65</v>
      </c>
      <c r="L418" s="7" t="n">
        <v>0.2</v>
      </c>
      <c r="M418" s="7" t="n">
        <f aca="false">(13.95/6)/G418</f>
        <v>0.0777591973244147</v>
      </c>
      <c r="N418" s="0" t="n">
        <v>0</v>
      </c>
      <c r="O418" s="0" t="n">
        <v>1</v>
      </c>
      <c r="P418" s="0" t="n">
        <v>1</v>
      </c>
      <c r="Q418" s="0" t="n">
        <v>0</v>
      </c>
      <c r="U418" s="0" t="s">
        <v>115</v>
      </c>
      <c r="V418" s="0" t="n">
        <v>1</v>
      </c>
    </row>
    <row r="419" customFormat="false" ht="12.8" hidden="false" customHeight="false" outlineLevel="0" collapsed="false">
      <c r="A419" s="0" t="s">
        <v>488</v>
      </c>
      <c r="B419" s="0" t="s">
        <v>36</v>
      </c>
      <c r="C419" s="0" t="s">
        <v>37</v>
      </c>
      <c r="D419" s="0" t="s">
        <v>503</v>
      </c>
      <c r="E419" s="0" t="n">
        <v>35</v>
      </c>
      <c r="F419" s="0" t="n">
        <v>86</v>
      </c>
      <c r="G419" s="1" t="n">
        <f aca="false">(E419/100)*F419</f>
        <v>30.1</v>
      </c>
      <c r="H419" s="0" t="n">
        <v>3</v>
      </c>
      <c r="I419" s="2" t="n">
        <f aca="false">(E419/100)*H419</f>
        <v>1.05</v>
      </c>
      <c r="J419" s="0" t="n">
        <v>0</v>
      </c>
      <c r="K419" s="6" t="n">
        <f aca="false">G419/E419</f>
        <v>0.86</v>
      </c>
      <c r="L419" s="7" t="n">
        <v>0.08</v>
      </c>
      <c r="M419" s="7" t="n">
        <f aca="false">(13.95/6)/G419</f>
        <v>0.0772425249169435</v>
      </c>
      <c r="N419" s="0" t="n">
        <v>0</v>
      </c>
      <c r="O419" s="0" t="n">
        <v>0</v>
      </c>
      <c r="P419" s="0" t="n">
        <v>1</v>
      </c>
      <c r="Q419" s="0" t="n">
        <v>0</v>
      </c>
      <c r="U419" s="0" t="s">
        <v>115</v>
      </c>
      <c r="V419" s="0" t="n">
        <v>1</v>
      </c>
    </row>
    <row r="420" customFormat="false" ht="12.8" hidden="false" customHeight="false" outlineLevel="0" collapsed="false">
      <c r="A420" s="0" t="s">
        <v>488</v>
      </c>
      <c r="B420" s="0" t="s">
        <v>36</v>
      </c>
      <c r="C420" s="0" t="s">
        <v>37</v>
      </c>
      <c r="D420" s="0" t="s">
        <v>504</v>
      </c>
      <c r="E420" s="0" t="n">
        <v>41</v>
      </c>
      <c r="F420" s="0" t="n">
        <v>73</v>
      </c>
      <c r="G420" s="1" t="n">
        <f aca="false">(E420/100)*F420</f>
        <v>29.93</v>
      </c>
      <c r="H420" s="0" t="n">
        <v>3</v>
      </c>
      <c r="I420" s="2" t="n">
        <f aca="false">(E420/100)*H420</f>
        <v>1.23</v>
      </c>
      <c r="J420" s="0" t="n">
        <v>0</v>
      </c>
      <c r="K420" s="6" t="n">
        <f aca="false">G420/E420</f>
        <v>0.73</v>
      </c>
      <c r="L420" s="7" t="n">
        <f aca="false">0.16*0.4</f>
        <v>0.064</v>
      </c>
      <c r="M420" s="7" t="n">
        <f aca="false">(10.95/6)/G420</f>
        <v>0.0609756097560976</v>
      </c>
      <c r="N420" s="0" t="n">
        <v>0</v>
      </c>
      <c r="O420" s="0" t="n">
        <v>1</v>
      </c>
      <c r="P420" s="0" t="n">
        <v>0</v>
      </c>
      <c r="Q420" s="0" t="n">
        <v>0</v>
      </c>
      <c r="U420" s="0" t="s">
        <v>115</v>
      </c>
      <c r="V420" s="0" t="n">
        <v>1</v>
      </c>
    </row>
    <row r="421" customFormat="false" ht="12.8" hidden="false" customHeight="false" outlineLevel="0" collapsed="false">
      <c r="A421" s="0" t="s">
        <v>505</v>
      </c>
      <c r="B421" s="0" t="s">
        <v>36</v>
      </c>
      <c r="C421" s="0" t="s">
        <v>37</v>
      </c>
      <c r="D421" s="0" t="s">
        <v>506</v>
      </c>
      <c r="E421" s="0" t="n">
        <v>25</v>
      </c>
      <c r="F421" s="0" t="n">
        <v>59</v>
      </c>
      <c r="G421" s="1" t="n">
        <f aca="false">(E421/100)*F421</f>
        <v>14.75</v>
      </c>
      <c r="H421" s="0" t="n">
        <v>8.7</v>
      </c>
      <c r="I421" s="2" t="n">
        <f aca="false">(E421/100)*H421</f>
        <v>2.175</v>
      </c>
      <c r="J421" s="0" t="n">
        <v>0</v>
      </c>
      <c r="K421" s="6" t="n">
        <f aca="false">G421/E421</f>
        <v>0.59</v>
      </c>
      <c r="L421" s="7" t="n">
        <f aca="false">(0.044/4)</f>
        <v>0.011</v>
      </c>
      <c r="M421" s="7" t="n">
        <f aca="false">(2.45/5)/G421</f>
        <v>0.0332203389830509</v>
      </c>
      <c r="N421" s="0" t="n">
        <v>0</v>
      </c>
      <c r="O421" s="0" t="n">
        <v>0</v>
      </c>
      <c r="P421" s="0" t="n">
        <v>1</v>
      </c>
      <c r="Q421" s="0" t="n">
        <v>0</v>
      </c>
      <c r="V421" s="0" t="n">
        <v>0</v>
      </c>
    </row>
    <row r="422" customFormat="false" ht="12.8" hidden="false" customHeight="false" outlineLevel="0" collapsed="false">
      <c r="A422" s="0" t="s">
        <v>505</v>
      </c>
      <c r="B422" s="0" t="s">
        <v>36</v>
      </c>
      <c r="C422" s="0" t="s">
        <v>37</v>
      </c>
      <c r="D422" s="0" t="s">
        <v>507</v>
      </c>
      <c r="E422" s="0" t="n">
        <v>25</v>
      </c>
      <c r="F422" s="0" t="n">
        <v>82</v>
      </c>
      <c r="G422" s="1" t="n">
        <f aca="false">(E422/100)*F422</f>
        <v>20.5</v>
      </c>
      <c r="H422" s="0" t="n">
        <v>0</v>
      </c>
      <c r="I422" s="2" t="n">
        <f aca="false">(E422/100)*H422</f>
        <v>0</v>
      </c>
      <c r="J422" s="0" t="n">
        <v>0</v>
      </c>
      <c r="K422" s="6" t="n">
        <f aca="false">G422/E422</f>
        <v>0.82</v>
      </c>
      <c r="L422" s="7" t="n">
        <f aca="false">(0.6*0.4)/4</f>
        <v>0.06</v>
      </c>
      <c r="M422" s="7" t="n">
        <f aca="false">(3.49/5)/G422</f>
        <v>0.0340487804878049</v>
      </c>
      <c r="N422" s="0" t="n">
        <v>0</v>
      </c>
      <c r="O422" s="0" t="n">
        <v>1</v>
      </c>
      <c r="P422" s="0" t="n">
        <v>0</v>
      </c>
      <c r="Q422" s="0" t="n">
        <v>0</v>
      </c>
      <c r="V422" s="0" t="n">
        <v>0</v>
      </c>
    </row>
    <row r="423" customFormat="false" ht="12.8" hidden="false" customHeight="false" outlineLevel="0" collapsed="false">
      <c r="A423" s="0" t="s">
        <v>505</v>
      </c>
      <c r="B423" s="0" t="s">
        <v>36</v>
      </c>
      <c r="C423" s="0" t="s">
        <v>37</v>
      </c>
      <c r="D423" s="0" t="s">
        <v>508</v>
      </c>
      <c r="E423" s="0" t="n">
        <f aca="false">126/6</f>
        <v>21</v>
      </c>
      <c r="F423" s="0" t="n">
        <v>64</v>
      </c>
      <c r="G423" s="1" t="n">
        <f aca="false">(E423/100)*F423</f>
        <v>13.44</v>
      </c>
      <c r="H423" s="0" t="n">
        <v>6.6</v>
      </c>
      <c r="I423" s="2" t="n">
        <f aca="false">(E423/100)*H423</f>
        <v>1.386</v>
      </c>
      <c r="J423" s="0" t="n">
        <v>0</v>
      </c>
      <c r="K423" s="6" t="n">
        <f aca="false">G423/E423</f>
        <v>0.64</v>
      </c>
      <c r="L423" s="7" t="n">
        <f aca="false">(0.27*0.4)*0.21</f>
        <v>0.02268</v>
      </c>
      <c r="M423" s="7" t="n">
        <f aca="false">(2.65/6)/G423</f>
        <v>0.0328621031746032</v>
      </c>
      <c r="N423" s="0" t="n">
        <v>0</v>
      </c>
      <c r="O423" s="0" t="n">
        <v>1</v>
      </c>
      <c r="P423" s="0" t="n">
        <v>0</v>
      </c>
      <c r="Q423" s="0" t="n">
        <v>0</v>
      </c>
      <c r="V423" s="0" t="n">
        <v>0</v>
      </c>
    </row>
    <row r="424" customFormat="false" ht="12.8" hidden="false" customHeight="false" outlineLevel="0" collapsed="false">
      <c r="A424" s="0" t="s">
        <v>509</v>
      </c>
      <c r="B424" s="0" t="s">
        <v>36</v>
      </c>
      <c r="C424" s="0" t="s">
        <v>37</v>
      </c>
      <c r="D424" s="0" t="s">
        <v>510</v>
      </c>
      <c r="E424" s="0" t="n">
        <v>20</v>
      </c>
      <c r="F424" s="0" t="n">
        <v>38.7</v>
      </c>
      <c r="G424" s="1" t="n">
        <f aca="false">(E424/100)*F424</f>
        <v>7.74</v>
      </c>
      <c r="H424" s="0" t="n">
        <v>15</v>
      </c>
      <c r="I424" s="2" t="n">
        <f aca="false">(E424/100)*H424</f>
        <v>3</v>
      </c>
      <c r="J424" s="0" t="n">
        <v>0</v>
      </c>
      <c r="K424" s="6" t="n">
        <f aca="false">G424/E424</f>
        <v>0.387</v>
      </c>
      <c r="L424" s="7" t="n">
        <f aca="false">0.02*0.4</f>
        <v>0.008</v>
      </c>
      <c r="M424" s="7" t="n">
        <f aca="false">1.3/G424</f>
        <v>0.167958656330749</v>
      </c>
      <c r="N424" s="0" t="n">
        <v>1</v>
      </c>
      <c r="O424" s="0" t="n">
        <v>0</v>
      </c>
      <c r="P424" s="0" t="n">
        <v>1</v>
      </c>
      <c r="Q424" s="0" t="n">
        <v>0</v>
      </c>
      <c r="V424" s="0" t="n">
        <v>0</v>
      </c>
    </row>
    <row r="425" customFormat="false" ht="12.8" hidden="false" customHeight="false" outlineLevel="0" collapsed="false">
      <c r="A425" s="0" t="s">
        <v>509</v>
      </c>
      <c r="B425" s="0" t="s">
        <v>25</v>
      </c>
      <c r="C425" s="0" t="s">
        <v>26</v>
      </c>
      <c r="D425" s="0" t="s">
        <v>511</v>
      </c>
      <c r="E425" s="0" t="n">
        <v>1</v>
      </c>
      <c r="F425" s="0" t="n">
        <v>77.3</v>
      </c>
      <c r="G425" s="1" t="n">
        <f aca="false">(E425/100)*F425</f>
        <v>0.773</v>
      </c>
      <c r="H425" s="0" t="n">
        <v>8.8</v>
      </c>
      <c r="I425" s="2" t="n">
        <f aca="false">(E425/100)*H425</f>
        <v>0.088</v>
      </c>
      <c r="J425" s="0" t="n">
        <v>0</v>
      </c>
      <c r="K425" s="6" t="n">
        <f aca="false">G425/E425</f>
        <v>0.773</v>
      </c>
      <c r="L425" s="7" t="n">
        <f aca="false">1.046/100</f>
        <v>0.01046</v>
      </c>
      <c r="M425" s="7" t="n">
        <f aca="false">(34.99/612)/G425</f>
        <v>0.0739627459435693</v>
      </c>
      <c r="N425" s="0" t="n">
        <v>0</v>
      </c>
      <c r="O425" s="0" t="n">
        <v>0</v>
      </c>
      <c r="P425" s="0" t="n">
        <v>0</v>
      </c>
      <c r="Q425" s="0" t="n">
        <v>0</v>
      </c>
      <c r="R425" s="0" t="n">
        <v>3600</v>
      </c>
      <c r="U425" s="0" t="s">
        <v>200</v>
      </c>
      <c r="V425" s="0" t="n">
        <v>1</v>
      </c>
    </row>
    <row r="426" customFormat="false" ht="12.8" hidden="false" customHeight="false" outlineLevel="0" collapsed="false">
      <c r="A426" s="0" t="s">
        <v>509</v>
      </c>
      <c r="B426" s="0" t="s">
        <v>27</v>
      </c>
      <c r="C426" s="0" t="s">
        <v>28</v>
      </c>
      <c r="D426" s="0" t="s">
        <v>512</v>
      </c>
      <c r="E426" s="0" t="n">
        <v>80</v>
      </c>
      <c r="F426" s="0" t="n">
        <v>36</v>
      </c>
      <c r="G426" s="1" t="n">
        <f aca="false">(E426/100)*F426</f>
        <v>28.8</v>
      </c>
      <c r="H426" s="0" t="n">
        <v>3.2</v>
      </c>
      <c r="I426" s="2" t="n">
        <f aca="false">(E426/100)*H426</f>
        <v>2.56</v>
      </c>
      <c r="J426" s="0" t="n">
        <v>0</v>
      </c>
      <c r="K426" s="6" t="n">
        <f aca="false">G426/E426</f>
        <v>0.36</v>
      </c>
      <c r="L426" s="7" t="n">
        <v>0.376</v>
      </c>
      <c r="M426" s="7" t="n">
        <f aca="false">3.33/G426</f>
        <v>0.115625</v>
      </c>
      <c r="N426" s="0" t="n">
        <v>0</v>
      </c>
      <c r="O426" s="0" t="n">
        <v>0</v>
      </c>
      <c r="P426" s="0" t="n">
        <v>0</v>
      </c>
      <c r="Q426" s="0" t="n">
        <v>0</v>
      </c>
      <c r="U426" s="0" t="s">
        <v>200</v>
      </c>
      <c r="V426" s="0" t="n">
        <v>1</v>
      </c>
    </row>
    <row r="427" customFormat="false" ht="12.8" hidden="false" customHeight="false" outlineLevel="0" collapsed="false">
      <c r="A427" s="10" t="s">
        <v>513</v>
      </c>
      <c r="B427" s="0" t="s">
        <v>32</v>
      </c>
      <c r="C427" s="0" t="s">
        <v>33</v>
      </c>
      <c r="D427" s="0" t="s">
        <v>514</v>
      </c>
      <c r="E427" s="0" t="n">
        <v>20</v>
      </c>
      <c r="F427" s="0" t="n">
        <v>22</v>
      </c>
      <c r="G427" s="1" t="n">
        <f aca="false">(E427/100)*F427</f>
        <v>4.4</v>
      </c>
      <c r="H427" s="0" t="n">
        <v>19</v>
      </c>
      <c r="I427" s="2" t="n">
        <f aca="false">(E427/100)*H427</f>
        <v>3.8</v>
      </c>
      <c r="J427" s="0" t="n">
        <v>0</v>
      </c>
      <c r="K427" s="6" t="n">
        <f aca="false">G427/E427</f>
        <v>0.22</v>
      </c>
      <c r="L427" s="7" t="n">
        <f aca="false">0.4*0.4*0.2</f>
        <v>0.032</v>
      </c>
      <c r="M427" s="7" t="n">
        <f aca="false">2.9/G427</f>
        <v>0.659090909090909</v>
      </c>
      <c r="N427" s="0" t="n">
        <v>1</v>
      </c>
      <c r="O427" s="0" t="n">
        <v>0</v>
      </c>
      <c r="P427" s="0" t="n">
        <v>1</v>
      </c>
      <c r="Q427" s="0" t="n">
        <v>0</v>
      </c>
      <c r="V427" s="0" t="n">
        <v>0</v>
      </c>
    </row>
    <row r="428" customFormat="false" ht="12.8" hidden="false" customHeight="false" outlineLevel="0" collapsed="false">
      <c r="A428" s="10" t="s">
        <v>513</v>
      </c>
      <c r="B428" s="0" t="s">
        <v>32</v>
      </c>
      <c r="C428" s="0" t="s">
        <v>33</v>
      </c>
      <c r="D428" s="0" t="s">
        <v>515</v>
      </c>
      <c r="E428" s="0" t="n">
        <v>20</v>
      </c>
      <c r="F428" s="0" t="n">
        <v>11</v>
      </c>
      <c r="G428" s="1" t="n">
        <f aca="false">(E428/100)*F428</f>
        <v>2.2</v>
      </c>
      <c r="H428" s="0" t="n">
        <v>25</v>
      </c>
      <c r="I428" s="2" t="n">
        <f aca="false">(E428/100)*H428</f>
        <v>5</v>
      </c>
      <c r="J428" s="0" t="n">
        <v>0</v>
      </c>
      <c r="K428" s="6" t="n">
        <f aca="false">G428/E428</f>
        <v>0.11</v>
      </c>
      <c r="L428" s="7" t="n">
        <f aca="false">0.4*0.4*0.2</f>
        <v>0.032</v>
      </c>
      <c r="M428" s="7" t="n">
        <f aca="false">2.9/G428</f>
        <v>1.31818181818182</v>
      </c>
      <c r="N428" s="0" t="n">
        <v>1</v>
      </c>
      <c r="O428" s="0" t="n">
        <v>0</v>
      </c>
      <c r="P428" s="0" t="n">
        <v>1</v>
      </c>
      <c r="Q428" s="0" t="n">
        <v>0</v>
      </c>
      <c r="V428" s="0" t="n">
        <v>0</v>
      </c>
    </row>
    <row r="429" customFormat="false" ht="12.8" hidden="false" customHeight="false" outlineLevel="0" collapsed="false">
      <c r="A429" s="10" t="s">
        <v>513</v>
      </c>
      <c r="B429" s="0" t="s">
        <v>20</v>
      </c>
      <c r="C429" s="0" t="s">
        <v>21</v>
      </c>
      <c r="D429" s="0" t="s">
        <v>516</v>
      </c>
      <c r="E429" s="0" t="n">
        <v>20</v>
      </c>
      <c r="F429" s="0" t="n">
        <v>70.9</v>
      </c>
      <c r="G429" s="1" t="n">
        <f aca="false">(E429/100)*F429</f>
        <v>14.18</v>
      </c>
      <c r="H429" s="0" t="n">
        <v>0</v>
      </c>
      <c r="I429" s="2" t="n">
        <f aca="false">(E429/100)*H429</f>
        <v>0</v>
      </c>
      <c r="J429" s="0" t="n">
        <v>0</v>
      </c>
      <c r="K429" s="6" t="n">
        <f aca="false">G429/E429</f>
        <v>0.709</v>
      </c>
      <c r="L429" s="7" t="n">
        <v>0</v>
      </c>
      <c r="M429" s="7" t="n">
        <f aca="false">2.9/G429</f>
        <v>0.204513399153738</v>
      </c>
      <c r="N429" s="0" t="n">
        <v>1</v>
      </c>
      <c r="O429" s="0" t="n">
        <v>0</v>
      </c>
      <c r="P429" s="0" t="n">
        <v>0</v>
      </c>
      <c r="Q429" s="0" t="n">
        <v>0</v>
      </c>
      <c r="V429" s="0" t="n">
        <v>0</v>
      </c>
    </row>
    <row r="430" customFormat="false" ht="12.8" hidden="false" customHeight="false" outlineLevel="0" collapsed="false">
      <c r="A430" s="10" t="s">
        <v>513</v>
      </c>
      <c r="B430" s="0" t="s">
        <v>20</v>
      </c>
      <c r="C430" s="0" t="s">
        <v>21</v>
      </c>
      <c r="D430" s="0" t="s">
        <v>517</v>
      </c>
      <c r="E430" s="0" t="n">
        <v>40</v>
      </c>
      <c r="F430" s="0" t="n">
        <v>72.63</v>
      </c>
      <c r="G430" s="1" t="n">
        <f aca="false">(E430/100)*F430</f>
        <v>29.052</v>
      </c>
      <c r="H430" s="0" t="n">
        <v>1</v>
      </c>
      <c r="I430" s="2" t="n">
        <f aca="false">(E430/100)*H430</f>
        <v>0.4</v>
      </c>
      <c r="J430" s="0" t="n">
        <v>0</v>
      </c>
      <c r="K430" s="6" t="n">
        <f aca="false">G430/E430</f>
        <v>0.7263</v>
      </c>
      <c r="L430" s="7" t="n">
        <v>0</v>
      </c>
      <c r="M430" s="7" t="n">
        <f aca="false">3.9/G430</f>
        <v>0.13424204874019</v>
      </c>
      <c r="N430" s="0" t="n">
        <v>0</v>
      </c>
      <c r="O430" s="0" t="n">
        <v>0</v>
      </c>
      <c r="P430" s="0" t="n">
        <v>0</v>
      </c>
      <c r="Q430" s="0" t="n">
        <v>0</v>
      </c>
      <c r="V430" s="0" t="n">
        <v>0</v>
      </c>
    </row>
    <row r="431" customFormat="false" ht="12.8" hidden="false" customHeight="false" outlineLevel="0" collapsed="false">
      <c r="A431" s="10" t="s">
        <v>513</v>
      </c>
      <c r="B431" s="0" t="s">
        <v>20</v>
      </c>
      <c r="C431" s="0" t="s">
        <v>21</v>
      </c>
      <c r="D431" s="0" t="s">
        <v>518</v>
      </c>
      <c r="E431" s="0" t="n">
        <v>20</v>
      </c>
      <c r="F431" s="0" t="n">
        <v>75.1</v>
      </c>
      <c r="G431" s="1" t="n">
        <f aca="false">(E431/100)*F431</f>
        <v>15.02</v>
      </c>
      <c r="H431" s="0" t="n">
        <v>1.6</v>
      </c>
      <c r="I431" s="2" t="n">
        <f aca="false">(E431/100)*H431</f>
        <v>0.32</v>
      </c>
      <c r="J431" s="0" t="n">
        <v>0</v>
      </c>
      <c r="K431" s="6" t="n">
        <f aca="false">G431/E431</f>
        <v>0.751</v>
      </c>
      <c r="L431" s="7" t="n">
        <f aca="false">0.03*0.4</f>
        <v>0.012</v>
      </c>
      <c r="M431" s="7" t="n">
        <f aca="false">2.9/G431</f>
        <v>0.193075898801598</v>
      </c>
      <c r="N431" s="0" t="n">
        <v>1</v>
      </c>
      <c r="O431" s="0" t="n">
        <v>0</v>
      </c>
      <c r="P431" s="0" t="n">
        <v>0</v>
      </c>
      <c r="Q431" s="0" t="n">
        <v>0</v>
      </c>
      <c r="V431" s="0" t="n">
        <v>0</v>
      </c>
    </row>
    <row r="432" customFormat="false" ht="12.8" hidden="false" customHeight="false" outlineLevel="0" collapsed="false">
      <c r="A432" s="10" t="s">
        <v>513</v>
      </c>
      <c r="B432" s="0" t="s">
        <v>20</v>
      </c>
      <c r="C432" s="0" t="s">
        <v>21</v>
      </c>
      <c r="D432" s="0" t="s">
        <v>519</v>
      </c>
      <c r="E432" s="0" t="n">
        <v>20</v>
      </c>
      <c r="F432" s="0" t="n">
        <v>76</v>
      </c>
      <c r="G432" s="1" t="n">
        <f aca="false">(E432/100)*F432</f>
        <v>15.2</v>
      </c>
      <c r="H432" s="0" t="n">
        <v>0</v>
      </c>
      <c r="I432" s="2" t="n">
        <f aca="false">(E432/100)*H432</f>
        <v>0</v>
      </c>
      <c r="J432" s="0" t="n">
        <v>20</v>
      </c>
      <c r="K432" s="6" t="n">
        <f aca="false">G432/E432</f>
        <v>0.76</v>
      </c>
      <c r="L432" s="7" t="n">
        <v>0</v>
      </c>
      <c r="M432" s="7" t="n">
        <f aca="false">2.9/G432</f>
        <v>0.190789473684211</v>
      </c>
      <c r="N432" s="0" t="n">
        <v>0</v>
      </c>
      <c r="O432" s="0" t="n">
        <v>0</v>
      </c>
      <c r="P432" s="0" t="n">
        <v>0</v>
      </c>
      <c r="Q432" s="0" t="n">
        <v>0</v>
      </c>
      <c r="V432" s="0" t="n">
        <v>0</v>
      </c>
    </row>
    <row r="433" customFormat="false" ht="12.8" hidden="false" customHeight="false" outlineLevel="0" collapsed="false">
      <c r="A433" s="10" t="s">
        <v>513</v>
      </c>
      <c r="B433" s="0" t="s">
        <v>20</v>
      </c>
      <c r="C433" s="0" t="s">
        <v>21</v>
      </c>
      <c r="D433" s="0" t="s">
        <v>520</v>
      </c>
      <c r="E433" s="0" t="n">
        <v>20</v>
      </c>
      <c r="F433" s="0" t="n">
        <v>77.8</v>
      </c>
      <c r="G433" s="1" t="n">
        <f aca="false">(E433/100)*F433</f>
        <v>15.56</v>
      </c>
      <c r="H433" s="0" t="n">
        <v>0.6</v>
      </c>
      <c r="I433" s="2" t="n">
        <f aca="false">(E433/100)*H433</f>
        <v>0.12</v>
      </c>
      <c r="J433" s="0" t="n">
        <v>0</v>
      </c>
      <c r="K433" s="6" t="n">
        <f aca="false">G433/E433</f>
        <v>0.778</v>
      </c>
      <c r="L433" s="7" t="n">
        <f aca="false">0.8*0.4</f>
        <v>0.32</v>
      </c>
      <c r="M433" s="7" t="n">
        <f aca="false">2.9/G433</f>
        <v>0.186375321336761</v>
      </c>
      <c r="N433" s="0" t="n">
        <v>1</v>
      </c>
      <c r="O433" s="0" t="n">
        <v>0</v>
      </c>
      <c r="P433" s="0" t="n">
        <v>0</v>
      </c>
      <c r="Q433" s="0" t="n">
        <v>0</v>
      </c>
      <c r="V433" s="0" t="n">
        <v>0</v>
      </c>
    </row>
    <row r="434" customFormat="false" ht="12.8" hidden="false" customHeight="false" outlineLevel="0" collapsed="false">
      <c r="A434" s="10" t="s">
        <v>513</v>
      </c>
      <c r="B434" s="0" t="s">
        <v>20</v>
      </c>
      <c r="C434" s="0" t="s">
        <v>21</v>
      </c>
      <c r="D434" s="0" t="s">
        <v>521</v>
      </c>
      <c r="E434" s="0" t="n">
        <v>20</v>
      </c>
      <c r="F434" s="0" t="n">
        <v>76.1</v>
      </c>
      <c r="G434" s="1" t="n">
        <f aca="false">(E434/100)*F434</f>
        <v>15.22</v>
      </c>
      <c r="H434" s="0" t="n">
        <v>0.6</v>
      </c>
      <c r="I434" s="2" t="n">
        <f aca="false">(E434/100)*H434</f>
        <v>0.12</v>
      </c>
      <c r="J434" s="0" t="n">
        <v>0</v>
      </c>
      <c r="K434" s="6" t="n">
        <f aca="false">G434/E434</f>
        <v>0.761</v>
      </c>
      <c r="L434" s="7" t="n">
        <v>0</v>
      </c>
      <c r="M434" s="7" t="n">
        <f aca="false">2.9/G434</f>
        <v>0.19053876478318</v>
      </c>
      <c r="N434" s="0" t="n">
        <v>1</v>
      </c>
      <c r="O434" s="0" t="n">
        <v>0</v>
      </c>
      <c r="P434" s="0" t="n">
        <v>0</v>
      </c>
      <c r="Q434" s="0" t="n">
        <v>0</v>
      </c>
      <c r="V434" s="0" t="n">
        <v>0</v>
      </c>
    </row>
    <row r="435" customFormat="false" ht="12.8" hidden="false" customHeight="false" outlineLevel="0" collapsed="false">
      <c r="A435" s="10" t="s">
        <v>513</v>
      </c>
      <c r="B435" s="0" t="s">
        <v>45</v>
      </c>
      <c r="C435" s="0" t="s">
        <v>46</v>
      </c>
      <c r="D435" s="0" t="s">
        <v>522</v>
      </c>
      <c r="E435" s="0" t="n">
        <v>50</v>
      </c>
      <c r="F435" s="0" t="n">
        <v>56</v>
      </c>
      <c r="G435" s="1" t="n">
        <f aca="false">(E435/100)*F435</f>
        <v>28</v>
      </c>
      <c r="H435" s="0" t="n">
        <v>11</v>
      </c>
      <c r="I435" s="2" t="n">
        <f aca="false">(E435/100)*H435</f>
        <v>5.5</v>
      </c>
      <c r="J435" s="0" t="n">
        <v>0</v>
      </c>
      <c r="K435" s="6" t="n">
        <f aca="false">G435/E435</f>
        <v>0.56</v>
      </c>
      <c r="L435" s="7" t="n">
        <f aca="false">0.43*0.4</f>
        <v>0.172</v>
      </c>
      <c r="M435" s="7" t="n">
        <f aca="false">2.99/G435</f>
        <v>0.106785714285714</v>
      </c>
      <c r="N435" s="0" t="n">
        <v>1</v>
      </c>
      <c r="O435" s="0" t="n">
        <v>1</v>
      </c>
      <c r="P435" s="0" t="n">
        <v>1</v>
      </c>
      <c r="Q435" s="0" t="n">
        <v>0</v>
      </c>
      <c r="V435" s="0" t="n">
        <v>0</v>
      </c>
    </row>
    <row r="436" customFormat="false" ht="12.8" hidden="false" customHeight="false" outlineLevel="0" collapsed="false">
      <c r="A436" s="10" t="s">
        <v>513</v>
      </c>
      <c r="B436" s="0" t="s">
        <v>36</v>
      </c>
      <c r="C436" s="0" t="s">
        <v>37</v>
      </c>
      <c r="D436" s="0" t="s">
        <v>523</v>
      </c>
      <c r="E436" s="0" t="n">
        <v>50</v>
      </c>
      <c r="F436" s="0" t="n">
        <v>53</v>
      </c>
      <c r="G436" s="1" t="n">
        <f aca="false">(E436/100)*F436</f>
        <v>26.5</v>
      </c>
      <c r="H436" s="0" t="n">
        <v>11</v>
      </c>
      <c r="I436" s="2" t="n">
        <f aca="false">(E436/100)*H436</f>
        <v>5.5</v>
      </c>
      <c r="J436" s="0" t="n">
        <v>0</v>
      </c>
      <c r="K436" s="6" t="n">
        <f aca="false">G436/E436</f>
        <v>0.53</v>
      </c>
      <c r="L436" s="7" t="n">
        <v>0.05</v>
      </c>
      <c r="M436" s="7" t="n">
        <f aca="false">2.99/G436</f>
        <v>0.112830188679245</v>
      </c>
      <c r="N436" s="0" t="n">
        <v>1</v>
      </c>
      <c r="O436" s="0" t="n">
        <v>1</v>
      </c>
      <c r="P436" s="0" t="n">
        <v>1</v>
      </c>
      <c r="Q436" s="0" t="n">
        <v>0</v>
      </c>
      <c r="V436" s="0" t="n">
        <v>0</v>
      </c>
    </row>
    <row r="437" customFormat="false" ht="12.8" hidden="false" customHeight="false" outlineLevel="0" collapsed="false">
      <c r="A437" s="10" t="s">
        <v>513</v>
      </c>
      <c r="B437" s="0" t="s">
        <v>36</v>
      </c>
      <c r="C437" s="0" t="s">
        <v>37</v>
      </c>
      <c r="D437" s="0" t="s">
        <v>524</v>
      </c>
      <c r="E437" s="0" t="n">
        <v>50</v>
      </c>
      <c r="F437" s="0" t="n">
        <v>51</v>
      </c>
      <c r="G437" s="1" t="n">
        <f aca="false">(E437/100)*F437</f>
        <v>25.5</v>
      </c>
      <c r="H437" s="0" t="n">
        <v>12</v>
      </c>
      <c r="I437" s="2" t="n">
        <f aca="false">(E437/100)*H437</f>
        <v>6</v>
      </c>
      <c r="J437" s="0" t="n">
        <v>0</v>
      </c>
      <c r="K437" s="6" t="n">
        <f aca="false">G437/E437</f>
        <v>0.51</v>
      </c>
      <c r="L437" s="7" t="n">
        <v>0.05</v>
      </c>
      <c r="M437" s="7" t="n">
        <f aca="false">2.99/G437</f>
        <v>0.117254901960784</v>
      </c>
      <c r="N437" s="0" t="n">
        <v>1</v>
      </c>
      <c r="O437" s="0" t="n">
        <v>1</v>
      </c>
      <c r="P437" s="0" t="n">
        <v>1</v>
      </c>
      <c r="Q437" s="0" t="n">
        <v>0</v>
      </c>
      <c r="V437" s="0" t="n">
        <v>0</v>
      </c>
    </row>
    <row r="438" customFormat="false" ht="12.8" hidden="false" customHeight="false" outlineLevel="0" collapsed="false">
      <c r="A438" s="10" t="s">
        <v>513</v>
      </c>
      <c r="B438" s="0" t="s">
        <v>36</v>
      </c>
      <c r="C438" s="0" t="s">
        <v>37</v>
      </c>
      <c r="D438" s="0" t="s">
        <v>525</v>
      </c>
      <c r="E438" s="0" t="n">
        <v>25</v>
      </c>
      <c r="F438" s="0" t="n">
        <v>60</v>
      </c>
      <c r="G438" s="1" t="n">
        <f aca="false">(E438/100)*F438</f>
        <v>15</v>
      </c>
      <c r="H438" s="0" t="n">
        <v>6.7</v>
      </c>
      <c r="I438" s="2" t="n">
        <f aca="false">(E438/100)*H438</f>
        <v>1.675</v>
      </c>
      <c r="J438" s="0" t="n">
        <v>0</v>
      </c>
      <c r="K438" s="6" t="n">
        <f aca="false">G438/E438</f>
        <v>0.6</v>
      </c>
      <c r="L438" s="7" t="n">
        <v>0</v>
      </c>
      <c r="M438" s="7" t="n">
        <f aca="false">2.7/G438</f>
        <v>0.18</v>
      </c>
      <c r="N438" s="0" t="n">
        <v>1</v>
      </c>
      <c r="O438" s="0" t="n">
        <v>0</v>
      </c>
      <c r="P438" s="0" t="n">
        <v>1</v>
      </c>
      <c r="Q438" s="0" t="n">
        <v>0</v>
      </c>
      <c r="V438" s="0" t="n">
        <v>0</v>
      </c>
    </row>
    <row r="439" customFormat="false" ht="12.8" hidden="false" customHeight="false" outlineLevel="0" collapsed="false">
      <c r="A439" s="10" t="s">
        <v>513</v>
      </c>
      <c r="B439" s="0" t="s">
        <v>36</v>
      </c>
      <c r="C439" s="0" t="s">
        <v>37</v>
      </c>
      <c r="D439" s="0" t="s">
        <v>526</v>
      </c>
      <c r="E439" s="0" t="n">
        <v>25</v>
      </c>
      <c r="F439" s="0" t="n">
        <v>62</v>
      </c>
      <c r="G439" s="1" t="n">
        <f aca="false">(E439/100)*F439</f>
        <v>15.5</v>
      </c>
      <c r="H439" s="0" t="n">
        <v>7.5</v>
      </c>
      <c r="I439" s="2" t="n">
        <f aca="false">(E439/100)*H439</f>
        <v>1.875</v>
      </c>
      <c r="J439" s="0" t="n">
        <v>0</v>
      </c>
      <c r="K439" s="6" t="n">
        <f aca="false">G439/E439</f>
        <v>0.62</v>
      </c>
      <c r="L439" s="7" t="n">
        <v>0</v>
      </c>
      <c r="M439" s="7" t="n">
        <f aca="false">2.7/G439</f>
        <v>0.174193548387097</v>
      </c>
      <c r="N439" s="0" t="n">
        <v>1</v>
      </c>
      <c r="O439" s="0" t="n">
        <v>1</v>
      </c>
      <c r="P439" s="0" t="n">
        <v>1</v>
      </c>
      <c r="Q439" s="0" t="n">
        <v>0</v>
      </c>
      <c r="V439" s="0" t="n">
        <v>0</v>
      </c>
    </row>
    <row r="440" customFormat="false" ht="12.8" hidden="false" customHeight="false" outlineLevel="0" collapsed="false">
      <c r="A440" s="10" t="s">
        <v>513</v>
      </c>
      <c r="B440" s="0" t="s">
        <v>45</v>
      </c>
      <c r="C440" s="0" t="s">
        <v>46</v>
      </c>
      <c r="D440" s="0" t="s">
        <v>527</v>
      </c>
      <c r="E440" s="0" t="n">
        <v>25</v>
      </c>
      <c r="F440" s="0" t="n">
        <v>51</v>
      </c>
      <c r="G440" s="1" t="n">
        <f aca="false">(E440/100)*F440</f>
        <v>12.75</v>
      </c>
      <c r="H440" s="0" t="n">
        <v>7.8</v>
      </c>
      <c r="I440" s="2" t="n">
        <f aca="false">(E440/100)*H440</f>
        <v>1.95</v>
      </c>
      <c r="J440" s="0" t="n">
        <v>0</v>
      </c>
      <c r="K440" s="6" t="n">
        <f aca="false">G440/E440</f>
        <v>0.51</v>
      </c>
      <c r="L440" s="7" t="n">
        <f aca="false">0.48*0.4</f>
        <v>0.192</v>
      </c>
      <c r="M440" s="7" t="n">
        <f aca="false">2.7/G440</f>
        <v>0.211764705882353</v>
      </c>
      <c r="N440" s="0" t="n">
        <v>1</v>
      </c>
      <c r="O440" s="0" t="n">
        <v>1</v>
      </c>
      <c r="P440" s="0" t="n">
        <v>1</v>
      </c>
      <c r="Q440" s="0" t="n">
        <v>0</v>
      </c>
      <c r="V440" s="0" t="n">
        <v>0</v>
      </c>
    </row>
    <row r="441" customFormat="false" ht="12.8" hidden="false" customHeight="false" outlineLevel="0" collapsed="false">
      <c r="A441" s="10" t="s">
        <v>513</v>
      </c>
      <c r="B441" s="0" t="s">
        <v>36</v>
      </c>
      <c r="C441" s="0" t="s">
        <v>37</v>
      </c>
      <c r="D441" s="0" t="s">
        <v>528</v>
      </c>
      <c r="E441" s="0" t="n">
        <v>25</v>
      </c>
      <c r="F441" s="0" t="n">
        <v>58</v>
      </c>
      <c r="G441" s="1" t="n">
        <f aca="false">(E441/100)*F441</f>
        <v>14.5</v>
      </c>
      <c r="H441" s="0" t="n">
        <v>7.3</v>
      </c>
      <c r="I441" s="2" t="n">
        <f aca="false">(E441/100)*H441</f>
        <v>1.825</v>
      </c>
      <c r="J441" s="0" t="n">
        <v>0</v>
      </c>
      <c r="K441" s="6" t="n">
        <f aca="false">G441/E441</f>
        <v>0.58</v>
      </c>
      <c r="L441" s="7" t="n">
        <f aca="false">0.025*0.4</f>
        <v>0.01</v>
      </c>
      <c r="M441" s="7" t="n">
        <f aca="false">2.7/G441</f>
        <v>0.186206896551724</v>
      </c>
      <c r="N441" s="0" t="n">
        <v>1</v>
      </c>
      <c r="O441" s="0" t="n">
        <v>1</v>
      </c>
      <c r="P441" s="0" t="n">
        <v>1</v>
      </c>
      <c r="Q441" s="0" t="n">
        <v>0</v>
      </c>
      <c r="V441" s="0" t="n">
        <v>0</v>
      </c>
    </row>
    <row r="442" customFormat="false" ht="12.8" hidden="false" customHeight="false" outlineLevel="0" collapsed="false">
      <c r="A442" s="10" t="s">
        <v>513</v>
      </c>
      <c r="B442" s="0" t="s">
        <v>36</v>
      </c>
      <c r="C442" s="0" t="s">
        <v>37</v>
      </c>
      <c r="D442" s="0" t="s">
        <v>529</v>
      </c>
      <c r="E442" s="0" t="n">
        <v>30</v>
      </c>
      <c r="F442" s="0" t="n">
        <v>51</v>
      </c>
      <c r="G442" s="1" t="n">
        <f aca="false">(E442/100)*F442</f>
        <v>15.3</v>
      </c>
      <c r="H442" s="0" t="n">
        <v>10</v>
      </c>
      <c r="I442" s="2" t="n">
        <f aca="false">(E442/100)*H442</f>
        <v>3</v>
      </c>
      <c r="J442" s="0" t="n">
        <v>0</v>
      </c>
      <c r="K442" s="6" t="n">
        <f aca="false">G442/E442</f>
        <v>0.51</v>
      </c>
      <c r="L442" s="7" t="n">
        <v>0.04</v>
      </c>
      <c r="M442" s="7" t="n">
        <f aca="false">2.75/G442</f>
        <v>0.179738562091503</v>
      </c>
      <c r="N442" s="0" t="n">
        <v>1</v>
      </c>
      <c r="O442" s="0" t="n">
        <v>0</v>
      </c>
      <c r="P442" s="0" t="n">
        <v>1</v>
      </c>
      <c r="Q442" s="0" t="n">
        <v>0</v>
      </c>
      <c r="V442" s="0" t="n">
        <v>0</v>
      </c>
    </row>
    <row r="443" customFormat="false" ht="12.8" hidden="false" customHeight="false" outlineLevel="0" collapsed="false">
      <c r="A443" s="10" t="s">
        <v>513</v>
      </c>
      <c r="B443" s="0" t="s">
        <v>45</v>
      </c>
      <c r="C443" s="0" t="s">
        <v>46</v>
      </c>
      <c r="D443" s="0" t="s">
        <v>530</v>
      </c>
      <c r="E443" s="0" t="n">
        <v>30</v>
      </c>
      <c r="F443" s="0" t="n">
        <v>50</v>
      </c>
      <c r="G443" s="1" t="n">
        <f aca="false">(E443/100)*F443</f>
        <v>15</v>
      </c>
      <c r="H443" s="0" t="n">
        <v>12</v>
      </c>
      <c r="I443" s="2" t="n">
        <f aca="false">(E443/100)*H443</f>
        <v>3.6</v>
      </c>
      <c r="J443" s="0" t="n">
        <v>0</v>
      </c>
      <c r="K443" s="6" t="n">
        <f aca="false">G443/E443</f>
        <v>0.5</v>
      </c>
      <c r="L443" s="7" t="n">
        <v>0.1</v>
      </c>
      <c r="M443" s="7" t="n">
        <f aca="false">2.75/G443</f>
        <v>0.183333333333333</v>
      </c>
      <c r="N443" s="0" t="n">
        <v>1</v>
      </c>
      <c r="O443" s="0" t="n">
        <v>0</v>
      </c>
      <c r="P443" s="0" t="n">
        <v>1</v>
      </c>
      <c r="Q443" s="0" t="n">
        <v>0</v>
      </c>
      <c r="V443" s="0" t="n">
        <v>0</v>
      </c>
    </row>
    <row r="444" customFormat="false" ht="12.8" hidden="false" customHeight="false" outlineLevel="0" collapsed="false">
      <c r="A444" s="10" t="s">
        <v>513</v>
      </c>
      <c r="B444" s="0" t="s">
        <v>36</v>
      </c>
      <c r="C444" s="0" t="s">
        <v>37</v>
      </c>
      <c r="D444" s="0" t="s">
        <v>531</v>
      </c>
      <c r="E444" s="0" t="n">
        <v>30</v>
      </c>
      <c r="F444" s="0" t="n">
        <v>50</v>
      </c>
      <c r="G444" s="1" t="n">
        <f aca="false">(E444/100)*F444</f>
        <v>15</v>
      </c>
      <c r="H444" s="0" t="n">
        <v>9.7</v>
      </c>
      <c r="I444" s="2" t="n">
        <f aca="false">(E444/100)*H444</f>
        <v>2.91</v>
      </c>
      <c r="J444" s="0" t="n">
        <v>0</v>
      </c>
      <c r="K444" s="6" t="n">
        <f aca="false">G444/E444</f>
        <v>0.5</v>
      </c>
      <c r="L444" s="7" t="n">
        <v>0.04</v>
      </c>
      <c r="M444" s="7" t="n">
        <f aca="false">2.75/G444</f>
        <v>0.183333333333333</v>
      </c>
      <c r="N444" s="0" t="n">
        <v>1</v>
      </c>
      <c r="O444" s="0" t="n">
        <v>0</v>
      </c>
      <c r="P444" s="0" t="n">
        <v>1</v>
      </c>
      <c r="Q444" s="0" t="n">
        <v>0</v>
      </c>
      <c r="V444" s="0" t="n">
        <v>0</v>
      </c>
    </row>
    <row r="445" customFormat="false" ht="12.8" hidden="false" customHeight="false" outlineLevel="0" collapsed="false">
      <c r="A445" s="10" t="s">
        <v>513</v>
      </c>
      <c r="B445" s="0" t="s">
        <v>25</v>
      </c>
      <c r="C445" s="0" t="s">
        <v>26</v>
      </c>
      <c r="D445" s="0" t="s">
        <v>532</v>
      </c>
      <c r="E445" s="0" t="n">
        <v>1</v>
      </c>
      <c r="F445" s="0" t="n">
        <v>90</v>
      </c>
      <c r="G445" s="1" t="n">
        <f aca="false">(E445/100)*F445</f>
        <v>0.9</v>
      </c>
      <c r="H445" s="0" t="n">
        <v>0.7</v>
      </c>
      <c r="I445" s="2" t="n">
        <f aca="false">(E445/100)*H445</f>
        <v>0.007</v>
      </c>
      <c r="J445" s="0" t="n">
        <v>0</v>
      </c>
      <c r="K445" s="6" t="n">
        <f aca="false">G445/E445</f>
        <v>0.9</v>
      </c>
      <c r="L445" s="7" t="n">
        <f aca="false">0.74/100</f>
        <v>0.0074</v>
      </c>
      <c r="M445" s="7" t="n">
        <f aca="false">(28.9/700)/G445</f>
        <v>0.0458730158730159</v>
      </c>
      <c r="N445" s="0" t="n">
        <v>1</v>
      </c>
      <c r="O445" s="0" t="n">
        <v>0</v>
      </c>
      <c r="P445" s="0" t="n">
        <v>0</v>
      </c>
      <c r="Q445" s="0" t="n">
        <v>0</v>
      </c>
      <c r="V445" s="0" t="n">
        <v>0</v>
      </c>
    </row>
    <row r="446" customFormat="false" ht="12.8" hidden="false" customHeight="false" outlineLevel="0" collapsed="false">
      <c r="A446" s="10" t="s">
        <v>533</v>
      </c>
      <c r="B446" s="0" t="s">
        <v>36</v>
      </c>
      <c r="C446" s="0" t="s">
        <v>37</v>
      </c>
      <c r="D446" s="0" t="s">
        <v>534</v>
      </c>
      <c r="E446" s="0" t="n">
        <v>68</v>
      </c>
      <c r="F446" s="0" t="n">
        <v>53</v>
      </c>
      <c r="G446" s="1" t="n">
        <f aca="false">(E446/100)*F446</f>
        <v>36.04</v>
      </c>
      <c r="H446" s="0" t="n">
        <v>16</v>
      </c>
      <c r="I446" s="2" t="n">
        <f aca="false">(E446/100)*H446</f>
        <v>10.88</v>
      </c>
      <c r="J446" s="0" t="n">
        <v>0</v>
      </c>
      <c r="K446" s="6" t="n">
        <f aca="false">G446/E446</f>
        <v>0.53</v>
      </c>
      <c r="L446" s="7" t="n">
        <f aca="false">0.36*0.4</f>
        <v>0.144</v>
      </c>
      <c r="M446" s="7" t="n">
        <f aca="false">(6.99/3)/G446</f>
        <v>0.0646503884572697</v>
      </c>
      <c r="N446" s="0" t="n">
        <v>0</v>
      </c>
      <c r="O446" s="0" t="n">
        <v>1</v>
      </c>
      <c r="P446" s="0" t="n">
        <v>1</v>
      </c>
      <c r="Q446" s="0" t="n">
        <v>0</v>
      </c>
      <c r="V446" s="0" t="n">
        <v>0</v>
      </c>
    </row>
    <row r="447" customFormat="false" ht="12.8" hidden="false" customHeight="false" outlineLevel="0" collapsed="false">
      <c r="A447" s="10" t="s">
        <v>533</v>
      </c>
      <c r="B447" s="0" t="s">
        <v>36</v>
      </c>
      <c r="C447" s="0" t="s">
        <v>37</v>
      </c>
      <c r="D447" s="0" t="s">
        <v>535</v>
      </c>
      <c r="E447" s="0" t="n">
        <v>68</v>
      </c>
      <c r="F447" s="0" t="n">
        <v>53</v>
      </c>
      <c r="G447" s="1" t="n">
        <f aca="false">(E447/100)*F447</f>
        <v>36.04</v>
      </c>
      <c r="H447" s="0" t="n">
        <v>15</v>
      </c>
      <c r="I447" s="2" t="n">
        <f aca="false">(E447/100)*H447</f>
        <v>10.2</v>
      </c>
      <c r="J447" s="0" t="n">
        <v>0</v>
      </c>
      <c r="K447" s="6" t="n">
        <f aca="false">G447/E447</f>
        <v>0.53</v>
      </c>
      <c r="L447" s="7" t="n">
        <f aca="false">0.57*0.4</f>
        <v>0.228</v>
      </c>
      <c r="M447" s="7" t="n">
        <f aca="false">(6.99/3)/G447</f>
        <v>0.0646503884572697</v>
      </c>
      <c r="N447" s="0" t="n">
        <v>0</v>
      </c>
      <c r="O447" s="0" t="n">
        <v>1</v>
      </c>
      <c r="P447" s="0" t="n">
        <v>1</v>
      </c>
      <c r="Q447" s="0" t="n">
        <v>0</v>
      </c>
      <c r="V447" s="0" t="n">
        <v>0</v>
      </c>
    </row>
    <row r="448" customFormat="false" ht="12.8" hidden="false" customHeight="false" outlineLevel="0" collapsed="false">
      <c r="A448" s="10" t="s">
        <v>533</v>
      </c>
      <c r="B448" s="0" t="s">
        <v>36</v>
      </c>
      <c r="C448" s="0" t="s">
        <v>37</v>
      </c>
      <c r="D448" s="0" t="s">
        <v>536</v>
      </c>
      <c r="E448" s="0" t="n">
        <v>68</v>
      </c>
      <c r="F448" s="0" t="n">
        <v>54</v>
      </c>
      <c r="G448" s="1" t="n">
        <f aca="false">(E448/100)*F448</f>
        <v>36.72</v>
      </c>
      <c r="H448" s="0" t="n">
        <v>14</v>
      </c>
      <c r="I448" s="2" t="n">
        <f aca="false">(E448/100)*H448</f>
        <v>9.52</v>
      </c>
      <c r="J448" s="0" t="n">
        <v>0</v>
      </c>
      <c r="K448" s="6" t="n">
        <f aca="false">G448/E448</f>
        <v>0.54</v>
      </c>
      <c r="L448" s="7" t="n">
        <f aca="false">0.58*0.4</f>
        <v>0.232</v>
      </c>
      <c r="M448" s="7" t="n">
        <f aca="false">(6.99/3)/G448</f>
        <v>0.0634531590413943</v>
      </c>
      <c r="N448" s="0" t="n">
        <v>0</v>
      </c>
      <c r="O448" s="0" t="n">
        <v>1</v>
      </c>
      <c r="P448" s="0" t="n">
        <v>1</v>
      </c>
      <c r="Q448" s="0" t="n">
        <v>0</v>
      </c>
      <c r="V448" s="0" t="n">
        <v>0</v>
      </c>
    </row>
    <row r="449" customFormat="false" ht="12.8" hidden="false" customHeight="false" outlineLevel="0" collapsed="false">
      <c r="A449" s="10" t="s">
        <v>533</v>
      </c>
      <c r="B449" s="0" t="s">
        <v>36</v>
      </c>
      <c r="C449" s="0" t="s">
        <v>37</v>
      </c>
      <c r="D449" s="0" t="s">
        <v>537</v>
      </c>
      <c r="E449" s="0" t="n">
        <v>68</v>
      </c>
      <c r="F449" s="0" t="n">
        <v>56</v>
      </c>
      <c r="G449" s="1" t="n">
        <f aca="false">(E449/100)*F449</f>
        <v>38.08</v>
      </c>
      <c r="H449" s="0" t="n">
        <v>15</v>
      </c>
      <c r="I449" s="2" t="n">
        <f aca="false">(E449/100)*H449</f>
        <v>10.2</v>
      </c>
      <c r="J449" s="0" t="n">
        <v>0</v>
      </c>
      <c r="K449" s="6" t="n">
        <f aca="false">G449/E449</f>
        <v>0.56</v>
      </c>
      <c r="L449" s="7" t="n">
        <f aca="false">0.33*0.4</f>
        <v>0.132</v>
      </c>
      <c r="M449" s="7" t="n">
        <f aca="false">(6.99/3)/G449</f>
        <v>0.061186974789916</v>
      </c>
      <c r="N449" s="0" t="n">
        <v>0</v>
      </c>
      <c r="O449" s="0" t="n">
        <v>1</v>
      </c>
      <c r="P449" s="0" t="n">
        <v>0</v>
      </c>
      <c r="Q449" s="0" t="n">
        <v>0</v>
      </c>
      <c r="V449" s="0" t="n">
        <v>0</v>
      </c>
    </row>
    <row r="450" customFormat="false" ht="12.8" hidden="false" customHeight="false" outlineLevel="0" collapsed="false">
      <c r="A450" s="10" t="s">
        <v>533</v>
      </c>
      <c r="B450" s="0" t="s">
        <v>36</v>
      </c>
      <c r="C450" s="0" t="s">
        <v>37</v>
      </c>
      <c r="D450" s="0" t="s">
        <v>538</v>
      </c>
      <c r="E450" s="0" t="n">
        <v>60</v>
      </c>
      <c r="F450" s="0" t="n">
        <v>74</v>
      </c>
      <c r="G450" s="1" t="n">
        <f aca="false">(E450/100)*F450</f>
        <v>44.4</v>
      </c>
      <c r="H450" s="0" t="n">
        <v>1</v>
      </c>
      <c r="I450" s="2" t="n">
        <f aca="false">(E450/100)*H450</f>
        <v>0.6</v>
      </c>
      <c r="J450" s="0" t="n">
        <v>0</v>
      </c>
      <c r="K450" s="6" t="n">
        <f aca="false">G450/E450</f>
        <v>0.74</v>
      </c>
      <c r="L450" s="7" t="n">
        <f aca="false">1.3*0.4*0.6</f>
        <v>0.312</v>
      </c>
      <c r="M450" s="7" t="n">
        <f aca="false">3.33/G450</f>
        <v>0.075</v>
      </c>
      <c r="N450" s="0" t="n">
        <v>0</v>
      </c>
      <c r="O450" s="0" t="n">
        <v>0</v>
      </c>
      <c r="P450" s="0" t="n">
        <v>0</v>
      </c>
      <c r="Q450" s="0" t="n">
        <v>0</v>
      </c>
      <c r="V450" s="0" t="n">
        <v>0</v>
      </c>
    </row>
    <row r="451" customFormat="false" ht="12.8" hidden="false" customHeight="false" outlineLevel="0" collapsed="false">
      <c r="A451" s="10" t="s">
        <v>533</v>
      </c>
      <c r="B451" s="0" t="s">
        <v>36</v>
      </c>
      <c r="C451" s="0" t="s">
        <v>37</v>
      </c>
      <c r="D451" s="0" t="s">
        <v>539</v>
      </c>
      <c r="E451" s="0" t="n">
        <v>60</v>
      </c>
      <c r="F451" s="0" t="n">
        <v>77</v>
      </c>
      <c r="G451" s="1" t="n">
        <f aca="false">(E451/100)*F451</f>
        <v>46.2</v>
      </c>
      <c r="H451" s="0" t="n">
        <v>1</v>
      </c>
      <c r="I451" s="2" t="n">
        <f aca="false">(E451/100)*H451</f>
        <v>0.6</v>
      </c>
      <c r="J451" s="0" t="n">
        <v>0</v>
      </c>
      <c r="K451" s="6" t="n">
        <f aca="false">G451/E451</f>
        <v>0.77</v>
      </c>
      <c r="L451" s="7" t="n">
        <f aca="false">0.08*0.6</f>
        <v>0.048</v>
      </c>
      <c r="M451" s="7" t="n">
        <f aca="false">3.33/G451</f>
        <v>0.0720779220779221</v>
      </c>
      <c r="N451" s="0" t="n">
        <v>0</v>
      </c>
      <c r="O451" s="0" t="n">
        <v>0</v>
      </c>
      <c r="P451" s="0" t="n">
        <v>0</v>
      </c>
      <c r="Q451" s="0" t="n">
        <v>0</v>
      </c>
      <c r="V451" s="0" t="n">
        <v>0</v>
      </c>
    </row>
    <row r="452" customFormat="false" ht="12.8" hidden="false" customHeight="false" outlineLevel="0" collapsed="false">
      <c r="A452" s="10" t="s">
        <v>533</v>
      </c>
      <c r="B452" s="0" t="s">
        <v>36</v>
      </c>
      <c r="C452" s="0" t="s">
        <v>37</v>
      </c>
      <c r="D452" s="0" t="s">
        <v>540</v>
      </c>
      <c r="E452" s="0" t="n">
        <v>60</v>
      </c>
      <c r="F452" s="0" t="n">
        <v>76</v>
      </c>
      <c r="G452" s="1" t="n">
        <f aca="false">(E452/100)*F452</f>
        <v>45.6</v>
      </c>
      <c r="H452" s="0" t="n">
        <v>1.2</v>
      </c>
      <c r="I452" s="2" t="n">
        <f aca="false">(E452/100)*H452</f>
        <v>0.72</v>
      </c>
      <c r="J452" s="0" t="n">
        <v>100</v>
      </c>
      <c r="K452" s="6" t="n">
        <f aca="false">G452/E452</f>
        <v>0.76</v>
      </c>
      <c r="L452" s="7" t="n">
        <v>0.048</v>
      </c>
      <c r="M452" s="7" t="n">
        <f aca="false">3.33/G452</f>
        <v>0.0730263157894737</v>
      </c>
      <c r="N452" s="0" t="n">
        <v>0</v>
      </c>
      <c r="O452" s="0" t="n">
        <v>0</v>
      </c>
      <c r="P452" s="0" t="n">
        <v>0</v>
      </c>
      <c r="Q452" s="0" t="n">
        <v>0</v>
      </c>
      <c r="V452" s="0" t="n">
        <v>0</v>
      </c>
    </row>
    <row r="453" customFormat="false" ht="12.8" hidden="false" customHeight="false" outlineLevel="0" collapsed="false">
      <c r="A453" s="10" t="s">
        <v>533</v>
      </c>
      <c r="B453" s="0" t="s">
        <v>36</v>
      </c>
      <c r="C453" s="0" t="s">
        <v>37</v>
      </c>
      <c r="D453" s="0" t="s">
        <v>541</v>
      </c>
      <c r="E453" s="0" t="n">
        <v>60</v>
      </c>
      <c r="F453" s="0" t="n">
        <v>76</v>
      </c>
      <c r="G453" s="1" t="n">
        <f aca="false">(E453/100)*F453</f>
        <v>45.6</v>
      </c>
      <c r="H453" s="0" t="n">
        <v>1.1</v>
      </c>
      <c r="I453" s="2" t="n">
        <f aca="false">(E453/100)*H453</f>
        <v>0.66</v>
      </c>
      <c r="J453" s="0" t="n">
        <v>50</v>
      </c>
      <c r="K453" s="6" t="n">
        <f aca="false">G453/E453</f>
        <v>0.76</v>
      </c>
      <c r="L453" s="7" t="n">
        <v>0.048</v>
      </c>
      <c r="M453" s="7" t="n">
        <f aca="false">3.33/G453</f>
        <v>0.0730263157894737</v>
      </c>
      <c r="N453" s="0" t="n">
        <v>0</v>
      </c>
      <c r="O453" s="0" t="n">
        <v>0</v>
      </c>
      <c r="P453" s="0" t="n">
        <v>0</v>
      </c>
      <c r="Q453" s="0" t="n">
        <v>0</v>
      </c>
      <c r="V453" s="0" t="n">
        <v>0</v>
      </c>
    </row>
    <row r="454" customFormat="false" ht="12.8" hidden="false" customHeight="false" outlineLevel="0" collapsed="false">
      <c r="A454" s="10" t="s">
        <v>542</v>
      </c>
      <c r="B454" s="0" t="s">
        <v>36</v>
      </c>
      <c r="C454" s="0" t="s">
        <v>37</v>
      </c>
      <c r="D454" s="0" t="s">
        <v>543</v>
      </c>
      <c r="E454" s="0" t="n">
        <v>45</v>
      </c>
      <c r="F454" s="0" t="n">
        <v>69</v>
      </c>
      <c r="G454" s="1" t="n">
        <f aca="false">(E454/100)*F454</f>
        <v>31.05</v>
      </c>
      <c r="H454" s="0" t="n">
        <v>4.1</v>
      </c>
      <c r="I454" s="2" t="n">
        <f aca="false">(E454/100)*H454</f>
        <v>1.845</v>
      </c>
      <c r="J454" s="0" t="n">
        <v>0</v>
      </c>
      <c r="K454" s="6" t="n">
        <f aca="false">G454/E454</f>
        <v>0.69</v>
      </c>
      <c r="L454" s="7" t="n">
        <f aca="false">0.13*0.4</f>
        <v>0.052</v>
      </c>
      <c r="M454" s="7" t="n">
        <f aca="false">2.9/G454</f>
        <v>0.0933977455716586</v>
      </c>
      <c r="N454" s="0" t="n">
        <v>0</v>
      </c>
      <c r="O454" s="0" t="n">
        <v>1</v>
      </c>
      <c r="P454" s="0" t="n">
        <v>0</v>
      </c>
      <c r="Q454" s="0" t="n">
        <v>0</v>
      </c>
      <c r="V454" s="0" t="n">
        <v>0</v>
      </c>
    </row>
    <row r="455" customFormat="false" ht="12.8" hidden="false" customHeight="false" outlineLevel="0" collapsed="false">
      <c r="A455" s="10" t="s">
        <v>542</v>
      </c>
      <c r="B455" s="0" t="s">
        <v>36</v>
      </c>
      <c r="C455" s="0" t="s">
        <v>37</v>
      </c>
      <c r="D455" s="0" t="s">
        <v>544</v>
      </c>
      <c r="E455" s="0" t="n">
        <v>45</v>
      </c>
      <c r="F455" s="0" t="n">
        <v>67</v>
      </c>
      <c r="G455" s="1" t="n">
        <f aca="false">(E455/100)*F455</f>
        <v>30.15</v>
      </c>
      <c r="H455" s="0" t="n">
        <v>5.3</v>
      </c>
      <c r="I455" s="2" t="n">
        <f aca="false">(E455/100)*H455</f>
        <v>2.385</v>
      </c>
      <c r="J455" s="0" t="n">
        <v>0</v>
      </c>
      <c r="K455" s="6" t="n">
        <f aca="false">G455/E455</f>
        <v>0.67</v>
      </c>
      <c r="L455" s="7" t="n">
        <f aca="false">0.3*0.4</f>
        <v>0.12</v>
      </c>
      <c r="M455" s="7" t="n">
        <f aca="false">2.9/G455</f>
        <v>0.0961857379767828</v>
      </c>
      <c r="N455" s="0" t="n">
        <v>0</v>
      </c>
      <c r="O455" s="0" t="n">
        <v>1</v>
      </c>
      <c r="P455" s="0" t="n">
        <v>0</v>
      </c>
      <c r="Q455" s="0" t="n">
        <v>1</v>
      </c>
      <c r="V455" s="0" t="n">
        <v>0</v>
      </c>
    </row>
    <row r="456" customFormat="false" ht="12.8" hidden="false" customHeight="false" outlineLevel="0" collapsed="false">
      <c r="A456" s="10" t="s">
        <v>542</v>
      </c>
      <c r="B456" s="0" t="s">
        <v>36</v>
      </c>
      <c r="C456" s="0" t="s">
        <v>37</v>
      </c>
      <c r="D456" s="0" t="s">
        <v>545</v>
      </c>
      <c r="E456" s="0" t="n">
        <v>45</v>
      </c>
      <c r="F456" s="0" t="n">
        <v>70</v>
      </c>
      <c r="G456" s="1" t="n">
        <f aca="false">(E456/100)*F456</f>
        <v>31.5</v>
      </c>
      <c r="H456" s="0" t="n">
        <v>7.3</v>
      </c>
      <c r="I456" s="2" t="n">
        <f aca="false">(E456/100)*H456</f>
        <v>3.285</v>
      </c>
      <c r="J456" s="0" t="n">
        <v>0</v>
      </c>
      <c r="K456" s="6" t="n">
        <f aca="false">G456/E456</f>
        <v>0.7</v>
      </c>
      <c r="L456" s="7" t="n">
        <v>0.21</v>
      </c>
      <c r="M456" s="7" t="n">
        <f aca="false">2.6/G456</f>
        <v>0.0825396825396825</v>
      </c>
      <c r="N456" s="0" t="n">
        <v>0</v>
      </c>
      <c r="O456" s="0" t="n">
        <v>1</v>
      </c>
      <c r="P456" s="0" t="n">
        <v>1</v>
      </c>
      <c r="Q456" s="0" t="n">
        <v>0</v>
      </c>
      <c r="V456" s="0" t="n">
        <v>0</v>
      </c>
    </row>
    <row r="457" customFormat="false" ht="12.8" hidden="false" customHeight="false" outlineLevel="0" collapsed="false">
      <c r="A457" s="10" t="s">
        <v>542</v>
      </c>
      <c r="B457" s="0" t="s">
        <v>36</v>
      </c>
      <c r="C457" s="0" t="s">
        <v>37</v>
      </c>
      <c r="D457" s="0" t="s">
        <v>546</v>
      </c>
      <c r="E457" s="0" t="n">
        <v>45</v>
      </c>
      <c r="F457" s="0" t="n">
        <v>68</v>
      </c>
      <c r="G457" s="1" t="n">
        <f aca="false">(E457/100)*F457</f>
        <v>30.6</v>
      </c>
      <c r="H457" s="0" t="n">
        <v>8</v>
      </c>
      <c r="I457" s="2" t="n">
        <f aca="false">(E457/100)*H457</f>
        <v>3.6</v>
      </c>
      <c r="J457" s="0" t="n">
        <v>0</v>
      </c>
      <c r="K457" s="6" t="n">
        <f aca="false">G457/E457</f>
        <v>0.68</v>
      </c>
      <c r="L457" s="7" t="n">
        <v>0.05</v>
      </c>
      <c r="M457" s="7" t="n">
        <f aca="false">2.6/G457</f>
        <v>0.0849673202614379</v>
      </c>
      <c r="N457" s="0" t="n">
        <v>0</v>
      </c>
      <c r="O457" s="0" t="n">
        <v>1</v>
      </c>
      <c r="P457" s="0" t="n">
        <v>0</v>
      </c>
      <c r="Q457" s="0" t="n">
        <v>1</v>
      </c>
      <c r="V457" s="0" t="n">
        <v>0</v>
      </c>
    </row>
    <row r="458" customFormat="false" ht="12.8" hidden="false" customHeight="false" outlineLevel="0" collapsed="false">
      <c r="A458" s="10" t="s">
        <v>542</v>
      </c>
      <c r="B458" s="0" t="s">
        <v>36</v>
      </c>
      <c r="C458" s="0" t="s">
        <v>37</v>
      </c>
      <c r="D458" s="0" t="s">
        <v>547</v>
      </c>
      <c r="E458" s="0" t="n">
        <v>45</v>
      </c>
      <c r="F458" s="0" t="n">
        <v>71</v>
      </c>
      <c r="G458" s="1" t="n">
        <f aca="false">(E458/100)*F458</f>
        <v>31.95</v>
      </c>
      <c r="H458" s="0" t="n">
        <v>7.5</v>
      </c>
      <c r="I458" s="2" t="n">
        <f aca="false">(E458/100)*H458</f>
        <v>3.375</v>
      </c>
      <c r="J458" s="0" t="n">
        <v>0</v>
      </c>
      <c r="K458" s="6" t="n">
        <f aca="false">G458/E458</f>
        <v>0.71</v>
      </c>
      <c r="L458" s="7" t="n">
        <v>0.04</v>
      </c>
      <c r="M458" s="7" t="n">
        <f aca="false">2.6/G458</f>
        <v>0.081377151799687</v>
      </c>
      <c r="N458" s="0" t="n">
        <v>0</v>
      </c>
      <c r="O458" s="0" t="n">
        <v>1</v>
      </c>
      <c r="P458" s="0" t="n">
        <v>0</v>
      </c>
      <c r="Q458" s="0" t="n">
        <v>1</v>
      </c>
      <c r="V458" s="0" t="n">
        <v>0</v>
      </c>
    </row>
    <row r="459" customFormat="false" ht="12.8" hidden="false" customHeight="false" outlineLevel="0" collapsed="false">
      <c r="A459" s="10" t="s">
        <v>542</v>
      </c>
      <c r="B459" s="0" t="s">
        <v>36</v>
      </c>
      <c r="C459" s="0" t="s">
        <v>37</v>
      </c>
      <c r="D459" s="0" t="s">
        <v>548</v>
      </c>
      <c r="E459" s="0" t="n">
        <v>60</v>
      </c>
      <c r="F459" s="0" t="n">
        <v>56</v>
      </c>
      <c r="G459" s="1" t="n">
        <f aca="false">(E459/100)*F459</f>
        <v>33.6</v>
      </c>
      <c r="H459" s="0" t="n">
        <v>7</v>
      </c>
      <c r="I459" s="2" t="n">
        <f aca="false">(E459/100)*H459</f>
        <v>4.2</v>
      </c>
      <c r="J459" s="0" t="n">
        <v>0</v>
      </c>
      <c r="K459" s="6" t="n">
        <f aca="false">G459/E459</f>
        <v>0.56</v>
      </c>
      <c r="L459" s="7" t="n">
        <f aca="false">0.06*0.4</f>
        <v>0.024</v>
      </c>
      <c r="M459" s="7" t="n">
        <f aca="false">3.35/G459</f>
        <v>0.099702380952381</v>
      </c>
      <c r="N459" s="0" t="n">
        <v>0</v>
      </c>
      <c r="O459" s="0" t="n">
        <v>1</v>
      </c>
      <c r="P459" s="0" t="n">
        <v>1</v>
      </c>
      <c r="Q459" s="0" t="n">
        <v>0</v>
      </c>
      <c r="V459" s="0" t="n">
        <v>0</v>
      </c>
    </row>
    <row r="460" customFormat="false" ht="12.8" hidden="false" customHeight="false" outlineLevel="0" collapsed="false">
      <c r="A460" s="10" t="s">
        <v>542</v>
      </c>
      <c r="B460" s="0" t="s">
        <v>36</v>
      </c>
      <c r="C460" s="0" t="s">
        <v>37</v>
      </c>
      <c r="D460" s="0" t="s">
        <v>549</v>
      </c>
      <c r="E460" s="0" t="n">
        <v>50</v>
      </c>
      <c r="F460" s="0" t="n">
        <v>54</v>
      </c>
      <c r="G460" s="1" t="n">
        <f aca="false">(E460/100)*F460</f>
        <v>27</v>
      </c>
      <c r="H460" s="0" t="n">
        <v>8.4</v>
      </c>
      <c r="I460" s="2" t="n">
        <f aca="false">(E460/100)*H460</f>
        <v>4.2</v>
      </c>
      <c r="J460" s="0" t="n">
        <v>0</v>
      </c>
      <c r="K460" s="6" t="n">
        <f aca="false">G460/E460</f>
        <v>0.54</v>
      </c>
      <c r="L460" s="7" t="n">
        <f aca="false">0.31*0.4</f>
        <v>0.124</v>
      </c>
      <c r="M460" s="7" t="n">
        <f aca="false">2.3/G460</f>
        <v>0.0851851851851852</v>
      </c>
      <c r="N460" s="0" t="n">
        <v>0</v>
      </c>
      <c r="O460" s="0" t="n">
        <v>1</v>
      </c>
      <c r="P460" s="0" t="n">
        <v>0</v>
      </c>
      <c r="Q460" s="0" t="n">
        <v>1</v>
      </c>
      <c r="V460" s="0" t="n">
        <v>0</v>
      </c>
    </row>
    <row r="461" customFormat="false" ht="12.8" hidden="false" customHeight="false" outlineLevel="0" collapsed="false">
      <c r="A461" s="10" t="s">
        <v>542</v>
      </c>
      <c r="B461" s="0" t="s">
        <v>36</v>
      </c>
      <c r="C461" s="0" t="s">
        <v>37</v>
      </c>
      <c r="D461" s="0" t="s">
        <v>550</v>
      </c>
      <c r="E461" s="0" t="n">
        <v>40</v>
      </c>
      <c r="F461" s="0" t="n">
        <v>61</v>
      </c>
      <c r="G461" s="1" t="n">
        <f aca="false">(E461/100)*F461</f>
        <v>24.4</v>
      </c>
      <c r="H461" s="0" t="n">
        <v>7.8</v>
      </c>
      <c r="I461" s="2" t="n">
        <f aca="false">(E461/100)*H461</f>
        <v>3.12</v>
      </c>
      <c r="J461" s="0" t="n">
        <v>0</v>
      </c>
      <c r="K461" s="6" t="n">
        <f aca="false">G461/E461</f>
        <v>0.61</v>
      </c>
      <c r="L461" s="7" t="n">
        <f aca="false">0.23*0.4</f>
        <v>0.092</v>
      </c>
      <c r="M461" s="7" t="n">
        <f aca="false">3.15/G461</f>
        <v>0.129098360655738</v>
      </c>
      <c r="N461" s="0" t="n">
        <v>0</v>
      </c>
      <c r="O461" s="0" t="n">
        <v>1</v>
      </c>
      <c r="P461" s="0" t="n">
        <v>0</v>
      </c>
      <c r="Q461" s="0" t="n">
        <v>1</v>
      </c>
      <c r="S461" s="0" t="s">
        <v>551</v>
      </c>
      <c r="V461" s="0" t="n">
        <v>0</v>
      </c>
    </row>
    <row r="462" customFormat="false" ht="12.8" hidden="false" customHeight="false" outlineLevel="0" collapsed="false">
      <c r="A462" s="10" t="s">
        <v>542</v>
      </c>
      <c r="B462" s="0" t="s">
        <v>36</v>
      </c>
      <c r="C462" s="0" t="s">
        <v>37</v>
      </c>
      <c r="D462" s="0" t="s">
        <v>552</v>
      </c>
      <c r="E462" s="0" t="n">
        <v>40</v>
      </c>
      <c r="F462" s="0" t="n">
        <v>70</v>
      </c>
      <c r="G462" s="1" t="n">
        <f aca="false">(E462/100)*F462</f>
        <v>28</v>
      </c>
      <c r="H462" s="0" t="n">
        <v>7.4</v>
      </c>
      <c r="I462" s="2" t="n">
        <f aca="false">(E462/100)*H462</f>
        <v>2.96</v>
      </c>
      <c r="J462" s="0" t="n">
        <v>0</v>
      </c>
      <c r="K462" s="6" t="n">
        <f aca="false">G462/E462</f>
        <v>0.7</v>
      </c>
      <c r="L462" s="7" t="n">
        <f aca="false">0.24*0.4</f>
        <v>0.096</v>
      </c>
      <c r="M462" s="7" t="n">
        <f aca="false">2/G462</f>
        <v>0.0714285714285714</v>
      </c>
      <c r="N462" s="0" t="n">
        <v>0</v>
      </c>
      <c r="O462" s="0" t="n">
        <v>1</v>
      </c>
      <c r="P462" s="0" t="n">
        <v>0</v>
      </c>
      <c r="Q462" s="0" t="n">
        <v>0</v>
      </c>
      <c r="V462" s="0" t="n">
        <v>0</v>
      </c>
    </row>
    <row r="463" customFormat="false" ht="12.8" hidden="false" customHeight="false" outlineLevel="0" collapsed="false">
      <c r="A463" s="10" t="s">
        <v>542</v>
      </c>
      <c r="B463" s="0" t="s">
        <v>25</v>
      </c>
      <c r="C463" s="0" t="s">
        <v>26</v>
      </c>
      <c r="D463" s="0" t="s">
        <v>553</v>
      </c>
      <c r="E463" s="0" t="n">
        <v>1</v>
      </c>
      <c r="F463" s="0" t="n">
        <v>90</v>
      </c>
      <c r="G463" s="1" t="n">
        <f aca="false">(E463/100)*F463</f>
        <v>0.9</v>
      </c>
      <c r="H463" s="0" t="n">
        <v>0</v>
      </c>
      <c r="I463" s="2" t="n">
        <f aca="false">(E463/100)*H463</f>
        <v>0</v>
      </c>
      <c r="J463" s="0" t="n">
        <v>0</v>
      </c>
      <c r="K463" s="6" t="n">
        <f aca="false">G463/E463</f>
        <v>0.9</v>
      </c>
      <c r="L463" s="7" t="n">
        <f aca="false">0.58/100</f>
        <v>0.0058</v>
      </c>
      <c r="M463" s="7" t="n">
        <f aca="false">(23/800)/G463</f>
        <v>0.0319444444444444</v>
      </c>
      <c r="N463" s="0" t="n">
        <v>0</v>
      </c>
      <c r="O463" s="0" t="n">
        <v>0</v>
      </c>
      <c r="P463" s="0" t="n">
        <v>0</v>
      </c>
      <c r="Q463" s="0" t="n">
        <v>0</v>
      </c>
      <c r="V463" s="0" t="n">
        <v>0</v>
      </c>
    </row>
    <row r="464" customFormat="false" ht="12.8" hidden="false" customHeight="false" outlineLevel="0" collapsed="false">
      <c r="A464" s="10" t="s">
        <v>542</v>
      </c>
      <c r="B464" s="0" t="s">
        <v>25</v>
      </c>
      <c r="C464" s="0" t="s">
        <v>26</v>
      </c>
      <c r="D464" s="0" t="s">
        <v>554</v>
      </c>
      <c r="E464" s="0" t="n">
        <v>1</v>
      </c>
      <c r="F464" s="0" t="n">
        <v>85</v>
      </c>
      <c r="G464" s="1" t="n">
        <f aca="false">(E464/100)*F464</f>
        <v>0.85</v>
      </c>
      <c r="H464" s="0" t="n">
        <v>0</v>
      </c>
      <c r="I464" s="2" t="n">
        <f aca="false">(E464/100)*H464</f>
        <v>0</v>
      </c>
      <c r="J464" s="0" t="n">
        <v>0</v>
      </c>
      <c r="K464" s="6" t="n">
        <f aca="false">G464/E464</f>
        <v>0.85</v>
      </c>
      <c r="L464" s="7" t="n">
        <v>0.0072</v>
      </c>
      <c r="M464" s="7" t="n">
        <f aca="false">(19/700)/G464</f>
        <v>0.0319327731092437</v>
      </c>
      <c r="N464" s="0" t="n">
        <v>0</v>
      </c>
      <c r="O464" s="0" t="n">
        <v>0</v>
      </c>
      <c r="P464" s="0" t="n">
        <v>0</v>
      </c>
      <c r="Q464" s="0" t="n">
        <v>0</v>
      </c>
      <c r="V464" s="0" t="n">
        <v>0</v>
      </c>
    </row>
    <row r="465" customFormat="false" ht="12.8" hidden="false" customHeight="false" outlineLevel="0" collapsed="false">
      <c r="A465" s="10" t="s">
        <v>542</v>
      </c>
      <c r="B465" s="0" t="s">
        <v>25</v>
      </c>
      <c r="C465" s="0" t="s">
        <v>26</v>
      </c>
      <c r="D465" s="0" t="s">
        <v>555</v>
      </c>
      <c r="E465" s="0" t="n">
        <v>1</v>
      </c>
      <c r="F465" s="0" t="n">
        <v>94</v>
      </c>
      <c r="G465" s="1" t="n">
        <f aca="false">(E465/100)*F465</f>
        <v>0.94</v>
      </c>
      <c r="H465" s="0" t="n">
        <v>0.2</v>
      </c>
      <c r="I465" s="2" t="n">
        <f aca="false">(E465/100)*H465</f>
        <v>0.002</v>
      </c>
      <c r="J465" s="0" t="n">
        <v>0</v>
      </c>
      <c r="K465" s="6" t="n">
        <f aca="false">G465/E465</f>
        <v>0.94</v>
      </c>
      <c r="L465" s="7" t="n">
        <v>0.0058</v>
      </c>
      <c r="M465" s="7" t="n">
        <f aca="false">(31.5/1000)/G465</f>
        <v>0.0335106382978723</v>
      </c>
      <c r="N465" s="0" t="n">
        <v>0</v>
      </c>
      <c r="O465" s="0" t="n">
        <v>0</v>
      </c>
      <c r="P465" s="0" t="n">
        <v>0</v>
      </c>
      <c r="Q465" s="0" t="n">
        <v>0</v>
      </c>
      <c r="V465" s="0" t="n">
        <v>0</v>
      </c>
    </row>
    <row r="466" customFormat="false" ht="12.8" hidden="false" customHeight="false" outlineLevel="0" collapsed="false">
      <c r="A466" s="10" t="s">
        <v>542</v>
      </c>
      <c r="B466" s="0" t="s">
        <v>25</v>
      </c>
      <c r="C466" s="0" t="s">
        <v>26</v>
      </c>
      <c r="D466" s="0" t="s">
        <v>556</v>
      </c>
      <c r="E466" s="0" t="n">
        <v>1</v>
      </c>
      <c r="F466" s="0" t="n">
        <v>79</v>
      </c>
      <c r="G466" s="1" t="n">
        <f aca="false">(E466/100)*F466</f>
        <v>0.79</v>
      </c>
      <c r="H466" s="0" t="n">
        <v>10</v>
      </c>
      <c r="I466" s="2" t="n">
        <f aca="false">(E466/100)*H466</f>
        <v>0.1</v>
      </c>
      <c r="J466" s="0" t="n">
        <v>0</v>
      </c>
      <c r="K466" s="6" t="n">
        <f aca="false">G466/E466</f>
        <v>0.79</v>
      </c>
      <c r="L466" s="7" t="n">
        <v>0.006</v>
      </c>
      <c r="M466" s="7" t="n">
        <f aca="false">(46/1200)/G466</f>
        <v>0.0485232067510549</v>
      </c>
      <c r="N466" s="0" t="n">
        <v>0</v>
      </c>
      <c r="O466" s="0" t="n">
        <v>0</v>
      </c>
      <c r="P466" s="0" t="n">
        <v>0</v>
      </c>
      <c r="Q466" s="0" t="n">
        <v>1</v>
      </c>
      <c r="R466" s="0" t="n">
        <v>2.1</v>
      </c>
      <c r="V466" s="0" t="n">
        <v>0</v>
      </c>
    </row>
    <row r="467" customFormat="false" ht="12.8" hidden="false" customHeight="false" outlineLevel="0" collapsed="false">
      <c r="A467" s="10" t="s">
        <v>542</v>
      </c>
      <c r="B467" s="0" t="s">
        <v>25</v>
      </c>
      <c r="C467" s="0" t="s">
        <v>26</v>
      </c>
      <c r="D467" s="0" t="s">
        <v>557</v>
      </c>
      <c r="E467" s="0" t="n">
        <v>1</v>
      </c>
      <c r="F467" s="0" t="n">
        <v>96</v>
      </c>
      <c r="G467" s="1" t="n">
        <f aca="false">(E467/100)*F467</f>
        <v>0.96</v>
      </c>
      <c r="H467" s="0" t="n">
        <v>0</v>
      </c>
      <c r="I467" s="2" t="n">
        <f aca="false">(E467/100)*H467</f>
        <v>0</v>
      </c>
      <c r="J467" s="0" t="n">
        <v>0</v>
      </c>
      <c r="K467" s="6" t="n">
        <f aca="false">G467/E467</f>
        <v>0.96</v>
      </c>
      <c r="L467" s="7" t="n">
        <f aca="false">0.75*0.4*0.01</f>
        <v>0.003</v>
      </c>
      <c r="M467" s="7" t="n">
        <f aca="false">(47/1000)/G467</f>
        <v>0.0489583333333333</v>
      </c>
      <c r="N467" s="0" t="n">
        <v>0</v>
      </c>
      <c r="O467" s="0" t="n">
        <v>0</v>
      </c>
      <c r="P467" s="0" t="n">
        <v>0</v>
      </c>
      <c r="Q467" s="0" t="n">
        <v>0</v>
      </c>
      <c r="V467" s="0" t="n">
        <v>0</v>
      </c>
    </row>
    <row r="468" customFormat="false" ht="12.8" hidden="false" customHeight="false" outlineLevel="0" collapsed="false">
      <c r="A468" s="10" t="s">
        <v>542</v>
      </c>
      <c r="B468" s="0" t="s">
        <v>20</v>
      </c>
      <c r="C468" s="0" t="s">
        <v>21</v>
      </c>
      <c r="D468" s="0" t="s">
        <v>558</v>
      </c>
      <c r="E468" s="0" t="n">
        <v>35</v>
      </c>
      <c r="F468" s="0" t="n">
        <v>70</v>
      </c>
      <c r="G468" s="1" t="n">
        <f aca="false">(E468/100)*F468</f>
        <v>24.5</v>
      </c>
      <c r="H468" s="0" t="n">
        <v>0</v>
      </c>
      <c r="I468" s="2" t="n">
        <f aca="false">(E468/100)*H468</f>
        <v>0</v>
      </c>
      <c r="J468" s="0" t="n">
        <v>25</v>
      </c>
      <c r="K468" s="6" t="n">
        <f aca="false">G468/E468</f>
        <v>0.7</v>
      </c>
      <c r="L468" s="7" t="n">
        <v>0.123</v>
      </c>
      <c r="M468" s="7" t="n">
        <f aca="false">2.3/G468</f>
        <v>0.0938775510204082</v>
      </c>
      <c r="N468" s="0" t="n">
        <v>0</v>
      </c>
      <c r="O468" s="0" t="n">
        <v>0</v>
      </c>
      <c r="P468" s="0" t="n">
        <v>0</v>
      </c>
      <c r="Q468" s="0" t="n">
        <v>0</v>
      </c>
      <c r="V468" s="0" t="n">
        <v>0</v>
      </c>
    </row>
    <row r="469" customFormat="false" ht="12.8" hidden="false" customHeight="false" outlineLevel="0" collapsed="false">
      <c r="A469" s="10" t="s">
        <v>542</v>
      </c>
      <c r="B469" s="0" t="s">
        <v>20</v>
      </c>
      <c r="C469" s="0" t="s">
        <v>21</v>
      </c>
      <c r="D469" s="0" t="s">
        <v>559</v>
      </c>
      <c r="E469" s="0" t="n">
        <v>70</v>
      </c>
      <c r="F469" s="0" t="n">
        <v>70</v>
      </c>
      <c r="G469" s="1" t="n">
        <f aca="false">(E469/100)*F469</f>
        <v>49</v>
      </c>
      <c r="H469" s="0" t="n">
        <v>0</v>
      </c>
      <c r="I469" s="2" t="n">
        <f aca="false">(E469/100)*H469</f>
        <v>0</v>
      </c>
      <c r="J469" s="0" t="n">
        <v>0</v>
      </c>
      <c r="K469" s="6" t="n">
        <f aca="false">G469/E469</f>
        <v>0.7</v>
      </c>
      <c r="L469" s="7" t="n">
        <v>0.25</v>
      </c>
      <c r="M469" s="7" t="n">
        <f aca="false">3.7/G469</f>
        <v>0.0755102040816327</v>
      </c>
      <c r="N469" s="0" t="n">
        <v>0</v>
      </c>
      <c r="O469" s="0" t="n">
        <v>0</v>
      </c>
      <c r="P469" s="0" t="n">
        <v>0</v>
      </c>
      <c r="Q469" s="0" t="n">
        <v>0</v>
      </c>
      <c r="V469" s="0" t="n">
        <v>0</v>
      </c>
    </row>
    <row r="470" customFormat="false" ht="12.8" hidden="false" customHeight="false" outlineLevel="0" collapsed="false">
      <c r="A470" s="10" t="s">
        <v>542</v>
      </c>
      <c r="B470" s="0" t="s">
        <v>20</v>
      </c>
      <c r="C470" s="0" t="s">
        <v>21</v>
      </c>
      <c r="D470" s="10" t="s">
        <v>560</v>
      </c>
      <c r="E470" s="0" t="n">
        <v>70</v>
      </c>
      <c r="F470" s="0" t="n">
        <v>68</v>
      </c>
      <c r="G470" s="1" t="n">
        <f aca="false">(E470/100)*F470</f>
        <v>47.6</v>
      </c>
      <c r="H470" s="0" t="n">
        <v>0</v>
      </c>
      <c r="I470" s="2" t="n">
        <f aca="false">(E470/100)*H470</f>
        <v>0</v>
      </c>
      <c r="J470" s="0" t="n">
        <v>50</v>
      </c>
      <c r="K470" s="6" t="n">
        <f aca="false">G470/E470</f>
        <v>0.68</v>
      </c>
      <c r="L470" s="7" t="n">
        <v>0.22</v>
      </c>
      <c r="M470" s="7" t="n">
        <f aca="false">3.7/G470</f>
        <v>0.0777310924369748</v>
      </c>
      <c r="N470" s="0" t="n">
        <v>0</v>
      </c>
      <c r="O470" s="0" t="n">
        <v>0</v>
      </c>
      <c r="P470" s="0" t="n">
        <v>0</v>
      </c>
      <c r="Q470" s="0" t="n">
        <v>0</v>
      </c>
      <c r="V470" s="0" t="n">
        <v>0</v>
      </c>
    </row>
    <row r="471" customFormat="false" ht="12.8" hidden="false" customHeight="false" outlineLevel="0" collapsed="false">
      <c r="A471" s="10" t="s">
        <v>542</v>
      </c>
      <c r="B471" s="0" t="s">
        <v>20</v>
      </c>
      <c r="C471" s="0" t="s">
        <v>21</v>
      </c>
      <c r="D471" s="0" t="s">
        <v>561</v>
      </c>
      <c r="E471" s="0" t="n">
        <v>35</v>
      </c>
      <c r="F471" s="0" t="n">
        <v>57</v>
      </c>
      <c r="G471" s="1" t="n">
        <f aca="false">(E471/100)*F471</f>
        <v>19.95</v>
      </c>
      <c r="H471" s="0" t="n">
        <v>0.3</v>
      </c>
      <c r="I471" s="2" t="n">
        <f aca="false">(E471/100)*H471</f>
        <v>0.105</v>
      </c>
      <c r="J471" s="0" t="n">
        <v>0</v>
      </c>
      <c r="K471" s="6" t="n">
        <f aca="false">G471/E471</f>
        <v>0.57</v>
      </c>
      <c r="L471" s="7" t="n">
        <v>0.155</v>
      </c>
      <c r="M471" s="7" t="n">
        <f aca="false">2.3/G471</f>
        <v>0.115288220551378</v>
      </c>
      <c r="N471" s="0" t="n">
        <v>0</v>
      </c>
      <c r="O471" s="0" t="n">
        <v>1</v>
      </c>
      <c r="P471" s="0" t="n">
        <v>0</v>
      </c>
      <c r="Q471" s="0" t="n">
        <v>0</v>
      </c>
      <c r="V471" s="0" t="n">
        <v>0</v>
      </c>
    </row>
    <row r="472" customFormat="false" ht="12.8" hidden="false" customHeight="false" outlineLevel="0" collapsed="false">
      <c r="A472" s="10" t="s">
        <v>542</v>
      </c>
      <c r="B472" s="0" t="s">
        <v>20</v>
      </c>
      <c r="C472" s="0" t="s">
        <v>21</v>
      </c>
      <c r="D472" s="0" t="s">
        <v>562</v>
      </c>
      <c r="E472" s="0" t="n">
        <v>70</v>
      </c>
      <c r="F472" s="0" t="n">
        <v>68</v>
      </c>
      <c r="G472" s="1" t="n">
        <f aca="false">(E472/100)*F472</f>
        <v>47.6</v>
      </c>
      <c r="H472" s="0" t="n">
        <v>0.7</v>
      </c>
      <c r="I472" s="2" t="n">
        <f aca="false">(E472/100)*H472</f>
        <v>0.49</v>
      </c>
      <c r="J472" s="0" t="n">
        <v>0</v>
      </c>
      <c r="K472" s="6" t="n">
        <f aca="false">G472/E472</f>
        <v>0.68</v>
      </c>
      <c r="L472" s="7" t="n">
        <v>0.25</v>
      </c>
      <c r="M472" s="7" t="n">
        <f aca="false">3.9/G472</f>
        <v>0.0819327731092437</v>
      </c>
      <c r="N472" s="0" t="n">
        <v>0</v>
      </c>
      <c r="O472" s="0" t="n">
        <v>0</v>
      </c>
      <c r="P472" s="0" t="n">
        <v>0</v>
      </c>
      <c r="Q472" s="0" t="n">
        <v>0</v>
      </c>
      <c r="R472" s="0" t="n">
        <v>500</v>
      </c>
      <c r="V472" s="0" t="n">
        <v>0</v>
      </c>
    </row>
    <row r="473" customFormat="false" ht="12.8" hidden="false" customHeight="false" outlineLevel="0" collapsed="false">
      <c r="A473" s="10" t="s">
        <v>542</v>
      </c>
      <c r="B473" s="0" t="s">
        <v>20</v>
      </c>
      <c r="C473" s="0" t="s">
        <v>21</v>
      </c>
      <c r="D473" s="0" t="s">
        <v>563</v>
      </c>
      <c r="E473" s="0" t="n">
        <v>25</v>
      </c>
      <c r="F473" s="0" t="n">
        <v>44</v>
      </c>
      <c r="G473" s="1" t="n">
        <f aca="false">(E473/100)*F473</f>
        <v>11</v>
      </c>
      <c r="H473" s="0" t="n">
        <v>2.7</v>
      </c>
      <c r="I473" s="2" t="n">
        <f aca="false">(E473/100)*H473</f>
        <v>0.675</v>
      </c>
      <c r="J473" s="0" t="n">
        <v>0</v>
      </c>
      <c r="K473" s="6" t="n">
        <f aca="false">G473/E473</f>
        <v>0.44</v>
      </c>
      <c r="L473" s="7" t="n">
        <v>0.14</v>
      </c>
      <c r="M473" s="7" t="n">
        <f aca="false">3.1/G473</f>
        <v>0.281818181818182</v>
      </c>
      <c r="N473" s="0" t="n">
        <v>0</v>
      </c>
      <c r="O473" s="0" t="n">
        <v>0</v>
      </c>
      <c r="P473" s="0" t="n">
        <v>1</v>
      </c>
      <c r="Q473" s="0" t="n">
        <v>1</v>
      </c>
      <c r="R473" s="0" t="n">
        <v>450</v>
      </c>
      <c r="V473" s="0" t="n">
        <v>0</v>
      </c>
    </row>
    <row r="474" customFormat="false" ht="12.8" hidden="false" customHeight="false" outlineLevel="0" collapsed="false">
      <c r="A474" s="10" t="s">
        <v>542</v>
      </c>
      <c r="B474" s="0" t="s">
        <v>36</v>
      </c>
      <c r="C474" s="0" t="s">
        <v>37</v>
      </c>
      <c r="D474" s="0" t="s">
        <v>564</v>
      </c>
      <c r="E474" s="0" t="n">
        <v>75</v>
      </c>
      <c r="F474" s="0" t="n">
        <v>78</v>
      </c>
      <c r="G474" s="1" t="n">
        <f aca="false">(E474/100)*F474</f>
        <v>58.5</v>
      </c>
      <c r="H474" s="0" t="n">
        <v>7.4</v>
      </c>
      <c r="I474" s="2" t="n">
        <f aca="false">(E474/100)*H474</f>
        <v>5.55</v>
      </c>
      <c r="J474" s="0" t="n">
        <v>0</v>
      </c>
      <c r="K474" s="6" t="n">
        <f aca="false">G474/E474</f>
        <v>0.78</v>
      </c>
      <c r="L474" s="7" t="n">
        <v>0</v>
      </c>
      <c r="M474" s="7" t="n">
        <f aca="false">3.5/G474</f>
        <v>0.0598290598290598</v>
      </c>
      <c r="N474" s="0" t="n">
        <v>0</v>
      </c>
      <c r="O474" s="0" t="n">
        <v>0</v>
      </c>
      <c r="P474" s="0" t="n">
        <v>0</v>
      </c>
      <c r="Q474" s="0" t="n">
        <v>0</v>
      </c>
      <c r="R474" s="0" t="n">
        <v>900</v>
      </c>
      <c r="V474" s="0" t="n">
        <v>0</v>
      </c>
    </row>
    <row r="475" customFormat="false" ht="12.8" hidden="false" customHeight="false" outlineLevel="0" collapsed="false">
      <c r="A475" s="10" t="s">
        <v>542</v>
      </c>
      <c r="B475" s="0" t="s">
        <v>36</v>
      </c>
      <c r="C475" s="0" t="s">
        <v>37</v>
      </c>
      <c r="D475" s="0" t="s">
        <v>565</v>
      </c>
      <c r="E475" s="0" t="n">
        <v>75</v>
      </c>
      <c r="F475" s="0" t="n">
        <v>78</v>
      </c>
      <c r="G475" s="1" t="n">
        <f aca="false">(E475/100)*F475</f>
        <v>58.5</v>
      </c>
      <c r="H475" s="0" t="n">
        <v>6.2</v>
      </c>
      <c r="I475" s="2" t="n">
        <f aca="false">(E475/100)*H475</f>
        <v>4.65</v>
      </c>
      <c r="J475" s="0" t="n">
        <v>150</v>
      </c>
      <c r="K475" s="6" t="n">
        <f aca="false">G475/E475</f>
        <v>0.78</v>
      </c>
      <c r="L475" s="7" t="n">
        <v>0</v>
      </c>
      <c r="M475" s="7" t="n">
        <f aca="false">3.5/G475</f>
        <v>0.0598290598290598</v>
      </c>
      <c r="N475" s="0" t="n">
        <v>0</v>
      </c>
      <c r="O475" s="0" t="n">
        <v>0</v>
      </c>
      <c r="P475" s="0" t="n">
        <v>0</v>
      </c>
      <c r="Q475" s="0" t="n">
        <v>0</v>
      </c>
      <c r="V475" s="0" t="n">
        <v>0</v>
      </c>
    </row>
    <row r="476" customFormat="false" ht="12.8" hidden="false" customHeight="false" outlineLevel="0" collapsed="false">
      <c r="A476" s="10" t="s">
        <v>542</v>
      </c>
      <c r="B476" s="0" t="s">
        <v>36</v>
      </c>
      <c r="C476" s="0" t="s">
        <v>37</v>
      </c>
      <c r="D476" s="0" t="s">
        <v>566</v>
      </c>
      <c r="E476" s="0" t="n">
        <v>75</v>
      </c>
      <c r="F476" s="0" t="n">
        <v>77</v>
      </c>
      <c r="G476" s="1" t="n">
        <f aca="false">(E476/100)*F476</f>
        <v>57.75</v>
      </c>
      <c r="H476" s="0" t="n">
        <v>6.2</v>
      </c>
      <c r="I476" s="2" t="n">
        <f aca="false">(E476/100)*H476</f>
        <v>4.65</v>
      </c>
      <c r="J476" s="0" t="n">
        <v>0</v>
      </c>
      <c r="K476" s="6" t="n">
        <f aca="false">G476/E476</f>
        <v>0.77</v>
      </c>
      <c r="L476" s="7" t="n">
        <v>0</v>
      </c>
      <c r="M476" s="7" t="n">
        <f aca="false">3.7/G476</f>
        <v>0.0640692640692641</v>
      </c>
      <c r="N476" s="0" t="n">
        <v>0</v>
      </c>
      <c r="O476" s="0" t="n">
        <v>0</v>
      </c>
      <c r="P476" s="0" t="n">
        <v>0</v>
      </c>
      <c r="Q476" s="0" t="n">
        <v>0</v>
      </c>
      <c r="S476" s="0" t="s">
        <v>567</v>
      </c>
      <c r="V476" s="0" t="n">
        <v>0</v>
      </c>
    </row>
    <row r="477" customFormat="false" ht="12.8" hidden="false" customHeight="false" outlineLevel="0" collapsed="false">
      <c r="A477" s="10" t="s">
        <v>568</v>
      </c>
      <c r="B477" s="0" t="s">
        <v>36</v>
      </c>
      <c r="C477" s="0" t="s">
        <v>37</v>
      </c>
      <c r="D477" s="0" t="s">
        <v>569</v>
      </c>
      <c r="E477" s="0" t="n">
        <v>30</v>
      </c>
      <c r="F477" s="0" t="n">
        <v>39</v>
      </c>
      <c r="G477" s="1" t="n">
        <f aca="false">(E477/100)*F477</f>
        <v>11.7</v>
      </c>
      <c r="H477" s="0" t="n">
        <v>12</v>
      </c>
      <c r="I477" s="2" t="n">
        <f aca="false">(E477/100)*H477</f>
        <v>3.6</v>
      </c>
      <c r="J477" s="0" t="n">
        <v>0</v>
      </c>
      <c r="K477" s="6" t="n">
        <f aca="false">G477/E477</f>
        <v>0.39</v>
      </c>
      <c r="L477" s="7" t="n">
        <v>0.005</v>
      </c>
      <c r="M477" s="7" t="n">
        <f aca="false">2.6/G477</f>
        <v>0.222222222222222</v>
      </c>
      <c r="N477" s="0" t="n">
        <v>1</v>
      </c>
      <c r="O477" s="0" t="n">
        <v>0</v>
      </c>
      <c r="P477" s="0" t="n">
        <v>0</v>
      </c>
      <c r="Q477" s="0" t="n">
        <v>0</v>
      </c>
      <c r="U477" s="0" t="s">
        <v>570</v>
      </c>
      <c r="V477" s="0" t="n">
        <v>1</v>
      </c>
    </row>
    <row r="478" customFormat="false" ht="12.8" hidden="false" customHeight="false" outlineLevel="0" collapsed="false">
      <c r="A478" s="10" t="s">
        <v>568</v>
      </c>
      <c r="B478" s="0" t="s">
        <v>45</v>
      </c>
      <c r="C478" s="0" t="s">
        <v>46</v>
      </c>
      <c r="D478" s="0" t="s">
        <v>571</v>
      </c>
      <c r="E478" s="0" t="n">
        <v>30</v>
      </c>
      <c r="F478" s="0" t="n">
        <v>39</v>
      </c>
      <c r="G478" s="1" t="n">
        <f aca="false">(E478/100)*F478</f>
        <v>11.7</v>
      </c>
      <c r="H478" s="0" t="n">
        <v>10</v>
      </c>
      <c r="I478" s="2" t="n">
        <f aca="false">(E478/100)*H478</f>
        <v>3</v>
      </c>
      <c r="J478" s="0" t="n">
        <v>0</v>
      </c>
      <c r="K478" s="6" t="n">
        <f aca="false">G478/E478</f>
        <v>0.39</v>
      </c>
      <c r="L478" s="7" t="n">
        <f aca="false">0.47*0.4*0.3</f>
        <v>0.0564</v>
      </c>
      <c r="M478" s="7" t="n">
        <f aca="false">2.6/G478</f>
        <v>0.222222222222222</v>
      </c>
      <c r="N478" s="0" t="n">
        <v>1</v>
      </c>
      <c r="O478" s="0" t="n">
        <v>0</v>
      </c>
      <c r="P478" s="0" t="n">
        <v>1</v>
      </c>
      <c r="Q478" s="0" t="n">
        <v>0</v>
      </c>
      <c r="U478" s="0" t="s">
        <v>570</v>
      </c>
      <c r="V478" s="0" t="n">
        <v>1</v>
      </c>
    </row>
    <row r="479" customFormat="false" ht="12.8" hidden="false" customHeight="false" outlineLevel="0" collapsed="false">
      <c r="A479" s="10" t="s">
        <v>568</v>
      </c>
      <c r="B479" s="0" t="s">
        <v>20</v>
      </c>
      <c r="C479" s="0" t="s">
        <v>21</v>
      </c>
      <c r="D479" s="0" t="s">
        <v>572</v>
      </c>
      <c r="E479" s="0" t="n">
        <v>28.6</v>
      </c>
      <c r="F479" s="0" t="n">
        <v>81</v>
      </c>
      <c r="G479" s="1" t="n">
        <f aca="false">(E479/100)*F479</f>
        <v>23.166</v>
      </c>
      <c r="H479" s="0" t="n">
        <v>0.6</v>
      </c>
      <c r="I479" s="2" t="n">
        <f aca="false">(E479/100)*H479</f>
        <v>0.1716</v>
      </c>
      <c r="J479" s="0" t="n">
        <v>44</v>
      </c>
      <c r="K479" s="6" t="n">
        <f aca="false">G479/E479</f>
        <v>0.81</v>
      </c>
      <c r="L479" s="7" t="n">
        <f aca="false">0.03*0.4</f>
        <v>0.012</v>
      </c>
      <c r="M479" s="7" t="n">
        <f aca="false">(20/7)/G479</f>
        <v>0.12333345666679</v>
      </c>
      <c r="N479" s="0" t="n">
        <v>1</v>
      </c>
      <c r="O479" s="0" t="n">
        <v>0</v>
      </c>
      <c r="P479" s="0" t="n">
        <v>0</v>
      </c>
      <c r="Q479" s="0" t="n">
        <v>0</v>
      </c>
      <c r="U479" s="0" t="s">
        <v>570</v>
      </c>
      <c r="V479" s="0" t="n">
        <v>1</v>
      </c>
    </row>
    <row r="480" customFormat="false" ht="12.8" hidden="false" customHeight="false" outlineLevel="0" collapsed="false">
      <c r="A480" s="10" t="s">
        <v>568</v>
      </c>
      <c r="B480" s="0" t="s">
        <v>20</v>
      </c>
      <c r="C480" s="0" t="s">
        <v>21</v>
      </c>
      <c r="D480" s="0" t="s">
        <v>573</v>
      </c>
      <c r="E480" s="0" t="n">
        <v>28.6</v>
      </c>
      <c r="F480" s="0" t="n">
        <v>81</v>
      </c>
      <c r="G480" s="1" t="n">
        <f aca="false">(E480/100)*F480</f>
        <v>23.166</v>
      </c>
      <c r="H480" s="0" t="n">
        <v>0.6</v>
      </c>
      <c r="I480" s="2" t="n">
        <f aca="false">(E480/100)*H480</f>
        <v>0.1716</v>
      </c>
      <c r="J480" s="0" t="n">
        <v>0</v>
      </c>
      <c r="K480" s="6" t="n">
        <f aca="false">G480/E480</f>
        <v>0.81</v>
      </c>
      <c r="L480" s="7" t="n">
        <f aca="false">0.03*0.4</f>
        <v>0.012</v>
      </c>
      <c r="M480" s="7" t="n">
        <f aca="false">(20/7)/G480</f>
        <v>0.12333345666679</v>
      </c>
      <c r="N480" s="0" t="n">
        <v>1</v>
      </c>
      <c r="O480" s="0" t="n">
        <v>0</v>
      </c>
      <c r="P480" s="0" t="n">
        <v>0</v>
      </c>
      <c r="Q480" s="0" t="n">
        <v>0</v>
      </c>
      <c r="U480" s="0" t="s">
        <v>570</v>
      </c>
      <c r="V480" s="0" t="n">
        <v>1</v>
      </c>
    </row>
    <row r="481" customFormat="false" ht="12.8" hidden="false" customHeight="false" outlineLevel="0" collapsed="false">
      <c r="A481" s="0" t="s">
        <v>574</v>
      </c>
      <c r="B481" s="0" t="s">
        <v>20</v>
      </c>
      <c r="C481" s="0" t="s">
        <v>21</v>
      </c>
      <c r="D481" s="0" t="s">
        <v>575</v>
      </c>
      <c r="E481" s="0" t="n">
        <v>100</v>
      </c>
      <c r="F481" s="0" t="n">
        <v>60</v>
      </c>
      <c r="G481" s="1" t="n">
        <f aca="false">(E481/100)*F481</f>
        <v>60</v>
      </c>
      <c r="H481" s="0" t="n">
        <v>0</v>
      </c>
      <c r="I481" s="2" t="n">
        <f aca="false">(E481/100)*H481</f>
        <v>0</v>
      </c>
      <c r="J481" s="0" t="n">
        <v>0</v>
      </c>
      <c r="K481" s="6" t="n">
        <f aca="false">G481/E481</f>
        <v>0.6</v>
      </c>
      <c r="L481" s="7" t="n">
        <v>0.2</v>
      </c>
      <c r="M481" s="7" t="n">
        <f aca="false">4.9/G481</f>
        <v>0.0816666666666667</v>
      </c>
      <c r="N481" s="0" t="n">
        <v>0</v>
      </c>
      <c r="O481" s="0" t="n">
        <v>0</v>
      </c>
      <c r="P481" s="0" t="n">
        <v>0</v>
      </c>
      <c r="Q481" s="0" t="n">
        <v>0</v>
      </c>
      <c r="V481" s="0" t="n">
        <v>0</v>
      </c>
    </row>
    <row r="482" customFormat="false" ht="12.8" hidden="false" customHeight="false" outlineLevel="0" collapsed="false">
      <c r="A482" s="0" t="s">
        <v>574</v>
      </c>
      <c r="B482" s="0" t="s">
        <v>20</v>
      </c>
      <c r="C482" s="0" t="s">
        <v>21</v>
      </c>
      <c r="D482" s="0" t="s">
        <v>576</v>
      </c>
      <c r="E482" s="0" t="n">
        <v>80</v>
      </c>
      <c r="F482" s="0" t="n">
        <v>56.3</v>
      </c>
      <c r="G482" s="1" t="n">
        <f aca="false">(E482/100)*F482</f>
        <v>45.04</v>
      </c>
      <c r="H482" s="0" t="n">
        <v>0</v>
      </c>
      <c r="I482" s="2" t="n">
        <f aca="false">(E482/100)*H482</f>
        <v>0</v>
      </c>
      <c r="J482" s="0" t="n">
        <v>0</v>
      </c>
      <c r="K482" s="6" t="n">
        <f aca="false">G482/E482</f>
        <v>0.563</v>
      </c>
      <c r="L482" s="7" t="n">
        <v>0.2</v>
      </c>
      <c r="M482" s="7" t="n">
        <f aca="false">4/G482</f>
        <v>0.088809946714032</v>
      </c>
      <c r="N482" s="0" t="n">
        <v>0</v>
      </c>
      <c r="O482" s="0" t="n">
        <v>0</v>
      </c>
      <c r="P482" s="0" t="n">
        <v>0</v>
      </c>
      <c r="Q482" s="0" t="n">
        <v>0</v>
      </c>
      <c r="V482" s="0" t="n">
        <v>0</v>
      </c>
    </row>
    <row r="483" customFormat="false" ht="12.8" hidden="false" customHeight="false" outlineLevel="0" collapsed="false">
      <c r="A483" s="0" t="s">
        <v>574</v>
      </c>
      <c r="B483" s="0" t="s">
        <v>20</v>
      </c>
      <c r="C483" s="0" t="s">
        <v>21</v>
      </c>
      <c r="D483" s="10" t="s">
        <v>577</v>
      </c>
      <c r="E483" s="0" t="n">
        <v>80</v>
      </c>
      <c r="F483" s="0" t="n">
        <v>56.3</v>
      </c>
      <c r="G483" s="1" t="n">
        <f aca="false">(E483/100)*F483</f>
        <v>45.04</v>
      </c>
      <c r="H483" s="0" t="n">
        <v>0</v>
      </c>
      <c r="I483" s="2" t="n">
        <f aca="false">(E483/100)*H483</f>
        <v>0</v>
      </c>
      <c r="J483" s="0" t="n">
        <v>100</v>
      </c>
      <c r="K483" s="6" t="n">
        <f aca="false">G483/E483</f>
        <v>0.563</v>
      </c>
      <c r="L483" s="7" t="n">
        <v>0.2</v>
      </c>
      <c r="M483" s="7" t="n">
        <f aca="false">4/G483</f>
        <v>0.088809946714032</v>
      </c>
      <c r="N483" s="0" t="n">
        <v>0</v>
      </c>
      <c r="O483" s="0" t="n">
        <v>0</v>
      </c>
      <c r="P483" s="0" t="n">
        <v>0</v>
      </c>
      <c r="Q483" s="0" t="n">
        <v>0</v>
      </c>
      <c r="V483" s="0" t="n">
        <v>0</v>
      </c>
    </row>
    <row r="484" customFormat="false" ht="12.8" hidden="false" customHeight="false" outlineLevel="0" collapsed="false">
      <c r="A484" s="0" t="s">
        <v>574</v>
      </c>
      <c r="B484" s="0" t="s">
        <v>20</v>
      </c>
      <c r="C484" s="0" t="s">
        <v>21</v>
      </c>
      <c r="D484" s="10" t="s">
        <v>578</v>
      </c>
      <c r="E484" s="0" t="n">
        <v>60</v>
      </c>
      <c r="F484" s="0" t="n">
        <v>50</v>
      </c>
      <c r="G484" s="1" t="n">
        <f aca="false">(E484/100)*F484</f>
        <v>30</v>
      </c>
      <c r="H484" s="0" t="n">
        <v>0</v>
      </c>
      <c r="I484" s="2" t="n">
        <f aca="false">(E484/100)*H484</f>
        <v>0</v>
      </c>
      <c r="J484" s="0" t="n">
        <v>0</v>
      </c>
      <c r="K484" s="6" t="n">
        <f aca="false">G484/E484</f>
        <v>0.5</v>
      </c>
      <c r="L484" s="7" t="n">
        <v>0.1</v>
      </c>
      <c r="M484" s="7" t="n">
        <f aca="false">3.2/G484</f>
        <v>0.106666666666667</v>
      </c>
      <c r="N484" s="0" t="n">
        <v>0</v>
      </c>
      <c r="O484" s="0" t="n">
        <v>0</v>
      </c>
      <c r="P484" s="0" t="n">
        <v>0</v>
      </c>
      <c r="Q484" s="0" t="n">
        <v>0</v>
      </c>
      <c r="V484" s="0" t="n">
        <v>0</v>
      </c>
    </row>
    <row r="485" customFormat="false" ht="12.8" hidden="false" customHeight="false" outlineLevel="0" collapsed="false">
      <c r="A485" s="0" t="s">
        <v>574</v>
      </c>
      <c r="B485" s="0" t="s">
        <v>20</v>
      </c>
      <c r="C485" s="0" t="s">
        <v>21</v>
      </c>
      <c r="D485" s="10" t="s">
        <v>579</v>
      </c>
      <c r="E485" s="0" t="n">
        <v>60</v>
      </c>
      <c r="F485" s="0" t="n">
        <v>50</v>
      </c>
      <c r="G485" s="1" t="n">
        <f aca="false">(E485/100)*F485</f>
        <v>30</v>
      </c>
      <c r="H485" s="0" t="n">
        <v>0</v>
      </c>
      <c r="I485" s="2" t="n">
        <f aca="false">(E485/100)*H485</f>
        <v>0</v>
      </c>
      <c r="J485" s="0" t="n">
        <v>100</v>
      </c>
      <c r="K485" s="6" t="n">
        <f aca="false">G485/E485</f>
        <v>0.5</v>
      </c>
      <c r="L485" s="7" t="n">
        <v>0.1</v>
      </c>
      <c r="M485" s="7" t="n">
        <f aca="false">3.2/G485</f>
        <v>0.106666666666667</v>
      </c>
      <c r="N485" s="0" t="n">
        <v>0</v>
      </c>
      <c r="O485" s="0" t="n">
        <v>0</v>
      </c>
      <c r="P485" s="0" t="n">
        <v>0</v>
      </c>
      <c r="Q485" s="0" t="n">
        <v>0</v>
      </c>
      <c r="V485" s="0" t="n">
        <v>0</v>
      </c>
    </row>
    <row r="486" customFormat="false" ht="12.8" hidden="false" customHeight="false" outlineLevel="0" collapsed="false">
      <c r="A486" s="0" t="s">
        <v>574</v>
      </c>
      <c r="B486" s="0" t="s">
        <v>25</v>
      </c>
      <c r="C486" s="0" t="s">
        <v>26</v>
      </c>
      <c r="D486" s="0" t="s">
        <v>580</v>
      </c>
      <c r="E486" s="0" t="n">
        <v>52</v>
      </c>
      <c r="F486" s="0" t="n">
        <v>87</v>
      </c>
      <c r="G486" s="1" t="n">
        <f aca="false">(E486/100)*F486</f>
        <v>45.24</v>
      </c>
      <c r="H486" s="0" t="n">
        <v>0</v>
      </c>
      <c r="I486" s="2" t="n">
        <f aca="false">(E486/100)*H486</f>
        <v>0</v>
      </c>
      <c r="J486" s="0" t="n">
        <v>0</v>
      </c>
      <c r="K486" s="6" t="n">
        <f aca="false">G486/E486</f>
        <v>0.87</v>
      </c>
      <c r="L486" s="7" t="n">
        <v>0.4</v>
      </c>
      <c r="M486" s="7" t="n">
        <f aca="false">2.7/G486</f>
        <v>0.0596816976127321</v>
      </c>
      <c r="N486" s="0" t="n">
        <v>0</v>
      </c>
      <c r="O486" s="0" t="n">
        <v>0</v>
      </c>
      <c r="P486" s="0" t="n">
        <v>0</v>
      </c>
      <c r="Q486" s="0" t="n">
        <v>0</v>
      </c>
      <c r="V486" s="0" t="n">
        <v>0</v>
      </c>
    </row>
    <row r="487" customFormat="false" ht="12.8" hidden="false" customHeight="false" outlineLevel="0" collapsed="false">
      <c r="A487" s="0" t="s">
        <v>574</v>
      </c>
      <c r="B487" s="0" t="s">
        <v>25</v>
      </c>
      <c r="C487" s="0" t="s">
        <v>26</v>
      </c>
      <c r="D487" s="0" t="s">
        <v>581</v>
      </c>
      <c r="E487" s="0" t="n">
        <v>1</v>
      </c>
      <c r="F487" s="0" t="n">
        <v>89</v>
      </c>
      <c r="G487" s="1" t="n">
        <f aca="false">(E487/100)*F487</f>
        <v>0.89</v>
      </c>
      <c r="H487" s="0" t="n">
        <v>0</v>
      </c>
      <c r="I487" s="2" t="n">
        <f aca="false">(E487/100)*H487</f>
        <v>0</v>
      </c>
      <c r="J487" s="0" t="n">
        <v>0</v>
      </c>
      <c r="K487" s="6" t="n">
        <f aca="false">G487/E487</f>
        <v>0.89</v>
      </c>
      <c r="L487" s="7" t="n">
        <v>0.01333</v>
      </c>
      <c r="M487" s="7" t="n">
        <f aca="false">(27.5/540)/G487</f>
        <v>0.0572201414898044</v>
      </c>
      <c r="N487" s="0" t="n">
        <v>0</v>
      </c>
      <c r="O487" s="0" t="n">
        <v>0</v>
      </c>
      <c r="P487" s="0" t="n">
        <v>0</v>
      </c>
      <c r="Q487" s="0" t="n">
        <v>0</v>
      </c>
      <c r="V487" s="0" t="n">
        <v>0</v>
      </c>
    </row>
    <row r="488" customFormat="false" ht="12.8" hidden="false" customHeight="false" outlineLevel="0" collapsed="false">
      <c r="A488" s="0" t="s">
        <v>574</v>
      </c>
      <c r="B488" s="0" t="s">
        <v>25</v>
      </c>
      <c r="C488" s="0" t="s">
        <v>26</v>
      </c>
      <c r="D488" s="0" t="s">
        <v>582</v>
      </c>
      <c r="E488" s="0" t="n">
        <v>106</v>
      </c>
      <c r="F488" s="0" t="n">
        <v>94.5</v>
      </c>
      <c r="G488" s="1" t="n">
        <f aca="false">(E488/100)*F488</f>
        <v>100.17</v>
      </c>
      <c r="H488" s="0" t="n">
        <v>0</v>
      </c>
      <c r="I488" s="2" t="n">
        <f aca="false">(E488/100)*H488</f>
        <v>0</v>
      </c>
      <c r="J488" s="0" t="n">
        <v>0</v>
      </c>
      <c r="K488" s="6" t="n">
        <f aca="false">G488/E488</f>
        <v>0.945</v>
      </c>
      <c r="L488" s="7" t="n">
        <v>0.5</v>
      </c>
      <c r="M488" s="7" t="n">
        <f aca="false">4.9/G488</f>
        <v>0.0489168413696716</v>
      </c>
      <c r="N488" s="0" t="n">
        <v>0</v>
      </c>
      <c r="O488" s="0" t="n">
        <v>0</v>
      </c>
      <c r="P488" s="0" t="n">
        <v>0</v>
      </c>
      <c r="Q488" s="0" t="n">
        <v>0</v>
      </c>
      <c r="V488" s="0" t="n">
        <v>0</v>
      </c>
    </row>
    <row r="489" customFormat="false" ht="12.8" hidden="false" customHeight="false" outlineLevel="0" collapsed="false">
      <c r="A489" s="0" t="s">
        <v>574</v>
      </c>
      <c r="B489" s="0" t="s">
        <v>25</v>
      </c>
      <c r="C489" s="0" t="s">
        <v>26</v>
      </c>
      <c r="D489" s="0" t="s">
        <v>583</v>
      </c>
      <c r="E489" s="0" t="n">
        <v>1</v>
      </c>
      <c r="F489" s="0" t="n">
        <v>88</v>
      </c>
      <c r="G489" s="1" t="n">
        <f aca="false">(E489/100)*F489</f>
        <v>0.88</v>
      </c>
      <c r="H489" s="0" t="n">
        <v>0</v>
      </c>
      <c r="I489" s="2" t="n">
        <f aca="false">(E489/100)*H489</f>
        <v>0</v>
      </c>
      <c r="J489" s="0" t="n">
        <v>0</v>
      </c>
      <c r="K489" s="6" t="n">
        <f aca="false">G489/E489</f>
        <v>0.88</v>
      </c>
      <c r="L489" s="7" t="n">
        <f aca="false">0.072/100</f>
        <v>0.00072</v>
      </c>
      <c r="M489" s="7" t="n">
        <f aca="false">(17.9/1000)/G489</f>
        <v>0.0203409090909091</v>
      </c>
      <c r="N489" s="0" t="n">
        <v>0</v>
      </c>
      <c r="O489" s="0" t="n">
        <v>0</v>
      </c>
      <c r="P489" s="0" t="n">
        <v>0</v>
      </c>
      <c r="Q489" s="0" t="n">
        <v>0</v>
      </c>
      <c r="V489" s="0" t="n">
        <v>0</v>
      </c>
    </row>
    <row r="490" customFormat="false" ht="12.8" hidden="false" customHeight="false" outlineLevel="0" collapsed="false">
      <c r="A490" s="0" t="s">
        <v>574</v>
      </c>
      <c r="B490" s="0" t="s">
        <v>36</v>
      </c>
      <c r="C490" s="0" t="s">
        <v>37</v>
      </c>
      <c r="D490" s="0" t="s">
        <v>584</v>
      </c>
      <c r="E490" s="0" t="n">
        <v>60</v>
      </c>
      <c r="F490" s="0" t="n">
        <v>67</v>
      </c>
      <c r="G490" s="1" t="n">
        <f aca="false">(E490/100)*F490</f>
        <v>40.2</v>
      </c>
      <c r="H490" s="0" t="n">
        <v>5.5</v>
      </c>
      <c r="I490" s="2" t="n">
        <f aca="false">(E490/100)*H490</f>
        <v>3.3</v>
      </c>
      <c r="J490" s="0" t="n">
        <v>0</v>
      </c>
      <c r="K490" s="6" t="n">
        <f aca="false">G490/E490</f>
        <v>0.67</v>
      </c>
      <c r="L490" s="7" t="n">
        <v>0.004</v>
      </c>
      <c r="M490" s="7" t="n">
        <f aca="false">3/G490</f>
        <v>0.0746268656716418</v>
      </c>
      <c r="N490" s="0" t="n">
        <v>0</v>
      </c>
      <c r="O490" s="0" t="n">
        <v>0</v>
      </c>
      <c r="P490" s="0" t="n">
        <v>0</v>
      </c>
      <c r="Q490" s="0" t="n">
        <v>1</v>
      </c>
      <c r="V490" s="0" t="n">
        <v>0</v>
      </c>
    </row>
    <row r="491" customFormat="false" ht="12.8" hidden="false" customHeight="false" outlineLevel="0" collapsed="false">
      <c r="A491" s="0" t="s">
        <v>574</v>
      </c>
      <c r="B491" s="0" t="s">
        <v>36</v>
      </c>
      <c r="C491" s="0" t="s">
        <v>37</v>
      </c>
      <c r="D491" s="0" t="s">
        <v>585</v>
      </c>
      <c r="E491" s="0" t="n">
        <v>60</v>
      </c>
      <c r="F491" s="0" t="n">
        <v>67</v>
      </c>
      <c r="G491" s="1" t="n">
        <f aca="false">(E491/100)*F491</f>
        <v>40.2</v>
      </c>
      <c r="H491" s="0" t="n">
        <v>5.2</v>
      </c>
      <c r="I491" s="2" t="n">
        <f aca="false">(E491/100)*H491</f>
        <v>3.12</v>
      </c>
      <c r="J491" s="0" t="n">
        <v>0</v>
      </c>
      <c r="K491" s="6" t="n">
        <f aca="false">G491/E491</f>
        <v>0.67</v>
      </c>
      <c r="L491" s="7" t="n">
        <f aca="false">0.24*0.4</f>
        <v>0.096</v>
      </c>
      <c r="M491" s="7" t="n">
        <f aca="false">3/G491</f>
        <v>0.0746268656716418</v>
      </c>
      <c r="N491" s="0" t="n">
        <v>0</v>
      </c>
      <c r="O491" s="0" t="n">
        <v>0</v>
      </c>
      <c r="P491" s="0" t="n">
        <v>0</v>
      </c>
      <c r="Q491" s="0" t="n">
        <v>1</v>
      </c>
      <c r="V491" s="0" t="n">
        <v>0</v>
      </c>
    </row>
    <row r="492" customFormat="false" ht="12.8" hidden="false" customHeight="false" outlineLevel="0" collapsed="false">
      <c r="A492" s="0" t="s">
        <v>574</v>
      </c>
      <c r="B492" s="0" t="s">
        <v>36</v>
      </c>
      <c r="C492" s="0" t="s">
        <v>37</v>
      </c>
      <c r="D492" s="0" t="s">
        <v>586</v>
      </c>
      <c r="E492" s="0" t="n">
        <v>60</v>
      </c>
      <c r="F492" s="0" t="n">
        <v>62</v>
      </c>
      <c r="G492" s="1" t="n">
        <f aca="false">(E492/100)*F492</f>
        <v>37.2</v>
      </c>
      <c r="H492" s="0" t="n">
        <v>6.2</v>
      </c>
      <c r="I492" s="2" t="n">
        <f aca="false">(E492/100)*H492</f>
        <v>3.72</v>
      </c>
      <c r="J492" s="0" t="n">
        <v>0</v>
      </c>
      <c r="K492" s="6" t="n">
        <f aca="false">G492/E492</f>
        <v>0.62</v>
      </c>
      <c r="L492" s="7" t="n">
        <f aca="false">0.18*0.4</f>
        <v>0.072</v>
      </c>
      <c r="M492" s="7" t="n">
        <f aca="false">3/G492</f>
        <v>0.0806451612903226</v>
      </c>
      <c r="N492" s="0" t="n">
        <v>0</v>
      </c>
      <c r="O492" s="0" t="n">
        <v>0</v>
      </c>
      <c r="P492" s="0" t="n">
        <v>0</v>
      </c>
      <c r="Q492" s="0" t="n">
        <v>1</v>
      </c>
      <c r="V492" s="0" t="n">
        <v>0</v>
      </c>
    </row>
    <row r="493" customFormat="false" ht="12.8" hidden="false" customHeight="false" outlineLevel="0" collapsed="false">
      <c r="A493" s="0" t="s">
        <v>574</v>
      </c>
      <c r="B493" s="0" t="s">
        <v>36</v>
      </c>
      <c r="C493" s="0" t="s">
        <v>37</v>
      </c>
      <c r="D493" s="0" t="s">
        <v>587</v>
      </c>
      <c r="E493" s="0" t="n">
        <v>60</v>
      </c>
      <c r="F493" s="0" t="n">
        <v>62</v>
      </c>
      <c r="G493" s="1" t="n">
        <f aca="false">(E493/100)*F493</f>
        <v>37.2</v>
      </c>
      <c r="H493" s="0" t="n">
        <v>5.5</v>
      </c>
      <c r="I493" s="2" t="n">
        <f aca="false">(E493/100)*H493</f>
        <v>3.3</v>
      </c>
      <c r="J493" s="0" t="n">
        <v>0</v>
      </c>
      <c r="K493" s="6" t="n">
        <f aca="false">G493/E493</f>
        <v>0.62</v>
      </c>
      <c r="L493" s="7" t="n">
        <v>0.05</v>
      </c>
      <c r="M493" s="7" t="n">
        <f aca="false">3/G493</f>
        <v>0.0806451612903226</v>
      </c>
      <c r="N493" s="0" t="n">
        <v>0</v>
      </c>
      <c r="O493" s="0" t="n">
        <v>0</v>
      </c>
      <c r="P493" s="0" t="n">
        <v>0</v>
      </c>
      <c r="Q493" s="0" t="n">
        <v>1</v>
      </c>
      <c r="V493" s="0" t="n">
        <v>0</v>
      </c>
    </row>
    <row r="494" customFormat="false" ht="12.8" hidden="false" customHeight="false" outlineLevel="0" collapsed="false">
      <c r="A494" s="0" t="s">
        <v>574</v>
      </c>
      <c r="B494" s="0" t="s">
        <v>36</v>
      </c>
      <c r="C494" s="0" t="s">
        <v>37</v>
      </c>
      <c r="D494" s="0" t="s">
        <v>588</v>
      </c>
      <c r="E494" s="0" t="n">
        <v>60</v>
      </c>
      <c r="F494" s="0" t="n">
        <v>60</v>
      </c>
      <c r="G494" s="1" t="n">
        <f aca="false">(E494/100)*F494</f>
        <v>36</v>
      </c>
      <c r="H494" s="0" t="n">
        <v>5.5</v>
      </c>
      <c r="I494" s="2" t="n">
        <f aca="false">(E494/100)*H494</f>
        <v>3.3</v>
      </c>
      <c r="J494" s="0" t="n">
        <v>0</v>
      </c>
      <c r="K494" s="6" t="n">
        <f aca="false">G494/E494</f>
        <v>0.6</v>
      </c>
      <c r="L494" s="7" t="n">
        <v>0.1</v>
      </c>
      <c r="M494" s="7" t="n">
        <f aca="false">3/G494</f>
        <v>0.0833333333333333</v>
      </c>
      <c r="N494" s="0" t="n">
        <v>0</v>
      </c>
      <c r="O494" s="0" t="n">
        <v>0</v>
      </c>
      <c r="P494" s="0" t="n">
        <v>0</v>
      </c>
      <c r="Q494" s="0" t="n">
        <v>1</v>
      </c>
      <c r="V494" s="0" t="n">
        <v>0</v>
      </c>
    </row>
    <row r="495" customFormat="false" ht="12.8" hidden="false" customHeight="false" outlineLevel="0" collapsed="false">
      <c r="A495" s="0" t="s">
        <v>574</v>
      </c>
      <c r="B495" s="0" t="s">
        <v>36</v>
      </c>
      <c r="C495" s="0" t="s">
        <v>37</v>
      </c>
      <c r="D495" s="0" t="s">
        <v>589</v>
      </c>
      <c r="E495" s="0" t="n">
        <v>65</v>
      </c>
      <c r="F495" s="0" t="n">
        <v>77</v>
      </c>
      <c r="G495" s="1" t="n">
        <f aca="false">(E495/100)*F495</f>
        <v>50.05</v>
      </c>
      <c r="H495" s="0" t="n">
        <v>4.6</v>
      </c>
      <c r="I495" s="2" t="n">
        <f aca="false">(E495/100)*H495</f>
        <v>2.99</v>
      </c>
      <c r="J495" s="0" t="n">
        <v>0</v>
      </c>
      <c r="K495" s="6" t="n">
        <f aca="false">G495/E495</f>
        <v>0.77</v>
      </c>
      <c r="L495" s="7" t="n">
        <v>0.165</v>
      </c>
      <c r="M495" s="7" t="n">
        <f aca="false">4/G495</f>
        <v>0.0799200799200799</v>
      </c>
      <c r="N495" s="0" t="n">
        <v>0</v>
      </c>
      <c r="O495" s="0" t="n">
        <v>0</v>
      </c>
      <c r="P495" s="0" t="n">
        <v>0</v>
      </c>
      <c r="Q495" s="0" t="n">
        <v>0</v>
      </c>
      <c r="V495" s="0" t="n">
        <v>0</v>
      </c>
    </row>
    <row r="496" customFormat="false" ht="12.8" hidden="false" customHeight="false" outlineLevel="0" collapsed="false">
      <c r="A496" s="0" t="s">
        <v>574</v>
      </c>
      <c r="B496" s="0" t="s">
        <v>36</v>
      </c>
      <c r="C496" s="0" t="s">
        <v>37</v>
      </c>
      <c r="D496" s="0" t="s">
        <v>590</v>
      </c>
      <c r="E496" s="0" t="n">
        <v>45</v>
      </c>
      <c r="F496" s="0" t="n">
        <v>82</v>
      </c>
      <c r="G496" s="1" t="n">
        <f aca="false">(E496/100)*F496</f>
        <v>36.9</v>
      </c>
      <c r="H496" s="0" t="n">
        <v>0</v>
      </c>
      <c r="I496" s="2" t="n">
        <f aca="false">(E496/100)*H496</f>
        <v>0</v>
      </c>
      <c r="J496" s="0" t="n">
        <v>0</v>
      </c>
      <c r="K496" s="6" t="n">
        <f aca="false">G496/E496</f>
        <v>0.82</v>
      </c>
      <c r="L496" s="7" t="n">
        <v>0.004</v>
      </c>
      <c r="M496" s="7" t="n">
        <f aca="false">2.6/G496</f>
        <v>0.0704607046070461</v>
      </c>
      <c r="N496" s="0" t="n">
        <v>0</v>
      </c>
      <c r="O496" s="0" t="n">
        <v>0</v>
      </c>
      <c r="P496" s="0" t="n">
        <v>0</v>
      </c>
      <c r="Q496" s="0" t="n">
        <v>0</v>
      </c>
      <c r="V496" s="0" t="n">
        <v>0</v>
      </c>
    </row>
    <row r="497" customFormat="false" ht="12.8" hidden="false" customHeight="false" outlineLevel="0" collapsed="false">
      <c r="A497" s="0" t="s">
        <v>574</v>
      </c>
      <c r="B497" s="0" t="s">
        <v>36</v>
      </c>
      <c r="C497" s="0" t="s">
        <v>37</v>
      </c>
      <c r="D497" s="0" t="s">
        <v>591</v>
      </c>
      <c r="E497" s="0" t="n">
        <v>45</v>
      </c>
      <c r="F497" s="0" t="n">
        <v>82</v>
      </c>
      <c r="G497" s="1" t="n">
        <f aca="false">(E497/100)*F497</f>
        <v>36.9</v>
      </c>
      <c r="H497" s="0" t="n">
        <v>0</v>
      </c>
      <c r="I497" s="2" t="n">
        <f aca="false">(E497/100)*H497</f>
        <v>0</v>
      </c>
      <c r="J497" s="0" t="n">
        <v>100</v>
      </c>
      <c r="K497" s="6" t="n">
        <f aca="false">G497/E497</f>
        <v>0.82</v>
      </c>
      <c r="L497" s="7" t="n">
        <v>0.004</v>
      </c>
      <c r="M497" s="7" t="n">
        <f aca="false">2.7/G497</f>
        <v>0.0731707317073171</v>
      </c>
      <c r="N497" s="0" t="n">
        <v>0</v>
      </c>
      <c r="O497" s="0" t="n">
        <v>0</v>
      </c>
      <c r="P497" s="0" t="n">
        <v>0</v>
      </c>
      <c r="Q497" s="0" t="n">
        <v>0</v>
      </c>
      <c r="V497" s="0" t="n">
        <v>0</v>
      </c>
    </row>
    <row r="498" customFormat="false" ht="12.8" hidden="false" customHeight="false" outlineLevel="0" collapsed="false">
      <c r="A498" s="0" t="s">
        <v>574</v>
      </c>
      <c r="B498" s="0" t="s">
        <v>36</v>
      </c>
      <c r="C498" s="0" t="s">
        <v>37</v>
      </c>
      <c r="D498" s="0" t="s">
        <v>592</v>
      </c>
      <c r="E498" s="0" t="n">
        <v>45</v>
      </c>
      <c r="F498" s="0" t="n">
        <v>82</v>
      </c>
      <c r="G498" s="1" t="n">
        <f aca="false">(E498/100)*F498</f>
        <v>36.9</v>
      </c>
      <c r="H498" s="0" t="n">
        <v>0</v>
      </c>
      <c r="I498" s="2" t="n">
        <f aca="false">(E498/100)*H498</f>
        <v>0</v>
      </c>
      <c r="J498" s="0" t="n">
        <v>0</v>
      </c>
      <c r="K498" s="6" t="n">
        <f aca="false">G498/E498</f>
        <v>0.82</v>
      </c>
      <c r="L498" s="7" t="n">
        <v>0.004</v>
      </c>
      <c r="M498" s="7" t="n">
        <f aca="false">3/G498</f>
        <v>0.0813008130081301</v>
      </c>
      <c r="N498" s="0" t="n">
        <v>0</v>
      </c>
      <c r="O498" s="0" t="n">
        <v>0</v>
      </c>
      <c r="P498" s="0" t="n">
        <v>0</v>
      </c>
      <c r="Q498" s="0" t="n">
        <v>0</v>
      </c>
      <c r="V498" s="0" t="n">
        <v>0</v>
      </c>
    </row>
    <row r="499" customFormat="false" ht="12.8" hidden="false" customHeight="false" outlineLevel="0" collapsed="false">
      <c r="A499" s="0" t="s">
        <v>593</v>
      </c>
      <c r="B499" s="0" t="s">
        <v>36</v>
      </c>
      <c r="C499" s="0" t="s">
        <v>37</v>
      </c>
      <c r="D499" s="0" t="s">
        <v>594</v>
      </c>
      <c r="E499" s="0" t="n">
        <v>30</v>
      </c>
      <c r="F499" s="0" t="n">
        <v>70.9</v>
      </c>
      <c r="G499" s="1" t="n">
        <f aca="false">(E499/100)*F499</f>
        <v>21.27</v>
      </c>
      <c r="H499" s="0" t="n">
        <v>1.7</v>
      </c>
      <c r="I499" s="2" t="n">
        <f aca="false">(E499/100)*H499</f>
        <v>0.51</v>
      </c>
      <c r="J499" s="0" t="n">
        <v>10.8</v>
      </c>
      <c r="K499" s="6" t="n">
        <f aca="false">G499/E499</f>
        <v>0.709</v>
      </c>
      <c r="L499" s="7" t="n">
        <f aca="false">0.04*0.4</f>
        <v>0.016</v>
      </c>
      <c r="M499" s="7" t="n">
        <f aca="false">2/G499</f>
        <v>0.0940291490362012</v>
      </c>
      <c r="N499" s="0" t="n">
        <v>0</v>
      </c>
      <c r="O499" s="0" t="n">
        <v>1</v>
      </c>
      <c r="P499" s="0" t="n">
        <v>0</v>
      </c>
      <c r="Q499" s="0" t="n">
        <v>0</v>
      </c>
      <c r="V499" s="0" t="n">
        <v>0</v>
      </c>
    </row>
    <row r="500" customFormat="false" ht="12.8" hidden="false" customHeight="false" outlineLevel="0" collapsed="false">
      <c r="A500" s="0" t="s">
        <v>593</v>
      </c>
      <c r="B500" s="0" t="s">
        <v>20</v>
      </c>
      <c r="C500" s="0" t="s">
        <v>595</v>
      </c>
      <c r="D500" s="0" t="s">
        <v>596</v>
      </c>
      <c r="E500" s="0" t="n">
        <v>25</v>
      </c>
      <c r="F500" s="0" t="n">
        <v>74</v>
      </c>
      <c r="G500" s="1" t="n">
        <f aca="false">(E500/100)*F500</f>
        <v>18.5</v>
      </c>
      <c r="H500" s="0" t="n">
        <v>0</v>
      </c>
      <c r="I500" s="2" t="n">
        <f aca="false">(E500/100)*H500</f>
        <v>0</v>
      </c>
      <c r="J500" s="0" t="n">
        <v>0</v>
      </c>
      <c r="K500" s="6" t="n">
        <f aca="false">G500/E500</f>
        <v>0.74</v>
      </c>
      <c r="L500" s="7" t="n">
        <v>0</v>
      </c>
      <c r="M500" s="7" t="n">
        <f aca="false">2.6/G500</f>
        <v>0.140540540540541</v>
      </c>
      <c r="N500" s="0" t="n">
        <v>0</v>
      </c>
      <c r="O500" s="0" t="n">
        <v>0</v>
      </c>
      <c r="P500" s="0" t="n">
        <v>0</v>
      </c>
      <c r="Q500" s="0" t="n">
        <v>0</v>
      </c>
      <c r="S500" s="0" t="s">
        <v>597</v>
      </c>
      <c r="U500" s="0" t="s">
        <v>598</v>
      </c>
      <c r="V500" s="0" t="n">
        <v>1</v>
      </c>
    </row>
    <row r="501" customFormat="false" ht="12.8" hidden="false" customHeight="false" outlineLevel="0" collapsed="false">
      <c r="A501" s="0" t="s">
        <v>593</v>
      </c>
      <c r="B501" s="0" t="s">
        <v>25</v>
      </c>
      <c r="C501" s="0" t="s">
        <v>26</v>
      </c>
      <c r="D501" s="0" t="s">
        <v>599</v>
      </c>
      <c r="E501" s="0" t="n">
        <v>1</v>
      </c>
      <c r="F501" s="0" t="n">
        <v>89</v>
      </c>
      <c r="G501" s="1" t="n">
        <f aca="false">(E501/100)*F501</f>
        <v>0.89</v>
      </c>
      <c r="H501" s="0" t="n">
        <v>0</v>
      </c>
      <c r="I501" s="2" t="n">
        <f aca="false">(E501/100)*H501</f>
        <v>0</v>
      </c>
      <c r="J501" s="0" t="n">
        <v>0</v>
      </c>
      <c r="K501" s="6" t="n">
        <f aca="false">G501/E501</f>
        <v>0.89</v>
      </c>
      <c r="L501" s="7" t="n">
        <f aca="false">1.9*0.4/100</f>
        <v>0.0076</v>
      </c>
      <c r="M501" s="7" t="n">
        <f aca="false">(16.85/500)/G501</f>
        <v>0.0378651685393258</v>
      </c>
      <c r="N501" s="0" t="n">
        <v>0</v>
      </c>
      <c r="O501" s="0" t="n">
        <v>0</v>
      </c>
      <c r="P501" s="0" t="n">
        <v>0</v>
      </c>
      <c r="Q501" s="0" t="n">
        <v>0</v>
      </c>
      <c r="U501" s="10" t="s">
        <v>598</v>
      </c>
      <c r="V501" s="0" t="n">
        <v>1</v>
      </c>
    </row>
    <row r="502" customFormat="false" ht="12.8" hidden="false" customHeight="false" outlineLevel="0" collapsed="false">
      <c r="A502" s="0" t="s">
        <v>593</v>
      </c>
      <c r="B502" s="0" t="s">
        <v>25</v>
      </c>
      <c r="C502" s="0" t="s">
        <v>26</v>
      </c>
      <c r="D502" s="0" t="s">
        <v>600</v>
      </c>
      <c r="E502" s="0" t="n">
        <v>1</v>
      </c>
      <c r="F502" s="0" t="n">
        <v>91</v>
      </c>
      <c r="G502" s="1" t="n">
        <f aca="false">(E502/100)*F502</f>
        <v>0.91</v>
      </c>
      <c r="H502" s="0" t="n">
        <v>0</v>
      </c>
      <c r="I502" s="2" t="n">
        <f aca="false">(E502/100)*H502</f>
        <v>0</v>
      </c>
      <c r="J502" s="0" t="n">
        <v>0</v>
      </c>
      <c r="K502" s="6" t="n">
        <f aca="false">G502/E502</f>
        <v>0.91</v>
      </c>
      <c r="L502" s="7" t="n">
        <f aca="false">0.8/100</f>
        <v>0.008</v>
      </c>
      <c r="M502" s="7" t="n">
        <f aca="false">(16.85/500)/G502</f>
        <v>0.037032967032967</v>
      </c>
      <c r="N502" s="0" t="n">
        <v>0</v>
      </c>
      <c r="O502" s="0" t="n">
        <v>0</v>
      </c>
      <c r="P502" s="0" t="n">
        <v>0</v>
      </c>
      <c r="Q502" s="0" t="n">
        <v>0</v>
      </c>
      <c r="U502" s="10" t="s">
        <v>598</v>
      </c>
      <c r="V502" s="0" t="n">
        <v>1</v>
      </c>
    </row>
    <row r="503" customFormat="false" ht="12.8" hidden="false" customHeight="false" outlineLevel="0" collapsed="false">
      <c r="A503" s="0" t="s">
        <v>601</v>
      </c>
      <c r="B503" s="0" t="s">
        <v>25</v>
      </c>
      <c r="C503" s="0" t="s">
        <v>26</v>
      </c>
      <c r="D503" s="0" t="s">
        <v>602</v>
      </c>
      <c r="E503" s="0" t="n">
        <v>1</v>
      </c>
      <c r="F503" s="0" t="n">
        <v>90</v>
      </c>
      <c r="G503" s="1" t="n">
        <f aca="false">(E503/100)*F503</f>
        <v>0.9</v>
      </c>
      <c r="H503" s="0" t="n">
        <v>0</v>
      </c>
      <c r="I503" s="2" t="n">
        <f aca="false">(E503/100)*H503</f>
        <v>0</v>
      </c>
      <c r="J503" s="0" t="n">
        <v>0.32</v>
      </c>
      <c r="K503" s="6" t="n">
        <f aca="false">G503/E503</f>
        <v>0.9</v>
      </c>
      <c r="L503" s="7" t="n">
        <f aca="false">0.58/100</f>
        <v>0.0058</v>
      </c>
      <c r="M503" s="7" t="n">
        <f aca="false">(18.2/525)/G503</f>
        <v>0.0385185185185185</v>
      </c>
      <c r="N503" s="0" t="n">
        <v>0</v>
      </c>
      <c r="O503" s="0" t="n">
        <v>0</v>
      </c>
      <c r="P503" s="0" t="n">
        <v>0</v>
      </c>
      <c r="Q503" s="0" t="n">
        <v>0</v>
      </c>
      <c r="U503" s="10" t="s">
        <v>598</v>
      </c>
      <c r="V503" s="0" t="n">
        <v>1</v>
      </c>
    </row>
    <row r="504" customFormat="false" ht="12.8" hidden="false" customHeight="false" outlineLevel="0" collapsed="false">
      <c r="A504" s="0" t="s">
        <v>601</v>
      </c>
      <c r="B504" s="0" t="s">
        <v>25</v>
      </c>
      <c r="C504" s="0" t="s">
        <v>26</v>
      </c>
      <c r="D504" s="0" t="s">
        <v>603</v>
      </c>
      <c r="E504" s="0" t="n">
        <v>1</v>
      </c>
      <c r="F504" s="0" t="n">
        <v>83</v>
      </c>
      <c r="G504" s="1" t="n">
        <f aca="false">(E504/100)*F504</f>
        <v>0.83</v>
      </c>
      <c r="H504" s="0" t="n">
        <v>0</v>
      </c>
      <c r="I504" s="2" t="n">
        <f aca="false">(E504/100)*H504</f>
        <v>0</v>
      </c>
      <c r="J504" s="0" t="n">
        <v>0</v>
      </c>
      <c r="K504" s="6" t="n">
        <f aca="false">G504/E504</f>
        <v>0.83</v>
      </c>
      <c r="L504" s="7" t="n">
        <v>0.015</v>
      </c>
      <c r="M504" s="7" t="n">
        <f aca="false">(15/500)/G504</f>
        <v>0.036144578313253</v>
      </c>
      <c r="N504" s="0" t="n">
        <v>0</v>
      </c>
      <c r="O504" s="0" t="n">
        <v>0</v>
      </c>
      <c r="P504" s="0" t="n">
        <v>0</v>
      </c>
      <c r="Q504" s="0" t="n">
        <v>0</v>
      </c>
      <c r="U504" s="10" t="s">
        <v>598</v>
      </c>
      <c r="V504" s="0" t="n">
        <v>1</v>
      </c>
    </row>
    <row r="505" customFormat="false" ht="12.8" hidden="false" customHeight="false" outlineLevel="0" collapsed="false">
      <c r="A505" s="0" t="s">
        <v>601</v>
      </c>
      <c r="B505" s="0" t="s">
        <v>25</v>
      </c>
      <c r="C505" s="0" t="s">
        <v>26</v>
      </c>
      <c r="D505" s="0" t="s">
        <v>604</v>
      </c>
      <c r="E505" s="0" t="n">
        <v>1</v>
      </c>
      <c r="F505" s="0" t="n">
        <v>72</v>
      </c>
      <c r="G505" s="1" t="n">
        <f aca="false">(E505/100)*F505</f>
        <v>0.72</v>
      </c>
      <c r="H505" s="0" t="n">
        <v>18</v>
      </c>
      <c r="I505" s="2" t="n">
        <f aca="false">(E505/100)*H505</f>
        <v>0.18</v>
      </c>
      <c r="J505" s="0" t="n">
        <v>0</v>
      </c>
      <c r="K505" s="6" t="n">
        <f aca="false">G505/E505</f>
        <v>0.72</v>
      </c>
      <c r="L505" s="7" t="n">
        <f aca="false">0.4/100</f>
        <v>0.004</v>
      </c>
      <c r="M505" s="7" t="n">
        <f aca="false">(22/525)/G505</f>
        <v>0.0582010582010582</v>
      </c>
      <c r="N505" s="0" t="n">
        <v>0</v>
      </c>
      <c r="O505" s="0" t="n">
        <v>0</v>
      </c>
      <c r="P505" s="0" t="n">
        <v>0</v>
      </c>
      <c r="Q505" s="0" t="n">
        <v>1</v>
      </c>
      <c r="U505" s="10" t="s">
        <v>598</v>
      </c>
      <c r="V505" s="0" t="n">
        <v>1</v>
      </c>
    </row>
    <row r="506" customFormat="false" ht="12.8" hidden="false" customHeight="false" outlineLevel="0" collapsed="false">
      <c r="A506" s="0" t="s">
        <v>601</v>
      </c>
      <c r="B506" s="0" t="s">
        <v>20</v>
      </c>
      <c r="C506" s="0" t="s">
        <v>21</v>
      </c>
      <c r="D506" s="0" t="s">
        <v>605</v>
      </c>
      <c r="E506" s="0" t="n">
        <v>25</v>
      </c>
      <c r="F506" s="0" t="n">
        <v>72</v>
      </c>
      <c r="G506" s="1" t="n">
        <f aca="false">(E506/100)*F506</f>
        <v>18</v>
      </c>
      <c r="H506" s="0" t="n">
        <v>0</v>
      </c>
      <c r="I506" s="2" t="n">
        <f aca="false">(E506/100)*H506</f>
        <v>0</v>
      </c>
      <c r="J506" s="0" t="n">
        <v>0</v>
      </c>
      <c r="K506" s="6" t="n">
        <f aca="false">G506/E506</f>
        <v>0.72</v>
      </c>
      <c r="L506" s="7" t="n">
        <v>0.047</v>
      </c>
      <c r="M506" s="7" t="n">
        <f aca="false">2/G506</f>
        <v>0.111111111111111</v>
      </c>
      <c r="N506" s="0" t="n">
        <v>0</v>
      </c>
      <c r="O506" s="0" t="n">
        <v>0</v>
      </c>
      <c r="P506" s="0" t="n">
        <v>0</v>
      </c>
      <c r="Q506" s="0" t="n">
        <v>0</v>
      </c>
      <c r="U506" s="10" t="s">
        <v>598</v>
      </c>
      <c r="V506" s="0" t="n">
        <v>1</v>
      </c>
    </row>
    <row r="507" customFormat="false" ht="12.8" hidden="false" customHeight="false" outlineLevel="0" collapsed="false">
      <c r="A507" s="0" t="s">
        <v>601</v>
      </c>
      <c r="B507" s="0" t="s">
        <v>20</v>
      </c>
      <c r="C507" s="0" t="s">
        <v>21</v>
      </c>
      <c r="D507" s="0" t="s">
        <v>606</v>
      </c>
      <c r="E507" s="0" t="n">
        <v>25</v>
      </c>
      <c r="F507" s="0" t="n">
        <v>64</v>
      </c>
      <c r="G507" s="1" t="n">
        <f aca="false">(E507/100)*F507</f>
        <v>16</v>
      </c>
      <c r="H507" s="0" t="n">
        <v>1.2</v>
      </c>
      <c r="I507" s="2" t="n">
        <f aca="false">(E507/100)*H507</f>
        <v>0.3</v>
      </c>
      <c r="J507" s="0" t="n">
        <v>0</v>
      </c>
      <c r="K507" s="6" t="n">
        <f aca="false">G507/E507</f>
        <v>0.64</v>
      </c>
      <c r="L507" s="7" t="n">
        <v>0.034</v>
      </c>
      <c r="M507" s="7" t="n">
        <f aca="false">2/G507</f>
        <v>0.125</v>
      </c>
      <c r="N507" s="0" t="n">
        <v>0</v>
      </c>
      <c r="O507" s="0" t="n">
        <v>0</v>
      </c>
      <c r="P507" s="0" t="n">
        <v>0</v>
      </c>
      <c r="Q507" s="0" t="n">
        <v>0</v>
      </c>
      <c r="U507" s="10" t="s">
        <v>598</v>
      </c>
      <c r="V507" s="0" t="n">
        <v>1</v>
      </c>
    </row>
    <row r="508" customFormat="false" ht="12.8" hidden="false" customHeight="false" outlineLevel="0" collapsed="false">
      <c r="A508" s="0" t="s">
        <v>601</v>
      </c>
      <c r="B508" s="0" t="s">
        <v>20</v>
      </c>
      <c r="C508" s="0" t="s">
        <v>21</v>
      </c>
      <c r="D508" s="0" t="s">
        <v>607</v>
      </c>
      <c r="E508" s="0" t="n">
        <v>25</v>
      </c>
      <c r="F508" s="0" t="n">
        <v>56</v>
      </c>
      <c r="G508" s="1" t="n">
        <f aca="false">(E508/100)*F508</f>
        <v>14</v>
      </c>
      <c r="H508" s="0" t="n">
        <v>2</v>
      </c>
      <c r="I508" s="2" t="n">
        <f aca="false">(E508/100)*H508</f>
        <v>0.5</v>
      </c>
      <c r="J508" s="0" t="n">
        <v>2.5</v>
      </c>
      <c r="K508" s="6" t="n">
        <f aca="false">G508/E508</f>
        <v>0.56</v>
      </c>
      <c r="L508" s="7" t="n">
        <v>0.046</v>
      </c>
      <c r="M508" s="7" t="n">
        <f aca="false">2.25/G508</f>
        <v>0.160714285714286</v>
      </c>
      <c r="N508" s="0" t="n">
        <v>0</v>
      </c>
      <c r="O508" s="0" t="n">
        <v>0</v>
      </c>
      <c r="P508" s="0" t="n">
        <v>0</v>
      </c>
      <c r="Q508" s="0" t="n">
        <v>0</v>
      </c>
      <c r="R508" s="0" t="n">
        <v>500</v>
      </c>
      <c r="U508" s="10" t="s">
        <v>598</v>
      </c>
      <c r="V508" s="0" t="n">
        <v>1</v>
      </c>
    </row>
    <row r="509" customFormat="false" ht="12.8" hidden="false" customHeight="false" outlineLevel="0" collapsed="false">
      <c r="A509" s="0" t="s">
        <v>601</v>
      </c>
      <c r="B509" s="0" t="s">
        <v>20</v>
      </c>
      <c r="C509" s="0" t="s">
        <v>21</v>
      </c>
      <c r="D509" s="0" t="s">
        <v>608</v>
      </c>
      <c r="E509" s="0" t="n">
        <v>25</v>
      </c>
      <c r="F509" s="0" t="n">
        <v>64</v>
      </c>
      <c r="G509" s="1" t="n">
        <f aca="false">(E509/100)*F509</f>
        <v>16</v>
      </c>
      <c r="H509" s="0" t="n">
        <v>1.6</v>
      </c>
      <c r="I509" s="2" t="n">
        <f aca="false">(E509/100)*H509</f>
        <v>0.4</v>
      </c>
      <c r="J509" s="0" t="n">
        <v>0</v>
      </c>
      <c r="K509" s="6" t="n">
        <f aca="false">G509/E509</f>
        <v>0.64</v>
      </c>
      <c r="L509" s="7" t="n">
        <v>0.05</v>
      </c>
      <c r="M509" s="7" t="n">
        <f aca="false">2.35/G509</f>
        <v>0.146875</v>
      </c>
      <c r="N509" s="0" t="n">
        <v>0</v>
      </c>
      <c r="O509" s="0" t="n">
        <v>0</v>
      </c>
      <c r="P509" s="0" t="n">
        <v>0</v>
      </c>
      <c r="Q509" s="0" t="n">
        <v>0</v>
      </c>
      <c r="S509" s="0" t="s">
        <v>609</v>
      </c>
      <c r="U509" s="10" t="s">
        <v>598</v>
      </c>
      <c r="V509" s="0" t="n">
        <v>1</v>
      </c>
    </row>
    <row r="510" customFormat="false" ht="12.8" hidden="false" customHeight="false" outlineLevel="0" collapsed="false">
      <c r="A510" s="0" t="s">
        <v>601</v>
      </c>
      <c r="B510" s="0" t="s">
        <v>20</v>
      </c>
      <c r="C510" s="0" t="s">
        <v>21</v>
      </c>
      <c r="D510" s="0" t="s">
        <v>610</v>
      </c>
      <c r="E510" s="0" t="n">
        <v>25</v>
      </c>
      <c r="F510" s="0" t="n">
        <v>72</v>
      </c>
      <c r="G510" s="1" t="n">
        <f aca="false">(E510/100)*F510</f>
        <v>18</v>
      </c>
      <c r="H510" s="0" t="n">
        <v>0</v>
      </c>
      <c r="I510" s="2" t="n">
        <f aca="false">(E510/100)*H510</f>
        <v>0</v>
      </c>
      <c r="J510" s="0" t="n">
        <v>32</v>
      </c>
      <c r="K510" s="6" t="n">
        <f aca="false">G510/E510</f>
        <v>0.72</v>
      </c>
      <c r="L510" s="7" t="n">
        <v>0.04</v>
      </c>
      <c r="M510" s="7" t="n">
        <f aca="false">2/G510</f>
        <v>0.111111111111111</v>
      </c>
      <c r="N510" s="0" t="n">
        <v>0</v>
      </c>
      <c r="O510" s="0" t="n">
        <v>0</v>
      </c>
      <c r="P510" s="0" t="n">
        <v>0</v>
      </c>
      <c r="Q510" s="0" t="n">
        <v>0</v>
      </c>
      <c r="U510" s="10" t="s">
        <v>598</v>
      </c>
      <c r="V510" s="0" t="n">
        <v>1</v>
      </c>
    </row>
    <row r="511" customFormat="false" ht="12.8" hidden="false" customHeight="false" outlineLevel="0" collapsed="false">
      <c r="A511" s="0" t="s">
        <v>601</v>
      </c>
      <c r="B511" s="0" t="s">
        <v>20</v>
      </c>
      <c r="C511" s="0" t="s">
        <v>21</v>
      </c>
      <c r="D511" s="0" t="s">
        <v>611</v>
      </c>
      <c r="E511" s="0" t="n">
        <v>25</v>
      </c>
      <c r="F511" s="0" t="n">
        <v>76</v>
      </c>
      <c r="G511" s="1" t="n">
        <f aca="false">(E511/100)*F511</f>
        <v>19</v>
      </c>
      <c r="H511" s="0" t="n">
        <v>0</v>
      </c>
      <c r="I511" s="2" t="n">
        <f aca="false">(E511/100)*H511</f>
        <v>0</v>
      </c>
      <c r="J511" s="0" t="n">
        <v>32</v>
      </c>
      <c r="K511" s="6" t="n">
        <f aca="false">G511/E511</f>
        <v>0.76</v>
      </c>
      <c r="L511" s="7" t="n">
        <v>0.052</v>
      </c>
      <c r="M511" s="7" t="n">
        <f aca="false">2/G511</f>
        <v>0.105263157894737</v>
      </c>
      <c r="N511" s="0" t="n">
        <v>0</v>
      </c>
      <c r="O511" s="0" t="n">
        <v>0</v>
      </c>
      <c r="P511" s="0" t="n">
        <v>0</v>
      </c>
      <c r="Q511" s="0" t="n">
        <v>0</v>
      </c>
      <c r="U511" s="10" t="s">
        <v>598</v>
      </c>
      <c r="V511" s="0" t="n">
        <v>1</v>
      </c>
    </row>
    <row r="512" customFormat="false" ht="12.8" hidden="false" customHeight="false" outlineLevel="0" collapsed="false">
      <c r="A512" s="0" t="s">
        <v>601</v>
      </c>
      <c r="B512" s="0" t="s">
        <v>20</v>
      </c>
      <c r="C512" s="0" t="s">
        <v>21</v>
      </c>
      <c r="D512" s="0" t="s">
        <v>612</v>
      </c>
      <c r="E512" s="0" t="n">
        <v>25</v>
      </c>
      <c r="F512" s="0" t="n">
        <v>64</v>
      </c>
      <c r="G512" s="1" t="n">
        <f aca="false">(E512/100)*F512</f>
        <v>16</v>
      </c>
      <c r="H512" s="0" t="n">
        <v>0</v>
      </c>
      <c r="I512" s="2" t="n">
        <f aca="false">(E512/100)*H512</f>
        <v>0</v>
      </c>
      <c r="J512" s="0" t="n">
        <v>32</v>
      </c>
      <c r="K512" s="6" t="n">
        <f aca="false">G512/E512</f>
        <v>0.64</v>
      </c>
      <c r="L512" s="7" t="n">
        <v>0.043</v>
      </c>
      <c r="M512" s="7" t="n">
        <f aca="false">2/G512</f>
        <v>0.125</v>
      </c>
      <c r="N512" s="0" t="n">
        <v>0</v>
      </c>
      <c r="O512" s="0" t="n">
        <v>0</v>
      </c>
      <c r="P512" s="0" t="n">
        <v>0</v>
      </c>
      <c r="Q512" s="0" t="n">
        <v>0</v>
      </c>
      <c r="U512" s="10" t="s">
        <v>598</v>
      </c>
      <c r="V512" s="0" t="n">
        <v>1</v>
      </c>
    </row>
    <row r="513" customFormat="false" ht="12.8" hidden="false" customHeight="false" outlineLevel="0" collapsed="false">
      <c r="A513" s="0" t="s">
        <v>601</v>
      </c>
      <c r="B513" s="0" t="s">
        <v>36</v>
      </c>
      <c r="C513" s="0" t="s">
        <v>37</v>
      </c>
      <c r="D513" s="0" t="s">
        <v>613</v>
      </c>
      <c r="E513" s="0" t="n">
        <v>45</v>
      </c>
      <c r="F513" s="0" t="n">
        <v>51</v>
      </c>
      <c r="G513" s="1" t="n">
        <f aca="false">(E513/100)*F513</f>
        <v>22.95</v>
      </c>
      <c r="H513" s="0" t="n">
        <v>24</v>
      </c>
      <c r="I513" s="2" t="n">
        <f aca="false">(E513/100)*H513</f>
        <v>10.8</v>
      </c>
      <c r="J513" s="0" t="n">
        <v>0</v>
      </c>
      <c r="K513" s="6" t="n">
        <f aca="false">G513/E513</f>
        <v>0.51</v>
      </c>
      <c r="L513" s="7" t="n">
        <v>0.045</v>
      </c>
      <c r="M513" s="7" t="n">
        <f aca="false">2.5/G513</f>
        <v>0.108932461873638</v>
      </c>
      <c r="N513" s="0" t="n">
        <v>0</v>
      </c>
      <c r="O513" s="0" t="n">
        <v>0</v>
      </c>
      <c r="P513" s="0" t="n">
        <v>1</v>
      </c>
      <c r="Q513" s="0" t="n">
        <v>1</v>
      </c>
      <c r="U513" s="10" t="s">
        <v>598</v>
      </c>
      <c r="V513" s="0" t="n">
        <v>1</v>
      </c>
    </row>
    <row r="514" customFormat="false" ht="12.8" hidden="false" customHeight="false" outlineLevel="0" collapsed="false">
      <c r="A514" s="0" t="s">
        <v>601</v>
      </c>
      <c r="B514" s="0" t="s">
        <v>36</v>
      </c>
      <c r="C514" s="0" t="s">
        <v>37</v>
      </c>
      <c r="D514" s="0" t="s">
        <v>614</v>
      </c>
      <c r="E514" s="0" t="n">
        <v>50</v>
      </c>
      <c r="F514" s="0" t="n">
        <v>60</v>
      </c>
      <c r="G514" s="1" t="n">
        <f aca="false">(E514/100)*F514</f>
        <v>30</v>
      </c>
      <c r="H514" s="0" t="n">
        <v>16.8</v>
      </c>
      <c r="I514" s="2" t="n">
        <f aca="false">(E514/100)*H514</f>
        <v>8.4</v>
      </c>
      <c r="J514" s="0" t="n">
        <v>0</v>
      </c>
      <c r="K514" s="6" t="n">
        <f aca="false">G514/E514</f>
        <v>0.6</v>
      </c>
      <c r="L514" s="7" t="n">
        <v>0.065</v>
      </c>
      <c r="M514" s="7" t="n">
        <f aca="false">2.5/G514</f>
        <v>0.0833333333333333</v>
      </c>
      <c r="N514" s="0" t="n">
        <v>0</v>
      </c>
      <c r="O514" s="0" t="n">
        <v>1</v>
      </c>
      <c r="P514" s="0" t="n">
        <v>1</v>
      </c>
      <c r="Q514" s="0" t="n">
        <v>1</v>
      </c>
      <c r="R514" s="0" t="n">
        <v>1700</v>
      </c>
      <c r="S514" s="0" t="s">
        <v>615</v>
      </c>
      <c r="U514" s="10" t="s">
        <v>598</v>
      </c>
      <c r="V514" s="0" t="n">
        <v>1</v>
      </c>
    </row>
    <row r="515" customFormat="false" ht="12.8" hidden="false" customHeight="false" outlineLevel="0" collapsed="false">
      <c r="A515" s="0" t="s">
        <v>601</v>
      </c>
      <c r="B515" s="0" t="s">
        <v>36</v>
      </c>
      <c r="C515" s="0" t="s">
        <v>37</v>
      </c>
      <c r="D515" s="0" t="s">
        <v>616</v>
      </c>
      <c r="E515" s="0" t="n">
        <v>35</v>
      </c>
      <c r="F515" s="0" t="n">
        <v>43</v>
      </c>
      <c r="G515" s="1" t="n">
        <f aca="false">(E515/100)*F515</f>
        <v>15.05</v>
      </c>
      <c r="H515" s="0" t="n">
        <v>16</v>
      </c>
      <c r="I515" s="2" t="n">
        <f aca="false">(E515/100)*H515</f>
        <v>5.6</v>
      </c>
      <c r="J515" s="0" t="n">
        <v>0</v>
      </c>
      <c r="K515" s="6" t="n">
        <f aca="false">G515/E515</f>
        <v>0.43</v>
      </c>
      <c r="L515" s="7" t="n">
        <v>0.03</v>
      </c>
      <c r="M515" s="7" t="n">
        <f aca="false">2.5/G515</f>
        <v>0.166112956810631</v>
      </c>
      <c r="N515" s="0" t="n">
        <v>0</v>
      </c>
      <c r="O515" s="0" t="n">
        <v>0</v>
      </c>
      <c r="P515" s="0" t="n">
        <v>1</v>
      </c>
      <c r="Q515" s="0" t="n">
        <v>0</v>
      </c>
      <c r="U515" s="10" t="s">
        <v>598</v>
      </c>
      <c r="V515" s="0" t="n">
        <v>1</v>
      </c>
    </row>
    <row r="516" customFormat="false" ht="12.8" hidden="false" customHeight="false" outlineLevel="0" collapsed="false">
      <c r="A516" s="0" t="s">
        <v>617</v>
      </c>
      <c r="B516" s="0" t="s">
        <v>36</v>
      </c>
      <c r="C516" s="0" t="s">
        <v>37</v>
      </c>
      <c r="D516" s="0" t="s">
        <v>618</v>
      </c>
      <c r="E516" s="0" t="n">
        <v>30</v>
      </c>
      <c r="F516" s="0" t="n">
        <v>71.4</v>
      </c>
      <c r="G516" s="1" t="n">
        <f aca="false">(E516/100)*F516</f>
        <v>21.42</v>
      </c>
      <c r="H516" s="0" t="n">
        <v>6</v>
      </c>
      <c r="I516" s="2" t="n">
        <f aca="false">(E516/100)*H516</f>
        <v>1.8</v>
      </c>
      <c r="J516" s="0" t="n">
        <v>0</v>
      </c>
      <c r="K516" s="6" t="n">
        <f aca="false">G516/E516</f>
        <v>0.714</v>
      </c>
      <c r="L516" s="7" t="n">
        <f aca="false">0.14*0.4</f>
        <v>0.056</v>
      </c>
      <c r="M516" s="7" t="n">
        <f aca="false">(9/5)/G516</f>
        <v>0.0840336134453781</v>
      </c>
      <c r="N516" s="0" t="n">
        <v>0</v>
      </c>
      <c r="O516" s="0" t="n">
        <v>1</v>
      </c>
      <c r="P516" s="0" t="n">
        <v>0</v>
      </c>
      <c r="Q516" s="0" t="n">
        <v>1</v>
      </c>
      <c r="U516" s="10"/>
      <c r="V516" s="0" t="n">
        <v>0</v>
      </c>
    </row>
    <row r="517" customFormat="false" ht="12.8" hidden="false" customHeight="false" outlineLevel="0" collapsed="false">
      <c r="A517" s="0" t="s">
        <v>617</v>
      </c>
      <c r="B517" s="0" t="s">
        <v>45</v>
      </c>
      <c r="C517" s="0" t="s">
        <v>46</v>
      </c>
      <c r="D517" s="0" t="s">
        <v>619</v>
      </c>
      <c r="E517" s="0" t="n">
        <v>42</v>
      </c>
      <c r="F517" s="0" t="n">
        <v>52.2</v>
      </c>
      <c r="G517" s="1" t="n">
        <f aca="false">(E517/100)*F517</f>
        <v>21.924</v>
      </c>
      <c r="H517" s="0" t="n">
        <v>8.2</v>
      </c>
      <c r="I517" s="2" t="n">
        <f aca="false">(E517/100)*H517</f>
        <v>3.444</v>
      </c>
      <c r="J517" s="0" t="n">
        <v>0</v>
      </c>
      <c r="K517" s="6" t="n">
        <f aca="false">G517/E517</f>
        <v>0.522</v>
      </c>
      <c r="L517" s="7" t="n">
        <f aca="false">(1.28*0.42)*0.4</f>
        <v>0.21504</v>
      </c>
      <c r="M517" s="7" t="n">
        <f aca="false">(13.5/5)/G517</f>
        <v>0.123152709359606</v>
      </c>
      <c r="N517" s="0" t="n">
        <v>0</v>
      </c>
      <c r="O517" s="0" t="n">
        <v>1</v>
      </c>
      <c r="P517" s="0" t="n">
        <v>1</v>
      </c>
      <c r="Q517" s="0" t="n">
        <v>0</v>
      </c>
      <c r="U517" s="10"/>
      <c r="V517" s="0" t="n">
        <v>0</v>
      </c>
    </row>
    <row r="518" customFormat="false" ht="12.8" hidden="false" customHeight="false" outlineLevel="0" collapsed="false">
      <c r="A518" s="0" t="s">
        <v>617</v>
      </c>
      <c r="B518" s="0" t="s">
        <v>36</v>
      </c>
      <c r="C518" s="0" t="s">
        <v>37</v>
      </c>
      <c r="D518" s="0" t="s">
        <v>620</v>
      </c>
      <c r="E518" s="0" t="n">
        <v>35</v>
      </c>
      <c r="F518" s="0" t="n">
        <v>54</v>
      </c>
      <c r="G518" s="1" t="n">
        <f aca="false">(E518/100)*F518</f>
        <v>18.9</v>
      </c>
      <c r="H518" s="0" t="n">
        <v>2</v>
      </c>
      <c r="I518" s="2" t="n">
        <f aca="false">(E518/100)*H518</f>
        <v>0.7</v>
      </c>
      <c r="J518" s="0" t="n">
        <v>0</v>
      </c>
      <c r="K518" s="6" t="n">
        <f aca="false">G518/E518</f>
        <v>0.54</v>
      </c>
      <c r="L518" s="7" t="n">
        <f aca="false">0.125*0.35*0.4</f>
        <v>0.0175</v>
      </c>
      <c r="M518" s="7" t="n">
        <f aca="false">(10.4/5)/G518</f>
        <v>0.11005291005291</v>
      </c>
      <c r="N518" s="0" t="n">
        <v>0</v>
      </c>
      <c r="O518" s="0" t="n">
        <v>1</v>
      </c>
      <c r="P518" s="0" t="n">
        <v>1</v>
      </c>
      <c r="Q518" s="0" t="n">
        <v>1</v>
      </c>
      <c r="V518" s="0" t="n">
        <v>0</v>
      </c>
    </row>
    <row r="519" customFormat="false" ht="12.8" hidden="false" customHeight="false" outlineLevel="0" collapsed="false">
      <c r="A519" s="0" t="s">
        <v>617</v>
      </c>
      <c r="B519" s="0" t="s">
        <v>36</v>
      </c>
      <c r="C519" s="0" t="s">
        <v>37</v>
      </c>
      <c r="D519" s="10" t="s">
        <v>621</v>
      </c>
      <c r="E519" s="0" t="n">
        <v>35</v>
      </c>
      <c r="F519" s="0" t="n">
        <v>48</v>
      </c>
      <c r="G519" s="1" t="n">
        <f aca="false">(E519/100)*F519</f>
        <v>16.8</v>
      </c>
      <c r="H519" s="0" t="n">
        <v>1</v>
      </c>
      <c r="I519" s="2" t="n">
        <f aca="false">(E519/100)*H519</f>
        <v>0.35</v>
      </c>
      <c r="J519" s="0" t="n">
        <v>0</v>
      </c>
      <c r="K519" s="6" t="n">
        <f aca="false">G519/E519</f>
        <v>0.48</v>
      </c>
      <c r="L519" s="7" t="n">
        <f aca="false">0.35*0.4</f>
        <v>0.14</v>
      </c>
      <c r="M519" s="7" t="n">
        <f aca="false">(10.4/5)/G519</f>
        <v>0.123809523809524</v>
      </c>
      <c r="N519" s="0" t="n">
        <v>0</v>
      </c>
      <c r="O519" s="0" t="n">
        <v>0</v>
      </c>
      <c r="P519" s="0" t="n">
        <v>0</v>
      </c>
      <c r="Q519" s="0" t="n">
        <v>1</v>
      </c>
      <c r="V519" s="0" t="n">
        <v>0</v>
      </c>
    </row>
    <row r="520" customFormat="false" ht="12.8" hidden="false" customHeight="false" outlineLevel="0" collapsed="false">
      <c r="A520" s="0" t="s">
        <v>617</v>
      </c>
      <c r="B520" s="0" t="s">
        <v>36</v>
      </c>
      <c r="C520" s="0" t="s">
        <v>37</v>
      </c>
      <c r="D520" s="0" t="s">
        <v>622</v>
      </c>
      <c r="E520" s="0" t="n">
        <v>50</v>
      </c>
      <c r="F520" s="0" t="n">
        <v>60</v>
      </c>
      <c r="G520" s="1" t="n">
        <f aca="false">(E520/100)*F520</f>
        <v>30</v>
      </c>
      <c r="H520" s="0" t="n">
        <v>15</v>
      </c>
      <c r="I520" s="2" t="n">
        <f aca="false">(E520/100)*H520</f>
        <v>7.5</v>
      </c>
      <c r="J520" s="0" t="n">
        <v>0</v>
      </c>
      <c r="K520" s="6" t="n">
        <f aca="false">G520/E520</f>
        <v>0.6</v>
      </c>
      <c r="L520" s="7" t="n">
        <f aca="false">0.115*0.4</f>
        <v>0.046</v>
      </c>
      <c r="M520" s="7" t="n">
        <f aca="false">2.5/G520</f>
        <v>0.0833333333333333</v>
      </c>
      <c r="N520" s="0" t="n">
        <v>0</v>
      </c>
      <c r="O520" s="0" t="n">
        <v>1</v>
      </c>
      <c r="P520" s="0" t="n">
        <v>0</v>
      </c>
      <c r="Q520" s="0" t="n">
        <v>1</v>
      </c>
      <c r="V520" s="0" t="n">
        <v>0</v>
      </c>
    </row>
    <row r="521" customFormat="false" ht="12.8" hidden="false" customHeight="false" outlineLevel="0" collapsed="false">
      <c r="A521" s="0" t="s">
        <v>617</v>
      </c>
      <c r="B521" s="0" t="s">
        <v>36</v>
      </c>
      <c r="C521" s="0" t="s">
        <v>37</v>
      </c>
      <c r="D521" s="0" t="s">
        <v>623</v>
      </c>
      <c r="E521" s="0" t="n">
        <v>27</v>
      </c>
      <c r="F521" s="0" t="n">
        <v>66</v>
      </c>
      <c r="G521" s="1" t="n">
        <f aca="false">(E521/100)*F521</f>
        <v>17.82</v>
      </c>
      <c r="H521" s="0" t="n">
        <v>7</v>
      </c>
      <c r="I521" s="2" t="n">
        <f aca="false">(E521/100)*H521</f>
        <v>1.89</v>
      </c>
      <c r="J521" s="0" t="n">
        <v>0</v>
      </c>
      <c r="K521" s="6" t="n">
        <f aca="false">G521/E521</f>
        <v>0.66</v>
      </c>
      <c r="L521" s="7" t="n">
        <f aca="false">0.02*0.27*0.4</f>
        <v>0.00216</v>
      </c>
      <c r="M521" s="7" t="n">
        <f aca="false">(8.9/6)/G521</f>
        <v>0.0832398054620277</v>
      </c>
      <c r="N521" s="0" t="n">
        <v>0</v>
      </c>
      <c r="O521" s="0" t="n">
        <v>0</v>
      </c>
      <c r="P521" s="0" t="n">
        <v>1</v>
      </c>
      <c r="Q521" s="0" t="n">
        <v>1</v>
      </c>
      <c r="V521" s="0" t="n">
        <v>0</v>
      </c>
    </row>
    <row r="522" customFormat="false" ht="12.8" hidden="false" customHeight="false" outlineLevel="0" collapsed="false">
      <c r="A522" s="0" t="s">
        <v>617</v>
      </c>
      <c r="B522" s="0" t="s">
        <v>36</v>
      </c>
      <c r="C522" s="0" t="s">
        <v>37</v>
      </c>
      <c r="D522" s="0" t="s">
        <v>624</v>
      </c>
      <c r="E522" s="0" t="n">
        <v>27</v>
      </c>
      <c r="F522" s="0" t="n">
        <v>56</v>
      </c>
      <c r="G522" s="1" t="n">
        <f aca="false">(E522/100)*F522</f>
        <v>15.12</v>
      </c>
      <c r="H522" s="0" t="n">
        <v>8.6</v>
      </c>
      <c r="I522" s="2" t="n">
        <f aca="false">(E522/100)*H522</f>
        <v>2.322</v>
      </c>
      <c r="J522" s="0" t="n">
        <v>0</v>
      </c>
      <c r="K522" s="6" t="n">
        <f aca="false">G522/E522</f>
        <v>0.56</v>
      </c>
      <c r="L522" s="7" t="n">
        <f aca="false">0.084*0.27*0.4</f>
        <v>0.009072</v>
      </c>
      <c r="M522" s="7" t="n">
        <f aca="false">(8.9/6)/G522</f>
        <v>0.0981040564373898</v>
      </c>
      <c r="N522" s="0" t="n">
        <v>0</v>
      </c>
      <c r="O522" s="0" t="n">
        <v>0</v>
      </c>
      <c r="P522" s="0" t="n">
        <v>1</v>
      </c>
      <c r="Q522" s="0" t="n">
        <v>0</v>
      </c>
      <c r="V522" s="0" t="n">
        <v>0</v>
      </c>
    </row>
    <row r="523" customFormat="false" ht="12.8" hidden="false" customHeight="false" outlineLevel="0" collapsed="false">
      <c r="A523" s="0" t="s">
        <v>617</v>
      </c>
      <c r="B523" s="0" t="s">
        <v>36</v>
      </c>
      <c r="C523" s="0" t="s">
        <v>37</v>
      </c>
      <c r="D523" s="0" t="s">
        <v>625</v>
      </c>
      <c r="E523" s="0" t="n">
        <v>20</v>
      </c>
      <c r="F523" s="0" t="n">
        <v>68</v>
      </c>
      <c r="G523" s="1" t="n">
        <f aca="false">(E523/100)*F523</f>
        <v>13.6</v>
      </c>
      <c r="H523" s="0" t="n">
        <v>6.6</v>
      </c>
      <c r="I523" s="2" t="n">
        <f aca="false">(E523/100)*H523</f>
        <v>1.32</v>
      </c>
      <c r="J523" s="0" t="n">
        <v>0</v>
      </c>
      <c r="K523" s="6" t="n">
        <f aca="false">G523/E523</f>
        <v>0.68</v>
      </c>
      <c r="L523" s="7" t="n">
        <f aca="false">0.3*0.2*0.4</f>
        <v>0.024</v>
      </c>
      <c r="M523" s="7" t="n">
        <f aca="false">(9.9/6)/G523</f>
        <v>0.121323529411765</v>
      </c>
      <c r="N523" s="0" t="n">
        <v>0</v>
      </c>
      <c r="O523" s="0" t="n">
        <v>0</v>
      </c>
      <c r="P523" s="0" t="n">
        <v>1</v>
      </c>
      <c r="Q523" s="0" t="n">
        <v>1</v>
      </c>
      <c r="V523" s="0" t="n">
        <v>0</v>
      </c>
    </row>
    <row r="524" customFormat="false" ht="12.8" hidden="false" customHeight="false" outlineLevel="0" collapsed="false">
      <c r="A524" s="0" t="s">
        <v>617</v>
      </c>
      <c r="B524" s="0" t="s">
        <v>36</v>
      </c>
      <c r="C524" s="0" t="s">
        <v>37</v>
      </c>
      <c r="D524" s="0" t="s">
        <v>626</v>
      </c>
      <c r="E524" s="0" t="n">
        <v>30</v>
      </c>
      <c r="F524" s="0" t="n">
        <v>80</v>
      </c>
      <c r="G524" s="1" t="n">
        <f aca="false">(E524/100)*F524</f>
        <v>24</v>
      </c>
      <c r="H524" s="0" t="n">
        <v>0</v>
      </c>
      <c r="I524" s="2" t="n">
        <f aca="false">(E524/100)*H524</f>
        <v>0</v>
      </c>
      <c r="J524" s="0" t="n">
        <v>0</v>
      </c>
      <c r="K524" s="6" t="n">
        <f aca="false">G524/E524</f>
        <v>0.8</v>
      </c>
      <c r="L524" s="7" t="n">
        <v>0</v>
      </c>
      <c r="M524" s="7" t="n">
        <f aca="false">(6.5/6)/G524</f>
        <v>0.0451388888888889</v>
      </c>
      <c r="N524" s="0" t="n">
        <v>0</v>
      </c>
      <c r="O524" s="0" t="n">
        <v>0</v>
      </c>
      <c r="P524" s="0" t="n">
        <v>0</v>
      </c>
      <c r="Q524" s="0" t="n">
        <v>0</v>
      </c>
      <c r="V524" s="0" t="n">
        <v>0</v>
      </c>
    </row>
    <row r="525" customFormat="false" ht="12.8" hidden="false" customHeight="false" outlineLevel="0" collapsed="false">
      <c r="A525" s="0" t="s">
        <v>617</v>
      </c>
      <c r="B525" s="0" t="s">
        <v>20</v>
      </c>
      <c r="C525" s="0" t="s">
        <v>21</v>
      </c>
      <c r="D525" s="0" t="s">
        <v>627</v>
      </c>
      <c r="E525" s="0" t="n">
        <v>35</v>
      </c>
      <c r="F525" s="0" t="n">
        <v>69</v>
      </c>
      <c r="G525" s="1" t="n">
        <f aca="false">(E525/100)*F525</f>
        <v>24.15</v>
      </c>
      <c r="H525" s="0" t="n">
        <v>0</v>
      </c>
      <c r="I525" s="2" t="n">
        <f aca="false">(E525/100)*H525</f>
        <v>0</v>
      </c>
      <c r="J525" s="0" t="n">
        <v>0</v>
      </c>
      <c r="K525" s="6" t="n">
        <f aca="false">G525/E525</f>
        <v>0.69</v>
      </c>
      <c r="L525" s="7" t="n">
        <f aca="false">0.22*0.4*0.35</f>
        <v>0.0308</v>
      </c>
      <c r="M525" s="7" t="n">
        <f aca="false">(14.4/6)/G525</f>
        <v>0.0993788819875777</v>
      </c>
      <c r="N525" s="0" t="n">
        <v>0</v>
      </c>
      <c r="O525" s="0" t="n">
        <v>0</v>
      </c>
      <c r="P525" s="0" t="n">
        <v>0</v>
      </c>
      <c r="Q525" s="0" t="n">
        <v>0</v>
      </c>
      <c r="V525" s="0" t="n">
        <v>0</v>
      </c>
    </row>
    <row r="526" customFormat="false" ht="12.8" hidden="false" customHeight="false" outlineLevel="0" collapsed="false">
      <c r="A526" s="0" t="s">
        <v>617</v>
      </c>
      <c r="B526" s="0" t="s">
        <v>20</v>
      </c>
      <c r="C526" s="0" t="s">
        <v>21</v>
      </c>
      <c r="D526" s="0" t="s">
        <v>628</v>
      </c>
      <c r="E526" s="0" t="n">
        <v>40</v>
      </c>
      <c r="F526" s="0" t="n">
        <v>75</v>
      </c>
      <c r="G526" s="1" t="n">
        <f aca="false">(E526/100)*F526</f>
        <v>30</v>
      </c>
      <c r="H526" s="0" t="n">
        <v>0</v>
      </c>
      <c r="I526" s="2" t="n">
        <f aca="false">(E526/100)*H526</f>
        <v>0</v>
      </c>
      <c r="J526" s="0" t="n">
        <v>0</v>
      </c>
      <c r="K526" s="6" t="n">
        <f aca="false">G526/E526</f>
        <v>0.75</v>
      </c>
      <c r="L526" s="7" t="n">
        <f aca="false">0.15*0.4*0.4</f>
        <v>0.024</v>
      </c>
      <c r="M526" s="7" t="n">
        <f aca="false">(15.9/6)/G526</f>
        <v>0.0883333333333333</v>
      </c>
      <c r="N526" s="0" t="n">
        <v>0</v>
      </c>
      <c r="O526" s="0" t="n">
        <v>0</v>
      </c>
      <c r="P526" s="0" t="n">
        <v>0</v>
      </c>
      <c r="Q526" s="0" t="n">
        <v>0</v>
      </c>
      <c r="V526" s="0" t="n">
        <v>0</v>
      </c>
    </row>
    <row r="527" customFormat="false" ht="12.8" hidden="false" customHeight="false" outlineLevel="0" collapsed="false">
      <c r="A527" s="0" t="s">
        <v>617</v>
      </c>
      <c r="B527" s="0" t="s">
        <v>20</v>
      </c>
      <c r="C527" s="0" t="s">
        <v>21</v>
      </c>
      <c r="D527" s="0" t="s">
        <v>629</v>
      </c>
      <c r="E527" s="0" t="n">
        <v>40</v>
      </c>
      <c r="F527" s="0" t="n">
        <v>75</v>
      </c>
      <c r="G527" s="1" t="n">
        <f aca="false">(E527/100)*F527</f>
        <v>30</v>
      </c>
      <c r="H527" s="0" t="n">
        <v>0</v>
      </c>
      <c r="I527" s="2" t="n">
        <f aca="false">(E527/100)*H527</f>
        <v>0</v>
      </c>
      <c r="J527" s="0" t="n">
        <v>76</v>
      </c>
      <c r="K527" s="6" t="n">
        <f aca="false">G527/E527</f>
        <v>0.75</v>
      </c>
      <c r="L527" s="7" t="n">
        <f aca="false">0.15*0.4*0.4</f>
        <v>0.024</v>
      </c>
      <c r="M527" s="7" t="n">
        <f aca="false">(16.5/6)/G527</f>
        <v>0.0916666666666667</v>
      </c>
      <c r="N527" s="0" t="n">
        <v>0</v>
      </c>
      <c r="O527" s="0" t="n">
        <v>0</v>
      </c>
      <c r="P527" s="0" t="n">
        <v>0</v>
      </c>
      <c r="Q527" s="0" t="n">
        <v>0</v>
      </c>
      <c r="V527" s="0" t="n">
        <v>0</v>
      </c>
    </row>
    <row r="528" customFormat="false" ht="12.8" hidden="false" customHeight="false" outlineLevel="0" collapsed="false">
      <c r="A528" s="0" t="s">
        <v>617</v>
      </c>
      <c r="B528" s="0" t="s">
        <v>20</v>
      </c>
      <c r="C528" s="0" t="s">
        <v>21</v>
      </c>
      <c r="D528" s="10" t="s">
        <v>630</v>
      </c>
      <c r="E528" s="0" t="n">
        <v>40</v>
      </c>
      <c r="F528" s="0" t="n">
        <v>75</v>
      </c>
      <c r="G528" s="1" t="n">
        <f aca="false">(E528/100)*F528</f>
        <v>30</v>
      </c>
      <c r="H528" s="0" t="n">
        <v>0</v>
      </c>
      <c r="I528" s="2" t="n">
        <f aca="false">(E528/100)*H528</f>
        <v>0</v>
      </c>
      <c r="J528" s="0" t="n">
        <v>152</v>
      </c>
      <c r="K528" s="6" t="n">
        <f aca="false">G528/E528</f>
        <v>0.75</v>
      </c>
      <c r="L528" s="7" t="n">
        <f aca="false">0.15*0.4*0.4</f>
        <v>0.024</v>
      </c>
      <c r="M528" s="7" t="n">
        <f aca="false">(16.5/6)/G528</f>
        <v>0.0916666666666667</v>
      </c>
      <c r="N528" s="0" t="n">
        <v>0</v>
      </c>
      <c r="O528" s="0" t="n">
        <v>0</v>
      </c>
      <c r="P528" s="0" t="n">
        <v>0</v>
      </c>
      <c r="Q528" s="0" t="n">
        <v>0</v>
      </c>
      <c r="V528" s="0" t="n">
        <v>0</v>
      </c>
    </row>
    <row r="529" customFormat="false" ht="12.8" hidden="false" customHeight="false" outlineLevel="0" collapsed="false">
      <c r="A529" s="0" t="s">
        <v>617</v>
      </c>
      <c r="B529" s="0" t="s">
        <v>20</v>
      </c>
      <c r="C529" s="0" t="s">
        <v>21</v>
      </c>
      <c r="D529" s="0" t="s">
        <v>631</v>
      </c>
      <c r="E529" s="0" t="n">
        <v>35</v>
      </c>
      <c r="F529" s="0" t="n">
        <v>69</v>
      </c>
      <c r="G529" s="1" t="n">
        <f aca="false">(E529/100)*F529</f>
        <v>24.15</v>
      </c>
      <c r="H529" s="0" t="n">
        <v>0.5</v>
      </c>
      <c r="I529" s="2" t="n">
        <f aca="false">(E529/100)*H529</f>
        <v>0.175</v>
      </c>
      <c r="J529" s="0" t="n">
        <v>0</v>
      </c>
      <c r="K529" s="6" t="n">
        <f aca="false">G529/E529</f>
        <v>0.69</v>
      </c>
      <c r="L529" s="7" t="n">
        <f aca="false">0.105*0.35</f>
        <v>0.03675</v>
      </c>
      <c r="M529" s="7" t="n">
        <f aca="false">(14.5/6)/G529</f>
        <v>0.100069013112491</v>
      </c>
      <c r="N529" s="0" t="n">
        <v>0</v>
      </c>
      <c r="O529" s="0" t="n">
        <v>0</v>
      </c>
      <c r="P529" s="0" t="n">
        <v>0</v>
      </c>
      <c r="Q529" s="0" t="n">
        <v>0</v>
      </c>
      <c r="R529" s="0" t="n">
        <v>600</v>
      </c>
      <c r="V529" s="0" t="n">
        <v>0</v>
      </c>
    </row>
    <row r="530" customFormat="false" ht="12.8" hidden="false" customHeight="false" outlineLevel="0" collapsed="false">
      <c r="A530" s="0" t="s">
        <v>617</v>
      </c>
      <c r="B530" s="0" t="s">
        <v>20</v>
      </c>
      <c r="C530" s="0" t="s">
        <v>21</v>
      </c>
      <c r="D530" s="0" t="s">
        <v>632</v>
      </c>
      <c r="E530" s="0" t="n">
        <v>35</v>
      </c>
      <c r="F530" s="0" t="n">
        <v>69</v>
      </c>
      <c r="G530" s="1" t="n">
        <f aca="false">(E530/100)*F530</f>
        <v>24.15</v>
      </c>
      <c r="H530" s="0" t="n">
        <v>0</v>
      </c>
      <c r="I530" s="2" t="n">
        <f aca="false">(E530/100)*H530</f>
        <v>0</v>
      </c>
      <c r="J530" s="0" t="n">
        <v>0</v>
      </c>
      <c r="K530" s="6" t="n">
        <f aca="false">G530/E530</f>
        <v>0.69</v>
      </c>
      <c r="L530" s="7" t="n">
        <f aca="false">0.117*0.35</f>
        <v>0.04095</v>
      </c>
      <c r="M530" s="7" t="n">
        <f aca="false">(14.5/6)/G530</f>
        <v>0.100069013112491</v>
      </c>
      <c r="N530" s="0" t="n">
        <v>0</v>
      </c>
      <c r="O530" s="0" t="n">
        <v>0</v>
      </c>
      <c r="P530" s="0" t="n">
        <v>0</v>
      </c>
      <c r="Q530" s="0" t="n">
        <v>0</v>
      </c>
      <c r="V530" s="0" t="n">
        <v>0</v>
      </c>
    </row>
    <row r="531" customFormat="false" ht="12.8" hidden="false" customHeight="false" outlineLevel="0" collapsed="false">
      <c r="A531" s="0" t="s">
        <v>617</v>
      </c>
      <c r="B531" s="0" t="s">
        <v>20</v>
      </c>
      <c r="C531" s="0" t="s">
        <v>21</v>
      </c>
      <c r="D531" s="0" t="s">
        <v>633</v>
      </c>
      <c r="E531" s="0" t="n">
        <v>35</v>
      </c>
      <c r="F531" s="0" t="n">
        <v>69</v>
      </c>
      <c r="G531" s="1" t="n">
        <f aca="false">(E531/100)*F531</f>
        <v>24.15</v>
      </c>
      <c r="H531" s="0" t="n">
        <v>0</v>
      </c>
      <c r="I531" s="2" t="n">
        <f aca="false">(E531/100)*H531</f>
        <v>0</v>
      </c>
      <c r="J531" s="0" t="n">
        <v>13.5</v>
      </c>
      <c r="K531" s="6" t="n">
        <f aca="false">G531/E531</f>
        <v>0.69</v>
      </c>
      <c r="L531" s="7" t="n">
        <f aca="false">0.045*0.35</f>
        <v>0.01575</v>
      </c>
      <c r="M531" s="7" t="n">
        <f aca="false">(14.5/6)/G531</f>
        <v>0.100069013112491</v>
      </c>
      <c r="N531" s="0" t="n">
        <v>0</v>
      </c>
      <c r="O531" s="0" t="n">
        <v>0</v>
      </c>
      <c r="P531" s="0" t="n">
        <v>0</v>
      </c>
      <c r="Q531" s="0" t="n">
        <v>0</v>
      </c>
      <c r="V531" s="0" t="n">
        <v>0</v>
      </c>
    </row>
    <row r="532" customFormat="false" ht="12.8" hidden="false" customHeight="false" outlineLevel="0" collapsed="false">
      <c r="A532" s="0" t="s">
        <v>617</v>
      </c>
      <c r="B532" s="0" t="s">
        <v>20</v>
      </c>
      <c r="C532" s="0" t="s">
        <v>21</v>
      </c>
      <c r="D532" s="0" t="s">
        <v>634</v>
      </c>
      <c r="E532" s="0" t="n">
        <v>37</v>
      </c>
      <c r="F532" s="0" t="n">
        <v>50</v>
      </c>
      <c r="G532" s="1" t="n">
        <f aca="false">(E532/100)*F532</f>
        <v>18.5</v>
      </c>
      <c r="H532" s="0" t="n">
        <v>0</v>
      </c>
      <c r="I532" s="2" t="n">
        <f aca="false">(E532/100)*H532</f>
        <v>0</v>
      </c>
      <c r="J532" s="0" t="n">
        <v>25</v>
      </c>
      <c r="K532" s="6" t="n">
        <f aca="false">G532/E532</f>
        <v>0.5</v>
      </c>
      <c r="L532" s="7" t="n">
        <f aca="false">0.2*0.4*0.37</f>
        <v>0.0296</v>
      </c>
      <c r="M532" s="7" t="n">
        <f aca="false">(13.5/6)/G532</f>
        <v>0.121621621621622</v>
      </c>
      <c r="N532" s="0" t="n">
        <v>0</v>
      </c>
      <c r="O532" s="0" t="n">
        <v>0</v>
      </c>
      <c r="P532" s="0" t="n">
        <v>0</v>
      </c>
      <c r="Q532" s="0" t="n">
        <v>0</v>
      </c>
      <c r="V532" s="0" t="n">
        <v>0</v>
      </c>
    </row>
    <row r="533" customFormat="false" ht="12.8" hidden="false" customHeight="false" outlineLevel="0" collapsed="false">
      <c r="A533" s="0" t="s">
        <v>617</v>
      </c>
      <c r="B533" s="0" t="s">
        <v>25</v>
      </c>
      <c r="C533" s="0" t="s">
        <v>26</v>
      </c>
      <c r="D533" s="0" t="s">
        <v>635</v>
      </c>
      <c r="E533" s="0" t="n">
        <v>1</v>
      </c>
      <c r="F533" s="0" t="n">
        <v>88</v>
      </c>
      <c r="G533" s="1" t="n">
        <f aca="false">(E533/100)*F533</f>
        <v>0.88</v>
      </c>
      <c r="H533" s="0" t="n">
        <v>3</v>
      </c>
      <c r="I533" s="2" t="n">
        <f aca="false">(E533/100)*H533</f>
        <v>0.03</v>
      </c>
      <c r="J533" s="0" t="n">
        <v>0</v>
      </c>
      <c r="K533" s="6" t="n">
        <f aca="false">G533/E533</f>
        <v>0.88</v>
      </c>
      <c r="L533" s="7" t="n">
        <f aca="false">0.459/100</f>
        <v>0.00459</v>
      </c>
      <c r="M533" s="7" t="n">
        <f aca="false">(23.5/600)/G533</f>
        <v>0.0445075757575758</v>
      </c>
      <c r="N533" s="0" t="n">
        <v>0</v>
      </c>
      <c r="O533" s="0" t="n">
        <v>0</v>
      </c>
      <c r="P533" s="0" t="n">
        <v>0</v>
      </c>
      <c r="Q533" s="0" t="n">
        <v>0</v>
      </c>
      <c r="R533" s="0" t="n">
        <v>10</v>
      </c>
      <c r="V533" s="0" t="n">
        <v>0</v>
      </c>
    </row>
    <row r="534" customFormat="false" ht="12.8" hidden="false" customHeight="false" outlineLevel="0" collapsed="false">
      <c r="A534" s="0" t="s">
        <v>617</v>
      </c>
      <c r="B534" s="0" t="s">
        <v>25</v>
      </c>
      <c r="C534" s="0" t="s">
        <v>26</v>
      </c>
      <c r="D534" s="0" t="s">
        <v>636</v>
      </c>
      <c r="E534" s="0" t="n">
        <v>1</v>
      </c>
      <c r="F534" s="0" t="n">
        <v>95</v>
      </c>
      <c r="G534" s="1" t="n">
        <f aca="false">(E534/100)*F534</f>
        <v>0.95</v>
      </c>
      <c r="H534" s="0" t="n">
        <v>0</v>
      </c>
      <c r="I534" s="2" t="n">
        <f aca="false">(E534/100)*H534</f>
        <v>0</v>
      </c>
      <c r="J534" s="0" t="n">
        <v>0</v>
      </c>
      <c r="K534" s="6" t="n">
        <f aca="false">G534/E534</f>
        <v>0.95</v>
      </c>
      <c r="L534" s="7" t="n">
        <f aca="false">0.64*0.4*0.01</f>
        <v>0.00256</v>
      </c>
      <c r="M534" s="7" t="n">
        <f aca="false">(15/500)/G534</f>
        <v>0.031578947368421</v>
      </c>
      <c r="N534" s="0" t="n">
        <v>0</v>
      </c>
      <c r="O534" s="0" t="n">
        <v>0</v>
      </c>
      <c r="P534" s="0" t="n">
        <v>0</v>
      </c>
      <c r="Q534" s="0" t="n">
        <v>0</v>
      </c>
      <c r="V534" s="0" t="n">
        <v>0</v>
      </c>
    </row>
    <row r="535" customFormat="false" ht="12.8" hidden="false" customHeight="false" outlineLevel="0" collapsed="false">
      <c r="A535" s="0" t="s">
        <v>617</v>
      </c>
      <c r="B535" s="0" t="s">
        <v>25</v>
      </c>
      <c r="C535" s="0" t="s">
        <v>26</v>
      </c>
      <c r="D535" s="0" t="s">
        <v>637</v>
      </c>
      <c r="E535" s="0" t="n">
        <v>1</v>
      </c>
      <c r="F535" s="0" t="n">
        <v>98</v>
      </c>
      <c r="G535" s="1" t="n">
        <f aca="false">(E535/100)*F535</f>
        <v>0.98</v>
      </c>
      <c r="H535" s="0" t="n">
        <v>0</v>
      </c>
      <c r="I535" s="2" t="n">
        <f aca="false">(E535/100)*H535</f>
        <v>0</v>
      </c>
      <c r="J535" s="0" t="n">
        <v>0</v>
      </c>
      <c r="K535" s="6" t="n">
        <f aca="false">G535/E535</f>
        <v>0.98</v>
      </c>
      <c r="L535" s="7" t="n">
        <f aca="false">0.15*0.4*0.01</f>
        <v>0.0006</v>
      </c>
      <c r="M535" s="7" t="n">
        <f aca="false">(16/500)/G535</f>
        <v>0.0326530612244898</v>
      </c>
      <c r="N535" s="0" t="n">
        <v>1</v>
      </c>
      <c r="O535" s="0" t="n">
        <v>0</v>
      </c>
      <c r="P535" s="0" t="n">
        <v>0</v>
      </c>
      <c r="Q535" s="0" t="n">
        <v>0</v>
      </c>
      <c r="V535" s="0" t="n">
        <v>0</v>
      </c>
    </row>
    <row r="536" customFormat="false" ht="12.8" hidden="false" customHeight="false" outlineLevel="0" collapsed="false">
      <c r="A536" s="0" t="s">
        <v>617</v>
      </c>
      <c r="B536" s="0" t="s">
        <v>25</v>
      </c>
      <c r="C536" s="0" t="s">
        <v>26</v>
      </c>
      <c r="D536" s="0" t="s">
        <v>638</v>
      </c>
      <c r="E536" s="0" t="n">
        <v>1</v>
      </c>
      <c r="F536" s="0" t="n">
        <v>94</v>
      </c>
      <c r="G536" s="1" t="n">
        <f aca="false">(E536/100)*F536</f>
        <v>0.94</v>
      </c>
      <c r="H536" s="0" t="n">
        <v>0</v>
      </c>
      <c r="I536" s="2" t="n">
        <f aca="false">(E536/100)*H536</f>
        <v>0</v>
      </c>
      <c r="J536" s="0" t="n">
        <v>0</v>
      </c>
      <c r="K536" s="6" t="n">
        <f aca="false">G536/E536</f>
        <v>0.94</v>
      </c>
      <c r="L536" s="7" t="n">
        <f aca="false">0.92*0.4*0.01</f>
        <v>0.00368</v>
      </c>
      <c r="M536" s="7" t="n">
        <f aca="false">(14/500)/G536</f>
        <v>0.0297872340425532</v>
      </c>
      <c r="N536" s="0" t="n">
        <v>0</v>
      </c>
      <c r="O536" s="0" t="n">
        <v>0</v>
      </c>
      <c r="P536" s="0" t="n">
        <v>0</v>
      </c>
      <c r="Q536" s="0" t="n">
        <v>0</v>
      </c>
      <c r="V536" s="0" t="n">
        <v>0</v>
      </c>
    </row>
    <row r="537" customFormat="false" ht="12.8" hidden="false" customHeight="false" outlineLevel="0" collapsed="false">
      <c r="A537" s="0" t="s">
        <v>617</v>
      </c>
      <c r="B537" s="0" t="s">
        <v>25</v>
      </c>
      <c r="C537" s="0" t="s">
        <v>26</v>
      </c>
      <c r="D537" s="0" t="s">
        <v>639</v>
      </c>
      <c r="E537" s="0" t="n">
        <v>1</v>
      </c>
      <c r="F537" s="0" t="n">
        <v>90</v>
      </c>
      <c r="G537" s="1" t="n">
        <f aca="false">(E537/100)*F537</f>
        <v>0.9</v>
      </c>
      <c r="H537" s="0" t="n">
        <v>3</v>
      </c>
      <c r="I537" s="2" t="n">
        <f aca="false">(E537/100)*H537</f>
        <v>0.03</v>
      </c>
      <c r="J537" s="0" t="n">
        <v>0</v>
      </c>
      <c r="K537" s="6" t="n">
        <f aca="false">G537/E537</f>
        <v>0.9</v>
      </c>
      <c r="L537" s="7" t="n">
        <f aca="false">0.359*0.01</f>
        <v>0.00359</v>
      </c>
      <c r="M537" s="7" t="n">
        <f aca="false">(18.5/600)/G537</f>
        <v>0.0342592592592593</v>
      </c>
      <c r="N537" s="0" t="n">
        <v>0</v>
      </c>
      <c r="O537" s="0" t="n">
        <v>0</v>
      </c>
      <c r="P537" s="0" t="n">
        <v>0</v>
      </c>
      <c r="Q537" s="0" t="n">
        <v>0</v>
      </c>
      <c r="R537" s="0" t="n">
        <v>1</v>
      </c>
      <c r="V537" s="0" t="n">
        <v>0</v>
      </c>
    </row>
    <row r="538" customFormat="false" ht="12.8" hidden="false" customHeight="false" outlineLevel="0" collapsed="false">
      <c r="A538" s="0" t="s">
        <v>640</v>
      </c>
      <c r="B538" s="0" t="s">
        <v>25</v>
      </c>
      <c r="C538" s="0" t="s">
        <v>26</v>
      </c>
      <c r="D538" s="0" t="s">
        <v>641</v>
      </c>
      <c r="E538" s="0" t="n">
        <v>1</v>
      </c>
      <c r="F538" s="0" t="n">
        <v>84</v>
      </c>
      <c r="G538" s="1" t="n">
        <f aca="false">(E538/100)*F538</f>
        <v>0.84</v>
      </c>
      <c r="H538" s="0" t="n">
        <v>0</v>
      </c>
      <c r="I538" s="2" t="n">
        <f aca="false">(E538/100)*H538</f>
        <v>0</v>
      </c>
      <c r="J538" s="0" t="n">
        <v>0.75</v>
      </c>
      <c r="K538" s="6" t="n">
        <f aca="false">G538/E538</f>
        <v>0.84</v>
      </c>
      <c r="L538" s="7" t="n">
        <f aca="false">(2.7*0.4*0.01)</f>
        <v>0.0108</v>
      </c>
      <c r="M538" s="7" t="n">
        <f aca="false">(25.9/450)/G538</f>
        <v>0.0685185185185185</v>
      </c>
      <c r="N538" s="0" t="n">
        <v>0</v>
      </c>
      <c r="O538" s="0" t="n">
        <v>0</v>
      </c>
      <c r="P538" s="0" t="n">
        <v>0</v>
      </c>
      <c r="Q538" s="0" t="n">
        <v>0</v>
      </c>
      <c r="V538" s="0" t="n">
        <v>0</v>
      </c>
    </row>
    <row r="539" customFormat="false" ht="12.8" hidden="false" customHeight="false" outlineLevel="0" collapsed="false">
      <c r="A539" s="0" t="s">
        <v>640</v>
      </c>
      <c r="B539" s="0" t="s">
        <v>25</v>
      </c>
      <c r="C539" s="0" t="s">
        <v>26</v>
      </c>
      <c r="D539" s="0" t="s">
        <v>642</v>
      </c>
      <c r="E539" s="0" t="n">
        <v>1</v>
      </c>
      <c r="F539" s="0" t="n">
        <v>83</v>
      </c>
      <c r="G539" s="1" t="n">
        <f aca="false">(E539/100)*F539</f>
        <v>0.83</v>
      </c>
      <c r="H539" s="0" t="n">
        <v>0</v>
      </c>
      <c r="I539" s="2" t="n">
        <f aca="false">(E539/100)*H539</f>
        <v>0</v>
      </c>
      <c r="J539" s="0" t="n">
        <v>0</v>
      </c>
      <c r="K539" s="6" t="n">
        <f aca="false">G539/E539</f>
        <v>0.83</v>
      </c>
      <c r="L539" s="7" t="n">
        <v>0.011</v>
      </c>
      <c r="M539" s="7" t="n">
        <f aca="false">(25.9/600)/G539</f>
        <v>0.052008032128514</v>
      </c>
      <c r="N539" s="0" t="n">
        <v>0</v>
      </c>
      <c r="O539" s="0" t="n">
        <v>0</v>
      </c>
      <c r="P539" s="0" t="n">
        <v>0</v>
      </c>
      <c r="Q539" s="0" t="n">
        <v>0</v>
      </c>
      <c r="V539" s="0" t="n">
        <v>0</v>
      </c>
    </row>
    <row r="540" customFormat="false" ht="12.8" hidden="false" customHeight="false" outlineLevel="0" collapsed="false">
      <c r="A540" s="0" t="s">
        <v>640</v>
      </c>
      <c r="B540" s="0" t="s">
        <v>25</v>
      </c>
      <c r="C540" s="0" t="s">
        <v>26</v>
      </c>
      <c r="D540" s="0" t="s">
        <v>643</v>
      </c>
      <c r="E540" s="0" t="n">
        <v>1</v>
      </c>
      <c r="F540" s="0" t="n">
        <v>88</v>
      </c>
      <c r="G540" s="1" t="n">
        <f aca="false">(E540/100)*F540</f>
        <v>0.88</v>
      </c>
      <c r="H540" s="0" t="n">
        <v>0</v>
      </c>
      <c r="I540" s="2" t="n">
        <f aca="false">(E540/100)*H540</f>
        <v>0</v>
      </c>
      <c r="J540" s="0" t="n">
        <v>0.75</v>
      </c>
      <c r="K540" s="6" t="n">
        <f aca="false">G540/E540</f>
        <v>0.88</v>
      </c>
      <c r="L540" s="7" t="n">
        <v>0.011</v>
      </c>
      <c r="M540" s="7" t="n">
        <f aca="false">(21.9/450)/G540</f>
        <v>0.0553030303030303</v>
      </c>
      <c r="N540" s="0" t="n">
        <v>0</v>
      </c>
      <c r="O540" s="0" t="n">
        <v>0</v>
      </c>
      <c r="P540" s="0" t="n">
        <v>0</v>
      </c>
      <c r="Q540" s="0" t="n">
        <v>0</v>
      </c>
      <c r="V540" s="0" t="n">
        <v>0</v>
      </c>
    </row>
    <row r="541" customFormat="false" ht="12.8" hidden="false" customHeight="false" outlineLevel="0" collapsed="false">
      <c r="A541" s="0" t="s">
        <v>640</v>
      </c>
      <c r="B541" s="0" t="s">
        <v>25</v>
      </c>
      <c r="C541" s="0" t="s">
        <v>26</v>
      </c>
      <c r="D541" s="0" t="s">
        <v>644</v>
      </c>
      <c r="E541" s="0" t="n">
        <v>1</v>
      </c>
      <c r="F541" s="0" t="n">
        <v>89</v>
      </c>
      <c r="G541" s="1" t="n">
        <f aca="false">(E541/100)*F541</f>
        <v>0.89</v>
      </c>
      <c r="H541" s="0" t="n">
        <v>0</v>
      </c>
      <c r="I541" s="2" t="n">
        <f aca="false">(E541/100)*H541</f>
        <v>0</v>
      </c>
      <c r="J541" s="0" t="n">
        <v>0</v>
      </c>
      <c r="K541" s="6" t="n">
        <f aca="false">G541/E541</f>
        <v>0.89</v>
      </c>
      <c r="L541" s="7" t="n">
        <v>0.011</v>
      </c>
      <c r="M541" s="7" t="n">
        <f aca="false">(21.9/600)/G541</f>
        <v>0.0410112359550562</v>
      </c>
      <c r="N541" s="0" t="n">
        <v>0</v>
      </c>
      <c r="O541" s="0" t="n">
        <v>0</v>
      </c>
      <c r="P541" s="0" t="n">
        <v>0</v>
      </c>
      <c r="Q541" s="0" t="n">
        <v>0</v>
      </c>
      <c r="V541" s="0" t="n">
        <v>0</v>
      </c>
    </row>
    <row r="542" customFormat="false" ht="12.8" hidden="false" customHeight="false" outlineLevel="0" collapsed="false">
      <c r="A542" s="0" t="s">
        <v>640</v>
      </c>
      <c r="B542" s="0" t="s">
        <v>25</v>
      </c>
      <c r="C542" s="0" t="s">
        <v>26</v>
      </c>
      <c r="D542" s="0" t="s">
        <v>645</v>
      </c>
      <c r="E542" s="0" t="n">
        <v>1</v>
      </c>
      <c r="F542" s="0" t="n">
        <v>92</v>
      </c>
      <c r="G542" s="1" t="n">
        <f aca="false">(E542/100)*F542</f>
        <v>0.92</v>
      </c>
      <c r="H542" s="0" t="n">
        <v>0</v>
      </c>
      <c r="I542" s="2" t="n">
        <f aca="false">(E542/100)*H542</f>
        <v>0</v>
      </c>
      <c r="J542" s="0" t="n">
        <v>0</v>
      </c>
      <c r="K542" s="6" t="n">
        <f aca="false">G542/E542</f>
        <v>0.92</v>
      </c>
      <c r="L542" s="7" t="n">
        <v>0.0047</v>
      </c>
      <c r="M542" s="7" t="n">
        <f aca="false">(16.5/450)/G542</f>
        <v>0.0398550724637681</v>
      </c>
      <c r="N542" s="0" t="n">
        <v>0</v>
      </c>
      <c r="O542" s="0" t="n">
        <v>0</v>
      </c>
      <c r="P542" s="0" t="n">
        <v>0</v>
      </c>
      <c r="Q542" s="0" t="n">
        <v>0</v>
      </c>
      <c r="V542" s="0" t="n">
        <v>0</v>
      </c>
    </row>
    <row r="543" customFormat="false" ht="12.8" hidden="false" customHeight="false" outlineLevel="0" collapsed="false">
      <c r="A543" s="0" t="s">
        <v>640</v>
      </c>
      <c r="B543" s="0" t="s">
        <v>20</v>
      </c>
      <c r="C543" s="0" t="s">
        <v>21</v>
      </c>
      <c r="D543" s="0" t="s">
        <v>646</v>
      </c>
      <c r="E543" s="0" t="n">
        <v>50</v>
      </c>
      <c r="F543" s="0" t="n">
        <v>40</v>
      </c>
      <c r="G543" s="1" t="n">
        <f aca="false">(E543/100)*F543</f>
        <v>20</v>
      </c>
      <c r="H543" s="0" t="n">
        <v>0</v>
      </c>
      <c r="I543" s="2" t="n">
        <f aca="false">(E543/100)*H543</f>
        <v>0</v>
      </c>
      <c r="J543" s="0" t="n">
        <v>0</v>
      </c>
      <c r="K543" s="6" t="n">
        <f aca="false">G543/E543</f>
        <v>0.4</v>
      </c>
      <c r="L543" s="7" t="n">
        <v>0.05</v>
      </c>
      <c r="M543" s="7" t="n">
        <f aca="false">2.9/G543</f>
        <v>0.145</v>
      </c>
      <c r="N543" s="0" t="n">
        <v>0</v>
      </c>
      <c r="O543" s="0" t="n">
        <v>0</v>
      </c>
      <c r="P543" s="0" t="n">
        <v>0</v>
      </c>
      <c r="Q543" s="0" t="n">
        <v>0</v>
      </c>
      <c r="V543" s="0" t="n">
        <v>0</v>
      </c>
    </row>
    <row r="544" customFormat="false" ht="12.8" hidden="false" customHeight="false" outlineLevel="0" collapsed="false">
      <c r="A544" s="0" t="s">
        <v>640</v>
      </c>
      <c r="B544" s="0" t="s">
        <v>20</v>
      </c>
      <c r="C544" s="0" t="s">
        <v>21</v>
      </c>
      <c r="D544" s="0" t="s">
        <v>647</v>
      </c>
      <c r="E544" s="0" t="n">
        <v>25</v>
      </c>
      <c r="F544" s="0" t="n">
        <v>69</v>
      </c>
      <c r="G544" s="1" t="n">
        <f aca="false">(E544/100)*F544</f>
        <v>17.25</v>
      </c>
      <c r="H544" s="0" t="n">
        <v>0</v>
      </c>
      <c r="I544" s="2" t="n">
        <f aca="false">(E544/100)*H544</f>
        <v>0</v>
      </c>
      <c r="J544" s="0" t="n">
        <v>0</v>
      </c>
      <c r="K544" s="6" t="n">
        <f aca="false">G544/E544</f>
        <v>0.69</v>
      </c>
      <c r="L544" s="7" t="n">
        <v>0.011</v>
      </c>
      <c r="M544" s="7" t="n">
        <f aca="false">2.99/G544</f>
        <v>0.173333333333333</v>
      </c>
      <c r="N544" s="0" t="n">
        <v>0</v>
      </c>
      <c r="O544" s="0" t="n">
        <v>0</v>
      </c>
      <c r="P544" s="0" t="n">
        <v>0</v>
      </c>
      <c r="Q544" s="0" t="n">
        <v>0</v>
      </c>
      <c r="V544" s="0" t="n">
        <v>0</v>
      </c>
    </row>
    <row r="545" customFormat="false" ht="12.8" hidden="false" customHeight="false" outlineLevel="0" collapsed="false">
      <c r="A545" s="0" t="s">
        <v>640</v>
      </c>
      <c r="B545" s="0" t="s">
        <v>20</v>
      </c>
      <c r="C545" s="0" t="s">
        <v>21</v>
      </c>
      <c r="D545" s="0" t="s">
        <v>648</v>
      </c>
      <c r="E545" s="0" t="n">
        <v>75</v>
      </c>
      <c r="F545" s="0" t="n">
        <v>72</v>
      </c>
      <c r="G545" s="1" t="n">
        <f aca="false">(E545/100)*F545</f>
        <v>54</v>
      </c>
      <c r="H545" s="0" t="n">
        <v>0</v>
      </c>
      <c r="I545" s="2" t="n">
        <f aca="false">(E545/100)*H545</f>
        <v>0</v>
      </c>
      <c r="J545" s="0" t="n">
        <v>80</v>
      </c>
      <c r="K545" s="6" t="n">
        <f aca="false">G545/E545</f>
        <v>0.72</v>
      </c>
      <c r="L545" s="7" t="n">
        <f aca="false">0.3*0.4*0.75</f>
        <v>0.09</v>
      </c>
      <c r="M545" s="7" t="n">
        <f aca="false">4.99/G545</f>
        <v>0.0924074074074074</v>
      </c>
      <c r="N545" s="0" t="n">
        <v>0</v>
      </c>
      <c r="O545" s="0" t="n">
        <v>0</v>
      </c>
      <c r="P545" s="0" t="n">
        <v>0</v>
      </c>
      <c r="Q545" s="0" t="n">
        <v>0</v>
      </c>
      <c r="V545" s="0" t="n">
        <v>0</v>
      </c>
    </row>
    <row r="546" customFormat="false" ht="12.8" hidden="false" customHeight="false" outlineLevel="0" collapsed="false">
      <c r="A546" s="0" t="s">
        <v>640</v>
      </c>
      <c r="B546" s="0" t="s">
        <v>36</v>
      </c>
      <c r="C546" s="0" t="s">
        <v>37</v>
      </c>
      <c r="D546" s="0" t="s">
        <v>649</v>
      </c>
      <c r="E546" s="0" t="n">
        <v>40</v>
      </c>
      <c r="F546" s="0" t="n">
        <v>59</v>
      </c>
      <c r="G546" s="1" t="n">
        <f aca="false">(E546/100)*F546</f>
        <v>23.6</v>
      </c>
      <c r="H546" s="0" t="n">
        <v>5.3</v>
      </c>
      <c r="I546" s="2" t="n">
        <f aca="false">(E546/100)*H546</f>
        <v>2.12</v>
      </c>
      <c r="J546" s="0" t="n">
        <f aca="false">193*0.4</f>
        <v>77.2</v>
      </c>
      <c r="K546" s="6" t="n">
        <f aca="false">G546/E546</f>
        <v>0.59</v>
      </c>
      <c r="L546" s="7" t="n">
        <f aca="false">0.42*0.4</f>
        <v>0.168</v>
      </c>
      <c r="M546" s="7" t="n">
        <f aca="false">2.5/G546</f>
        <v>0.105932203389831</v>
      </c>
      <c r="N546" s="0" t="n">
        <v>0</v>
      </c>
      <c r="O546" s="0" t="n">
        <v>1</v>
      </c>
      <c r="P546" s="0" t="n">
        <v>1</v>
      </c>
      <c r="Q546" s="0" t="n">
        <v>0</v>
      </c>
      <c r="V546" s="0" t="n">
        <v>0</v>
      </c>
    </row>
    <row r="547" customFormat="false" ht="12.8" hidden="false" customHeight="false" outlineLevel="0" collapsed="false">
      <c r="A547" s="0" t="s">
        <v>640</v>
      </c>
      <c r="B547" s="0" t="s">
        <v>45</v>
      </c>
      <c r="C547" s="0" t="s">
        <v>46</v>
      </c>
      <c r="D547" s="10" t="s">
        <v>650</v>
      </c>
      <c r="E547" s="0" t="n">
        <v>40</v>
      </c>
      <c r="F547" s="0" t="n">
        <v>59</v>
      </c>
      <c r="G547" s="1" t="n">
        <f aca="false">(E547/100)*F547</f>
        <v>23.6</v>
      </c>
      <c r="H547" s="0" t="n">
        <v>5.4</v>
      </c>
      <c r="I547" s="2" t="n">
        <f aca="false">(E547/100)*H547</f>
        <v>2.16</v>
      </c>
      <c r="J547" s="0" t="n">
        <v>0</v>
      </c>
      <c r="K547" s="6" t="n">
        <f aca="false">G547/E547</f>
        <v>0.59</v>
      </c>
      <c r="L547" s="7" t="n">
        <f aca="false">0.77*0.4</f>
        <v>0.308</v>
      </c>
      <c r="M547" s="7" t="n">
        <f aca="false">2.5/G547</f>
        <v>0.105932203389831</v>
      </c>
      <c r="N547" s="0" t="n">
        <v>0</v>
      </c>
      <c r="O547" s="0" t="n">
        <v>0</v>
      </c>
      <c r="P547" s="0" t="n">
        <v>0</v>
      </c>
      <c r="Q547" s="0" t="n">
        <v>0</v>
      </c>
      <c r="V547" s="0" t="n">
        <v>0</v>
      </c>
    </row>
    <row r="548" customFormat="false" ht="12.8" hidden="false" customHeight="false" outlineLevel="0" collapsed="false">
      <c r="A548" s="0" t="s">
        <v>640</v>
      </c>
      <c r="B548" s="0" t="s">
        <v>36</v>
      </c>
      <c r="C548" s="0" t="s">
        <v>37</v>
      </c>
      <c r="D548" s="0" t="s">
        <v>651</v>
      </c>
      <c r="E548" s="0" t="n">
        <v>40</v>
      </c>
      <c r="F548" s="0" t="n">
        <v>68.6</v>
      </c>
      <c r="G548" s="1" t="n">
        <f aca="false">(E548/100)*F548</f>
        <v>27.44</v>
      </c>
      <c r="H548" s="0" t="n">
        <v>4.3</v>
      </c>
      <c r="I548" s="2" t="n">
        <f aca="false">(E548/100)*H548</f>
        <v>1.72</v>
      </c>
      <c r="J548" s="0" t="n">
        <v>0</v>
      </c>
      <c r="K548" s="6" t="n">
        <f aca="false">G548/E548</f>
        <v>0.686</v>
      </c>
      <c r="L548" s="7" t="n">
        <v>0.004</v>
      </c>
      <c r="M548" s="7" t="n">
        <f aca="false">2.5/G548</f>
        <v>0.0911078717201166</v>
      </c>
      <c r="N548" s="0" t="n">
        <v>0</v>
      </c>
      <c r="O548" s="0" t="n">
        <v>0</v>
      </c>
      <c r="P548" s="0" t="n">
        <v>1</v>
      </c>
      <c r="Q548" s="0" t="n">
        <v>0</v>
      </c>
      <c r="V548" s="0" t="n">
        <v>0</v>
      </c>
    </row>
    <row r="549" customFormat="false" ht="12.8" hidden="false" customHeight="false" outlineLevel="0" collapsed="false">
      <c r="A549" s="0" t="s">
        <v>640</v>
      </c>
      <c r="B549" s="0" t="s">
        <v>36</v>
      </c>
      <c r="C549" s="0" t="s">
        <v>37</v>
      </c>
      <c r="D549" s="0" t="s">
        <v>652</v>
      </c>
      <c r="E549" s="0" t="n">
        <v>40</v>
      </c>
      <c r="F549" s="0" t="n">
        <v>59</v>
      </c>
      <c r="G549" s="1" t="n">
        <f aca="false">(E549/100)*F549</f>
        <v>23.6</v>
      </c>
      <c r="H549" s="0" t="n">
        <v>7.8</v>
      </c>
      <c r="I549" s="2" t="n">
        <f aca="false">(E549/100)*H549</f>
        <v>3.12</v>
      </c>
      <c r="J549" s="0" t="n">
        <v>0</v>
      </c>
      <c r="K549" s="6" t="n">
        <f aca="false">G549/E549</f>
        <v>0.59</v>
      </c>
      <c r="L549" s="7" t="n">
        <v>0.001</v>
      </c>
      <c r="M549" s="7" t="n">
        <f aca="false">2.5/G549</f>
        <v>0.105932203389831</v>
      </c>
      <c r="N549" s="0" t="n">
        <v>0</v>
      </c>
      <c r="O549" s="0" t="n">
        <v>0</v>
      </c>
      <c r="P549" s="0" t="n">
        <v>0</v>
      </c>
      <c r="Q549" s="0" t="n">
        <v>0</v>
      </c>
      <c r="V549" s="0" t="n">
        <v>0</v>
      </c>
    </row>
    <row r="550" customFormat="false" ht="12.8" hidden="false" customHeight="false" outlineLevel="0" collapsed="false">
      <c r="A550" s="0" t="s">
        <v>640</v>
      </c>
      <c r="B550" s="0" t="s">
        <v>36</v>
      </c>
      <c r="C550" s="0" t="s">
        <v>37</v>
      </c>
      <c r="D550" s="0" t="s">
        <v>653</v>
      </c>
      <c r="E550" s="0" t="n">
        <v>34</v>
      </c>
      <c r="F550" s="0" t="n">
        <v>60</v>
      </c>
      <c r="G550" s="1" t="n">
        <f aca="false">(E550/100)*F550</f>
        <v>20.4</v>
      </c>
      <c r="H550" s="0" t="n">
        <v>15</v>
      </c>
      <c r="I550" s="2" t="n">
        <f aca="false">(E550/100)*H550</f>
        <v>5.1</v>
      </c>
      <c r="J550" s="0" t="n">
        <v>0</v>
      </c>
      <c r="K550" s="6" t="n">
        <f aca="false">G550/E550</f>
        <v>0.6</v>
      </c>
      <c r="L550" s="7" t="n">
        <f aca="false">0.04*0.4</f>
        <v>0.016</v>
      </c>
      <c r="M550" s="7" t="n">
        <f aca="false">3.95/G550</f>
        <v>0.193627450980392</v>
      </c>
      <c r="N550" s="0" t="n">
        <v>1</v>
      </c>
      <c r="O550" s="0" t="n">
        <v>0</v>
      </c>
      <c r="P550" s="0" t="n">
        <v>1</v>
      </c>
      <c r="Q550" s="0" t="n">
        <v>0</v>
      </c>
      <c r="V550" s="0" t="n">
        <v>0</v>
      </c>
    </row>
    <row r="551" customFormat="false" ht="12.8" hidden="false" customHeight="false" outlineLevel="0" collapsed="false">
      <c r="A551" s="0" t="s">
        <v>640</v>
      </c>
      <c r="B551" s="0" t="s">
        <v>45</v>
      </c>
      <c r="C551" s="0" t="s">
        <v>46</v>
      </c>
      <c r="D551" s="0" t="s">
        <v>654</v>
      </c>
      <c r="E551" s="0" t="n">
        <v>34</v>
      </c>
      <c r="F551" s="0" t="n">
        <v>48</v>
      </c>
      <c r="G551" s="1" t="n">
        <f aca="false">(E551/100)*F551</f>
        <v>16.32</v>
      </c>
      <c r="H551" s="0" t="n">
        <v>16</v>
      </c>
      <c r="I551" s="2" t="n">
        <f aca="false">(E551/100)*H551</f>
        <v>5.44</v>
      </c>
      <c r="J551" s="0" t="n">
        <f aca="false">79*0.34</f>
        <v>26.86</v>
      </c>
      <c r="K551" s="6" t="n">
        <f aca="false">G551/E551</f>
        <v>0.48</v>
      </c>
      <c r="L551" s="7" t="n">
        <f aca="false">0.16*0.4</f>
        <v>0.064</v>
      </c>
      <c r="M551" s="7" t="n">
        <f aca="false">3.95/G551</f>
        <v>0.24203431372549</v>
      </c>
      <c r="N551" s="0" t="n">
        <v>1</v>
      </c>
      <c r="O551" s="0" t="n">
        <v>0</v>
      </c>
      <c r="P551" s="0" t="n">
        <v>1</v>
      </c>
      <c r="Q551" s="0" t="n">
        <v>0</v>
      </c>
      <c r="V551" s="0" t="n">
        <v>0</v>
      </c>
    </row>
    <row r="552" customFormat="false" ht="12.8" hidden="false" customHeight="false" outlineLevel="0" collapsed="false">
      <c r="A552" s="0" t="s">
        <v>640</v>
      </c>
      <c r="B552" s="0" t="s">
        <v>36</v>
      </c>
      <c r="C552" s="0" t="s">
        <v>37</v>
      </c>
      <c r="D552" s="0" t="s">
        <v>655</v>
      </c>
      <c r="E552" s="0" t="n">
        <v>34</v>
      </c>
      <c r="F552" s="0" t="n">
        <v>44</v>
      </c>
      <c r="G552" s="1" t="n">
        <f aca="false">(E552/100)*F552</f>
        <v>14.96</v>
      </c>
      <c r="H552" s="0" t="n">
        <v>16</v>
      </c>
      <c r="I552" s="2" t="n">
        <f aca="false">(E552/100)*H552</f>
        <v>5.44</v>
      </c>
      <c r="J552" s="0" t="n">
        <f aca="false">79*0.34</f>
        <v>26.86</v>
      </c>
      <c r="K552" s="6" t="n">
        <f aca="false">G552/E552</f>
        <v>0.44</v>
      </c>
      <c r="L552" s="7" t="n">
        <v>0.016</v>
      </c>
      <c r="M552" s="7" t="n">
        <f aca="false">3.95/G552</f>
        <v>0.26403743315508</v>
      </c>
      <c r="N552" s="0" t="n">
        <v>1</v>
      </c>
      <c r="O552" s="0" t="n">
        <v>0</v>
      </c>
      <c r="P552" s="0" t="n">
        <v>1</v>
      </c>
      <c r="Q552" s="0" t="n">
        <v>0</v>
      </c>
      <c r="V552" s="0" t="n">
        <v>0</v>
      </c>
    </row>
    <row r="553" customFormat="false" ht="12.8" hidden="false" customHeight="false" outlineLevel="0" collapsed="false">
      <c r="A553" s="0" t="s">
        <v>656</v>
      </c>
      <c r="B553" s="0" t="s">
        <v>36</v>
      </c>
      <c r="C553" s="0" t="s">
        <v>37</v>
      </c>
      <c r="D553" s="0" t="s">
        <v>657</v>
      </c>
      <c r="E553" s="0" t="n">
        <v>26</v>
      </c>
      <c r="F553" s="0" t="n">
        <v>80</v>
      </c>
      <c r="G553" s="1" t="n">
        <f aca="false">(E553/100)*F553</f>
        <v>20.8</v>
      </c>
      <c r="H553" s="0" t="n">
        <v>0</v>
      </c>
      <c r="I553" s="2" t="n">
        <f aca="false">(E553/100)*H553</f>
        <v>0</v>
      </c>
      <c r="J553" s="0" t="n">
        <v>0</v>
      </c>
      <c r="K553" s="6" t="n">
        <f aca="false">G553/E553</f>
        <v>0.8</v>
      </c>
      <c r="L553" s="7" t="n">
        <v>0.02</v>
      </c>
      <c r="M553" s="7" t="n">
        <f aca="false">1.9/G553</f>
        <v>0.0913461538461538</v>
      </c>
      <c r="N553" s="0" t="n">
        <v>0</v>
      </c>
      <c r="O553" s="0" t="n">
        <v>0</v>
      </c>
      <c r="P553" s="0" t="n">
        <v>0</v>
      </c>
      <c r="Q553" s="0" t="n">
        <v>0</v>
      </c>
      <c r="U553" s="0" t="s">
        <v>658</v>
      </c>
      <c r="V553" s="0" t="n">
        <v>1</v>
      </c>
    </row>
    <row r="554" customFormat="false" ht="12.8" hidden="false" customHeight="false" outlineLevel="0" collapsed="false">
      <c r="A554" s="0" t="s">
        <v>656</v>
      </c>
      <c r="B554" s="0" t="s">
        <v>36</v>
      </c>
      <c r="C554" s="0" t="s">
        <v>37</v>
      </c>
      <c r="D554" s="0" t="s">
        <v>659</v>
      </c>
      <c r="E554" s="0" t="n">
        <v>55</v>
      </c>
      <c r="F554" s="0" t="n">
        <v>45</v>
      </c>
      <c r="G554" s="1" t="n">
        <f aca="false">(E554/100)*F554</f>
        <v>24.75</v>
      </c>
      <c r="H554" s="0" t="n">
        <v>13</v>
      </c>
      <c r="I554" s="2" t="n">
        <f aca="false">(E554/100)*H554</f>
        <v>7.15</v>
      </c>
      <c r="J554" s="0" t="n">
        <v>0</v>
      </c>
      <c r="K554" s="6" t="n">
        <f aca="false">G554/E554</f>
        <v>0.45</v>
      </c>
      <c r="L554" s="7" t="n">
        <v>0.004</v>
      </c>
      <c r="M554" s="7" t="n">
        <f aca="false">1.67/G554</f>
        <v>0.0674747474747475</v>
      </c>
      <c r="N554" s="0" t="n">
        <v>0</v>
      </c>
      <c r="O554" s="0" t="n">
        <v>1</v>
      </c>
      <c r="P554" s="0" t="n">
        <v>1</v>
      </c>
      <c r="Q554" s="0" t="n">
        <v>0</v>
      </c>
      <c r="U554" s="0" t="s">
        <v>658</v>
      </c>
      <c r="V554" s="0" t="n">
        <v>1</v>
      </c>
    </row>
    <row r="555" customFormat="false" ht="12.8" hidden="false" customHeight="false" outlineLevel="0" collapsed="false">
      <c r="A555" s="0" t="s">
        <v>656</v>
      </c>
      <c r="B555" s="0" t="s">
        <v>36</v>
      </c>
      <c r="C555" s="0" t="s">
        <v>37</v>
      </c>
      <c r="D555" s="0" t="s">
        <v>660</v>
      </c>
      <c r="E555" s="0" t="n">
        <v>55</v>
      </c>
      <c r="F555" s="0" t="n">
        <v>68</v>
      </c>
      <c r="G555" s="1" t="n">
        <f aca="false">(E555/100)*F555</f>
        <v>37.4</v>
      </c>
      <c r="H555" s="0" t="n">
        <v>5.8</v>
      </c>
      <c r="I555" s="2" t="n">
        <f aca="false">(E555/100)*H555</f>
        <v>3.19</v>
      </c>
      <c r="J555" s="0" t="n">
        <v>0</v>
      </c>
      <c r="K555" s="6" t="n">
        <f aca="false">G555/E555</f>
        <v>0.68</v>
      </c>
      <c r="L555" s="7" t="n">
        <f aca="false">0.06*0.4</f>
        <v>0.024</v>
      </c>
      <c r="M555" s="7" t="n">
        <f aca="false">1.67/G555</f>
        <v>0.0446524064171123</v>
      </c>
      <c r="N555" s="0" t="n">
        <v>0</v>
      </c>
      <c r="O555" s="0" t="n">
        <v>1</v>
      </c>
      <c r="P555" s="0" t="n">
        <v>0</v>
      </c>
      <c r="Q555" s="0" t="n">
        <v>1</v>
      </c>
      <c r="U555" s="0" t="s">
        <v>658</v>
      </c>
      <c r="V555" s="0" t="n">
        <v>1</v>
      </c>
    </row>
    <row r="556" customFormat="false" ht="12.8" hidden="false" customHeight="false" outlineLevel="0" collapsed="false">
      <c r="A556" s="0" t="s">
        <v>656</v>
      </c>
      <c r="B556" s="0" t="s">
        <v>36</v>
      </c>
      <c r="C556" s="0" t="s">
        <v>37</v>
      </c>
      <c r="D556" s="0" t="s">
        <v>661</v>
      </c>
      <c r="E556" s="0" t="n">
        <v>55</v>
      </c>
      <c r="F556" s="0" t="n">
        <v>66</v>
      </c>
      <c r="G556" s="1" t="n">
        <f aca="false">(E556/100)*F556</f>
        <v>36.3</v>
      </c>
      <c r="H556" s="0" t="n">
        <v>4.3</v>
      </c>
      <c r="I556" s="2" t="n">
        <f aca="false">(E556/100)*H556</f>
        <v>2.365</v>
      </c>
      <c r="J556" s="0" t="n">
        <v>0</v>
      </c>
      <c r="K556" s="6" t="n">
        <f aca="false">G556/E556</f>
        <v>0.66</v>
      </c>
      <c r="L556" s="7" t="n">
        <v>0.04</v>
      </c>
      <c r="M556" s="7" t="n">
        <f aca="false">1.67/G556</f>
        <v>0.0460055096418733</v>
      </c>
      <c r="N556" s="0" t="n">
        <v>0</v>
      </c>
      <c r="O556" s="0" t="n">
        <v>1</v>
      </c>
      <c r="P556" s="0" t="n">
        <v>0</v>
      </c>
      <c r="Q556" s="0" t="n">
        <v>0</v>
      </c>
      <c r="U556" s="0" t="s">
        <v>658</v>
      </c>
      <c r="V556" s="0" t="n">
        <v>1</v>
      </c>
    </row>
    <row r="557" customFormat="false" ht="12.8" hidden="false" customHeight="false" outlineLevel="0" collapsed="false">
      <c r="A557" s="0" t="s">
        <v>656</v>
      </c>
      <c r="B557" s="0" t="s">
        <v>36</v>
      </c>
      <c r="C557" s="0" t="s">
        <v>37</v>
      </c>
      <c r="D557" s="0" t="s">
        <v>662</v>
      </c>
      <c r="E557" s="0" t="n">
        <v>55</v>
      </c>
      <c r="F557" s="0" t="n">
        <v>63</v>
      </c>
      <c r="G557" s="1" t="n">
        <f aca="false">(E557/100)*F557</f>
        <v>34.65</v>
      </c>
      <c r="H557" s="0" t="n">
        <v>6.2</v>
      </c>
      <c r="I557" s="2" t="n">
        <f aca="false">(E557/100)*H557</f>
        <v>3.41</v>
      </c>
      <c r="J557" s="0" t="n">
        <v>0</v>
      </c>
      <c r="K557" s="6" t="n">
        <f aca="false">G557/E557</f>
        <v>0.63</v>
      </c>
      <c r="L557" s="7" t="n">
        <f aca="false">0.03*0.4</f>
        <v>0.012</v>
      </c>
      <c r="M557" s="7" t="n">
        <f aca="false">1.67/G557</f>
        <v>0.0481962481962482</v>
      </c>
      <c r="N557" s="0" t="n">
        <v>0</v>
      </c>
      <c r="O557" s="0" t="n">
        <v>1</v>
      </c>
      <c r="P557" s="0" t="n">
        <v>0</v>
      </c>
      <c r="Q557" s="0" t="n">
        <v>0</v>
      </c>
      <c r="U557" s="0" t="s">
        <v>658</v>
      </c>
      <c r="V557" s="0" t="n">
        <v>1</v>
      </c>
    </row>
    <row r="558" customFormat="false" ht="12.8" hidden="false" customHeight="false" outlineLevel="0" collapsed="false">
      <c r="A558" s="0" t="s">
        <v>656</v>
      </c>
      <c r="B558" s="0" t="s">
        <v>36</v>
      </c>
      <c r="C558" s="0" t="s">
        <v>37</v>
      </c>
      <c r="D558" s="0" t="s">
        <v>663</v>
      </c>
      <c r="E558" s="0" t="n">
        <v>55</v>
      </c>
      <c r="F558" s="0" t="n">
        <v>70</v>
      </c>
      <c r="G558" s="1" t="n">
        <f aca="false">(E558/100)*F558</f>
        <v>38.5</v>
      </c>
      <c r="H558" s="0" t="n">
        <v>4</v>
      </c>
      <c r="I558" s="2" t="n">
        <f aca="false">(E558/100)*H558</f>
        <v>2.2</v>
      </c>
      <c r="J558" s="0" t="n">
        <v>0</v>
      </c>
      <c r="K558" s="6" t="n">
        <f aca="false">G558/E558</f>
        <v>0.7</v>
      </c>
      <c r="L558" s="7" t="n">
        <f aca="false">0.06*0.4</f>
        <v>0.024</v>
      </c>
      <c r="M558" s="7" t="n">
        <f aca="false">1.67/G558</f>
        <v>0.0433766233766234</v>
      </c>
      <c r="N558" s="0" t="n">
        <v>0</v>
      </c>
      <c r="O558" s="0" t="n">
        <v>1</v>
      </c>
      <c r="P558" s="0" t="n">
        <v>0</v>
      </c>
      <c r="Q558" s="0" t="n">
        <v>0</v>
      </c>
      <c r="U558" s="0" t="s">
        <v>658</v>
      </c>
      <c r="V558" s="0" t="n">
        <v>1</v>
      </c>
    </row>
    <row r="559" customFormat="false" ht="12.8" hidden="false" customHeight="false" outlineLevel="0" collapsed="false">
      <c r="A559" s="0" t="s">
        <v>656</v>
      </c>
      <c r="B559" s="0" t="s">
        <v>20</v>
      </c>
      <c r="C559" s="0" t="s">
        <v>21</v>
      </c>
      <c r="D559" s="0" t="s">
        <v>664</v>
      </c>
      <c r="E559" s="0" t="n">
        <v>40</v>
      </c>
      <c r="F559" s="0" t="n">
        <v>57</v>
      </c>
      <c r="G559" s="1" t="n">
        <f aca="false">(E559/100)*F559</f>
        <v>22.8</v>
      </c>
      <c r="H559" s="0" t="n">
        <v>0</v>
      </c>
      <c r="I559" s="2" t="n">
        <f aca="false">(E559/100)*H559</f>
        <v>0</v>
      </c>
      <c r="J559" s="0" t="n">
        <v>0</v>
      </c>
      <c r="K559" s="6" t="n">
        <f aca="false">G559/E559</f>
        <v>0.57</v>
      </c>
      <c r="L559" s="7" t="n">
        <v>0.02</v>
      </c>
      <c r="M559" s="7" t="n">
        <f aca="false">1.7/G559</f>
        <v>0.0745614035087719</v>
      </c>
      <c r="N559" s="0" t="n">
        <v>0</v>
      </c>
      <c r="O559" s="0" t="n">
        <v>0</v>
      </c>
      <c r="P559" s="0" t="n">
        <v>0</v>
      </c>
      <c r="Q559" s="0" t="n">
        <v>0</v>
      </c>
      <c r="U559" s="0" t="s">
        <v>658</v>
      </c>
      <c r="V559" s="0" t="n">
        <v>1</v>
      </c>
    </row>
    <row r="560" customFormat="false" ht="12.8" hidden="false" customHeight="false" outlineLevel="0" collapsed="false">
      <c r="A560" s="0" t="s">
        <v>656</v>
      </c>
      <c r="B560" s="0" t="s">
        <v>20</v>
      </c>
      <c r="C560" s="0" t="s">
        <v>21</v>
      </c>
      <c r="D560" s="0" t="s">
        <v>665</v>
      </c>
      <c r="E560" s="0" t="n">
        <v>60</v>
      </c>
      <c r="F560" s="0" t="n">
        <v>38</v>
      </c>
      <c r="G560" s="1" t="n">
        <f aca="false">(E560/100)*F560</f>
        <v>22.8</v>
      </c>
      <c r="H560" s="0" t="n">
        <v>0</v>
      </c>
      <c r="I560" s="2" t="n">
        <f aca="false">(E560/100)*H560</f>
        <v>0</v>
      </c>
      <c r="J560" s="0" t="n">
        <v>0</v>
      </c>
      <c r="K560" s="6" t="n">
        <f aca="false">G560/E560</f>
        <v>0.38</v>
      </c>
      <c r="L560" s="7" t="n">
        <f aca="false">0.22*0.4</f>
        <v>0.088</v>
      </c>
      <c r="M560" s="7" t="n">
        <f aca="false">1.78/G560</f>
        <v>0.0780701754385965</v>
      </c>
      <c r="N560" s="0" t="n">
        <v>0</v>
      </c>
      <c r="O560" s="0" t="n">
        <v>0</v>
      </c>
      <c r="P560" s="0" t="n">
        <v>0</v>
      </c>
      <c r="Q560" s="0" t="n">
        <v>0</v>
      </c>
      <c r="U560" s="0" t="s">
        <v>658</v>
      </c>
      <c r="V560" s="0" t="n">
        <v>1</v>
      </c>
    </row>
    <row r="561" customFormat="false" ht="12.8" hidden="false" customHeight="false" outlineLevel="0" collapsed="false">
      <c r="A561" s="0" t="s">
        <v>656</v>
      </c>
      <c r="B561" s="0" t="s">
        <v>20</v>
      </c>
      <c r="C561" s="0" t="s">
        <v>21</v>
      </c>
      <c r="D561" s="0" t="s">
        <v>666</v>
      </c>
      <c r="E561" s="0" t="n">
        <v>66</v>
      </c>
      <c r="F561" s="0" t="n">
        <v>36</v>
      </c>
      <c r="G561" s="1" t="n">
        <f aca="false">(E561/100)*F561</f>
        <v>23.76</v>
      </c>
      <c r="H561" s="0" t="n">
        <v>0</v>
      </c>
      <c r="I561" s="2" t="n">
        <f aca="false">(E561/100)*H561</f>
        <v>0</v>
      </c>
      <c r="J561" s="0" t="n">
        <v>0</v>
      </c>
      <c r="K561" s="6" t="n">
        <f aca="false">G561/E561</f>
        <v>0.36</v>
      </c>
      <c r="L561" s="7" t="n">
        <f aca="false">0.07*0.4</f>
        <v>0.028</v>
      </c>
      <c r="M561" s="7" t="n">
        <f aca="false">1.78/G561</f>
        <v>0.0749158249158249</v>
      </c>
      <c r="N561" s="0" t="n">
        <v>0</v>
      </c>
      <c r="O561" s="0" t="n">
        <v>0</v>
      </c>
      <c r="P561" s="0" t="n">
        <v>0</v>
      </c>
      <c r="Q561" s="0" t="n">
        <v>0</v>
      </c>
      <c r="U561" s="0" t="s">
        <v>658</v>
      </c>
      <c r="V561" s="0" t="n">
        <v>1</v>
      </c>
    </row>
    <row r="562" customFormat="false" ht="12.8" hidden="false" customHeight="false" outlineLevel="0" collapsed="false">
      <c r="A562" s="0" t="s">
        <v>656</v>
      </c>
      <c r="B562" s="0" t="s">
        <v>20</v>
      </c>
      <c r="C562" s="0" t="s">
        <v>21</v>
      </c>
      <c r="D562" s="0" t="s">
        <v>667</v>
      </c>
      <c r="E562" s="0" t="n">
        <v>40</v>
      </c>
      <c r="F562" s="0" t="n">
        <v>57</v>
      </c>
      <c r="G562" s="1" t="n">
        <f aca="false">(E562/100)*F562</f>
        <v>22.8</v>
      </c>
      <c r="H562" s="0" t="n">
        <v>0</v>
      </c>
      <c r="I562" s="2" t="n">
        <f aca="false">(E562/100)*H562</f>
        <v>0</v>
      </c>
      <c r="J562" s="0" t="n">
        <v>30</v>
      </c>
      <c r="K562" s="6" t="n">
        <f aca="false">G562/E562</f>
        <v>0.57</v>
      </c>
      <c r="L562" s="7" t="n">
        <f aca="false">0.05*0.4</f>
        <v>0.02</v>
      </c>
      <c r="M562" s="7" t="n">
        <f aca="false">1.72/G562</f>
        <v>0.0754385964912281</v>
      </c>
      <c r="N562" s="0" t="n">
        <v>0</v>
      </c>
      <c r="O562" s="0" t="n">
        <v>0</v>
      </c>
      <c r="P562" s="0" t="n">
        <v>0</v>
      </c>
      <c r="Q562" s="0" t="n">
        <v>0</v>
      </c>
      <c r="U562" s="0" t="s">
        <v>658</v>
      </c>
      <c r="V562" s="0" t="n">
        <v>1</v>
      </c>
    </row>
    <row r="563" customFormat="false" ht="12.8" hidden="false" customHeight="false" outlineLevel="0" collapsed="false">
      <c r="A563" s="0" t="s">
        <v>656</v>
      </c>
      <c r="B563" s="0" t="s">
        <v>20</v>
      </c>
      <c r="C563" s="0" t="s">
        <v>21</v>
      </c>
      <c r="D563" s="0" t="s">
        <v>668</v>
      </c>
      <c r="E563" s="0" t="n">
        <v>66</v>
      </c>
      <c r="F563" s="0" t="n">
        <v>36</v>
      </c>
      <c r="G563" s="1" t="n">
        <f aca="false">(E563/100)*F563</f>
        <v>23.76</v>
      </c>
      <c r="H563" s="0" t="n">
        <v>0</v>
      </c>
      <c r="I563" s="2" t="n">
        <f aca="false">(E563/100)*H563</f>
        <v>0</v>
      </c>
      <c r="J563" s="0" t="n">
        <v>30</v>
      </c>
      <c r="K563" s="6" t="n">
        <f aca="false">G563/E563</f>
        <v>0.36</v>
      </c>
      <c r="L563" s="7" t="n">
        <f aca="false">0.07*0.4</f>
        <v>0.028</v>
      </c>
      <c r="M563" s="7" t="n">
        <f aca="false">1.82/G563</f>
        <v>0.0765993265993266</v>
      </c>
      <c r="N563" s="0" t="n">
        <v>0</v>
      </c>
      <c r="O563" s="0" t="n">
        <v>0</v>
      </c>
      <c r="P563" s="0" t="n">
        <v>0</v>
      </c>
      <c r="Q563" s="0" t="n">
        <v>0</v>
      </c>
      <c r="U563" s="0" t="s">
        <v>658</v>
      </c>
      <c r="V563" s="0" t="n">
        <v>1</v>
      </c>
    </row>
    <row r="564" customFormat="false" ht="12.8" hidden="false" customHeight="false" outlineLevel="0" collapsed="false">
      <c r="A564" s="0" t="s">
        <v>656</v>
      </c>
      <c r="B564" s="0" t="s">
        <v>20</v>
      </c>
      <c r="C564" s="0" t="s">
        <v>21</v>
      </c>
      <c r="D564" s="0" t="s">
        <v>669</v>
      </c>
      <c r="E564" s="0" t="n">
        <v>66</v>
      </c>
      <c r="F564" s="0" t="n">
        <v>36</v>
      </c>
      <c r="G564" s="1" t="n">
        <f aca="false">(E564/100)*F564</f>
        <v>23.76</v>
      </c>
      <c r="H564" s="0" t="n">
        <v>0</v>
      </c>
      <c r="I564" s="2" t="n">
        <f aca="false">(E564/100)*H564</f>
        <v>0</v>
      </c>
      <c r="J564" s="0" t="n">
        <v>100</v>
      </c>
      <c r="K564" s="6" t="n">
        <f aca="false">G564/E564</f>
        <v>0.36</v>
      </c>
      <c r="L564" s="7" t="n">
        <f aca="false">0.09*0.4</f>
        <v>0.036</v>
      </c>
      <c r="M564" s="7" t="n">
        <f aca="false">2.26/G564</f>
        <v>0.0951178451178451</v>
      </c>
      <c r="N564" s="0" t="n">
        <v>0</v>
      </c>
      <c r="O564" s="0" t="n">
        <v>0</v>
      </c>
      <c r="P564" s="0" t="n">
        <v>0</v>
      </c>
      <c r="Q564" s="0" t="n">
        <v>0</v>
      </c>
      <c r="U564" s="0" t="s">
        <v>658</v>
      </c>
      <c r="V564" s="0" t="n">
        <v>1</v>
      </c>
    </row>
    <row r="565" customFormat="false" ht="12.8" hidden="false" customHeight="false" outlineLevel="0" collapsed="false">
      <c r="A565" s="0" t="s">
        <v>656</v>
      </c>
      <c r="B565" s="0" t="s">
        <v>25</v>
      </c>
      <c r="C565" s="0" t="s">
        <v>26</v>
      </c>
      <c r="D565" s="0" t="s">
        <v>670</v>
      </c>
      <c r="E565" s="0" t="n">
        <v>1</v>
      </c>
      <c r="F565" s="0" t="n">
        <v>93</v>
      </c>
      <c r="G565" s="1" t="n">
        <f aca="false">(E565/100)*F565</f>
        <v>0.93</v>
      </c>
      <c r="H565" s="0" t="n">
        <v>0</v>
      </c>
      <c r="I565" s="2" t="n">
        <f aca="false">(E565/100)*H565</f>
        <v>0</v>
      </c>
      <c r="J565" s="0" t="n">
        <v>0</v>
      </c>
      <c r="K565" s="6" t="n">
        <f aca="false">G565/E565</f>
        <v>0.93</v>
      </c>
      <c r="L565" s="7" t="n">
        <f aca="false">1.3*0.004</f>
        <v>0.0052</v>
      </c>
      <c r="M565" s="7" t="n">
        <f aca="false">(22.57/1000)/G565</f>
        <v>0.0242688172043011</v>
      </c>
      <c r="N565" s="0" t="n">
        <v>0</v>
      </c>
      <c r="O565" s="0" t="n">
        <v>0</v>
      </c>
      <c r="P565" s="0" t="n">
        <v>0</v>
      </c>
      <c r="Q565" s="0" t="n">
        <v>0</v>
      </c>
      <c r="U565" s="0" t="s">
        <v>658</v>
      </c>
      <c r="V565" s="0" t="n">
        <v>1</v>
      </c>
    </row>
    <row r="566" customFormat="false" ht="12.8" hidden="false" customHeight="false" outlineLevel="0" collapsed="false">
      <c r="A566" s="0" t="s">
        <v>656</v>
      </c>
      <c r="B566" s="0" t="s">
        <v>25</v>
      </c>
      <c r="C566" s="0" t="s">
        <v>26</v>
      </c>
      <c r="D566" s="0" t="s">
        <v>671</v>
      </c>
      <c r="E566" s="0" t="n">
        <v>1</v>
      </c>
      <c r="F566" s="0" t="n">
        <v>75</v>
      </c>
      <c r="G566" s="1" t="n">
        <f aca="false">(E566/100)*F566</f>
        <v>0.75</v>
      </c>
      <c r="H566" s="0" t="n">
        <v>15</v>
      </c>
      <c r="I566" s="2" t="n">
        <f aca="false">(E566/100)*H566</f>
        <v>0.15</v>
      </c>
      <c r="J566" s="0" t="n">
        <v>0</v>
      </c>
      <c r="K566" s="6" t="n">
        <f aca="false">G566/E566</f>
        <v>0.75</v>
      </c>
      <c r="L566" s="7" t="n">
        <f aca="false">1.3*0.004</f>
        <v>0.0052</v>
      </c>
      <c r="M566" s="7" t="n">
        <f aca="false">(50/1600)/G566</f>
        <v>0.0416666666666667</v>
      </c>
      <c r="N566" s="0" t="n">
        <v>0</v>
      </c>
      <c r="O566" s="0" t="n">
        <v>0</v>
      </c>
      <c r="P566" s="0" t="n">
        <v>0</v>
      </c>
      <c r="Q566" s="0" t="n">
        <v>1</v>
      </c>
      <c r="U566" s="0" t="s">
        <v>658</v>
      </c>
      <c r="V566" s="0" t="n">
        <v>1</v>
      </c>
    </row>
    <row r="567" customFormat="false" ht="12.8" hidden="false" customHeight="false" outlineLevel="0" collapsed="false">
      <c r="A567" s="0" t="s">
        <v>656</v>
      </c>
      <c r="B567" s="0" t="s">
        <v>25</v>
      </c>
      <c r="C567" s="0" t="s">
        <v>26</v>
      </c>
      <c r="D567" s="0" t="s">
        <v>672</v>
      </c>
      <c r="E567" s="0" t="n">
        <v>1</v>
      </c>
      <c r="F567" s="0" t="n">
        <v>94</v>
      </c>
      <c r="G567" s="1" t="n">
        <f aca="false">(E567/100)*F567</f>
        <v>0.94</v>
      </c>
      <c r="H567" s="0" t="n">
        <v>0</v>
      </c>
      <c r="I567" s="2" t="n">
        <f aca="false">(E567/100)*H567</f>
        <v>0</v>
      </c>
      <c r="J567" s="0" t="n">
        <v>0</v>
      </c>
      <c r="K567" s="6" t="n">
        <f aca="false">G567/E567</f>
        <v>0.94</v>
      </c>
      <c r="L567" s="7" t="n">
        <f aca="false">1.3*0.004</f>
        <v>0.0052</v>
      </c>
      <c r="M567" s="7" t="n">
        <f aca="false">(32.66/1000)/G567</f>
        <v>0.0347446808510638</v>
      </c>
      <c r="N567" s="0" t="n">
        <v>0</v>
      </c>
      <c r="O567" s="0" t="n">
        <v>0</v>
      </c>
      <c r="P567" s="0" t="n">
        <v>0</v>
      </c>
      <c r="Q567" s="0" t="n">
        <v>0</v>
      </c>
      <c r="U567" s="0" t="s">
        <v>658</v>
      </c>
      <c r="V567" s="0" t="n">
        <v>1</v>
      </c>
    </row>
    <row r="568" customFormat="false" ht="12.8" hidden="false" customHeight="false" outlineLevel="0" collapsed="false">
      <c r="A568" s="0" t="s">
        <v>656</v>
      </c>
      <c r="B568" s="0" t="s">
        <v>25</v>
      </c>
      <c r="C568" s="0" t="s">
        <v>26</v>
      </c>
      <c r="D568" s="0" t="s">
        <v>673</v>
      </c>
      <c r="E568" s="0" t="n">
        <v>1</v>
      </c>
      <c r="F568" s="0" t="n">
        <v>93</v>
      </c>
      <c r="G568" s="1" t="n">
        <f aca="false">(E568/100)*F568</f>
        <v>0.93</v>
      </c>
      <c r="H568" s="0" t="n">
        <v>0</v>
      </c>
      <c r="I568" s="2" t="n">
        <f aca="false">(E568/100)*H568</f>
        <v>0</v>
      </c>
      <c r="J568" s="0" t="n">
        <v>0.6</v>
      </c>
      <c r="K568" s="6" t="n">
        <f aca="false">G568/E568</f>
        <v>0.93</v>
      </c>
      <c r="L568" s="7" t="n">
        <f aca="false">1.3*0.004</f>
        <v>0.0052</v>
      </c>
      <c r="M568" s="7" t="n">
        <f aca="false">(45/2200)/G568</f>
        <v>0.0219941348973607</v>
      </c>
      <c r="N568" s="0" t="n">
        <v>0</v>
      </c>
      <c r="O568" s="0" t="n">
        <v>0</v>
      </c>
      <c r="P568" s="0" t="n">
        <v>0</v>
      </c>
      <c r="Q568" s="0" t="n">
        <v>0</v>
      </c>
      <c r="U568" s="0" t="s">
        <v>658</v>
      </c>
      <c r="V568" s="0" t="n">
        <v>1</v>
      </c>
    </row>
    <row r="569" customFormat="false" ht="12.8" hidden="false" customHeight="false" outlineLevel="0" collapsed="false">
      <c r="A569" s="0" t="s">
        <v>656</v>
      </c>
      <c r="B569" s="0" t="s">
        <v>25</v>
      </c>
      <c r="C569" s="0" t="s">
        <v>26</v>
      </c>
      <c r="D569" s="0" t="s">
        <v>674</v>
      </c>
      <c r="E569" s="0" t="n">
        <v>1</v>
      </c>
      <c r="F569" s="0" t="n">
        <v>93</v>
      </c>
      <c r="G569" s="1" t="n">
        <f aca="false">(E569/100)*F569</f>
        <v>0.93</v>
      </c>
      <c r="H569" s="0" t="n">
        <v>0</v>
      </c>
      <c r="I569" s="2" t="n">
        <f aca="false">(E569/100)*H569</f>
        <v>0</v>
      </c>
      <c r="J569" s="0" t="n">
        <v>3</v>
      </c>
      <c r="K569" s="6" t="n">
        <f aca="false">G569/E569</f>
        <v>0.93</v>
      </c>
      <c r="L569" s="7" t="n">
        <f aca="false">1.3*0.004</f>
        <v>0.0052</v>
      </c>
      <c r="M569" s="7" t="n">
        <f aca="false">(41.5/1400)/G569</f>
        <v>0.0318740399385561</v>
      </c>
      <c r="N569" s="0" t="n">
        <v>0</v>
      </c>
      <c r="O569" s="0" t="n">
        <v>0</v>
      </c>
      <c r="P569" s="0" t="n">
        <v>0</v>
      </c>
      <c r="Q569" s="0" t="n">
        <v>0</v>
      </c>
      <c r="U569" s="0" t="s">
        <v>658</v>
      </c>
      <c r="V569" s="0" t="n">
        <v>1</v>
      </c>
    </row>
    <row r="570" customFormat="false" ht="12.8" hidden="false" customHeight="false" outlineLevel="0" collapsed="false">
      <c r="A570" s="0" t="s">
        <v>675</v>
      </c>
      <c r="B570" s="0" t="s">
        <v>27</v>
      </c>
      <c r="C570" s="0" t="s">
        <v>28</v>
      </c>
      <c r="D570" s="0" t="s">
        <v>676</v>
      </c>
      <c r="E570" s="0" t="n">
        <v>75</v>
      </c>
      <c r="F570" s="0" t="n">
        <v>13.5</v>
      </c>
      <c r="G570" s="1" t="n">
        <f aca="false">(E570/100)*F570</f>
        <v>10.125</v>
      </c>
      <c r="H570" s="0" t="n">
        <v>5.6</v>
      </c>
      <c r="I570" s="2" t="n">
        <f aca="false">(E570/100)*H570</f>
        <v>4.2</v>
      </c>
      <c r="J570" s="0" t="n">
        <v>0</v>
      </c>
      <c r="K570" s="6" t="n">
        <f aca="false">G570/E570</f>
        <v>0.135</v>
      </c>
      <c r="L570" s="7" t="n">
        <f aca="false">0.13*0.75*0.4</f>
        <v>0.039</v>
      </c>
      <c r="M570" s="7" t="n">
        <f aca="false">3/G570</f>
        <v>0.296296296296296</v>
      </c>
      <c r="N570" s="0" t="n">
        <v>1</v>
      </c>
      <c r="O570" s="0" t="n">
        <v>0</v>
      </c>
      <c r="P570" s="0" t="n">
        <v>1</v>
      </c>
      <c r="Q570" s="0" t="n">
        <v>0</v>
      </c>
      <c r="V570" s="0" t="n">
        <v>0</v>
      </c>
    </row>
    <row r="571" customFormat="false" ht="12.8" hidden="false" customHeight="false" outlineLevel="0" collapsed="false">
      <c r="A571" s="0" t="s">
        <v>675</v>
      </c>
      <c r="B571" s="0" t="s">
        <v>32</v>
      </c>
      <c r="C571" s="0" t="s">
        <v>33</v>
      </c>
      <c r="D571" s="0" t="s">
        <v>677</v>
      </c>
      <c r="E571" s="0" t="n">
        <v>85</v>
      </c>
      <c r="F571" s="0" t="n">
        <v>8.33</v>
      </c>
      <c r="G571" s="1" t="n">
        <f aca="false">(E571/100)*F571</f>
        <v>7.0805</v>
      </c>
      <c r="H571" s="0" t="n">
        <v>1.5</v>
      </c>
      <c r="I571" s="2" t="n">
        <f aca="false">(E571/100)*H571</f>
        <v>1.275</v>
      </c>
      <c r="J571" s="0" t="n">
        <v>0</v>
      </c>
      <c r="K571" s="6" t="n">
        <f aca="false">G571/E571</f>
        <v>0.0833</v>
      </c>
      <c r="L571" s="7" t="n">
        <f aca="false">0.59*0.85*0.4</f>
        <v>0.2006</v>
      </c>
      <c r="M571" s="7" t="n">
        <f aca="false">3.8/G571</f>
        <v>0.53668526234023</v>
      </c>
      <c r="N571" s="0" t="n">
        <v>1</v>
      </c>
      <c r="O571" s="0" t="n">
        <v>0</v>
      </c>
      <c r="P571" s="0" t="n">
        <v>0</v>
      </c>
      <c r="Q571" s="0" t="n">
        <v>0</v>
      </c>
      <c r="V571" s="0" t="n">
        <v>0</v>
      </c>
    </row>
    <row r="572" customFormat="false" ht="12.8" hidden="false" customHeight="false" outlineLevel="0" collapsed="false">
      <c r="A572" s="0" t="s">
        <v>675</v>
      </c>
      <c r="B572" s="0" t="s">
        <v>32</v>
      </c>
      <c r="C572" s="0" t="s">
        <v>33</v>
      </c>
      <c r="D572" s="0" t="s">
        <v>678</v>
      </c>
      <c r="E572" s="0" t="n">
        <v>85</v>
      </c>
      <c r="F572" s="0" t="n">
        <v>8.3</v>
      </c>
      <c r="G572" s="1" t="n">
        <f aca="false">(E572/100)*F572</f>
        <v>7.055</v>
      </c>
      <c r="H572" s="0" t="n">
        <v>4.7</v>
      </c>
      <c r="I572" s="2" t="n">
        <f aca="false">(E572/100)*H572</f>
        <v>3.995</v>
      </c>
      <c r="J572" s="0" t="n">
        <v>0</v>
      </c>
      <c r="K572" s="6" t="n">
        <f aca="false">G572/E572</f>
        <v>0.083</v>
      </c>
      <c r="L572" s="7" t="n">
        <f aca="false">0.59*0.85*0.4</f>
        <v>0.2006</v>
      </c>
      <c r="M572" s="7" t="n">
        <f aca="false">3.8/G572</f>
        <v>0.538625088589653</v>
      </c>
      <c r="N572" s="0" t="n">
        <v>1</v>
      </c>
      <c r="O572" s="0" t="n">
        <v>0</v>
      </c>
      <c r="P572" s="0" t="n">
        <v>0</v>
      </c>
      <c r="Q572" s="0" t="n">
        <v>0</v>
      </c>
      <c r="V572" s="0" t="n">
        <v>0</v>
      </c>
    </row>
    <row r="573" customFormat="false" ht="12.8" hidden="false" customHeight="false" outlineLevel="0" collapsed="false">
      <c r="A573" s="0" t="s">
        <v>675</v>
      </c>
      <c r="B573" s="0" t="s">
        <v>32</v>
      </c>
      <c r="C573" s="0" t="s">
        <v>33</v>
      </c>
      <c r="D573" s="0" t="s">
        <v>679</v>
      </c>
      <c r="E573" s="0" t="n">
        <v>85</v>
      </c>
      <c r="F573" s="0" t="n">
        <v>13.1</v>
      </c>
      <c r="G573" s="1" t="n">
        <f aca="false">(E573/100)*F573</f>
        <v>11.135</v>
      </c>
      <c r="H573" s="0" t="n">
        <v>4.4</v>
      </c>
      <c r="I573" s="2" t="n">
        <f aca="false">(E573/100)*H573</f>
        <v>3.74</v>
      </c>
      <c r="J573" s="0" t="n">
        <v>0</v>
      </c>
      <c r="K573" s="6" t="n">
        <f aca="false">G573/E573</f>
        <v>0.131</v>
      </c>
      <c r="L573" s="7" t="n">
        <f aca="false">0.5*0.85*0.4</f>
        <v>0.17</v>
      </c>
      <c r="M573" s="7" t="n">
        <f aca="false">3.8/G573</f>
        <v>0.341266277503368</v>
      </c>
      <c r="N573" s="0" t="n">
        <v>1</v>
      </c>
      <c r="O573" s="0" t="n">
        <v>0</v>
      </c>
      <c r="P573" s="0" t="n">
        <v>0</v>
      </c>
      <c r="Q573" s="0" t="n">
        <v>0</v>
      </c>
      <c r="V573" s="0" t="n">
        <v>0</v>
      </c>
    </row>
    <row r="574" customFormat="false" ht="12.8" hidden="false" customHeight="false" outlineLevel="0" collapsed="false">
      <c r="A574" s="0" t="s">
        <v>675</v>
      </c>
      <c r="B574" s="0" t="s">
        <v>32</v>
      </c>
      <c r="C574" s="0" t="s">
        <v>33</v>
      </c>
      <c r="D574" s="0" t="s">
        <v>680</v>
      </c>
      <c r="E574" s="0" t="n">
        <v>85</v>
      </c>
      <c r="F574" s="0" t="n">
        <v>11.4</v>
      </c>
      <c r="G574" s="1" t="n">
        <f aca="false">(E574/100)*F574</f>
        <v>9.69</v>
      </c>
      <c r="H574" s="0" t="n">
        <v>1.3</v>
      </c>
      <c r="I574" s="2" t="n">
        <f aca="false">(E574/100)*H574</f>
        <v>1.105</v>
      </c>
      <c r="J574" s="0" t="n">
        <v>0</v>
      </c>
      <c r="K574" s="6" t="n">
        <f aca="false">G574/E574</f>
        <v>0.114</v>
      </c>
      <c r="L574" s="7" t="n">
        <f aca="false">0.5*0.85*0.4</f>
        <v>0.17</v>
      </c>
      <c r="M574" s="7" t="n">
        <f aca="false">3.8/G574</f>
        <v>0.392156862745098</v>
      </c>
      <c r="N574" s="0" t="n">
        <v>1</v>
      </c>
      <c r="O574" s="0" t="n">
        <v>0</v>
      </c>
      <c r="P574" s="0" t="n">
        <v>0</v>
      </c>
      <c r="Q574" s="0" t="n">
        <v>0</v>
      </c>
      <c r="V574" s="0" t="n">
        <v>0</v>
      </c>
    </row>
    <row r="575" customFormat="false" ht="12.8" hidden="false" customHeight="false" outlineLevel="0" collapsed="false">
      <c r="A575" s="0" t="s">
        <v>675</v>
      </c>
      <c r="B575" s="0" t="s">
        <v>27</v>
      </c>
      <c r="C575" s="0" t="s">
        <v>28</v>
      </c>
      <c r="D575" s="0" t="s">
        <v>681</v>
      </c>
      <c r="E575" s="0" t="n">
        <v>75</v>
      </c>
      <c r="F575" s="0" t="n">
        <v>33.8</v>
      </c>
      <c r="G575" s="1" t="n">
        <f aca="false">(E575/100)*F575</f>
        <v>25.35</v>
      </c>
      <c r="H575" s="0" t="n">
        <v>0.5</v>
      </c>
      <c r="I575" s="2" t="n">
        <f aca="false">(E575/100)*H575</f>
        <v>0.375</v>
      </c>
      <c r="J575" s="0" t="n">
        <v>0</v>
      </c>
      <c r="K575" s="6" t="n">
        <f aca="false">G575/E575</f>
        <v>0.338</v>
      </c>
      <c r="L575" s="7" t="n">
        <f aca="false">0.02*0.4*0.75</f>
        <v>0.006</v>
      </c>
      <c r="M575" s="7" t="n">
        <f aca="false">3/G575</f>
        <v>0.118343195266272</v>
      </c>
      <c r="N575" s="0" t="n">
        <v>1</v>
      </c>
      <c r="O575" s="0" t="n">
        <v>0</v>
      </c>
      <c r="P575" s="0" t="n">
        <v>0</v>
      </c>
      <c r="Q575" s="0" t="n">
        <v>0</v>
      </c>
      <c r="V575" s="0" t="n">
        <v>0</v>
      </c>
    </row>
    <row r="576" customFormat="false" ht="12.8" hidden="false" customHeight="false" outlineLevel="0" collapsed="false">
      <c r="A576" s="0" t="s">
        <v>675</v>
      </c>
      <c r="B576" s="0" t="s">
        <v>27</v>
      </c>
      <c r="C576" s="0" t="s">
        <v>28</v>
      </c>
      <c r="D576" s="0" t="s">
        <v>682</v>
      </c>
      <c r="E576" s="0" t="n">
        <v>75</v>
      </c>
      <c r="F576" s="0" t="n">
        <v>38.3</v>
      </c>
      <c r="G576" s="1" t="n">
        <f aca="false">(E576/100)*F576</f>
        <v>28.725</v>
      </c>
      <c r="H576" s="0" t="n">
        <v>0.9</v>
      </c>
      <c r="I576" s="2" t="n">
        <f aca="false">(E576/100)*H576</f>
        <v>0.675</v>
      </c>
      <c r="J576" s="0" t="n">
        <v>0</v>
      </c>
      <c r="K576" s="6" t="n">
        <f aca="false">G576/E576</f>
        <v>0.383</v>
      </c>
      <c r="L576" s="7" t="n">
        <f aca="false">0.075*0.4</f>
        <v>0.03</v>
      </c>
      <c r="M576" s="7" t="n">
        <f aca="false">3/G576</f>
        <v>0.10443864229765</v>
      </c>
      <c r="N576" s="0" t="n">
        <v>1</v>
      </c>
      <c r="O576" s="0" t="n">
        <v>0</v>
      </c>
      <c r="P576" s="0" t="n">
        <v>0</v>
      </c>
      <c r="Q576" s="0" t="n">
        <v>0</v>
      </c>
      <c r="V576" s="0" t="n">
        <v>0</v>
      </c>
    </row>
    <row r="577" customFormat="false" ht="12.8" hidden="false" customHeight="false" outlineLevel="0" collapsed="false">
      <c r="A577" s="0" t="s">
        <v>675</v>
      </c>
      <c r="B577" s="0" t="s">
        <v>32</v>
      </c>
      <c r="C577" s="0" t="s">
        <v>33</v>
      </c>
      <c r="D577" s="0" t="s">
        <v>683</v>
      </c>
      <c r="E577" s="0" t="n">
        <v>85</v>
      </c>
      <c r="F577" s="0" t="n">
        <v>8.6</v>
      </c>
      <c r="G577" s="1" t="n">
        <f aca="false">(E577/100)*F577</f>
        <v>7.31</v>
      </c>
      <c r="H577" s="0" t="n">
        <v>0.9</v>
      </c>
      <c r="I577" s="2" t="n">
        <f aca="false">(E577/100)*H577</f>
        <v>0.765</v>
      </c>
      <c r="J577" s="0" t="n">
        <v>0</v>
      </c>
      <c r="K577" s="6" t="n">
        <f aca="false">G577/E577</f>
        <v>0.086</v>
      </c>
      <c r="L577" s="7" t="n">
        <v>0.2</v>
      </c>
      <c r="M577" s="7" t="n">
        <f aca="false">3.8/G577</f>
        <v>0.51983584131327</v>
      </c>
      <c r="N577" s="0" t="n">
        <v>1</v>
      </c>
      <c r="O577" s="0" t="n">
        <v>0</v>
      </c>
      <c r="P577" s="0" t="n">
        <v>0</v>
      </c>
      <c r="Q577" s="0" t="n">
        <v>0</v>
      </c>
      <c r="V577" s="0" t="n">
        <v>0</v>
      </c>
    </row>
    <row r="578" customFormat="false" ht="12.8" hidden="false" customHeight="false" outlineLevel="0" collapsed="false">
      <c r="A578" s="0" t="s">
        <v>675</v>
      </c>
      <c r="B578" s="0" t="s">
        <v>32</v>
      </c>
      <c r="C578" s="0" t="s">
        <v>33</v>
      </c>
      <c r="D578" s="0" t="s">
        <v>684</v>
      </c>
      <c r="E578" s="0" t="n">
        <v>85</v>
      </c>
      <c r="F578" s="0" t="n">
        <v>6.33</v>
      </c>
      <c r="G578" s="1" t="n">
        <f aca="false">(E578/100)*F578</f>
        <v>5.3805</v>
      </c>
      <c r="H578" s="0" t="n">
        <v>1.5</v>
      </c>
      <c r="I578" s="2" t="n">
        <f aca="false">(E578/100)*H578</f>
        <v>1.275</v>
      </c>
      <c r="J578" s="0" t="n">
        <v>0</v>
      </c>
      <c r="K578" s="6" t="n">
        <f aca="false">G578/E578</f>
        <v>0.0633</v>
      </c>
      <c r="L578" s="7" t="n">
        <f aca="false">0.38*0.85*0.4</f>
        <v>0.1292</v>
      </c>
      <c r="M578" s="7" t="n">
        <f aca="false">3.8/G578</f>
        <v>0.706254065607286</v>
      </c>
      <c r="N578" s="0" t="n">
        <v>1</v>
      </c>
      <c r="O578" s="0" t="n">
        <v>0</v>
      </c>
      <c r="P578" s="0" t="n">
        <v>0</v>
      </c>
      <c r="Q578" s="0" t="n">
        <v>0</v>
      </c>
      <c r="V578" s="0" t="n">
        <v>0</v>
      </c>
    </row>
    <row r="579" customFormat="false" ht="12.8" hidden="false" customHeight="false" outlineLevel="0" collapsed="false">
      <c r="A579" s="0" t="s">
        <v>675</v>
      </c>
      <c r="B579" s="0" t="s">
        <v>36</v>
      </c>
      <c r="C579" s="0" t="s">
        <v>37</v>
      </c>
      <c r="D579" s="0" t="s">
        <v>685</v>
      </c>
      <c r="E579" s="0" t="n">
        <v>30</v>
      </c>
      <c r="F579" s="0" t="n">
        <v>49.6</v>
      </c>
      <c r="G579" s="1" t="n">
        <f aca="false">(E579/100)*F579</f>
        <v>14.88</v>
      </c>
      <c r="H579" s="0" t="n">
        <v>8</v>
      </c>
      <c r="I579" s="2" t="n">
        <f aca="false">(E579/100)*H579</f>
        <v>2.4</v>
      </c>
      <c r="J579" s="0" t="n">
        <v>0</v>
      </c>
      <c r="K579" s="6" t="n">
        <f aca="false">G579/E579</f>
        <v>0.496</v>
      </c>
      <c r="L579" s="7" t="n">
        <v>0</v>
      </c>
      <c r="M579" s="7" t="n">
        <f aca="false">3/G579</f>
        <v>0.201612903225806</v>
      </c>
      <c r="N579" s="0" t="n">
        <v>1</v>
      </c>
      <c r="O579" s="0" t="n">
        <v>0</v>
      </c>
      <c r="P579" s="0" t="n">
        <v>1</v>
      </c>
      <c r="Q579" s="0" t="n">
        <v>0</v>
      </c>
      <c r="V579" s="0" t="n">
        <v>0</v>
      </c>
    </row>
    <row r="580" customFormat="false" ht="12.8" hidden="false" customHeight="false" outlineLevel="0" collapsed="false">
      <c r="A580" s="0" t="s">
        <v>675</v>
      </c>
      <c r="B580" s="0" t="s">
        <v>36</v>
      </c>
      <c r="C580" s="0" t="s">
        <v>37</v>
      </c>
      <c r="D580" s="10" t="s">
        <v>686</v>
      </c>
      <c r="E580" s="0" t="n">
        <v>30</v>
      </c>
      <c r="F580" s="0" t="n">
        <v>50.7</v>
      </c>
      <c r="G580" s="1" t="n">
        <f aca="false">(E580/100)*F580</f>
        <v>15.21</v>
      </c>
      <c r="H580" s="0" t="n">
        <v>5.8</v>
      </c>
      <c r="I580" s="2" t="n">
        <f aca="false">(E580/100)*H580</f>
        <v>1.74</v>
      </c>
      <c r="J580" s="0" t="n">
        <v>10</v>
      </c>
      <c r="K580" s="6" t="n">
        <f aca="false">G580/E580</f>
        <v>0.507</v>
      </c>
      <c r="L580" s="7" t="n">
        <v>0</v>
      </c>
      <c r="M580" s="7" t="n">
        <f aca="false">3/G580</f>
        <v>0.19723865877712</v>
      </c>
      <c r="N580" s="0" t="n">
        <v>1</v>
      </c>
      <c r="O580" s="0" t="n">
        <v>0</v>
      </c>
      <c r="P580" s="0" t="n">
        <v>1</v>
      </c>
      <c r="Q580" s="0" t="n">
        <v>0</v>
      </c>
      <c r="V580" s="0" t="n">
        <v>0</v>
      </c>
    </row>
    <row r="581" customFormat="false" ht="12.8" hidden="false" customHeight="false" outlineLevel="0" collapsed="false">
      <c r="A581" s="0" t="s">
        <v>675</v>
      </c>
      <c r="B581" s="0" t="s">
        <v>45</v>
      </c>
      <c r="C581" s="0" t="s">
        <v>46</v>
      </c>
      <c r="D581" s="10" t="s">
        <v>687</v>
      </c>
      <c r="E581" s="0" t="n">
        <v>30</v>
      </c>
      <c r="F581" s="0" t="n">
        <v>32.7</v>
      </c>
      <c r="G581" s="1" t="n">
        <f aca="false">(E581/100)*F581</f>
        <v>9.81</v>
      </c>
      <c r="H581" s="0" t="n">
        <v>22.7</v>
      </c>
      <c r="I581" s="2" t="n">
        <f aca="false">(E581/100)*H581</f>
        <v>6.81</v>
      </c>
      <c r="J581" s="0" t="n">
        <v>0</v>
      </c>
      <c r="K581" s="6" t="n">
        <f aca="false">G581/E581</f>
        <v>0.327</v>
      </c>
      <c r="L581" s="7" t="n">
        <v>0.1</v>
      </c>
      <c r="M581" s="7" t="n">
        <f aca="false">3/G581</f>
        <v>0.305810397553517</v>
      </c>
      <c r="N581" s="0" t="n">
        <v>1</v>
      </c>
      <c r="O581" s="0" t="n">
        <v>0</v>
      </c>
      <c r="P581" s="0" t="n">
        <v>0</v>
      </c>
      <c r="Q581" s="0" t="n">
        <v>0</v>
      </c>
      <c r="V581" s="0" t="n">
        <v>0</v>
      </c>
    </row>
    <row r="582" customFormat="false" ht="12.8" hidden="false" customHeight="false" outlineLevel="0" collapsed="false">
      <c r="A582" s="0" t="s">
        <v>688</v>
      </c>
      <c r="B582" s="0" t="s">
        <v>36</v>
      </c>
      <c r="C582" s="0" t="s">
        <v>37</v>
      </c>
      <c r="D582" s="0" t="s">
        <v>689</v>
      </c>
      <c r="E582" s="0" t="n">
        <v>30</v>
      </c>
      <c r="F582" s="0" t="n">
        <v>76</v>
      </c>
      <c r="G582" s="1" t="n">
        <f aca="false">(E582/100)*F582</f>
        <v>22.8</v>
      </c>
      <c r="H582" s="0" t="n">
        <v>3.8</v>
      </c>
      <c r="I582" s="2" t="n">
        <f aca="false">(E582/100)*H582</f>
        <v>1.14</v>
      </c>
      <c r="J582" s="0" t="n">
        <v>0</v>
      </c>
      <c r="K582" s="6" t="n">
        <f aca="false">G582/E582</f>
        <v>0.76</v>
      </c>
      <c r="L582" s="7" t="n">
        <f aca="false">0.03*0.4</f>
        <v>0.012</v>
      </c>
      <c r="M582" s="7" t="n">
        <f aca="false">2.5/G582</f>
        <v>0.109649122807018</v>
      </c>
      <c r="N582" s="0" t="n">
        <v>0</v>
      </c>
      <c r="O582" s="0" t="n">
        <v>0</v>
      </c>
      <c r="P582" s="0" t="n">
        <v>0</v>
      </c>
      <c r="Q582" s="0" t="n">
        <v>0</v>
      </c>
      <c r="V582" s="0" t="n">
        <v>0</v>
      </c>
    </row>
    <row r="583" customFormat="false" ht="12.8" hidden="false" customHeight="false" outlineLevel="0" collapsed="false">
      <c r="A583" s="0" t="s">
        <v>688</v>
      </c>
      <c r="B583" s="0" t="s">
        <v>36</v>
      </c>
      <c r="C583" s="0" t="s">
        <v>37</v>
      </c>
      <c r="D583" s="0" t="s">
        <v>690</v>
      </c>
      <c r="E583" s="0" t="n">
        <v>45</v>
      </c>
      <c r="F583" s="0" t="n">
        <v>74</v>
      </c>
      <c r="G583" s="1" t="n">
        <f aca="false">(E583/100)*F583</f>
        <v>33.3</v>
      </c>
      <c r="H583" s="0" t="n">
        <v>4.6</v>
      </c>
      <c r="I583" s="2" t="n">
        <f aca="false">(E583/100)*H583</f>
        <v>2.07</v>
      </c>
      <c r="J583" s="0" t="n">
        <v>0</v>
      </c>
      <c r="K583" s="6" t="n">
        <f aca="false">G583/E583</f>
        <v>0.74</v>
      </c>
      <c r="L583" s="7" t="n">
        <f aca="false">0.018*0.4</f>
        <v>0.0072</v>
      </c>
      <c r="M583" s="7" t="n">
        <f aca="false">2.95/G583</f>
        <v>0.0885885885885886</v>
      </c>
      <c r="N583" s="0" t="n">
        <v>0</v>
      </c>
      <c r="O583" s="0" t="n">
        <v>0</v>
      </c>
      <c r="P583" s="0" t="n">
        <v>0</v>
      </c>
      <c r="Q583" s="0" t="n">
        <v>0</v>
      </c>
      <c r="V583" s="0" t="n">
        <v>0</v>
      </c>
    </row>
    <row r="584" customFormat="false" ht="12.8" hidden="false" customHeight="false" outlineLevel="0" collapsed="false">
      <c r="A584" s="0" t="s">
        <v>688</v>
      </c>
      <c r="B584" s="0" t="s">
        <v>36</v>
      </c>
      <c r="C584" s="0" t="s">
        <v>37</v>
      </c>
      <c r="D584" s="0" t="s">
        <v>691</v>
      </c>
      <c r="E584" s="0" t="n">
        <v>30</v>
      </c>
      <c r="F584" s="0" t="n">
        <v>54</v>
      </c>
      <c r="G584" s="1" t="n">
        <f aca="false">(E584/100)*F584</f>
        <v>16.2</v>
      </c>
      <c r="H584" s="0" t="n">
        <v>19</v>
      </c>
      <c r="I584" s="2" t="n">
        <f aca="false">(E584/100)*H584</f>
        <v>5.7</v>
      </c>
      <c r="J584" s="0" t="n">
        <v>0</v>
      </c>
      <c r="K584" s="6" t="n">
        <f aca="false">G584/E584</f>
        <v>0.54</v>
      </c>
      <c r="L584" s="7" t="n">
        <f aca="false">0.15*0.4</f>
        <v>0.06</v>
      </c>
      <c r="M584" s="7" t="n">
        <f aca="false">(2.85/2)/G584</f>
        <v>0.087962962962963</v>
      </c>
      <c r="N584" s="0" t="n">
        <v>0</v>
      </c>
      <c r="O584" s="0" t="n">
        <v>1</v>
      </c>
      <c r="P584" s="0" t="n">
        <v>1</v>
      </c>
      <c r="Q584" s="0" t="n">
        <v>1</v>
      </c>
      <c r="V584" s="0" t="n">
        <v>0</v>
      </c>
    </row>
    <row r="585" customFormat="false" ht="12.8" hidden="false" customHeight="false" outlineLevel="0" collapsed="false">
      <c r="A585" s="0" t="s">
        <v>688</v>
      </c>
      <c r="B585" s="0" t="s">
        <v>36</v>
      </c>
      <c r="C585" s="0" t="s">
        <v>37</v>
      </c>
      <c r="D585" s="0" t="s">
        <v>692</v>
      </c>
      <c r="E585" s="0" t="n">
        <v>35</v>
      </c>
      <c r="F585" s="0" t="n">
        <v>42</v>
      </c>
      <c r="G585" s="1" t="n">
        <f aca="false">(E585/100)*F585</f>
        <v>14.7</v>
      </c>
      <c r="H585" s="0" t="n">
        <v>10</v>
      </c>
      <c r="I585" s="2" t="n">
        <f aca="false">(E585/100)*H585</f>
        <v>3.5</v>
      </c>
      <c r="J585" s="0" t="n">
        <v>0</v>
      </c>
      <c r="K585" s="6" t="n">
        <f aca="false">G585/E585</f>
        <v>0.42</v>
      </c>
      <c r="L585" s="7" t="n">
        <f aca="false">0.004*0.4</f>
        <v>0.0016</v>
      </c>
      <c r="M585" s="7" t="n">
        <f aca="false">2.6/G585</f>
        <v>0.17687074829932</v>
      </c>
      <c r="N585" s="0" t="n">
        <v>0</v>
      </c>
      <c r="O585" s="0" t="n">
        <v>0</v>
      </c>
      <c r="P585" s="0" t="n">
        <v>1</v>
      </c>
      <c r="Q585" s="0" t="n">
        <v>0</v>
      </c>
      <c r="V585" s="0" t="n">
        <v>0</v>
      </c>
    </row>
    <row r="586" customFormat="false" ht="12.8" hidden="false" customHeight="false" outlineLevel="0" collapsed="false">
      <c r="A586" s="0" t="s">
        <v>688</v>
      </c>
      <c r="B586" s="0" t="s">
        <v>36</v>
      </c>
      <c r="C586" s="0" t="s">
        <v>37</v>
      </c>
      <c r="D586" s="0" t="s">
        <v>693</v>
      </c>
      <c r="E586" s="0" t="n">
        <v>30</v>
      </c>
      <c r="F586" s="0" t="n">
        <v>35</v>
      </c>
      <c r="G586" s="1" t="n">
        <f aca="false">(E586/100)*F586</f>
        <v>10.5</v>
      </c>
      <c r="H586" s="0" t="n">
        <v>17</v>
      </c>
      <c r="I586" s="2" t="n">
        <f aca="false">(E586/100)*H586</f>
        <v>5.1</v>
      </c>
      <c r="J586" s="0" t="n">
        <v>0</v>
      </c>
      <c r="K586" s="6" t="n">
        <f aca="false">G586/E586</f>
        <v>0.35</v>
      </c>
      <c r="L586" s="7" t="n">
        <f aca="false">0.17*0.4</f>
        <v>0.068</v>
      </c>
      <c r="M586" s="7" t="n">
        <f aca="false">2.6/G586</f>
        <v>0.247619047619048</v>
      </c>
      <c r="N586" s="0" t="n">
        <v>0</v>
      </c>
      <c r="O586" s="0" t="n">
        <v>0</v>
      </c>
      <c r="P586" s="0" t="n">
        <v>1</v>
      </c>
      <c r="Q586" s="0" t="n">
        <v>0</v>
      </c>
      <c r="V586" s="0" t="n">
        <v>0</v>
      </c>
    </row>
    <row r="587" customFormat="false" ht="12.8" hidden="false" customHeight="false" outlineLevel="0" collapsed="false">
      <c r="A587" s="0" t="s">
        <v>688</v>
      </c>
      <c r="B587" s="0" t="s">
        <v>36</v>
      </c>
      <c r="C587" s="0" t="s">
        <v>37</v>
      </c>
      <c r="D587" s="0" t="s">
        <v>694</v>
      </c>
      <c r="E587" s="0" t="n">
        <v>30</v>
      </c>
      <c r="F587" s="0" t="n">
        <v>71</v>
      </c>
      <c r="G587" s="1" t="n">
        <f aca="false">(E587/100)*F587</f>
        <v>21.3</v>
      </c>
      <c r="H587" s="0" t="n">
        <v>4.1</v>
      </c>
      <c r="I587" s="2" t="n">
        <f aca="false">(E587/100)*H587</f>
        <v>1.23</v>
      </c>
      <c r="J587" s="0" t="n">
        <v>0</v>
      </c>
      <c r="K587" s="6" t="n">
        <f aca="false">G587/E587</f>
        <v>0.71</v>
      </c>
      <c r="L587" s="7" t="n">
        <f aca="false">0.003*0.4</f>
        <v>0.0012</v>
      </c>
      <c r="M587" s="7" t="n">
        <f aca="false">2.5/G587</f>
        <v>0.117370892018779</v>
      </c>
      <c r="N587" s="0" t="n">
        <v>0</v>
      </c>
      <c r="O587" s="0" t="n">
        <v>0</v>
      </c>
      <c r="P587" s="0" t="n">
        <v>0</v>
      </c>
      <c r="Q587" s="0" t="n">
        <v>1</v>
      </c>
      <c r="V587" s="0" t="n">
        <v>0</v>
      </c>
    </row>
    <row r="588" customFormat="false" ht="12.8" hidden="false" customHeight="false" outlineLevel="0" collapsed="false">
      <c r="A588" s="0" t="s">
        <v>688</v>
      </c>
      <c r="B588" s="0" t="s">
        <v>36</v>
      </c>
      <c r="C588" s="0" t="s">
        <v>37</v>
      </c>
      <c r="D588" s="0" t="s">
        <v>695</v>
      </c>
      <c r="E588" s="0" t="n">
        <v>40</v>
      </c>
      <c r="F588" s="0" t="n">
        <v>60</v>
      </c>
      <c r="G588" s="1" t="n">
        <f aca="false">(E588/100)*F588</f>
        <v>24</v>
      </c>
      <c r="H588" s="0" t="n">
        <v>19</v>
      </c>
      <c r="I588" s="2" t="n">
        <f aca="false">(E588/100)*H588</f>
        <v>7.6</v>
      </c>
      <c r="J588" s="0" t="n">
        <v>0</v>
      </c>
      <c r="K588" s="6" t="n">
        <f aca="false">G588/E588</f>
        <v>0.6</v>
      </c>
      <c r="L588" s="7" t="n">
        <f aca="false">0.22*0.4</f>
        <v>0.088</v>
      </c>
      <c r="M588" s="7" t="n">
        <f aca="false">2.7/G588</f>
        <v>0.1125</v>
      </c>
      <c r="N588" s="0" t="n">
        <v>0</v>
      </c>
      <c r="O588" s="0" t="n">
        <v>0</v>
      </c>
      <c r="P588" s="0" t="n">
        <v>0</v>
      </c>
      <c r="Q588" s="0" t="n">
        <v>1</v>
      </c>
      <c r="V588" s="0" t="n">
        <v>0</v>
      </c>
    </row>
    <row r="589" customFormat="false" ht="12.8" hidden="false" customHeight="false" outlineLevel="0" collapsed="false">
      <c r="A589" s="0" t="s">
        <v>688</v>
      </c>
      <c r="B589" s="0" t="s">
        <v>36</v>
      </c>
      <c r="C589" s="0" t="s">
        <v>37</v>
      </c>
      <c r="D589" s="0" t="s">
        <v>696</v>
      </c>
      <c r="E589" s="0" t="n">
        <v>40</v>
      </c>
      <c r="F589" s="0" t="n">
        <v>59</v>
      </c>
      <c r="G589" s="1" t="n">
        <f aca="false">(E589/100)*F589</f>
        <v>23.6</v>
      </c>
      <c r="H589" s="0" t="n">
        <v>18</v>
      </c>
      <c r="I589" s="2" t="n">
        <f aca="false">(E589/100)*H589</f>
        <v>7.2</v>
      </c>
      <c r="J589" s="0" t="n">
        <v>0</v>
      </c>
      <c r="K589" s="6" t="n">
        <f aca="false">G589/E589</f>
        <v>0.59</v>
      </c>
      <c r="L589" s="7" t="n">
        <f aca="false">0.18*0.4</f>
        <v>0.072</v>
      </c>
      <c r="M589" s="7" t="n">
        <f aca="false">2.7/G589</f>
        <v>0.114406779661017</v>
      </c>
      <c r="N589" s="0" t="n">
        <v>0</v>
      </c>
      <c r="O589" s="0" t="n">
        <v>0</v>
      </c>
      <c r="P589" s="0" t="n">
        <v>0</v>
      </c>
      <c r="Q589" s="0" t="n">
        <v>0</v>
      </c>
      <c r="V589" s="0" t="n">
        <v>0</v>
      </c>
    </row>
    <row r="590" customFormat="false" ht="12.8" hidden="false" customHeight="false" outlineLevel="0" collapsed="false">
      <c r="A590" s="0" t="s">
        <v>688</v>
      </c>
      <c r="B590" s="0" t="s">
        <v>36</v>
      </c>
      <c r="C590" s="0" t="s">
        <v>37</v>
      </c>
      <c r="D590" s="0" t="s">
        <v>697</v>
      </c>
      <c r="E590" s="0" t="n">
        <v>40</v>
      </c>
      <c r="F590" s="0" t="n">
        <v>50</v>
      </c>
      <c r="G590" s="1" t="n">
        <f aca="false">(E590/100)*F590</f>
        <v>20</v>
      </c>
      <c r="H590" s="0" t="n">
        <v>25</v>
      </c>
      <c r="I590" s="2" t="n">
        <f aca="false">(E590/100)*H590</f>
        <v>10</v>
      </c>
      <c r="J590" s="0" t="n">
        <v>0</v>
      </c>
      <c r="K590" s="6" t="n">
        <f aca="false">G590/E590</f>
        <v>0.5</v>
      </c>
      <c r="L590" s="7" t="n">
        <f aca="false">0.08*0.4</f>
        <v>0.032</v>
      </c>
      <c r="M590" s="7" t="n">
        <f aca="false">2.5/G590</f>
        <v>0.125</v>
      </c>
      <c r="N590" s="0" t="n">
        <v>0</v>
      </c>
      <c r="O590" s="0" t="n">
        <v>0</v>
      </c>
      <c r="P590" s="0" t="n">
        <v>1</v>
      </c>
      <c r="Q590" s="0" t="n">
        <v>1</v>
      </c>
      <c r="S590" s="0" t="s">
        <v>698</v>
      </c>
      <c r="V590" s="0" t="n">
        <v>0</v>
      </c>
    </row>
    <row r="591" customFormat="false" ht="12.8" hidden="false" customHeight="false" outlineLevel="0" collapsed="false">
      <c r="A591" s="0" t="s">
        <v>688</v>
      </c>
      <c r="B591" s="0" t="s">
        <v>36</v>
      </c>
      <c r="C591" s="0" t="s">
        <v>37</v>
      </c>
      <c r="D591" s="0" t="s">
        <v>699</v>
      </c>
      <c r="E591" s="0" t="n">
        <v>60</v>
      </c>
      <c r="F591" s="0" t="n">
        <v>54</v>
      </c>
      <c r="G591" s="1" t="n">
        <f aca="false">(E591/100)*F591</f>
        <v>32.4</v>
      </c>
      <c r="H591" s="0" t="n">
        <v>19</v>
      </c>
      <c r="I591" s="2" t="n">
        <f aca="false">(E591/100)*H591</f>
        <v>11.4</v>
      </c>
      <c r="J591" s="0" t="n">
        <v>0</v>
      </c>
      <c r="K591" s="6" t="n">
        <f aca="false">G591/E591</f>
        <v>0.54</v>
      </c>
      <c r="L591" s="7" t="n">
        <f aca="false">0.15*0.4</f>
        <v>0.06</v>
      </c>
      <c r="M591" s="7" t="n">
        <f aca="false">2.85/G591</f>
        <v>0.087962962962963</v>
      </c>
      <c r="N591" s="0" t="n">
        <v>0</v>
      </c>
      <c r="O591" s="0" t="n">
        <v>0</v>
      </c>
      <c r="P591" s="0" t="n">
        <v>1</v>
      </c>
      <c r="Q591" s="0" t="n">
        <v>1</v>
      </c>
      <c r="V591" s="0" t="n">
        <v>0</v>
      </c>
    </row>
    <row r="592" customFormat="false" ht="12.8" hidden="false" customHeight="false" outlineLevel="0" collapsed="false">
      <c r="A592" s="0" t="s">
        <v>688</v>
      </c>
      <c r="B592" s="0" t="s">
        <v>36</v>
      </c>
      <c r="C592" s="0" t="s">
        <v>37</v>
      </c>
      <c r="D592" s="0" t="s">
        <v>700</v>
      </c>
      <c r="E592" s="0" t="n">
        <v>40</v>
      </c>
      <c r="F592" s="0" t="n">
        <v>49</v>
      </c>
      <c r="G592" s="1" t="n">
        <f aca="false">(E592/100)*F592</f>
        <v>19.6</v>
      </c>
      <c r="H592" s="0" t="n">
        <v>19</v>
      </c>
      <c r="I592" s="2" t="n">
        <f aca="false">(E592/100)*H592</f>
        <v>7.6</v>
      </c>
      <c r="J592" s="0" t="n">
        <v>0</v>
      </c>
      <c r="K592" s="6" t="n">
        <f aca="false">G592/E592</f>
        <v>0.49</v>
      </c>
      <c r="L592" s="7" t="n">
        <f aca="false">0.28*0.4</f>
        <v>0.112</v>
      </c>
      <c r="M592" s="7" t="n">
        <f aca="false">2.7/G592</f>
        <v>0.137755102040816</v>
      </c>
      <c r="N592" s="0" t="n">
        <v>0</v>
      </c>
      <c r="O592" s="0" t="n">
        <v>0</v>
      </c>
      <c r="P592" s="0" t="n">
        <v>0</v>
      </c>
      <c r="Q592" s="0" t="n">
        <v>0</v>
      </c>
      <c r="V592" s="0" t="n">
        <v>0</v>
      </c>
    </row>
    <row r="593" customFormat="false" ht="12.8" hidden="false" customHeight="false" outlineLevel="0" collapsed="false">
      <c r="A593" s="0" t="s">
        <v>688</v>
      </c>
      <c r="B593" s="0" t="s">
        <v>36</v>
      </c>
      <c r="C593" s="0" t="s">
        <v>37</v>
      </c>
      <c r="D593" s="0" t="s">
        <v>701</v>
      </c>
      <c r="E593" s="0" t="n">
        <v>40</v>
      </c>
      <c r="F593" s="0" t="n">
        <v>50</v>
      </c>
      <c r="G593" s="1" t="n">
        <f aca="false">(E593/100)*F593</f>
        <v>20</v>
      </c>
      <c r="H593" s="0" t="n">
        <v>19</v>
      </c>
      <c r="I593" s="2" t="n">
        <f aca="false">(E593/100)*H593</f>
        <v>7.6</v>
      </c>
      <c r="J593" s="0" t="n">
        <v>0</v>
      </c>
      <c r="K593" s="6" t="n">
        <f aca="false">G593/E593</f>
        <v>0.5</v>
      </c>
      <c r="L593" s="7" t="n">
        <f aca="false">0.48*0.4</f>
        <v>0.192</v>
      </c>
      <c r="M593" s="7" t="n">
        <f aca="false">2.7/G593</f>
        <v>0.135</v>
      </c>
      <c r="N593" s="0" t="n">
        <v>0</v>
      </c>
      <c r="O593" s="0" t="n">
        <v>0</v>
      </c>
      <c r="P593" s="0" t="n">
        <v>0</v>
      </c>
      <c r="Q593" s="0" t="n">
        <v>1</v>
      </c>
      <c r="V593" s="0" t="n">
        <v>0</v>
      </c>
    </row>
    <row r="594" customFormat="false" ht="12.8" hidden="false" customHeight="false" outlineLevel="0" collapsed="false">
      <c r="A594" s="0" t="s">
        <v>688</v>
      </c>
      <c r="B594" s="0" t="s">
        <v>36</v>
      </c>
      <c r="C594" s="0" t="s">
        <v>37</v>
      </c>
      <c r="D594" s="0" t="s">
        <v>702</v>
      </c>
      <c r="E594" s="0" t="n">
        <v>45</v>
      </c>
      <c r="F594" s="0" t="n">
        <v>74</v>
      </c>
      <c r="G594" s="1" t="n">
        <f aca="false">(E594/100)*F594</f>
        <v>33.3</v>
      </c>
      <c r="H594" s="0" t="n">
        <v>3.4</v>
      </c>
      <c r="I594" s="2" t="n">
        <f aca="false">(E594/100)*H594</f>
        <v>1.53</v>
      </c>
      <c r="J594" s="0" t="n">
        <v>0</v>
      </c>
      <c r="K594" s="6" t="n">
        <f aca="false">G594/E594</f>
        <v>0.74</v>
      </c>
      <c r="L594" s="7" t="n">
        <f aca="false">0.018*0.4</f>
        <v>0.0072</v>
      </c>
      <c r="M594" s="7" t="n">
        <f aca="false">2.95/G594</f>
        <v>0.0885885885885886</v>
      </c>
      <c r="N594" s="0" t="n">
        <v>0</v>
      </c>
      <c r="O594" s="0" t="n">
        <v>0</v>
      </c>
      <c r="P594" s="0" t="n">
        <v>0</v>
      </c>
      <c r="Q594" s="0" t="n">
        <v>0</v>
      </c>
      <c r="V594" s="0" t="n">
        <v>0</v>
      </c>
    </row>
    <row r="595" customFormat="false" ht="12.8" hidden="false" customHeight="false" outlineLevel="0" collapsed="false">
      <c r="A595" s="0" t="s">
        <v>688</v>
      </c>
      <c r="B595" s="0" t="s">
        <v>36</v>
      </c>
      <c r="C595" s="0" t="s">
        <v>37</v>
      </c>
      <c r="D595" s="0" t="s">
        <v>703</v>
      </c>
      <c r="E595" s="0" t="n">
        <v>45</v>
      </c>
      <c r="F595" s="0" t="n">
        <v>74</v>
      </c>
      <c r="G595" s="1" t="n">
        <f aca="false">(E595/100)*F595</f>
        <v>33.3</v>
      </c>
      <c r="H595" s="0" t="n">
        <v>3.7</v>
      </c>
      <c r="I595" s="2" t="n">
        <f aca="false">(E595/100)*H595</f>
        <v>1.665</v>
      </c>
      <c r="J595" s="0" t="n">
        <v>0</v>
      </c>
      <c r="K595" s="6" t="n">
        <f aca="false">G595/E595</f>
        <v>0.74</v>
      </c>
      <c r="L595" s="7" t="n">
        <f aca="false">0.5*0.4</f>
        <v>0.2</v>
      </c>
      <c r="M595" s="7" t="n">
        <f aca="false">2.95/G595</f>
        <v>0.0885885885885886</v>
      </c>
      <c r="N595" s="0" t="n">
        <v>0</v>
      </c>
      <c r="O595" s="0" t="n">
        <v>0</v>
      </c>
      <c r="P595" s="0" t="n">
        <v>1</v>
      </c>
      <c r="Q595" s="0" t="n">
        <v>0</v>
      </c>
      <c r="V595" s="0" t="n">
        <v>0</v>
      </c>
    </row>
    <row r="596" customFormat="false" ht="12.8" hidden="false" customHeight="false" outlineLevel="0" collapsed="false">
      <c r="A596" s="0" t="s">
        <v>688</v>
      </c>
      <c r="B596" s="0" t="s">
        <v>20</v>
      </c>
      <c r="C596" s="0" t="s">
        <v>21</v>
      </c>
      <c r="D596" s="0" t="s">
        <v>704</v>
      </c>
      <c r="E596" s="0" t="n">
        <v>70.6</v>
      </c>
      <c r="F596" s="0" t="n">
        <v>43</v>
      </c>
      <c r="G596" s="1" t="n">
        <f aca="false">(E596/100)*F596</f>
        <v>30.358</v>
      </c>
      <c r="H596" s="0" t="n">
        <v>0</v>
      </c>
      <c r="I596" s="2" t="n">
        <f aca="false">(E596/100)*H596</f>
        <v>0</v>
      </c>
      <c r="J596" s="0" t="n">
        <v>25</v>
      </c>
      <c r="K596" s="6" t="n">
        <f aca="false">G596/E596</f>
        <v>0.43</v>
      </c>
      <c r="L596" s="7" t="n">
        <f aca="false">0.013*0.706*0.4</f>
        <v>0.0036712</v>
      </c>
      <c r="M596" s="7" t="n">
        <f aca="false">3.8/G596</f>
        <v>0.125172936293563</v>
      </c>
      <c r="N596" s="0" t="n">
        <v>0</v>
      </c>
      <c r="O596" s="0" t="n">
        <v>0</v>
      </c>
      <c r="P596" s="0" t="n">
        <v>0</v>
      </c>
      <c r="Q596" s="0" t="n">
        <v>0</v>
      </c>
      <c r="V596" s="0" t="n">
        <v>0</v>
      </c>
    </row>
    <row r="597" customFormat="false" ht="12.8" hidden="false" customHeight="false" outlineLevel="0" collapsed="false">
      <c r="A597" s="0" t="s">
        <v>688</v>
      </c>
      <c r="B597" s="0" t="s">
        <v>20</v>
      </c>
      <c r="C597" s="0" t="s">
        <v>21</v>
      </c>
      <c r="D597" s="0" t="s">
        <v>705</v>
      </c>
      <c r="E597" s="0" t="n">
        <v>60</v>
      </c>
      <c r="F597" s="0" t="n">
        <v>33</v>
      </c>
      <c r="G597" s="1" t="n">
        <f aca="false">(E597/100)*F597</f>
        <v>19.8</v>
      </c>
      <c r="H597" s="0" t="n">
        <v>0</v>
      </c>
      <c r="I597" s="2" t="n">
        <f aca="false">(E597/100)*H597</f>
        <v>0</v>
      </c>
      <c r="J597" s="0" t="n">
        <v>60</v>
      </c>
      <c r="K597" s="6" t="n">
        <f aca="false">G597/E597</f>
        <v>0.33</v>
      </c>
      <c r="L597" s="7" t="n">
        <v>0</v>
      </c>
      <c r="M597" s="7" t="n">
        <f aca="false">2.8/G597</f>
        <v>0.141414141414141</v>
      </c>
      <c r="N597" s="0" t="n">
        <v>0</v>
      </c>
      <c r="O597" s="0" t="n">
        <v>0</v>
      </c>
      <c r="P597" s="0" t="n">
        <v>0</v>
      </c>
      <c r="Q597" s="0" t="n">
        <v>0</v>
      </c>
      <c r="V597" s="0" t="n">
        <v>0</v>
      </c>
    </row>
    <row r="598" customFormat="false" ht="12.8" hidden="false" customHeight="false" outlineLevel="0" collapsed="false">
      <c r="A598" s="0" t="s">
        <v>688</v>
      </c>
      <c r="B598" s="0" t="s">
        <v>20</v>
      </c>
      <c r="C598" s="0" t="s">
        <v>21</v>
      </c>
      <c r="D598" s="0" t="s">
        <v>706</v>
      </c>
      <c r="E598" s="0" t="n">
        <v>70.6</v>
      </c>
      <c r="F598" s="0" t="n">
        <v>43</v>
      </c>
      <c r="G598" s="1" t="n">
        <f aca="false">(E598/100)*F598</f>
        <v>30.358</v>
      </c>
      <c r="H598" s="0" t="n">
        <v>0</v>
      </c>
      <c r="I598" s="2" t="n">
        <f aca="false">(E598/100)*H598</f>
        <v>0</v>
      </c>
      <c r="J598" s="0" t="n">
        <v>0</v>
      </c>
      <c r="K598" s="6" t="n">
        <f aca="false">G598/E598</f>
        <v>0.43</v>
      </c>
      <c r="L598" s="7" t="n">
        <f aca="false">0.0075*0.4</f>
        <v>0.003</v>
      </c>
      <c r="M598" s="7" t="n">
        <f aca="false">3.8/G598</f>
        <v>0.125172936293563</v>
      </c>
      <c r="N598" s="0" t="n">
        <v>0</v>
      </c>
      <c r="O598" s="0" t="n">
        <v>0</v>
      </c>
      <c r="P598" s="0" t="n">
        <v>0</v>
      </c>
      <c r="Q598" s="0" t="n">
        <v>0</v>
      </c>
      <c r="V598" s="0" t="n">
        <v>0</v>
      </c>
    </row>
    <row r="599" customFormat="false" ht="12.8" hidden="false" customHeight="false" outlineLevel="0" collapsed="false">
      <c r="A599" s="0" t="s">
        <v>688</v>
      </c>
      <c r="B599" s="0" t="s">
        <v>20</v>
      </c>
      <c r="C599" s="0" t="s">
        <v>21</v>
      </c>
      <c r="D599" s="0" t="s">
        <v>707</v>
      </c>
      <c r="E599" s="0" t="n">
        <v>25</v>
      </c>
      <c r="F599" s="0" t="n">
        <v>80</v>
      </c>
      <c r="G599" s="1" t="n">
        <f aca="false">(E599/100)*F599</f>
        <v>20</v>
      </c>
      <c r="H599" s="0" t="n">
        <v>0</v>
      </c>
      <c r="I599" s="2" t="n">
        <f aca="false">(E599/100)*H599</f>
        <v>0</v>
      </c>
      <c r="J599" s="0" t="n">
        <v>0</v>
      </c>
      <c r="K599" s="6" t="n">
        <f aca="false">G599/E599</f>
        <v>0.8</v>
      </c>
      <c r="L599" s="7" t="n">
        <f aca="false">0.025*0.4</f>
        <v>0.01</v>
      </c>
      <c r="M599" s="7" t="n">
        <f aca="false">(6.8/3)/G599</f>
        <v>0.113333333333333</v>
      </c>
      <c r="N599" s="0" t="n">
        <v>0</v>
      </c>
      <c r="O599" s="0" t="n">
        <v>0</v>
      </c>
      <c r="P599" s="0" t="n">
        <v>0</v>
      </c>
      <c r="Q599" s="0" t="n">
        <v>0</v>
      </c>
      <c r="V599" s="0" t="n">
        <v>0</v>
      </c>
    </row>
    <row r="600" customFormat="false" ht="12.8" hidden="false" customHeight="false" outlineLevel="0" collapsed="false">
      <c r="A600" s="0" t="s">
        <v>688</v>
      </c>
      <c r="B600" s="0" t="s">
        <v>20</v>
      </c>
      <c r="C600" s="0" t="s">
        <v>21</v>
      </c>
      <c r="D600" s="0" t="s">
        <v>708</v>
      </c>
      <c r="E600" s="0" t="n">
        <v>25</v>
      </c>
      <c r="F600" s="0" t="n">
        <v>80</v>
      </c>
      <c r="G600" s="1" t="n">
        <f aca="false">(E600/100)*F600</f>
        <v>20</v>
      </c>
      <c r="H600" s="0" t="n">
        <v>0</v>
      </c>
      <c r="I600" s="2" t="n">
        <f aca="false">(E600/100)*H600</f>
        <v>0</v>
      </c>
      <c r="J600" s="0" t="n">
        <v>20</v>
      </c>
      <c r="K600" s="6" t="n">
        <f aca="false">G600/E600</f>
        <v>0.8</v>
      </c>
      <c r="L600" s="7" t="n">
        <f aca="false">0.025*0.4</f>
        <v>0.01</v>
      </c>
      <c r="M600" s="7" t="n">
        <f aca="false">(6.8/3)/G600</f>
        <v>0.113333333333333</v>
      </c>
      <c r="N600" s="0" t="n">
        <v>0</v>
      </c>
      <c r="O600" s="0" t="n">
        <v>0</v>
      </c>
      <c r="P600" s="0" t="n">
        <v>0</v>
      </c>
      <c r="Q600" s="0" t="n">
        <v>0</v>
      </c>
      <c r="V600" s="0" t="n">
        <v>0</v>
      </c>
    </row>
    <row r="601" customFormat="false" ht="12.8" hidden="false" customHeight="false" outlineLevel="0" collapsed="false">
      <c r="A601" s="0" t="s">
        <v>688</v>
      </c>
      <c r="B601" s="0" t="s">
        <v>20</v>
      </c>
      <c r="C601" s="0" t="s">
        <v>21</v>
      </c>
      <c r="D601" s="0" t="s">
        <v>709</v>
      </c>
      <c r="E601" s="0" t="n">
        <v>60</v>
      </c>
      <c r="F601" s="0" t="n">
        <v>33</v>
      </c>
      <c r="G601" s="1" t="n">
        <f aca="false">(E601/100)*F601</f>
        <v>19.8</v>
      </c>
      <c r="H601" s="0" t="n">
        <v>0</v>
      </c>
      <c r="I601" s="2" t="n">
        <f aca="false">(E601/100)*H601</f>
        <v>0</v>
      </c>
      <c r="J601" s="0" t="n">
        <v>0</v>
      </c>
      <c r="K601" s="6" t="n">
        <f aca="false">G601/E601</f>
        <v>0.33</v>
      </c>
      <c r="L601" s="7" t="n">
        <v>0</v>
      </c>
      <c r="M601" s="7" t="n">
        <f aca="false">2.8/G601</f>
        <v>0.141414141414141</v>
      </c>
      <c r="N601" s="0" t="n">
        <v>0</v>
      </c>
      <c r="O601" s="0" t="n">
        <v>0</v>
      </c>
      <c r="P601" s="0" t="n">
        <v>0</v>
      </c>
      <c r="Q601" s="0" t="n">
        <v>0</v>
      </c>
      <c r="V601" s="0" t="n">
        <v>0</v>
      </c>
    </row>
    <row r="602" customFormat="false" ht="12.8" hidden="false" customHeight="false" outlineLevel="0" collapsed="false">
      <c r="A602" s="0" t="s">
        <v>688</v>
      </c>
      <c r="B602" s="0" t="s">
        <v>20</v>
      </c>
      <c r="C602" s="0" t="s">
        <v>21</v>
      </c>
      <c r="D602" s="0" t="s">
        <v>710</v>
      </c>
      <c r="E602" s="0" t="n">
        <v>60</v>
      </c>
      <c r="F602" s="0" t="n">
        <v>67</v>
      </c>
      <c r="G602" s="1" t="n">
        <f aca="false">(E602/100)*F602</f>
        <v>40.2</v>
      </c>
      <c r="H602" s="0" t="n">
        <v>0</v>
      </c>
      <c r="I602" s="2" t="n">
        <f aca="false">(E602/100)*H602</f>
        <v>0</v>
      </c>
      <c r="J602" s="0" t="n">
        <v>0</v>
      </c>
      <c r="K602" s="6" t="n">
        <f aca="false">G602/E602</f>
        <v>0.67</v>
      </c>
      <c r="L602" s="7" t="n">
        <v>0</v>
      </c>
      <c r="M602" s="7" t="n">
        <f aca="false">2.95/G602</f>
        <v>0.0733830845771144</v>
      </c>
      <c r="N602" s="0" t="n">
        <v>0</v>
      </c>
      <c r="O602" s="0" t="n">
        <v>0</v>
      </c>
      <c r="P602" s="0" t="n">
        <v>0</v>
      </c>
      <c r="Q602" s="0" t="n">
        <v>0</v>
      </c>
      <c r="V602" s="0" t="n">
        <v>0</v>
      </c>
    </row>
    <row r="603" customFormat="false" ht="12.8" hidden="false" customHeight="false" outlineLevel="0" collapsed="false">
      <c r="A603" s="0" t="s">
        <v>688</v>
      </c>
      <c r="B603" s="0" t="s">
        <v>20</v>
      </c>
      <c r="C603" s="0" t="s">
        <v>21</v>
      </c>
      <c r="D603" s="0" t="s">
        <v>711</v>
      </c>
      <c r="E603" s="0" t="n">
        <v>60</v>
      </c>
      <c r="F603" s="0" t="n">
        <v>67</v>
      </c>
      <c r="G603" s="1" t="n">
        <f aca="false">(E603/100)*F603</f>
        <v>40.2</v>
      </c>
      <c r="H603" s="0" t="n">
        <v>0</v>
      </c>
      <c r="I603" s="2" t="n">
        <f aca="false">(E603/100)*H603</f>
        <v>0</v>
      </c>
      <c r="J603" s="0" t="n">
        <v>100</v>
      </c>
      <c r="K603" s="6" t="n">
        <f aca="false">G603/E603</f>
        <v>0.67</v>
      </c>
      <c r="L603" s="7" t="n">
        <v>0</v>
      </c>
      <c r="M603" s="7" t="n">
        <f aca="false">2.95/G603</f>
        <v>0.0733830845771144</v>
      </c>
      <c r="N603" s="0" t="n">
        <v>0</v>
      </c>
      <c r="O603" s="0" t="n">
        <v>0</v>
      </c>
      <c r="P603" s="0" t="n">
        <v>0</v>
      </c>
      <c r="Q603" s="0" t="n">
        <v>0</v>
      </c>
      <c r="V603" s="0" t="n">
        <v>0</v>
      </c>
    </row>
    <row r="604" customFormat="false" ht="12.8" hidden="false" customHeight="false" outlineLevel="0" collapsed="false">
      <c r="A604" s="0" t="s">
        <v>688</v>
      </c>
      <c r="B604" s="0" t="s">
        <v>20</v>
      </c>
      <c r="C604" s="0" t="s">
        <v>21</v>
      </c>
      <c r="D604" s="0" t="s">
        <v>712</v>
      </c>
      <c r="E604" s="0" t="n">
        <v>50</v>
      </c>
      <c r="F604" s="0" t="n">
        <v>60</v>
      </c>
      <c r="G604" s="1" t="n">
        <f aca="false">(E604/100)*F604</f>
        <v>30</v>
      </c>
      <c r="H604" s="0" t="n">
        <v>0</v>
      </c>
      <c r="I604" s="2" t="n">
        <f aca="false">(E604/100)*H604</f>
        <v>0</v>
      </c>
      <c r="J604" s="0" t="n">
        <v>0</v>
      </c>
      <c r="K604" s="6" t="n">
        <f aca="false">G604/E604</f>
        <v>0.6</v>
      </c>
      <c r="L604" s="7" t="n">
        <f aca="false">0.13*0.4</f>
        <v>0.052</v>
      </c>
      <c r="M604" s="7" t="n">
        <f aca="false">2.95/G604</f>
        <v>0.0983333333333333</v>
      </c>
      <c r="N604" s="0" t="n">
        <v>0</v>
      </c>
      <c r="O604" s="0" t="n">
        <v>0</v>
      </c>
      <c r="P604" s="0" t="n">
        <v>0</v>
      </c>
      <c r="Q604" s="0" t="n">
        <v>0</v>
      </c>
      <c r="V604" s="0" t="n">
        <v>0</v>
      </c>
    </row>
    <row r="605" customFormat="false" ht="12.8" hidden="false" customHeight="false" outlineLevel="0" collapsed="false">
      <c r="A605" s="0" t="s">
        <v>688</v>
      </c>
      <c r="B605" s="0" t="s">
        <v>36</v>
      </c>
      <c r="C605" s="0" t="s">
        <v>37</v>
      </c>
      <c r="D605" s="0" t="s">
        <v>713</v>
      </c>
      <c r="E605" s="0" t="n">
        <v>34</v>
      </c>
      <c r="F605" s="0" t="n">
        <v>87</v>
      </c>
      <c r="G605" s="1" t="n">
        <f aca="false">(E605/100)*F605</f>
        <v>29.58</v>
      </c>
      <c r="H605" s="0" t="n">
        <v>0</v>
      </c>
      <c r="I605" s="2" t="n">
        <f aca="false">(E605/100)*H605</f>
        <v>0</v>
      </c>
      <c r="J605" s="0" t="n">
        <v>0</v>
      </c>
      <c r="K605" s="6" t="n">
        <f aca="false">G605/E605</f>
        <v>0.87</v>
      </c>
      <c r="L605" s="7" t="n">
        <v>0</v>
      </c>
      <c r="M605" s="7" t="n">
        <f aca="false">2.95/G605</f>
        <v>0.0997295469912103</v>
      </c>
      <c r="N605" s="0" t="n">
        <v>0</v>
      </c>
      <c r="O605" s="0" t="n">
        <v>0</v>
      </c>
      <c r="P605" s="0" t="n">
        <v>0</v>
      </c>
      <c r="Q605" s="0" t="n">
        <v>0</v>
      </c>
      <c r="V605" s="0" t="n">
        <v>0</v>
      </c>
    </row>
    <row r="606" customFormat="false" ht="12.8" hidden="false" customHeight="false" outlineLevel="0" collapsed="false">
      <c r="A606" s="0" t="s">
        <v>688</v>
      </c>
      <c r="B606" s="0" t="s">
        <v>25</v>
      </c>
      <c r="C606" s="0" t="s">
        <v>26</v>
      </c>
      <c r="D606" s="0" t="s">
        <v>714</v>
      </c>
      <c r="E606" s="0" t="n">
        <v>1</v>
      </c>
      <c r="F606" s="0" t="n">
        <v>92</v>
      </c>
      <c r="G606" s="1" t="n">
        <f aca="false">(E606/100)*F606</f>
        <v>0.92</v>
      </c>
      <c r="H606" s="0" t="n">
        <v>0</v>
      </c>
      <c r="I606" s="2" t="n">
        <f aca="false">(E606/100)*H606</f>
        <v>0</v>
      </c>
      <c r="J606" s="0" t="n">
        <v>0</v>
      </c>
      <c r="K606" s="6" t="n">
        <f aca="false">G606/E606</f>
        <v>0.92</v>
      </c>
      <c r="L606" s="7" t="n">
        <f aca="false">0.009*0.4</f>
        <v>0.0036</v>
      </c>
      <c r="M606" s="7" t="n">
        <f aca="false">(19.9/650)/G606</f>
        <v>0.0332775919732441</v>
      </c>
      <c r="N606" s="0" t="n">
        <v>0</v>
      </c>
      <c r="O606" s="0" t="n">
        <v>0</v>
      </c>
      <c r="P606" s="0" t="n">
        <v>0</v>
      </c>
      <c r="Q606" s="0" t="n">
        <v>0</v>
      </c>
      <c r="V606" s="0" t="n">
        <v>0</v>
      </c>
    </row>
    <row r="607" customFormat="false" ht="12.8" hidden="false" customHeight="false" outlineLevel="0" collapsed="false">
      <c r="A607" s="0" t="s">
        <v>688</v>
      </c>
      <c r="B607" s="0" t="s">
        <v>25</v>
      </c>
      <c r="C607" s="0" t="s">
        <v>26</v>
      </c>
      <c r="D607" s="0" t="s">
        <v>715</v>
      </c>
      <c r="E607" s="0" t="n">
        <v>1</v>
      </c>
      <c r="F607" s="0" t="n">
        <v>85</v>
      </c>
      <c r="G607" s="1" t="n">
        <f aca="false">(E607/100)*F607</f>
        <v>0.85</v>
      </c>
      <c r="H607" s="0" t="n">
        <v>0</v>
      </c>
      <c r="I607" s="2" t="n">
        <f aca="false">(E607/100)*H607</f>
        <v>0</v>
      </c>
      <c r="J607" s="0" t="n">
        <v>0</v>
      </c>
      <c r="K607" s="6" t="n">
        <f aca="false">G607/E607</f>
        <v>0.85</v>
      </c>
      <c r="L607" s="7" t="n">
        <f aca="false">0.02*0.4</f>
        <v>0.008</v>
      </c>
      <c r="M607" s="7" t="n">
        <f aca="false">(10.45/420)/G607</f>
        <v>0.0292717086834734</v>
      </c>
      <c r="N607" s="0" t="n">
        <v>0</v>
      </c>
      <c r="O607" s="0" t="n">
        <v>0</v>
      </c>
      <c r="P607" s="0" t="n">
        <v>0</v>
      </c>
      <c r="Q607" s="0" t="n">
        <v>0</v>
      </c>
      <c r="V607" s="0" t="n">
        <v>0</v>
      </c>
    </row>
    <row r="608" customFormat="false" ht="12.8" hidden="false" customHeight="false" outlineLevel="0" collapsed="false">
      <c r="A608" s="0" t="s">
        <v>716</v>
      </c>
      <c r="B608" s="0" t="s">
        <v>25</v>
      </c>
      <c r="C608" s="0" t="s">
        <v>26</v>
      </c>
      <c r="D608" s="0" t="s">
        <v>717</v>
      </c>
      <c r="E608" s="0" t="n">
        <v>1</v>
      </c>
      <c r="F608" s="0" t="n">
        <v>79</v>
      </c>
      <c r="G608" s="1" t="n">
        <f aca="false">(E608/100)*F608</f>
        <v>0.79</v>
      </c>
      <c r="H608" s="0" t="n">
        <v>11</v>
      </c>
      <c r="I608" s="2" t="n">
        <f aca="false">(E608/100)*H608</f>
        <v>0.11</v>
      </c>
      <c r="J608" s="0" t="n">
        <v>0</v>
      </c>
      <c r="K608" s="6" t="n">
        <f aca="false">G608/E608</f>
        <v>0.79</v>
      </c>
      <c r="L608" s="7" t="n">
        <f aca="false">0.019*0.4</f>
        <v>0.0076</v>
      </c>
      <c r="M608" s="7" t="n">
        <f aca="false">(26.5/600)/G608</f>
        <v>0.0559071729957806</v>
      </c>
      <c r="N608" s="0" t="n">
        <v>1</v>
      </c>
      <c r="O608" s="0" t="n">
        <v>0</v>
      </c>
      <c r="P608" s="0" t="n">
        <v>0</v>
      </c>
      <c r="Q608" s="0" t="n">
        <v>0</v>
      </c>
      <c r="S608" s="0" t="s">
        <v>718</v>
      </c>
      <c r="U608" s="0" t="s">
        <v>570</v>
      </c>
      <c r="V608" s="0" t="n">
        <v>1</v>
      </c>
    </row>
    <row r="609" customFormat="false" ht="12.8" hidden="false" customHeight="false" outlineLevel="0" collapsed="false">
      <c r="A609" s="0" t="s">
        <v>716</v>
      </c>
      <c r="B609" s="0" t="s">
        <v>25</v>
      </c>
      <c r="C609" s="0" t="s">
        <v>26</v>
      </c>
      <c r="D609" s="0" t="s">
        <v>719</v>
      </c>
      <c r="E609" s="0" t="n">
        <v>1</v>
      </c>
      <c r="F609" s="0" t="n">
        <v>85</v>
      </c>
      <c r="G609" s="1" t="n">
        <f aca="false">(E609/100)*F609</f>
        <v>0.85</v>
      </c>
      <c r="H609" s="0" t="n">
        <v>3.8</v>
      </c>
      <c r="I609" s="2" t="n">
        <f aca="false">(E609/100)*H609</f>
        <v>0.038</v>
      </c>
      <c r="J609" s="0" t="n">
        <v>0</v>
      </c>
      <c r="K609" s="6" t="n">
        <f aca="false">G609/E609</f>
        <v>0.85</v>
      </c>
      <c r="L609" s="7" t="n">
        <f aca="false">0.021*0.4</f>
        <v>0.0084</v>
      </c>
      <c r="M609" s="7" t="n">
        <f aca="false">(26.95/800)/G609</f>
        <v>0.0396323529411765</v>
      </c>
      <c r="N609" s="0" t="n">
        <v>1</v>
      </c>
      <c r="O609" s="0" t="n">
        <v>0</v>
      </c>
      <c r="P609" s="0" t="n">
        <v>0</v>
      </c>
      <c r="Q609" s="0" t="n">
        <v>0</v>
      </c>
      <c r="S609" s="0" t="s">
        <v>718</v>
      </c>
      <c r="U609" s="0" t="s">
        <v>570</v>
      </c>
      <c r="V609" s="0" t="n">
        <v>1</v>
      </c>
    </row>
    <row r="610" customFormat="false" ht="12.8" hidden="false" customHeight="false" outlineLevel="0" collapsed="false">
      <c r="A610" s="0" t="s">
        <v>716</v>
      </c>
      <c r="B610" s="0" t="s">
        <v>25</v>
      </c>
      <c r="C610" s="0" t="s">
        <v>26</v>
      </c>
      <c r="D610" s="0" t="s">
        <v>720</v>
      </c>
      <c r="E610" s="0" t="n">
        <v>1</v>
      </c>
      <c r="F610" s="0" t="n">
        <v>86</v>
      </c>
      <c r="G610" s="1" t="n">
        <f aca="false">(E610/100)*F610</f>
        <v>0.86</v>
      </c>
      <c r="H610" s="0" t="n">
        <v>2.6</v>
      </c>
      <c r="I610" s="2" t="n">
        <f aca="false">(E610/100)*H610</f>
        <v>0.026</v>
      </c>
      <c r="J610" s="0" t="n">
        <v>0</v>
      </c>
      <c r="K610" s="6" t="n">
        <f aca="false">G610/E610</f>
        <v>0.86</v>
      </c>
      <c r="L610" s="7" t="n">
        <v>0.00751</v>
      </c>
      <c r="M610" s="7" t="n">
        <f aca="false">(27.9/800)/G610</f>
        <v>0.0405523255813953</v>
      </c>
      <c r="N610" s="0" t="n">
        <v>1</v>
      </c>
      <c r="O610" s="0" t="n">
        <v>0</v>
      </c>
      <c r="P610" s="0" t="n">
        <v>0</v>
      </c>
      <c r="Q610" s="0" t="n">
        <v>0</v>
      </c>
      <c r="R610" s="0" t="n">
        <v>26</v>
      </c>
      <c r="U610" s="0" t="s">
        <v>570</v>
      </c>
      <c r="V610" s="0" t="n">
        <v>1</v>
      </c>
    </row>
    <row r="611" customFormat="false" ht="12.8" hidden="false" customHeight="false" outlineLevel="0" collapsed="false">
      <c r="A611" s="0" t="s">
        <v>721</v>
      </c>
      <c r="B611" s="0" t="s">
        <v>25</v>
      </c>
      <c r="C611" s="0" t="s">
        <v>26</v>
      </c>
      <c r="D611" s="0" t="s">
        <v>722</v>
      </c>
      <c r="E611" s="0" t="n">
        <v>30</v>
      </c>
      <c r="F611" s="0" t="n">
        <v>86</v>
      </c>
      <c r="G611" s="1" t="n">
        <f aca="false">(E611/100)*F611</f>
        <v>25.8</v>
      </c>
      <c r="H611" s="0" t="n">
        <v>0</v>
      </c>
      <c r="I611" s="2" t="n">
        <f aca="false">(E611/100)*H611</f>
        <v>0</v>
      </c>
      <c r="J611" s="0" t="n">
        <v>0</v>
      </c>
      <c r="K611" s="6" t="n">
        <f aca="false">G611/E611</f>
        <v>0.86</v>
      </c>
      <c r="L611" s="7" t="n">
        <f aca="false">1.1*0.4</f>
        <v>0.44</v>
      </c>
      <c r="M611" s="7" t="n">
        <f aca="false">0.971/G611</f>
        <v>0.0376356589147287</v>
      </c>
      <c r="N611" s="0" t="n">
        <v>0</v>
      </c>
      <c r="O611" s="0" t="n">
        <v>0</v>
      </c>
      <c r="P611" s="0" t="n">
        <v>0</v>
      </c>
      <c r="Q611" s="0" t="n">
        <v>0</v>
      </c>
      <c r="V611" s="0" t="n">
        <v>0</v>
      </c>
    </row>
    <row r="612" customFormat="false" ht="12.8" hidden="false" customHeight="false" outlineLevel="0" collapsed="false">
      <c r="A612" s="0" t="s">
        <v>723</v>
      </c>
      <c r="B612" s="0" t="s">
        <v>25</v>
      </c>
      <c r="C612" s="0" t="s">
        <v>26</v>
      </c>
      <c r="D612" s="0" t="s">
        <v>724</v>
      </c>
      <c r="E612" s="0" t="n">
        <v>1</v>
      </c>
      <c r="F612" s="0" t="n">
        <v>93</v>
      </c>
      <c r="G612" s="1" t="n">
        <f aca="false">(E612/100)*F612</f>
        <v>0.93</v>
      </c>
      <c r="H612" s="0" t="n">
        <v>0</v>
      </c>
      <c r="I612" s="2" t="n">
        <f aca="false">(E612/100)*H612</f>
        <v>0</v>
      </c>
      <c r="J612" s="0" t="n">
        <v>0</v>
      </c>
      <c r="K612" s="6" t="n">
        <f aca="false">G612/E612</f>
        <v>0.93</v>
      </c>
      <c r="L612" s="7" t="n">
        <f aca="false">0.016*0.4</f>
        <v>0.0064</v>
      </c>
      <c r="M612" s="7" t="n">
        <f aca="false">(16.9/650)/G612</f>
        <v>0.0279569892473118</v>
      </c>
      <c r="N612" s="0" t="n">
        <v>0</v>
      </c>
      <c r="O612" s="0" t="n">
        <v>0</v>
      </c>
      <c r="P612" s="0" t="n">
        <v>0</v>
      </c>
      <c r="Q612" s="0" t="n">
        <v>0</v>
      </c>
      <c r="V612" s="0" t="n">
        <v>0</v>
      </c>
    </row>
    <row r="613" customFormat="false" ht="12.8" hidden="false" customHeight="false" outlineLevel="0" collapsed="false">
      <c r="A613" s="0" t="s">
        <v>723</v>
      </c>
      <c r="B613" s="0" t="s">
        <v>25</v>
      </c>
      <c r="C613" s="0" t="s">
        <v>26</v>
      </c>
      <c r="D613" s="0" t="s">
        <v>725</v>
      </c>
      <c r="E613" s="0" t="n">
        <v>1</v>
      </c>
      <c r="F613" s="0" t="n">
        <v>92.6</v>
      </c>
      <c r="G613" s="1" t="n">
        <f aca="false">(E613/100)*F613</f>
        <v>0.926</v>
      </c>
      <c r="H613" s="0" t="n">
        <v>0</v>
      </c>
      <c r="I613" s="2" t="n">
        <f aca="false">(E613/100)*H613</f>
        <v>0</v>
      </c>
      <c r="J613" s="0" t="n">
        <v>0</v>
      </c>
      <c r="K613" s="6" t="n">
        <f aca="false">G613/E613</f>
        <v>0.926</v>
      </c>
      <c r="L613" s="7" t="n">
        <f aca="false">0.015*0.4</f>
        <v>0.006</v>
      </c>
      <c r="M613" s="7" t="n">
        <f aca="false">(15.9/650)/G613</f>
        <v>0.0264163482306031</v>
      </c>
      <c r="N613" s="0" t="n">
        <v>0</v>
      </c>
      <c r="O613" s="0" t="n">
        <v>0</v>
      </c>
      <c r="P613" s="0" t="n">
        <v>0</v>
      </c>
      <c r="Q613" s="0" t="n">
        <v>0</v>
      </c>
      <c r="V613" s="0" t="n">
        <v>0</v>
      </c>
    </row>
    <row r="614" customFormat="false" ht="12.8" hidden="false" customHeight="false" outlineLevel="0" collapsed="false">
      <c r="A614" s="0" t="s">
        <v>723</v>
      </c>
      <c r="B614" s="0" t="s">
        <v>25</v>
      </c>
      <c r="C614" s="0" t="s">
        <v>26</v>
      </c>
      <c r="D614" s="0" t="s">
        <v>726</v>
      </c>
      <c r="E614" s="0" t="n">
        <v>1</v>
      </c>
      <c r="F614" s="0" t="n">
        <v>88.3</v>
      </c>
      <c r="G614" s="1" t="n">
        <f aca="false">(E614/100)*F614</f>
        <v>0.883</v>
      </c>
      <c r="H614" s="0" t="n">
        <v>4.4</v>
      </c>
      <c r="I614" s="2" t="n">
        <f aca="false">(E614/100)*H614</f>
        <v>0.044</v>
      </c>
      <c r="J614" s="0" t="n">
        <v>0</v>
      </c>
      <c r="K614" s="6" t="n">
        <f aca="false">G614/E614</f>
        <v>0.883</v>
      </c>
      <c r="L614" s="7" t="n">
        <f aca="false">0.014*0.4</f>
        <v>0.0056</v>
      </c>
      <c r="M614" s="7" t="n">
        <f aca="false">(15.9/650)/G614</f>
        <v>0.0277027615645962</v>
      </c>
      <c r="N614" s="0" t="n">
        <v>0</v>
      </c>
      <c r="O614" s="0" t="n">
        <v>0</v>
      </c>
      <c r="P614" s="0" t="n">
        <v>0</v>
      </c>
      <c r="Q614" s="0" t="n">
        <v>0</v>
      </c>
      <c r="R614" s="0" t="n">
        <v>44</v>
      </c>
      <c r="V614" s="0" t="n">
        <v>0</v>
      </c>
    </row>
    <row r="615" customFormat="false" ht="12.8" hidden="false" customHeight="false" outlineLevel="0" collapsed="false">
      <c r="A615" s="0" t="s">
        <v>723</v>
      </c>
      <c r="B615" s="0" t="s">
        <v>20</v>
      </c>
      <c r="C615" s="0" t="s">
        <v>21</v>
      </c>
      <c r="D615" s="0" t="s">
        <v>727</v>
      </c>
      <c r="E615" s="0" t="n">
        <v>33</v>
      </c>
      <c r="F615" s="0" t="n">
        <v>65</v>
      </c>
      <c r="G615" s="1" t="n">
        <f aca="false">(E615/100)*F615</f>
        <v>21.45</v>
      </c>
      <c r="H615" s="0" t="n">
        <v>0</v>
      </c>
      <c r="I615" s="2" t="n">
        <f aca="false">(E615/100)*H615</f>
        <v>0</v>
      </c>
      <c r="J615" s="0" t="n">
        <v>0</v>
      </c>
      <c r="K615" s="6" t="n">
        <f aca="false">G615/E615</f>
        <v>0.65</v>
      </c>
      <c r="L615" s="7" t="n">
        <v>0.04</v>
      </c>
      <c r="M615" s="7" t="n">
        <f aca="false">(19.9/12)/G615</f>
        <v>0.0773115773115773</v>
      </c>
      <c r="N615" s="0" t="n">
        <v>0</v>
      </c>
      <c r="O615" s="0" t="n">
        <v>0</v>
      </c>
      <c r="P615" s="0" t="n">
        <v>0</v>
      </c>
      <c r="Q615" s="0" t="n">
        <v>0</v>
      </c>
      <c r="V615" s="0" t="n">
        <v>0</v>
      </c>
    </row>
    <row r="616" customFormat="false" ht="12.8" hidden="false" customHeight="false" outlineLevel="0" collapsed="false">
      <c r="A616" s="0" t="s">
        <v>723</v>
      </c>
      <c r="B616" s="0" t="s">
        <v>20</v>
      </c>
      <c r="C616" s="0" t="s">
        <v>21</v>
      </c>
      <c r="D616" s="0" t="s">
        <v>728</v>
      </c>
      <c r="E616" s="0" t="n">
        <v>33</v>
      </c>
      <c r="F616" s="0" t="n">
        <v>65</v>
      </c>
      <c r="G616" s="1" t="n">
        <f aca="false">(E616/100)*F616</f>
        <v>21.45</v>
      </c>
      <c r="H616" s="0" t="n">
        <v>0</v>
      </c>
      <c r="I616" s="2" t="n">
        <f aca="false">(E616/100)*H616</f>
        <v>0</v>
      </c>
      <c r="J616" s="0" t="n">
        <v>0</v>
      </c>
      <c r="K616" s="6" t="n">
        <f aca="false">G616/E616</f>
        <v>0.65</v>
      </c>
      <c r="L616" s="7" t="n">
        <f aca="false">0.04*0.4</f>
        <v>0.016</v>
      </c>
      <c r="M616" s="7" t="n">
        <f aca="false">(19.9/12)/G616</f>
        <v>0.0773115773115773</v>
      </c>
      <c r="N616" s="0" t="n">
        <v>0</v>
      </c>
      <c r="O616" s="0" t="n">
        <v>0</v>
      </c>
      <c r="P616" s="0" t="n">
        <v>0</v>
      </c>
      <c r="Q616" s="0" t="n">
        <v>0</v>
      </c>
      <c r="V616" s="0" t="n">
        <v>0</v>
      </c>
    </row>
    <row r="617" customFormat="false" ht="12.8" hidden="false" customHeight="false" outlineLevel="0" collapsed="false">
      <c r="A617" s="0" t="s">
        <v>723</v>
      </c>
      <c r="B617" s="0" t="s">
        <v>20</v>
      </c>
      <c r="C617" s="0" t="s">
        <v>21</v>
      </c>
      <c r="D617" s="0" t="s">
        <v>729</v>
      </c>
      <c r="E617" s="0" t="n">
        <v>33</v>
      </c>
      <c r="F617" s="0" t="n">
        <v>65</v>
      </c>
      <c r="G617" s="1" t="n">
        <f aca="false">(E617/100)*F617</f>
        <v>21.45</v>
      </c>
      <c r="H617" s="0" t="n">
        <v>0</v>
      </c>
      <c r="I617" s="2" t="n">
        <f aca="false">(E617/100)*H617</f>
        <v>0</v>
      </c>
      <c r="J617" s="0" t="n">
        <v>0</v>
      </c>
      <c r="K617" s="6" t="n">
        <f aca="false">G617/E617</f>
        <v>0.65</v>
      </c>
      <c r="L617" s="7" t="n">
        <f aca="false">0.33*0.4</f>
        <v>0.132</v>
      </c>
      <c r="M617" s="7" t="n">
        <f aca="false">(19.9/12)/G617</f>
        <v>0.0773115773115773</v>
      </c>
      <c r="N617" s="0" t="n">
        <v>0</v>
      </c>
      <c r="O617" s="0" t="n">
        <v>0</v>
      </c>
      <c r="P617" s="0" t="n">
        <v>0</v>
      </c>
      <c r="Q617" s="0" t="n">
        <v>0</v>
      </c>
      <c r="V617" s="0" t="n">
        <v>0</v>
      </c>
    </row>
    <row r="618" customFormat="false" ht="12.8" hidden="false" customHeight="false" outlineLevel="0" collapsed="false">
      <c r="A618" s="0" t="s">
        <v>723</v>
      </c>
      <c r="B618" s="0" t="s">
        <v>20</v>
      </c>
      <c r="C618" s="0" t="s">
        <v>21</v>
      </c>
      <c r="D618" s="0" t="s">
        <v>730</v>
      </c>
      <c r="E618" s="0" t="n">
        <v>33</v>
      </c>
      <c r="F618" s="0" t="n">
        <v>65</v>
      </c>
      <c r="G618" s="1" t="n">
        <f aca="false">(E618/100)*F618</f>
        <v>21.45</v>
      </c>
      <c r="H618" s="0" t="n">
        <v>0</v>
      </c>
      <c r="I618" s="2" t="n">
        <f aca="false">(E618/100)*H618</f>
        <v>0</v>
      </c>
      <c r="J618" s="0" t="n">
        <v>25</v>
      </c>
      <c r="K618" s="6" t="n">
        <f aca="false">G618/E618</f>
        <v>0.65</v>
      </c>
      <c r="L618" s="7" t="n">
        <v>0.04</v>
      </c>
      <c r="M618" s="7" t="n">
        <f aca="false">(19.9/12)/G618</f>
        <v>0.0773115773115773</v>
      </c>
      <c r="N618" s="0" t="n">
        <v>0</v>
      </c>
      <c r="O618" s="0" t="n">
        <v>0</v>
      </c>
      <c r="P618" s="0" t="n">
        <v>0</v>
      </c>
      <c r="Q618" s="0" t="n">
        <v>0</v>
      </c>
      <c r="V618" s="0" t="n">
        <v>0</v>
      </c>
    </row>
    <row r="619" customFormat="false" ht="12.8" hidden="false" customHeight="false" outlineLevel="0" collapsed="false">
      <c r="A619" s="0" t="s">
        <v>723</v>
      </c>
      <c r="B619" s="0" t="s">
        <v>20</v>
      </c>
      <c r="C619" s="0" t="s">
        <v>21</v>
      </c>
      <c r="D619" s="0" t="s">
        <v>731</v>
      </c>
      <c r="E619" s="0" t="n">
        <v>60</v>
      </c>
      <c r="F619" s="0" t="n">
        <v>33</v>
      </c>
      <c r="G619" s="1" t="n">
        <f aca="false">(E619/100)*F619</f>
        <v>19.8</v>
      </c>
      <c r="H619" s="0" t="n">
        <v>0</v>
      </c>
      <c r="I619" s="2" t="n">
        <f aca="false">(E619/100)*H619</f>
        <v>0</v>
      </c>
      <c r="J619" s="0" t="n">
        <v>0</v>
      </c>
      <c r="K619" s="6" t="n">
        <f aca="false">G619/E619</f>
        <v>0.33</v>
      </c>
      <c r="L619" s="7" t="n">
        <f aca="false">0.14*0.4</f>
        <v>0.056</v>
      </c>
      <c r="M619" s="7" t="n">
        <f aca="false">(25.9/12)/G619</f>
        <v>0.109006734006734</v>
      </c>
      <c r="N619" s="0" t="n">
        <v>0</v>
      </c>
      <c r="O619" s="0" t="n">
        <v>0</v>
      </c>
      <c r="P619" s="0" t="n">
        <v>0</v>
      </c>
      <c r="Q619" s="0" t="n">
        <v>0</v>
      </c>
      <c r="V619" s="0" t="n">
        <v>0</v>
      </c>
    </row>
    <row r="620" customFormat="false" ht="12.8" hidden="false" customHeight="false" outlineLevel="0" collapsed="false">
      <c r="A620" s="0" t="s">
        <v>723</v>
      </c>
      <c r="B620" s="0" t="s">
        <v>20</v>
      </c>
      <c r="C620" s="0" t="s">
        <v>21</v>
      </c>
      <c r="D620" s="0" t="s">
        <v>732</v>
      </c>
      <c r="E620" s="0" t="n">
        <v>60</v>
      </c>
      <c r="F620" s="0" t="n">
        <v>33</v>
      </c>
      <c r="G620" s="1" t="n">
        <f aca="false">(E620/100)*F620</f>
        <v>19.8</v>
      </c>
      <c r="H620" s="0" t="n">
        <v>0</v>
      </c>
      <c r="I620" s="2" t="n">
        <f aca="false">(E620/100)*H620</f>
        <v>0</v>
      </c>
      <c r="J620" s="0" t="n">
        <v>25</v>
      </c>
      <c r="K620" s="6" t="n">
        <f aca="false">G620/E620</f>
        <v>0.33</v>
      </c>
      <c r="L620" s="7" t="n">
        <f aca="false">0.14*0.4</f>
        <v>0.056</v>
      </c>
      <c r="M620" s="7" t="n">
        <f aca="false">(25.9/12)/G620</f>
        <v>0.109006734006734</v>
      </c>
      <c r="N620" s="0" t="n">
        <v>0</v>
      </c>
      <c r="O620" s="0" t="n">
        <v>0</v>
      </c>
      <c r="P620" s="0" t="n">
        <v>0</v>
      </c>
      <c r="Q620" s="0" t="n">
        <v>0</v>
      </c>
      <c r="V620" s="0" t="n">
        <v>0</v>
      </c>
    </row>
    <row r="621" customFormat="false" ht="12.8" hidden="false" customHeight="false" outlineLevel="0" collapsed="false">
      <c r="A621" s="0" t="s">
        <v>723</v>
      </c>
      <c r="B621" s="0" t="s">
        <v>36</v>
      </c>
      <c r="C621" s="0" t="s">
        <v>37</v>
      </c>
      <c r="D621" s="13" t="s">
        <v>733</v>
      </c>
      <c r="E621" s="0" t="n">
        <v>100</v>
      </c>
      <c r="F621" s="0" t="n">
        <v>72</v>
      </c>
      <c r="G621" s="1" t="n">
        <f aca="false">(E621/100)*F621</f>
        <v>72</v>
      </c>
      <c r="H621" s="0" t="n">
        <v>8.4</v>
      </c>
      <c r="I621" s="2" t="n">
        <f aca="false">(E621/100)*H621</f>
        <v>8.4</v>
      </c>
      <c r="J621" s="0" t="n">
        <v>0</v>
      </c>
      <c r="K621" s="6" t="n">
        <f aca="false">G621/E621</f>
        <v>0.72</v>
      </c>
      <c r="L621" s="7" t="n">
        <v>0.08</v>
      </c>
      <c r="M621" s="7" t="n">
        <f aca="false">2.79/G621</f>
        <v>0.03875</v>
      </c>
      <c r="N621" s="0" t="n">
        <v>0</v>
      </c>
      <c r="O621" s="0" t="n">
        <v>0</v>
      </c>
      <c r="P621" s="0" t="n">
        <v>0</v>
      </c>
      <c r="Q621" s="0" t="n">
        <v>0</v>
      </c>
      <c r="V621" s="0" t="n">
        <v>0</v>
      </c>
    </row>
    <row r="622" customFormat="false" ht="12.8" hidden="false" customHeight="false" outlineLevel="0" collapsed="false">
      <c r="A622" s="0" t="s">
        <v>723</v>
      </c>
      <c r="B622" s="0" t="s">
        <v>36</v>
      </c>
      <c r="C622" s="0" t="s">
        <v>37</v>
      </c>
      <c r="D622" s="0" t="s">
        <v>734</v>
      </c>
      <c r="E622" s="0" t="n">
        <v>50</v>
      </c>
      <c r="F622" s="0" t="n">
        <v>72.3</v>
      </c>
      <c r="G622" s="1" t="n">
        <f aca="false">(E622/100)*F622</f>
        <v>36.15</v>
      </c>
      <c r="H622" s="0" t="n">
        <v>4.5</v>
      </c>
      <c r="I622" s="2" t="n">
        <f aca="false">(E622/100)*H622</f>
        <v>2.25</v>
      </c>
      <c r="J622" s="0" t="n">
        <v>0</v>
      </c>
      <c r="K622" s="6" t="n">
        <f aca="false">G622/E622</f>
        <v>0.723</v>
      </c>
      <c r="L622" s="7" t="n">
        <f aca="false">0.17*0.4</f>
        <v>0.068</v>
      </c>
      <c r="M622" s="7" t="n">
        <f aca="false">1.99/G622</f>
        <v>0.0550484094052559</v>
      </c>
      <c r="N622" s="0" t="n">
        <v>0</v>
      </c>
      <c r="O622" s="0" t="n">
        <v>1</v>
      </c>
      <c r="P622" s="0" t="n">
        <v>0</v>
      </c>
      <c r="Q622" s="0" t="n">
        <v>0</v>
      </c>
      <c r="V622" s="0" t="n">
        <v>0</v>
      </c>
    </row>
    <row r="623" customFormat="false" ht="12.8" hidden="false" customHeight="false" outlineLevel="0" collapsed="false">
      <c r="A623" s="0" t="s">
        <v>723</v>
      </c>
      <c r="B623" s="0" t="s">
        <v>36</v>
      </c>
      <c r="C623" s="0" t="s">
        <v>37</v>
      </c>
      <c r="D623" s="0" t="s">
        <v>735</v>
      </c>
      <c r="E623" s="0" t="n">
        <v>50</v>
      </c>
      <c r="F623" s="0" t="n">
        <v>73.4</v>
      </c>
      <c r="G623" s="1" t="n">
        <f aca="false">(E623/100)*F623</f>
        <v>36.7</v>
      </c>
      <c r="H623" s="0" t="n">
        <v>4.5</v>
      </c>
      <c r="I623" s="2" t="n">
        <f aca="false">(E623/100)*H623</f>
        <v>2.25</v>
      </c>
      <c r="J623" s="0" t="n">
        <v>25</v>
      </c>
      <c r="K623" s="6" t="n">
        <f aca="false">G623/E623</f>
        <v>0.734</v>
      </c>
      <c r="L623" s="7" t="n">
        <f aca="false">0.16*0.4</f>
        <v>0.064</v>
      </c>
      <c r="M623" s="7" t="n">
        <f aca="false">1.99/G623</f>
        <v>0.0542234332425068</v>
      </c>
      <c r="N623" s="0" t="n">
        <v>0</v>
      </c>
      <c r="O623" s="0" t="n">
        <v>1</v>
      </c>
      <c r="P623" s="0" t="n">
        <v>0</v>
      </c>
      <c r="Q623" s="0" t="n">
        <v>0</v>
      </c>
      <c r="V623" s="0" t="n">
        <v>0</v>
      </c>
    </row>
    <row r="624" customFormat="false" ht="12.8" hidden="false" customHeight="false" outlineLevel="0" collapsed="false">
      <c r="A624" s="0" t="s">
        <v>736</v>
      </c>
      <c r="B624" s="0" t="s">
        <v>36</v>
      </c>
      <c r="C624" s="0" t="s">
        <v>37</v>
      </c>
      <c r="D624" s="0" t="s">
        <v>737</v>
      </c>
      <c r="E624" s="0" t="n">
        <v>60</v>
      </c>
      <c r="F624" s="0" t="n">
        <v>77.5</v>
      </c>
      <c r="G624" s="1" t="n">
        <f aca="false">(E624/100)*F624</f>
        <v>46.5</v>
      </c>
      <c r="H624" s="0" t="n">
        <v>0.1</v>
      </c>
      <c r="I624" s="2" t="n">
        <f aca="false">(E624/100)*H624</f>
        <v>0.06</v>
      </c>
      <c r="J624" s="0" t="n">
        <v>0</v>
      </c>
      <c r="K624" s="6" t="n">
        <f aca="false">G624/E624</f>
        <v>0.775</v>
      </c>
      <c r="L624" s="0" t="n">
        <v>0.165</v>
      </c>
      <c r="M624" s="0" t="n">
        <f aca="false">3.49/G624</f>
        <v>0.0750537634408602</v>
      </c>
      <c r="N624" s="0" t="n">
        <v>0</v>
      </c>
      <c r="O624" s="0" t="n">
        <v>0</v>
      </c>
      <c r="P624" s="0" t="n">
        <v>0</v>
      </c>
      <c r="Q624" s="0" t="n">
        <v>0</v>
      </c>
      <c r="V624" s="0" t="n">
        <v>0</v>
      </c>
    </row>
    <row r="625" customFormat="false" ht="12.8" hidden="false" customHeight="false" outlineLevel="0" collapsed="false">
      <c r="A625" s="0" t="s">
        <v>736</v>
      </c>
      <c r="B625" s="0" t="s">
        <v>36</v>
      </c>
      <c r="C625" s="0" t="s">
        <v>37</v>
      </c>
      <c r="D625" s="0" t="s">
        <v>738</v>
      </c>
      <c r="E625" s="0" t="n">
        <v>60</v>
      </c>
      <c r="F625" s="0" t="n">
        <v>76.8</v>
      </c>
      <c r="G625" s="1" t="n">
        <f aca="false">(E625/100)*F625</f>
        <v>46.08</v>
      </c>
      <c r="H625" s="0" t="n">
        <v>0.1</v>
      </c>
      <c r="I625" s="2" t="n">
        <f aca="false">(E625/100)*H625</f>
        <v>0.06</v>
      </c>
      <c r="J625" s="0" t="n">
        <v>80</v>
      </c>
      <c r="K625" s="6" t="n">
        <f aca="false">G625/E625</f>
        <v>0.768</v>
      </c>
      <c r="L625" s="0" t="n">
        <v>0.165</v>
      </c>
      <c r="M625" s="0" t="n">
        <f aca="false">3.49/G625</f>
        <v>0.0757378472222222</v>
      </c>
      <c r="N625" s="0" t="n">
        <v>0</v>
      </c>
      <c r="O625" s="0" t="n">
        <v>0</v>
      </c>
      <c r="P625" s="0" t="n">
        <v>0</v>
      </c>
      <c r="Q625" s="0" t="n">
        <v>0</v>
      </c>
      <c r="V625" s="0" t="n">
        <v>0</v>
      </c>
    </row>
    <row r="626" customFormat="false" ht="12.8" hidden="false" customHeight="false" outlineLevel="0" collapsed="false">
      <c r="A626" s="0" t="s">
        <v>736</v>
      </c>
      <c r="B626" s="0" t="s">
        <v>36</v>
      </c>
      <c r="C626" s="0" t="s">
        <v>37</v>
      </c>
      <c r="D626" s="0" t="s">
        <v>739</v>
      </c>
      <c r="E626" s="0" t="n">
        <v>60</v>
      </c>
      <c r="F626" s="0" t="n">
        <v>54</v>
      </c>
      <c r="G626" s="1" t="n">
        <f aca="false">(E626/100)*F626</f>
        <v>32.4</v>
      </c>
      <c r="H626" s="0" t="n">
        <v>7.5</v>
      </c>
      <c r="I626" s="2" t="n">
        <f aca="false">(E626/100)*H626</f>
        <v>4.5</v>
      </c>
      <c r="J626" s="0" t="n">
        <v>0</v>
      </c>
      <c r="K626" s="6" t="n">
        <f aca="false">G626/E626</f>
        <v>0.54</v>
      </c>
      <c r="L626" s="0" t="n">
        <v>0.004</v>
      </c>
      <c r="M626" s="0" t="n">
        <f aca="false">2.2/G626</f>
        <v>0.0679012345679012</v>
      </c>
      <c r="N626" s="0" t="n">
        <v>0</v>
      </c>
      <c r="O626" s="0" t="n">
        <v>0</v>
      </c>
      <c r="P626" s="0" t="n">
        <v>0</v>
      </c>
      <c r="Q626" s="0" t="n">
        <v>0</v>
      </c>
      <c r="V626" s="0" t="n">
        <v>0</v>
      </c>
    </row>
    <row r="627" customFormat="false" ht="12.8" hidden="false" customHeight="false" outlineLevel="0" collapsed="false">
      <c r="A627" s="0" t="s">
        <v>736</v>
      </c>
      <c r="B627" s="0" t="s">
        <v>36</v>
      </c>
      <c r="C627" s="0" t="s">
        <v>37</v>
      </c>
      <c r="D627" s="0" t="s">
        <v>740</v>
      </c>
      <c r="E627" s="0" t="n">
        <v>60</v>
      </c>
      <c r="F627" s="0" t="n">
        <v>57.5</v>
      </c>
      <c r="G627" s="1" t="n">
        <f aca="false">(E627/100)*F627</f>
        <v>34.5</v>
      </c>
      <c r="H627" s="0" t="n">
        <v>6.4</v>
      </c>
      <c r="I627" s="2" t="n">
        <f aca="false">(E627/100)*H627</f>
        <v>3.84</v>
      </c>
      <c r="J627" s="0" t="n">
        <v>0</v>
      </c>
      <c r="K627" s="6" t="n">
        <f aca="false">G627/E627</f>
        <v>0.575</v>
      </c>
      <c r="L627" s="0" t="n">
        <v>0.004</v>
      </c>
      <c r="M627" s="0" t="n">
        <f aca="false">2.2/G627</f>
        <v>0.063768115942029</v>
      </c>
      <c r="N627" s="0" t="n">
        <v>0</v>
      </c>
      <c r="O627" s="0" t="n">
        <v>0</v>
      </c>
      <c r="P627" s="0" t="n">
        <v>0</v>
      </c>
      <c r="Q627" s="0" t="n">
        <v>1</v>
      </c>
      <c r="V627" s="0" t="n">
        <v>0</v>
      </c>
    </row>
    <row r="628" customFormat="false" ht="12.8" hidden="false" customHeight="false" outlineLevel="0" collapsed="false">
      <c r="A628" s="0" t="s">
        <v>736</v>
      </c>
      <c r="B628" s="0" t="s">
        <v>36</v>
      </c>
      <c r="C628" s="0" t="s">
        <v>37</v>
      </c>
      <c r="D628" s="0" t="s">
        <v>741</v>
      </c>
      <c r="E628" s="0" t="n">
        <v>60</v>
      </c>
      <c r="F628" s="0" t="n">
        <v>49</v>
      </c>
      <c r="G628" s="1" t="n">
        <f aca="false">(E628/100)*F628</f>
        <v>29.4</v>
      </c>
      <c r="H628" s="0" t="n">
        <v>7.7</v>
      </c>
      <c r="I628" s="2" t="n">
        <f aca="false">(E628/100)*H628</f>
        <v>4.62</v>
      </c>
      <c r="J628" s="0" t="n">
        <v>0</v>
      </c>
      <c r="K628" s="6" t="n">
        <f aca="false">G628/E628</f>
        <v>0.49</v>
      </c>
      <c r="L628" s="0" t="n">
        <f aca="false">0.86*0.4</f>
        <v>0.344</v>
      </c>
      <c r="M628" s="0" t="n">
        <f aca="false">2.2/G628</f>
        <v>0.0748299319727891</v>
      </c>
      <c r="N628" s="0" t="n">
        <v>0</v>
      </c>
      <c r="O628" s="0" t="n">
        <v>0</v>
      </c>
      <c r="P628" s="0" t="n">
        <v>0</v>
      </c>
      <c r="Q628" s="0" t="n">
        <v>0</v>
      </c>
      <c r="V628" s="0" t="n">
        <v>0</v>
      </c>
    </row>
    <row r="629" customFormat="false" ht="12.8" hidden="false" customHeight="false" outlineLevel="0" collapsed="false">
      <c r="A629" s="0" t="s">
        <v>736</v>
      </c>
      <c r="B629" s="0" t="s">
        <v>36</v>
      </c>
      <c r="C629" s="0" t="s">
        <v>37</v>
      </c>
      <c r="D629" s="0" t="s">
        <v>742</v>
      </c>
      <c r="E629" s="0" t="n">
        <v>60</v>
      </c>
      <c r="F629" s="0" t="n">
        <v>50.2</v>
      </c>
      <c r="G629" s="1" t="n">
        <f aca="false">(E629/100)*F629</f>
        <v>30.12</v>
      </c>
      <c r="H629" s="0" t="n">
        <v>12.2</v>
      </c>
      <c r="I629" s="2" t="n">
        <f aca="false">(E629/100)*H629</f>
        <v>7.32</v>
      </c>
      <c r="J629" s="0" t="n">
        <v>0</v>
      </c>
      <c r="K629" s="6" t="n">
        <f aca="false">G629/E629</f>
        <v>0.502</v>
      </c>
      <c r="L629" s="0" t="n">
        <f aca="false">0.62*0.4</f>
        <v>0.248</v>
      </c>
      <c r="M629" s="0" t="n">
        <f aca="false">2.2/G629</f>
        <v>0.0730411686586985</v>
      </c>
      <c r="N629" s="0" t="n">
        <v>0</v>
      </c>
      <c r="O629" s="0" t="n">
        <v>0</v>
      </c>
      <c r="P629" s="0" t="n">
        <v>1</v>
      </c>
      <c r="Q629" s="0" t="n">
        <v>0</v>
      </c>
      <c r="V629" s="0" t="n">
        <v>0</v>
      </c>
    </row>
    <row r="630" customFormat="false" ht="12.8" hidden="false" customHeight="false" outlineLevel="0" collapsed="false">
      <c r="A630" s="0" t="s">
        <v>736</v>
      </c>
      <c r="B630" s="0" t="s">
        <v>36</v>
      </c>
      <c r="C630" s="0" t="s">
        <v>37</v>
      </c>
      <c r="D630" s="0" t="s">
        <v>743</v>
      </c>
      <c r="E630" s="0" t="n">
        <v>60</v>
      </c>
      <c r="F630" s="0" t="n">
        <v>50.7</v>
      </c>
      <c r="G630" s="1" t="n">
        <f aca="false">(E630/100)*F630</f>
        <v>30.42</v>
      </c>
      <c r="H630" s="0" t="n">
        <v>6.4</v>
      </c>
      <c r="I630" s="2" t="n">
        <f aca="false">(E630/100)*H630</f>
        <v>3.84</v>
      </c>
      <c r="J630" s="0" t="n">
        <v>0</v>
      </c>
      <c r="K630" s="6" t="n">
        <f aca="false">G630/E630</f>
        <v>0.507</v>
      </c>
      <c r="L630" s="0" t="n">
        <v>0.004</v>
      </c>
      <c r="M630" s="0" t="n">
        <f aca="false">2.2/G630</f>
        <v>0.0723208415516108</v>
      </c>
      <c r="N630" s="0" t="n">
        <v>0</v>
      </c>
      <c r="O630" s="0" t="n">
        <v>0</v>
      </c>
      <c r="P630" s="0" t="n">
        <v>0</v>
      </c>
      <c r="Q630" s="0" t="n">
        <v>0</v>
      </c>
      <c r="V630" s="0" t="n">
        <v>0</v>
      </c>
    </row>
    <row r="631" customFormat="false" ht="12.8" hidden="false" customHeight="false" outlineLevel="0" collapsed="false">
      <c r="A631" s="0" t="s">
        <v>736</v>
      </c>
      <c r="B631" s="0" t="s">
        <v>36</v>
      </c>
      <c r="C631" s="0" t="s">
        <v>37</v>
      </c>
      <c r="D631" s="0" t="s">
        <v>744</v>
      </c>
      <c r="E631" s="0" t="n">
        <v>30</v>
      </c>
      <c r="F631" s="0" t="n">
        <v>78.1</v>
      </c>
      <c r="G631" s="1" t="n">
        <f aca="false">(E631/100)*F631</f>
        <v>23.43</v>
      </c>
      <c r="H631" s="0" t="n">
        <v>2.1</v>
      </c>
      <c r="I631" s="2" t="n">
        <f aca="false">(E631/100)*H631</f>
        <v>0.63</v>
      </c>
      <c r="J631" s="0" t="n">
        <v>0</v>
      </c>
      <c r="K631" s="6" t="n">
        <f aca="false">G631/E631</f>
        <v>0.781</v>
      </c>
      <c r="L631" s="0" t="n">
        <v>0.11</v>
      </c>
      <c r="M631" s="0" t="n">
        <f aca="false">1.99/G631</f>
        <v>0.0849338454972258</v>
      </c>
      <c r="N631" s="0" t="n">
        <v>0</v>
      </c>
      <c r="O631" s="0" t="n">
        <v>0</v>
      </c>
      <c r="P631" s="0" t="n">
        <v>0</v>
      </c>
      <c r="Q631" s="0" t="n">
        <v>0</v>
      </c>
      <c r="S631" s="0" t="s">
        <v>745</v>
      </c>
      <c r="V631" s="0" t="n">
        <v>0</v>
      </c>
    </row>
    <row r="632" customFormat="false" ht="12.8" hidden="false" customHeight="false" outlineLevel="0" collapsed="false">
      <c r="A632" s="0" t="s">
        <v>736</v>
      </c>
      <c r="B632" s="0" t="s">
        <v>36</v>
      </c>
      <c r="C632" s="0" t="s">
        <v>37</v>
      </c>
      <c r="D632" s="0" t="s">
        <v>746</v>
      </c>
      <c r="E632" s="0" t="n">
        <v>30</v>
      </c>
      <c r="F632" s="0" t="n">
        <v>76.8</v>
      </c>
      <c r="G632" s="1" t="n">
        <f aca="false">(E632/100)*F632</f>
        <v>23.04</v>
      </c>
      <c r="H632" s="0" t="n">
        <v>2.1</v>
      </c>
      <c r="I632" s="2" t="n">
        <f aca="false">(E632/100)*H632</f>
        <v>0.63</v>
      </c>
      <c r="J632" s="0" t="n">
        <v>64.4</v>
      </c>
      <c r="K632" s="6" t="n">
        <f aca="false">G632/E632</f>
        <v>0.768</v>
      </c>
      <c r="L632" s="0" t="n">
        <v>0.11</v>
      </c>
      <c r="M632" s="0" t="n">
        <f aca="false">1.99/G632</f>
        <v>0.0863715277777778</v>
      </c>
      <c r="N632" s="0" t="n">
        <v>0</v>
      </c>
      <c r="O632" s="0" t="n">
        <v>0</v>
      </c>
      <c r="P632" s="0" t="n">
        <v>0</v>
      </c>
      <c r="Q632" s="0" t="n">
        <v>0</v>
      </c>
      <c r="S632" s="0" t="s">
        <v>745</v>
      </c>
      <c r="V632" s="0" t="n">
        <v>0</v>
      </c>
    </row>
    <row r="633" customFormat="false" ht="12.8" hidden="false" customHeight="false" outlineLevel="0" collapsed="false">
      <c r="A633" s="0" t="s">
        <v>736</v>
      </c>
      <c r="B633" s="0" t="s">
        <v>36</v>
      </c>
      <c r="C633" s="0" t="s">
        <v>37</v>
      </c>
      <c r="D633" s="0" t="s">
        <v>747</v>
      </c>
      <c r="E633" s="0" t="n">
        <v>30</v>
      </c>
      <c r="F633" s="0" t="n">
        <v>74.2</v>
      </c>
      <c r="G633" s="1" t="n">
        <f aca="false">(E633/100)*F633</f>
        <v>22.26</v>
      </c>
      <c r="H633" s="0" t="n">
        <v>2.3</v>
      </c>
      <c r="I633" s="2" t="n">
        <f aca="false">(E633/100)*H633</f>
        <v>0.69</v>
      </c>
      <c r="J633" s="0" t="n">
        <v>0</v>
      </c>
      <c r="K633" s="6" t="n">
        <f aca="false">G633/E633</f>
        <v>0.742</v>
      </c>
      <c r="L633" s="0" t="n">
        <v>0.3</v>
      </c>
      <c r="M633" s="0" t="n">
        <f aca="false">1.99/G633</f>
        <v>0.0893980233602875</v>
      </c>
      <c r="N633" s="0" t="n">
        <v>0</v>
      </c>
      <c r="O633" s="0" t="n">
        <v>0</v>
      </c>
      <c r="P633" s="0" t="n">
        <v>0</v>
      </c>
      <c r="Q633" s="0" t="n">
        <v>0</v>
      </c>
      <c r="S633" s="0" t="s">
        <v>745</v>
      </c>
      <c r="V633" s="0" t="n">
        <v>0</v>
      </c>
    </row>
    <row r="634" customFormat="false" ht="12.8" hidden="false" customHeight="false" outlineLevel="0" collapsed="false">
      <c r="A634" s="0" t="s">
        <v>736</v>
      </c>
      <c r="B634" s="0" t="s">
        <v>36</v>
      </c>
      <c r="C634" s="0" t="s">
        <v>37</v>
      </c>
      <c r="D634" s="0" t="s">
        <v>748</v>
      </c>
      <c r="E634" s="0" t="n">
        <v>50</v>
      </c>
      <c r="F634" s="0" t="n">
        <v>56.4</v>
      </c>
      <c r="G634" s="1" t="n">
        <f aca="false">(E634/100)*F634</f>
        <v>28.2</v>
      </c>
      <c r="H634" s="0" t="n">
        <v>20.1</v>
      </c>
      <c r="I634" s="2" t="n">
        <f aca="false">(E634/100)*H634</f>
        <v>10.05</v>
      </c>
      <c r="J634" s="0" t="n">
        <v>0</v>
      </c>
      <c r="K634" s="6" t="n">
        <f aca="false">G634/E634</f>
        <v>0.564</v>
      </c>
      <c r="L634" s="0" t="n">
        <f aca="false">0.06*0.4</f>
        <v>0.024</v>
      </c>
      <c r="M634" s="0" t="n">
        <f aca="false">2.49/G634</f>
        <v>0.0882978723404255</v>
      </c>
      <c r="N634" s="0" t="n">
        <v>0</v>
      </c>
      <c r="O634" s="0" t="n">
        <v>0</v>
      </c>
      <c r="P634" s="0" t="n">
        <v>1</v>
      </c>
      <c r="Q634" s="0" t="n">
        <v>0</v>
      </c>
      <c r="V634" s="0" t="n">
        <v>0</v>
      </c>
    </row>
    <row r="635" customFormat="false" ht="12.8" hidden="false" customHeight="false" outlineLevel="0" collapsed="false">
      <c r="A635" s="0" t="s">
        <v>736</v>
      </c>
      <c r="B635" s="0" t="s">
        <v>36</v>
      </c>
      <c r="C635" s="0" t="s">
        <v>37</v>
      </c>
      <c r="D635" s="0" t="s">
        <v>749</v>
      </c>
      <c r="E635" s="0" t="n">
        <v>50</v>
      </c>
      <c r="F635" s="0" t="n">
        <v>58.4</v>
      </c>
      <c r="G635" s="1" t="n">
        <f aca="false">(E635/100)*F635</f>
        <v>29.2</v>
      </c>
      <c r="H635" s="0" t="n">
        <v>16.8</v>
      </c>
      <c r="I635" s="2" t="n">
        <f aca="false">(E635/100)*H635</f>
        <v>8.4</v>
      </c>
      <c r="J635" s="0" t="n">
        <v>0</v>
      </c>
      <c r="K635" s="6" t="n">
        <f aca="false">G635/E635</f>
        <v>0.584</v>
      </c>
      <c r="L635" s="0" t="n">
        <f aca="false">0.52*0.4</f>
        <v>0.208</v>
      </c>
      <c r="M635" s="0" t="n">
        <f aca="false">2.49/G635</f>
        <v>0.0852739726027397</v>
      </c>
      <c r="N635" s="0" t="n">
        <v>0</v>
      </c>
      <c r="O635" s="0" t="n">
        <v>0</v>
      </c>
      <c r="P635" s="0" t="n">
        <v>1</v>
      </c>
      <c r="Q635" s="0" t="n">
        <v>0</v>
      </c>
      <c r="V635" s="0" t="n">
        <v>0</v>
      </c>
    </row>
    <row r="636" customFormat="false" ht="12.8" hidden="false" customHeight="false" outlineLevel="0" collapsed="false">
      <c r="A636" s="0" t="s">
        <v>736</v>
      </c>
      <c r="B636" s="0" t="s">
        <v>20</v>
      </c>
      <c r="C636" s="0" t="s">
        <v>21</v>
      </c>
      <c r="D636" s="0" t="s">
        <v>750</v>
      </c>
      <c r="E636" s="0" t="n">
        <v>75</v>
      </c>
      <c r="F636" s="0" t="n">
        <v>60</v>
      </c>
      <c r="G636" s="1" t="n">
        <f aca="false">(E636/100)*F636</f>
        <v>45</v>
      </c>
      <c r="H636" s="0" t="n">
        <v>0</v>
      </c>
      <c r="I636" s="2" t="n">
        <f aca="false">(E636/100)*H636</f>
        <v>0</v>
      </c>
      <c r="J636" s="0" t="n">
        <v>0</v>
      </c>
      <c r="K636" s="6" t="n">
        <f aca="false">G636/E636</f>
        <v>0.6</v>
      </c>
      <c r="L636" s="0" t="n">
        <v>0.165</v>
      </c>
      <c r="M636" s="0" t="n">
        <f aca="false">3.25/G636</f>
        <v>0.0722222222222222</v>
      </c>
      <c r="N636" s="0" t="n">
        <v>0</v>
      </c>
      <c r="O636" s="0" t="n">
        <v>0</v>
      </c>
      <c r="P636" s="0" t="n">
        <v>0</v>
      </c>
      <c r="Q636" s="0" t="n">
        <v>0</v>
      </c>
      <c r="U636" s="0" t="s">
        <v>115</v>
      </c>
      <c r="V636" s="0" t="n">
        <v>1</v>
      </c>
    </row>
    <row r="637" customFormat="false" ht="12.8" hidden="false" customHeight="false" outlineLevel="0" collapsed="false">
      <c r="A637" s="0" t="s">
        <v>736</v>
      </c>
      <c r="B637" s="0" t="s">
        <v>20</v>
      </c>
      <c r="C637" s="0" t="s">
        <v>21</v>
      </c>
      <c r="D637" s="0" t="s">
        <v>751</v>
      </c>
      <c r="E637" s="0" t="n">
        <v>75</v>
      </c>
      <c r="F637" s="0" t="n">
        <v>60</v>
      </c>
      <c r="G637" s="1" t="n">
        <f aca="false">(E637/100)*F637</f>
        <v>45</v>
      </c>
      <c r="H637" s="0" t="n">
        <v>0</v>
      </c>
      <c r="I637" s="2" t="n">
        <f aca="false">(E637/100)*H637</f>
        <v>0</v>
      </c>
      <c r="J637" s="0" t="n">
        <v>80</v>
      </c>
      <c r="K637" s="6" t="n">
        <f aca="false">G637/E637</f>
        <v>0.6</v>
      </c>
      <c r="L637" s="0" t="n">
        <v>0.165</v>
      </c>
      <c r="M637" s="0" t="n">
        <f aca="false">3.25/G637</f>
        <v>0.0722222222222222</v>
      </c>
      <c r="N637" s="0" t="n">
        <v>0</v>
      </c>
      <c r="O637" s="0" t="n">
        <v>0</v>
      </c>
      <c r="P637" s="0" t="n">
        <v>0</v>
      </c>
      <c r="Q637" s="0" t="n">
        <v>0</v>
      </c>
      <c r="U637" s="0" t="s">
        <v>115</v>
      </c>
      <c r="V637" s="0" t="n">
        <v>1</v>
      </c>
    </row>
    <row r="638" customFormat="false" ht="12.8" hidden="false" customHeight="false" outlineLevel="0" collapsed="false">
      <c r="A638" s="0" t="s">
        <v>736</v>
      </c>
      <c r="B638" s="0" t="s">
        <v>20</v>
      </c>
      <c r="C638" s="0" t="s">
        <v>21</v>
      </c>
      <c r="D638" s="0" t="s">
        <v>752</v>
      </c>
      <c r="E638" s="0" t="n">
        <v>75</v>
      </c>
      <c r="F638" s="0" t="n">
        <v>60</v>
      </c>
      <c r="G638" s="1" t="n">
        <f aca="false">(E638/100)*F638</f>
        <v>45</v>
      </c>
      <c r="H638" s="0" t="n">
        <v>0</v>
      </c>
      <c r="I638" s="2" t="n">
        <f aca="false">(E638/100)*H638</f>
        <v>0</v>
      </c>
      <c r="J638" s="0" t="n">
        <v>0</v>
      </c>
      <c r="K638" s="6" t="n">
        <f aca="false">G638/E638</f>
        <v>0.6</v>
      </c>
      <c r="L638" s="0" t="n">
        <v>0.4</v>
      </c>
      <c r="M638" s="0" t="n">
        <f aca="false">3.25/G638</f>
        <v>0.0722222222222222</v>
      </c>
      <c r="N638" s="0" t="n">
        <v>0</v>
      </c>
      <c r="O638" s="0" t="n">
        <v>0</v>
      </c>
      <c r="P638" s="0" t="n">
        <v>0</v>
      </c>
      <c r="Q638" s="0" t="n">
        <v>0</v>
      </c>
      <c r="U638" s="0" t="s">
        <v>115</v>
      </c>
      <c r="V638" s="0" t="n">
        <v>1</v>
      </c>
    </row>
    <row r="639" customFormat="false" ht="12.8" hidden="false" customHeight="false" outlineLevel="0" collapsed="false">
      <c r="A639" s="0" t="s">
        <v>736</v>
      </c>
      <c r="B639" s="0" t="s">
        <v>20</v>
      </c>
      <c r="C639" s="0" t="s">
        <v>21</v>
      </c>
      <c r="D639" s="0" t="s">
        <v>753</v>
      </c>
      <c r="E639" s="0" t="n">
        <v>40</v>
      </c>
      <c r="F639" s="0" t="n">
        <v>66</v>
      </c>
      <c r="G639" s="1" t="n">
        <f aca="false">(E639/100)*F639</f>
        <v>26.4</v>
      </c>
      <c r="H639" s="0" t="n">
        <v>1.6</v>
      </c>
      <c r="I639" s="2" t="n">
        <f aca="false">(E639/100)*H639</f>
        <v>0.64</v>
      </c>
      <c r="J639" s="0" t="n">
        <v>0</v>
      </c>
      <c r="K639" s="6" t="n">
        <f aca="false">G639/E639</f>
        <v>0.66</v>
      </c>
      <c r="L639" s="0" t="n">
        <v>0.12</v>
      </c>
      <c r="M639" s="0" t="n">
        <f aca="false">2.2/G639</f>
        <v>0.0833333333333333</v>
      </c>
      <c r="N639" s="0" t="n">
        <v>0</v>
      </c>
      <c r="O639" s="0" t="n">
        <v>0</v>
      </c>
      <c r="P639" s="0" t="n">
        <v>0</v>
      </c>
      <c r="Q639" s="0" t="n">
        <v>0</v>
      </c>
      <c r="R639" s="0" t="n">
        <v>400</v>
      </c>
      <c r="V639" s="0" t="n">
        <v>0</v>
      </c>
    </row>
    <row r="640" customFormat="false" ht="12.8" hidden="false" customHeight="false" outlineLevel="0" collapsed="false">
      <c r="A640" s="0" t="s">
        <v>736</v>
      </c>
      <c r="B640" s="0" t="s">
        <v>20</v>
      </c>
      <c r="C640" s="0" t="s">
        <v>21</v>
      </c>
      <c r="D640" s="0" t="s">
        <v>754</v>
      </c>
      <c r="E640" s="0" t="n">
        <v>40</v>
      </c>
      <c r="F640" s="0" t="n">
        <v>66</v>
      </c>
      <c r="G640" s="1" t="n">
        <f aca="false">(E640/100)*F640</f>
        <v>26.4</v>
      </c>
      <c r="H640" s="0" t="n">
        <v>1.6</v>
      </c>
      <c r="I640" s="2" t="n">
        <f aca="false">(E640/100)*H640</f>
        <v>0.64</v>
      </c>
      <c r="J640" s="0" t="n">
        <v>64</v>
      </c>
      <c r="K640" s="6" t="n">
        <f aca="false">G640/E640</f>
        <v>0.66</v>
      </c>
      <c r="L640" s="0" t="n">
        <v>0.12</v>
      </c>
      <c r="M640" s="0" t="n">
        <f aca="false">2.2/G640</f>
        <v>0.0833333333333333</v>
      </c>
      <c r="N640" s="0" t="n">
        <v>0</v>
      </c>
      <c r="O640" s="0" t="n">
        <v>0</v>
      </c>
      <c r="P640" s="0" t="n">
        <v>0</v>
      </c>
      <c r="Q640" s="0" t="n">
        <v>0</v>
      </c>
      <c r="R640" s="0" t="n">
        <v>400</v>
      </c>
      <c r="V640" s="0" t="n">
        <v>0</v>
      </c>
    </row>
    <row r="641" customFormat="false" ht="12.8" hidden="false" customHeight="false" outlineLevel="0" collapsed="false">
      <c r="A641" s="0" t="s">
        <v>736</v>
      </c>
      <c r="B641" s="0" t="s">
        <v>20</v>
      </c>
      <c r="C641" s="0" t="s">
        <v>21</v>
      </c>
      <c r="D641" s="0" t="s">
        <v>755</v>
      </c>
      <c r="E641" s="0" t="n">
        <v>75</v>
      </c>
      <c r="F641" s="0" t="n">
        <v>40</v>
      </c>
      <c r="G641" s="1" t="n">
        <f aca="false">(E641/100)*F641</f>
        <v>30</v>
      </c>
      <c r="H641" s="0" t="n">
        <v>0</v>
      </c>
      <c r="I641" s="2" t="n">
        <f aca="false">(E641/100)*H641</f>
        <v>0</v>
      </c>
      <c r="J641" s="0" t="n">
        <v>0</v>
      </c>
      <c r="K641" s="6" t="n">
        <f aca="false">G641/E641</f>
        <v>0.4</v>
      </c>
      <c r="L641" s="0" t="n">
        <v>0.11</v>
      </c>
      <c r="M641" s="0" t="n">
        <f aca="false">2.3/G641</f>
        <v>0.0766666666666667</v>
      </c>
      <c r="N641" s="0" t="n">
        <v>0</v>
      </c>
      <c r="O641" s="0" t="n">
        <v>0</v>
      </c>
      <c r="P641" s="0" t="n">
        <v>0</v>
      </c>
      <c r="Q641" s="0" t="n">
        <v>0</v>
      </c>
      <c r="V641" s="0" t="n">
        <v>0</v>
      </c>
    </row>
    <row r="642" customFormat="false" ht="12.8" hidden="false" customHeight="false" outlineLevel="0" collapsed="false">
      <c r="A642" s="0" t="s">
        <v>736</v>
      </c>
      <c r="B642" s="0" t="s">
        <v>20</v>
      </c>
      <c r="C642" s="0" t="s">
        <v>21</v>
      </c>
      <c r="D642" s="0" t="s">
        <v>756</v>
      </c>
      <c r="E642" s="0" t="n">
        <v>75</v>
      </c>
      <c r="F642" s="0" t="n">
        <v>40</v>
      </c>
      <c r="G642" s="1" t="n">
        <f aca="false">(E642/100)*F642</f>
        <v>30</v>
      </c>
      <c r="H642" s="0" t="n">
        <v>0</v>
      </c>
      <c r="I642" s="2" t="n">
        <f aca="false">(E642/100)*H642</f>
        <v>0</v>
      </c>
      <c r="J642" s="0" t="n">
        <v>80</v>
      </c>
      <c r="K642" s="6" t="n">
        <f aca="false">G642/E642</f>
        <v>0.4</v>
      </c>
      <c r="L642" s="0" t="n">
        <v>0.11</v>
      </c>
      <c r="M642" s="0" t="n">
        <f aca="false">2.3/G642</f>
        <v>0.0766666666666667</v>
      </c>
      <c r="N642" s="0" t="n">
        <v>0</v>
      </c>
      <c r="O642" s="0" t="n">
        <v>0</v>
      </c>
      <c r="P642" s="0" t="n">
        <v>0</v>
      </c>
      <c r="Q642" s="0" t="n">
        <v>0</v>
      </c>
      <c r="V642" s="0" t="n">
        <v>0</v>
      </c>
    </row>
    <row r="643" customFormat="false" ht="12.8" hidden="false" customHeight="false" outlineLevel="0" collapsed="false">
      <c r="A643" s="0" t="s">
        <v>736</v>
      </c>
      <c r="B643" s="0" t="s">
        <v>25</v>
      </c>
      <c r="C643" s="0" t="s">
        <v>26</v>
      </c>
      <c r="D643" s="0" t="s">
        <v>757</v>
      </c>
      <c r="E643" s="0" t="n">
        <v>1</v>
      </c>
      <c r="F643" s="0" t="n">
        <v>81.9</v>
      </c>
      <c r="G643" s="1" t="n">
        <f aca="false">(E643/100)*F643</f>
        <v>0.819</v>
      </c>
      <c r="H643" s="0" t="n">
        <v>7.5</v>
      </c>
      <c r="I643" s="2" t="n">
        <f aca="false">(E643/100)*H643</f>
        <v>0.075</v>
      </c>
      <c r="J643" s="0" t="n">
        <v>0</v>
      </c>
      <c r="K643" s="6" t="n">
        <f aca="false">G643/E643</f>
        <v>0.819</v>
      </c>
      <c r="L643" s="0" t="n">
        <v>0.00715</v>
      </c>
      <c r="M643" s="0" t="n">
        <f aca="false">(24.5/640)/G643</f>
        <v>0.046741452991453</v>
      </c>
      <c r="N643" s="0" t="n">
        <v>0</v>
      </c>
      <c r="O643" s="0" t="n">
        <v>0</v>
      </c>
      <c r="P643" s="0" t="n">
        <v>0</v>
      </c>
      <c r="Q643" s="0" t="n">
        <v>0</v>
      </c>
      <c r="R643" s="0" t="n">
        <v>50</v>
      </c>
      <c r="S643" s="0" t="s">
        <v>758</v>
      </c>
      <c r="U643" s="0" t="s">
        <v>115</v>
      </c>
      <c r="V643" s="0" t="n">
        <v>1</v>
      </c>
    </row>
    <row r="644" customFormat="false" ht="12.8" hidden="false" customHeight="false" outlineLevel="0" collapsed="false">
      <c r="A644" s="0" t="s">
        <v>736</v>
      </c>
      <c r="B644" s="0" t="s">
        <v>25</v>
      </c>
      <c r="C644" s="0" t="s">
        <v>26</v>
      </c>
      <c r="D644" s="0" t="s">
        <v>759</v>
      </c>
      <c r="E644" s="0" t="n">
        <v>1</v>
      </c>
      <c r="F644" s="0" t="n">
        <v>97</v>
      </c>
      <c r="G644" s="1" t="n">
        <f aca="false">(E644/100)*F644</f>
        <v>0.97</v>
      </c>
      <c r="H644" s="0" t="n">
        <v>0</v>
      </c>
      <c r="I644" s="2" t="n">
        <f aca="false">(E644/100)*H644</f>
        <v>0</v>
      </c>
      <c r="J644" s="0" t="n">
        <v>0</v>
      </c>
      <c r="K644" s="6" t="n">
        <f aca="false">G644/E644</f>
        <v>0.97</v>
      </c>
      <c r="L644" s="0" t="n">
        <v>0.00224</v>
      </c>
      <c r="M644" s="0" t="n">
        <f aca="false">(34.9/1490)/G644</f>
        <v>0.0241472358679859</v>
      </c>
      <c r="N644" s="0" t="n">
        <v>0</v>
      </c>
      <c r="O644" s="0" t="n">
        <v>0</v>
      </c>
      <c r="P644" s="0" t="n">
        <v>0</v>
      </c>
      <c r="Q644" s="0" t="n">
        <v>0</v>
      </c>
      <c r="U644" s="0" t="s">
        <v>115</v>
      </c>
      <c r="V644" s="0" t="n">
        <v>1</v>
      </c>
    </row>
    <row r="645" customFormat="false" ht="12.8" hidden="false" customHeight="false" outlineLevel="0" collapsed="false">
      <c r="A645" s="0" t="s">
        <v>736</v>
      </c>
      <c r="B645" s="0" t="s">
        <v>25</v>
      </c>
      <c r="C645" s="0" t="s">
        <v>26</v>
      </c>
      <c r="D645" s="0" t="s">
        <v>760</v>
      </c>
      <c r="E645" s="0" t="n">
        <v>1</v>
      </c>
      <c r="F645" s="0" t="n">
        <v>96</v>
      </c>
      <c r="G645" s="1" t="n">
        <f aca="false">(E645/100)*F645</f>
        <v>0.96</v>
      </c>
      <c r="H645" s="0" t="n">
        <v>0</v>
      </c>
      <c r="I645" s="2" t="n">
        <f aca="false">(E645/100)*H645</f>
        <v>0</v>
      </c>
      <c r="J645" s="0" t="n">
        <v>0</v>
      </c>
      <c r="K645" s="6" t="n">
        <f aca="false">G645/E645</f>
        <v>0.96</v>
      </c>
      <c r="L645" s="0" t="n">
        <v>0.005</v>
      </c>
      <c r="M645" s="0" t="n">
        <f aca="false">(24.95/846)/G645</f>
        <v>0.0307205476753349</v>
      </c>
      <c r="N645" s="0" t="n">
        <v>0</v>
      </c>
      <c r="O645" s="0" t="n">
        <v>0</v>
      </c>
      <c r="P645" s="0" t="n">
        <v>0</v>
      </c>
      <c r="Q645" s="0" t="n">
        <v>0</v>
      </c>
      <c r="V645" s="0" t="n">
        <v>0</v>
      </c>
    </row>
    <row r="646" customFormat="false" ht="12.8" hidden="false" customHeight="false" outlineLevel="0" collapsed="false">
      <c r="A646" s="0" t="s">
        <v>761</v>
      </c>
      <c r="B646" s="0" t="s">
        <v>20</v>
      </c>
      <c r="C646" s="0" t="s">
        <v>21</v>
      </c>
      <c r="D646" s="0" t="s">
        <v>762</v>
      </c>
      <c r="E646" s="0" t="n">
        <v>50</v>
      </c>
      <c r="F646" s="0" t="n">
        <v>44</v>
      </c>
      <c r="G646" s="1" t="n">
        <f aca="false">(E646/100)*F646</f>
        <v>22</v>
      </c>
      <c r="H646" s="0" t="n">
        <v>2.2</v>
      </c>
      <c r="I646" s="2" t="n">
        <f aca="false">(E646/100)*H646</f>
        <v>1.1</v>
      </c>
      <c r="J646" s="0" t="n">
        <v>100</v>
      </c>
      <c r="K646" s="6" t="n">
        <f aca="false">G646/E646</f>
        <v>0.44</v>
      </c>
      <c r="L646" s="0" t="n">
        <v>0</v>
      </c>
      <c r="M646" s="0" t="n">
        <f aca="false">(15/12)/G646</f>
        <v>0.0568181818181818</v>
      </c>
      <c r="N646" s="0" t="n">
        <v>0</v>
      </c>
      <c r="O646" s="0" t="n">
        <v>0</v>
      </c>
      <c r="P646" s="0" t="n">
        <v>0</v>
      </c>
      <c r="Q646" s="0" t="n">
        <v>0</v>
      </c>
      <c r="R646" s="0" t="n">
        <v>225</v>
      </c>
      <c r="S646" s="0" t="s">
        <v>763</v>
      </c>
      <c r="V646" s="0" t="n">
        <v>0</v>
      </c>
    </row>
    <row r="647" customFormat="false" ht="12.8" hidden="false" customHeight="false" outlineLevel="0" collapsed="false">
      <c r="A647" s="0" t="s">
        <v>761</v>
      </c>
      <c r="B647" s="0" t="s">
        <v>20</v>
      </c>
      <c r="C647" s="0" t="s">
        <v>21</v>
      </c>
      <c r="D647" s="0" t="s">
        <v>764</v>
      </c>
      <c r="E647" s="0" t="n">
        <v>50</v>
      </c>
      <c r="F647" s="0" t="n">
        <v>44</v>
      </c>
      <c r="G647" s="1" t="n">
        <f aca="false">(E647/100)*F647</f>
        <v>22</v>
      </c>
      <c r="H647" s="0" t="n">
        <v>1.8</v>
      </c>
      <c r="I647" s="2" t="n">
        <f aca="false">(E647/100)*H647</f>
        <v>0.9</v>
      </c>
      <c r="J647" s="0" t="n">
        <v>0</v>
      </c>
      <c r="K647" s="6" t="n">
        <f aca="false">G647/E647</f>
        <v>0.44</v>
      </c>
      <c r="L647" s="0" t="n">
        <v>0.04</v>
      </c>
      <c r="M647" s="0" t="n">
        <f aca="false">(15/12)/G647</f>
        <v>0.0568181818181818</v>
      </c>
      <c r="N647" s="0" t="n">
        <v>0</v>
      </c>
      <c r="O647" s="0" t="n">
        <v>0</v>
      </c>
      <c r="P647" s="0" t="n">
        <v>0</v>
      </c>
      <c r="Q647" s="0" t="n">
        <v>0</v>
      </c>
      <c r="R647" s="0" t="n">
        <v>150</v>
      </c>
      <c r="S647" s="0" t="s">
        <v>763</v>
      </c>
      <c r="V647" s="0" t="n">
        <v>0</v>
      </c>
    </row>
    <row r="648" customFormat="false" ht="12.8" hidden="false" customHeight="false" outlineLevel="0" collapsed="false">
      <c r="A648" s="0" t="s">
        <v>761</v>
      </c>
      <c r="B648" s="0" t="s">
        <v>20</v>
      </c>
      <c r="C648" s="0" t="s">
        <v>21</v>
      </c>
      <c r="D648" s="0" t="s">
        <v>765</v>
      </c>
      <c r="E648" s="0" t="n">
        <v>50</v>
      </c>
      <c r="F648" s="0" t="n">
        <v>42</v>
      </c>
      <c r="G648" s="1" t="n">
        <f aca="false">(E648/100)*F648</f>
        <v>21</v>
      </c>
      <c r="H648" s="0" t="n">
        <v>0</v>
      </c>
      <c r="I648" s="2" t="n">
        <f aca="false">(E648/100)*H648</f>
        <v>0</v>
      </c>
      <c r="J648" s="0" t="n">
        <v>0</v>
      </c>
      <c r="K648" s="6" t="n">
        <f aca="false">G648/E648</f>
        <v>0.42</v>
      </c>
      <c r="L648" s="0" t="n">
        <v>0.04</v>
      </c>
      <c r="M648" s="0" t="n">
        <f aca="false">(15/12)/G648</f>
        <v>0.0595238095238095</v>
      </c>
      <c r="N648" s="0" t="n">
        <v>0</v>
      </c>
      <c r="O648" s="0" t="n">
        <v>0</v>
      </c>
      <c r="P648" s="0" t="n">
        <v>0</v>
      </c>
      <c r="Q648" s="0" t="n">
        <v>0</v>
      </c>
      <c r="V648" s="0" t="n">
        <v>0</v>
      </c>
    </row>
    <row r="649" customFormat="false" ht="12.8" hidden="false" customHeight="false" outlineLevel="0" collapsed="false">
      <c r="A649" s="0" t="s">
        <v>761</v>
      </c>
      <c r="B649" s="0" t="s">
        <v>20</v>
      </c>
      <c r="C649" s="0" t="s">
        <v>21</v>
      </c>
      <c r="D649" s="0" t="s">
        <v>766</v>
      </c>
      <c r="E649" s="0" t="n">
        <v>50</v>
      </c>
      <c r="F649" s="0" t="n">
        <v>60</v>
      </c>
      <c r="G649" s="1" t="n">
        <f aca="false">(E649/100)*F649</f>
        <v>30</v>
      </c>
      <c r="H649" s="0" t="n">
        <v>0</v>
      </c>
      <c r="I649" s="2" t="n">
        <f aca="false">(E649/100)*H649</f>
        <v>0</v>
      </c>
      <c r="J649" s="0" t="n">
        <v>0</v>
      </c>
      <c r="K649" s="6" t="n">
        <f aca="false">G649/E649</f>
        <v>0.6</v>
      </c>
      <c r="L649" s="0" t="n">
        <v>0.04</v>
      </c>
      <c r="M649" s="0" t="n">
        <f aca="false">(15/12)/G649</f>
        <v>0.0416666666666667</v>
      </c>
      <c r="N649" s="0" t="n">
        <v>0</v>
      </c>
      <c r="O649" s="0" t="n">
        <v>0</v>
      </c>
      <c r="P649" s="0" t="n">
        <v>0</v>
      </c>
      <c r="Q649" s="0" t="n">
        <v>0</v>
      </c>
      <c r="V649" s="0" t="n">
        <v>0</v>
      </c>
    </row>
    <row r="650" customFormat="false" ht="12.8" hidden="false" customHeight="false" outlineLevel="0" collapsed="false">
      <c r="A650" s="0" t="s">
        <v>761</v>
      </c>
      <c r="B650" s="0" t="s">
        <v>20</v>
      </c>
      <c r="C650" s="0" t="s">
        <v>21</v>
      </c>
      <c r="D650" s="0" t="s">
        <v>767</v>
      </c>
      <c r="E650" s="0" t="n">
        <v>50</v>
      </c>
      <c r="F650" s="0" t="n">
        <v>30</v>
      </c>
      <c r="G650" s="1" t="n">
        <f aca="false">(E650/100)*F650</f>
        <v>15</v>
      </c>
      <c r="H650" s="0" t="n">
        <v>0</v>
      </c>
      <c r="I650" s="2" t="n">
        <f aca="false">(E650/100)*H650</f>
        <v>0</v>
      </c>
      <c r="J650" s="0" t="n">
        <v>0</v>
      </c>
      <c r="K650" s="6" t="n">
        <f aca="false">G650/E650</f>
        <v>0.3</v>
      </c>
      <c r="L650" s="0" t="n">
        <f aca="false">0.2*0.4</f>
        <v>0.08</v>
      </c>
      <c r="M650" s="0" t="n">
        <f aca="false">(19/12)/G650</f>
        <v>0.105555555555556</v>
      </c>
      <c r="N650" s="0" t="n">
        <v>0</v>
      </c>
      <c r="O650" s="0" t="n">
        <v>0</v>
      </c>
      <c r="P650" s="0" t="n">
        <v>0</v>
      </c>
      <c r="Q650" s="0" t="n">
        <v>0</v>
      </c>
      <c r="V650" s="0" t="n">
        <v>0</v>
      </c>
    </row>
    <row r="651" customFormat="false" ht="12.8" hidden="false" customHeight="false" outlineLevel="0" collapsed="false">
      <c r="A651" s="0" t="s">
        <v>761</v>
      </c>
      <c r="B651" s="0" t="s">
        <v>25</v>
      </c>
      <c r="C651" s="0" t="s">
        <v>26</v>
      </c>
      <c r="D651" s="0" t="s">
        <v>768</v>
      </c>
      <c r="E651" s="0" t="n">
        <v>1</v>
      </c>
      <c r="F651" s="0" t="n">
        <v>78</v>
      </c>
      <c r="G651" s="1" t="n">
        <f aca="false">(E651/100)*F651</f>
        <v>0.78</v>
      </c>
      <c r="H651" s="0" t="n">
        <v>0</v>
      </c>
      <c r="I651" s="2" t="n">
        <f aca="false">(E651/100)*H651</f>
        <v>0</v>
      </c>
      <c r="J651" s="0" t="n">
        <v>0</v>
      </c>
      <c r="K651" s="6" t="n">
        <f aca="false">G651/E651</f>
        <v>0.78</v>
      </c>
      <c r="L651" s="0" t="n">
        <v>0</v>
      </c>
      <c r="M651" s="0" t="n">
        <f aca="false">(45/500)/G651</f>
        <v>0.115384615384615</v>
      </c>
      <c r="N651" s="0" t="n">
        <v>0</v>
      </c>
      <c r="O651" s="0" t="n">
        <v>0</v>
      </c>
      <c r="P651" s="0" t="n">
        <v>0</v>
      </c>
      <c r="Q651" s="0" t="n">
        <v>0</v>
      </c>
      <c r="V651" s="0" t="n">
        <v>0</v>
      </c>
    </row>
    <row r="652" customFormat="false" ht="12.8" hidden="false" customHeight="false" outlineLevel="0" collapsed="false">
      <c r="A652" s="0" t="s">
        <v>761</v>
      </c>
      <c r="B652" s="0" t="s">
        <v>36</v>
      </c>
      <c r="C652" s="0" t="s">
        <v>37</v>
      </c>
      <c r="D652" s="0" t="s">
        <v>769</v>
      </c>
      <c r="E652" s="0" t="n">
        <v>40</v>
      </c>
      <c r="F652" s="0" t="n">
        <v>60</v>
      </c>
      <c r="G652" s="1" t="n">
        <f aca="false">(E652/100)*F652</f>
        <v>24</v>
      </c>
      <c r="H652" s="0" t="n">
        <v>4</v>
      </c>
      <c r="I652" s="2" t="n">
        <f aca="false">(E652/100)*H652</f>
        <v>1.6</v>
      </c>
      <c r="J652" s="0" t="n">
        <v>0</v>
      </c>
      <c r="K652" s="6" t="n">
        <f aca="false">G652/E652</f>
        <v>0.6</v>
      </c>
      <c r="L652" s="0" t="n">
        <f aca="false">0.3*0.4</f>
        <v>0.12</v>
      </c>
      <c r="M652" s="0" t="n">
        <f aca="false">2.6/G652</f>
        <v>0.108333333333333</v>
      </c>
      <c r="N652" s="0" t="n">
        <v>0</v>
      </c>
      <c r="O652" s="0" t="n">
        <v>0</v>
      </c>
      <c r="P652" s="0" t="n">
        <v>1</v>
      </c>
      <c r="Q652" s="0" t="n">
        <v>0</v>
      </c>
      <c r="V652" s="0" t="n">
        <v>0</v>
      </c>
    </row>
    <row r="653" customFormat="false" ht="12.8" hidden="false" customHeight="false" outlineLevel="0" collapsed="false">
      <c r="A653" s="0" t="s">
        <v>761</v>
      </c>
      <c r="B653" s="0" t="s">
        <v>36</v>
      </c>
      <c r="C653" s="0" t="s">
        <v>37</v>
      </c>
      <c r="D653" s="0" t="s">
        <v>770</v>
      </c>
      <c r="E653" s="0" t="n">
        <v>40</v>
      </c>
      <c r="F653" s="0" t="n">
        <v>57</v>
      </c>
      <c r="G653" s="1" t="n">
        <f aca="false">(E653/100)*F653</f>
        <v>22.8</v>
      </c>
      <c r="H653" s="0" t="n">
        <v>14</v>
      </c>
      <c r="I653" s="2" t="n">
        <f aca="false">(E653/100)*H653</f>
        <v>5.6</v>
      </c>
      <c r="J653" s="0" t="n">
        <v>0</v>
      </c>
      <c r="K653" s="6" t="n">
        <f aca="false">G653/E653</f>
        <v>0.57</v>
      </c>
      <c r="L653" s="0" t="n">
        <f aca="false">0.12*0.4</f>
        <v>0.048</v>
      </c>
      <c r="M653" s="0" t="n">
        <f aca="false">1.7/G653</f>
        <v>0.0745614035087719</v>
      </c>
      <c r="N653" s="0" t="n">
        <v>0</v>
      </c>
      <c r="O653" s="0" t="n">
        <v>0</v>
      </c>
      <c r="P653" s="0" t="n">
        <v>0</v>
      </c>
      <c r="Q653" s="0" t="n">
        <v>1</v>
      </c>
      <c r="V653" s="0" t="n">
        <v>0</v>
      </c>
    </row>
    <row r="654" customFormat="false" ht="12.8" hidden="false" customHeight="false" outlineLevel="0" collapsed="false">
      <c r="A654" s="0" t="s">
        <v>761</v>
      </c>
      <c r="B654" s="0" t="s">
        <v>36</v>
      </c>
      <c r="C654" s="0" t="s">
        <v>37</v>
      </c>
      <c r="D654" s="0" t="s">
        <v>771</v>
      </c>
      <c r="E654" s="0" t="n">
        <v>40</v>
      </c>
      <c r="F654" s="0" t="n">
        <v>69</v>
      </c>
      <c r="G654" s="1" t="n">
        <f aca="false">(E654/100)*F654</f>
        <v>27.6</v>
      </c>
      <c r="H654" s="0" t="n">
        <v>7</v>
      </c>
      <c r="I654" s="2" t="n">
        <f aca="false">(E654/100)*H654</f>
        <v>2.8</v>
      </c>
      <c r="J654" s="0" t="n">
        <v>0</v>
      </c>
      <c r="K654" s="6" t="n">
        <f aca="false">G654/E654</f>
        <v>0.69</v>
      </c>
      <c r="L654" s="0" t="n">
        <f aca="false">0.08*0.4</f>
        <v>0.032</v>
      </c>
      <c r="M654" s="0" t="n">
        <f aca="false">1.7/G654</f>
        <v>0.0615942028985507</v>
      </c>
      <c r="N654" s="0" t="n">
        <v>0</v>
      </c>
      <c r="O654" s="0" t="n">
        <v>0</v>
      </c>
      <c r="P654" s="0" t="n">
        <v>0</v>
      </c>
      <c r="Q654" s="0" t="n">
        <v>1</v>
      </c>
      <c r="V654" s="0" t="n">
        <v>0</v>
      </c>
    </row>
    <row r="655" customFormat="false" ht="12.8" hidden="false" customHeight="false" outlineLevel="0" collapsed="false">
      <c r="A655" s="0" t="s">
        <v>772</v>
      </c>
      <c r="B655" s="0" t="s">
        <v>25</v>
      </c>
      <c r="C655" s="0" t="s">
        <v>26</v>
      </c>
      <c r="D655" s="0" t="s">
        <v>773</v>
      </c>
      <c r="E655" s="0" t="n">
        <v>1</v>
      </c>
      <c r="F655" s="0" t="n">
        <v>92.6</v>
      </c>
      <c r="G655" s="1" t="n">
        <f aca="false">(E655/100)*F655</f>
        <v>0.926</v>
      </c>
      <c r="H655" s="0" t="n">
        <v>0</v>
      </c>
      <c r="I655" s="2" t="n">
        <f aca="false">(E655/100)*H655</f>
        <v>0</v>
      </c>
      <c r="J655" s="0" t="n">
        <v>0</v>
      </c>
      <c r="K655" s="6" t="n">
        <f aca="false">G655/E655</f>
        <v>0.926</v>
      </c>
      <c r="L655" s="0" t="n">
        <v>0.0115</v>
      </c>
      <c r="M655" s="0" t="n">
        <f aca="false">(28/810)/G655</f>
        <v>0.0373303469055809</v>
      </c>
      <c r="N655" s="0" t="n">
        <v>0</v>
      </c>
      <c r="O655" s="0" t="n">
        <v>0</v>
      </c>
      <c r="P655" s="0" t="n">
        <v>0</v>
      </c>
      <c r="Q655" s="0" t="n">
        <v>0</v>
      </c>
      <c r="V655" s="0" t="n">
        <v>0</v>
      </c>
    </row>
    <row r="656" customFormat="false" ht="12.8" hidden="false" customHeight="false" outlineLevel="0" collapsed="false">
      <c r="A656" s="0" t="s">
        <v>772</v>
      </c>
      <c r="B656" s="0" t="s">
        <v>25</v>
      </c>
      <c r="C656" s="0" t="s">
        <v>26</v>
      </c>
      <c r="D656" s="0" t="s">
        <v>774</v>
      </c>
      <c r="E656" s="0" t="n">
        <v>1</v>
      </c>
      <c r="F656" s="0" t="n">
        <v>92.6</v>
      </c>
      <c r="G656" s="1" t="n">
        <f aca="false">(E656/100)*F656</f>
        <v>0.926</v>
      </c>
      <c r="H656" s="0" t="n">
        <v>0</v>
      </c>
      <c r="I656" s="2" t="n">
        <f aca="false">(E656/100)*H656</f>
        <v>0</v>
      </c>
      <c r="J656" s="0" t="n">
        <v>1.3</v>
      </c>
      <c r="K656" s="6" t="n">
        <f aca="false">G656/E656</f>
        <v>0.926</v>
      </c>
      <c r="L656" s="0" t="n">
        <v>0.0115</v>
      </c>
      <c r="M656" s="0" t="n">
        <f aca="false">(28/810)/G656</f>
        <v>0.0373303469055809</v>
      </c>
      <c r="N656" s="0" t="n">
        <v>0</v>
      </c>
      <c r="O656" s="0" t="n">
        <v>0</v>
      </c>
      <c r="P656" s="0" t="n">
        <v>0</v>
      </c>
      <c r="Q656" s="0" t="n">
        <v>0</v>
      </c>
      <c r="V656" s="0" t="n">
        <v>0</v>
      </c>
    </row>
    <row r="657" customFormat="false" ht="12.8" hidden="false" customHeight="false" outlineLevel="0" collapsed="false">
      <c r="A657" s="0" t="s">
        <v>772</v>
      </c>
      <c r="B657" s="0" t="s">
        <v>25</v>
      </c>
      <c r="C657" s="0" t="s">
        <v>26</v>
      </c>
      <c r="D657" s="0" t="s">
        <v>775</v>
      </c>
      <c r="E657" s="0" t="n">
        <v>92</v>
      </c>
      <c r="F657" s="14" t="n">
        <f aca="false">(100/92)*90</f>
        <v>97.8260869565217</v>
      </c>
      <c r="G657" s="1" t="n">
        <f aca="false">(E657/100)*F657</f>
        <v>90</v>
      </c>
      <c r="H657" s="0" t="n">
        <v>0</v>
      </c>
      <c r="I657" s="2" t="n">
        <f aca="false">(E657/100)*H657</f>
        <v>0</v>
      </c>
      <c r="J657" s="0" t="n">
        <v>0</v>
      </c>
      <c r="K657" s="6" t="n">
        <f aca="false">G657/E657</f>
        <v>0.978260869565217</v>
      </c>
      <c r="L657" s="0" t="n">
        <v>0.68</v>
      </c>
      <c r="M657" s="0" t="n">
        <f aca="false">3.75/G657</f>
        <v>0.0416666666666667</v>
      </c>
      <c r="N657" s="0" t="n">
        <v>0</v>
      </c>
      <c r="O657" s="0" t="n">
        <v>0</v>
      </c>
      <c r="P657" s="0" t="n">
        <v>0</v>
      </c>
      <c r="Q657" s="0" t="n">
        <v>0</v>
      </c>
      <c r="V657" s="0" t="n">
        <v>0</v>
      </c>
    </row>
    <row r="658" customFormat="false" ht="12.8" hidden="false" customHeight="false" outlineLevel="0" collapsed="false">
      <c r="A658" s="0" t="s">
        <v>776</v>
      </c>
      <c r="B658" s="0" t="s">
        <v>25</v>
      </c>
      <c r="C658" s="0" t="s">
        <v>26</v>
      </c>
      <c r="D658" s="0" t="s">
        <v>777</v>
      </c>
      <c r="E658" s="0" t="n">
        <v>1</v>
      </c>
      <c r="F658" s="0" t="n">
        <v>86</v>
      </c>
      <c r="G658" s="1" t="n">
        <f aca="false">(E658/100)*F658</f>
        <v>0.86</v>
      </c>
      <c r="H658" s="0" t="n">
        <v>0</v>
      </c>
      <c r="I658" s="2" t="n">
        <f aca="false">(E658/100)*H658</f>
        <v>0</v>
      </c>
      <c r="J658" s="0" t="n">
        <v>0</v>
      </c>
      <c r="K658" s="6" t="n">
        <f aca="false">G658/E658</f>
        <v>0.86</v>
      </c>
      <c r="L658" s="0" t="n">
        <f aca="false">4.5*0.01*0.4</f>
        <v>0.018</v>
      </c>
      <c r="M658" s="0" t="n">
        <f aca="false">(29.9/440)/G658</f>
        <v>0.0790169133192389</v>
      </c>
      <c r="N658" s="0" t="n">
        <v>0</v>
      </c>
      <c r="O658" s="0" t="n">
        <v>0</v>
      </c>
      <c r="P658" s="0" t="n">
        <v>0</v>
      </c>
      <c r="Q658" s="0" t="n">
        <v>0</v>
      </c>
      <c r="V658" s="0" t="n">
        <v>0</v>
      </c>
    </row>
    <row r="659" customFormat="false" ht="12.8" hidden="false" customHeight="false" outlineLevel="0" collapsed="false">
      <c r="A659" s="0" t="s">
        <v>776</v>
      </c>
      <c r="B659" s="0" t="s">
        <v>25</v>
      </c>
      <c r="C659" s="0" t="s">
        <v>26</v>
      </c>
      <c r="D659" s="0" t="s">
        <v>778</v>
      </c>
      <c r="E659" s="0" t="n">
        <v>1</v>
      </c>
      <c r="F659" s="0" t="n">
        <v>94</v>
      </c>
      <c r="G659" s="1" t="n">
        <f aca="false">(E659/100)*F659</f>
        <v>0.94</v>
      </c>
      <c r="H659" s="0" t="n">
        <v>0</v>
      </c>
      <c r="I659" s="2" t="n">
        <f aca="false">(E659/100)*H659</f>
        <v>0</v>
      </c>
      <c r="J659" s="0" t="n">
        <v>0</v>
      </c>
      <c r="K659" s="6" t="n">
        <f aca="false">G659/E659</f>
        <v>0.94</v>
      </c>
      <c r="L659" s="0" t="n">
        <f aca="false">0.94*0.004</f>
        <v>0.00376</v>
      </c>
      <c r="M659" s="0" t="n">
        <f aca="false">(49.9/840)/G659</f>
        <v>0.0631965552178318</v>
      </c>
      <c r="N659" s="0" t="n">
        <v>0</v>
      </c>
      <c r="O659" s="0" t="n">
        <v>0</v>
      </c>
      <c r="P659" s="0" t="n">
        <v>0</v>
      </c>
      <c r="Q659" s="0" t="n">
        <v>0</v>
      </c>
      <c r="V659" s="0" t="n">
        <v>0</v>
      </c>
    </row>
    <row r="660" customFormat="false" ht="12.8" hidden="false" customHeight="false" outlineLevel="0" collapsed="false">
      <c r="A660" s="0" t="s">
        <v>776</v>
      </c>
      <c r="B660" s="0" t="s">
        <v>36</v>
      </c>
      <c r="C660" s="0" t="s">
        <v>37</v>
      </c>
      <c r="D660" s="0" t="s">
        <v>779</v>
      </c>
      <c r="E660" s="0" t="n">
        <v>50</v>
      </c>
      <c r="F660" s="0" t="n">
        <v>76</v>
      </c>
      <c r="G660" s="1" t="n">
        <f aca="false">(E660/100)*F660</f>
        <v>38</v>
      </c>
      <c r="H660" s="0" t="n">
        <v>0</v>
      </c>
      <c r="I660" s="2" t="n">
        <f aca="false">(E660/100)*H660</f>
        <v>0</v>
      </c>
      <c r="J660" s="0" t="n">
        <v>0</v>
      </c>
      <c r="K660" s="6" t="n">
        <f aca="false">G660/E660</f>
        <v>0.76</v>
      </c>
      <c r="L660" s="0" t="n">
        <f aca="false">0.18*0.4</f>
        <v>0.072</v>
      </c>
      <c r="M660" s="0" t="n">
        <f aca="false">3.49/G660</f>
        <v>0.0918421052631579</v>
      </c>
      <c r="N660" s="0" t="n">
        <v>0</v>
      </c>
      <c r="O660" s="0" t="n">
        <v>0</v>
      </c>
      <c r="P660" s="0" t="n">
        <v>0</v>
      </c>
      <c r="Q660" s="0" t="n">
        <v>0</v>
      </c>
      <c r="V660" s="0" t="n">
        <v>0</v>
      </c>
    </row>
    <row r="661" customFormat="false" ht="12.8" hidden="false" customHeight="false" outlineLevel="0" collapsed="false">
      <c r="A661" s="0" t="s">
        <v>776</v>
      </c>
      <c r="B661" s="0" t="s">
        <v>36</v>
      </c>
      <c r="C661" s="0" t="s">
        <v>37</v>
      </c>
      <c r="D661" s="0" t="s">
        <v>780</v>
      </c>
      <c r="E661" s="0" t="n">
        <v>50</v>
      </c>
      <c r="F661" s="0" t="n">
        <v>76</v>
      </c>
      <c r="G661" s="1" t="n">
        <f aca="false">(E661/100)*F661</f>
        <v>38</v>
      </c>
      <c r="H661" s="0" t="n">
        <v>0</v>
      </c>
      <c r="I661" s="2" t="n">
        <f aca="false">(E661/100)*H661</f>
        <v>0</v>
      </c>
      <c r="J661" s="0" t="n">
        <v>50</v>
      </c>
      <c r="K661" s="6" t="n">
        <f aca="false">G661/E661</f>
        <v>0.76</v>
      </c>
      <c r="L661" s="0" t="n">
        <f aca="false">0.18*0.4</f>
        <v>0.072</v>
      </c>
      <c r="M661" s="0" t="n">
        <f aca="false">3.49/G661</f>
        <v>0.0918421052631579</v>
      </c>
      <c r="N661" s="0" t="n">
        <v>0</v>
      </c>
      <c r="O661" s="0" t="n">
        <v>0</v>
      </c>
      <c r="P661" s="0" t="n">
        <v>0</v>
      </c>
      <c r="Q661" s="0" t="n">
        <v>0</v>
      </c>
      <c r="V661" s="0" t="n">
        <v>0</v>
      </c>
    </row>
    <row r="662" customFormat="false" ht="12.8" hidden="false" customHeight="false" outlineLevel="0" collapsed="false">
      <c r="A662" s="0" t="s">
        <v>776</v>
      </c>
      <c r="B662" s="0" t="s">
        <v>36</v>
      </c>
      <c r="C662" s="0" t="s">
        <v>37</v>
      </c>
      <c r="D662" s="0" t="s">
        <v>781</v>
      </c>
      <c r="E662" s="0" t="n">
        <v>50</v>
      </c>
      <c r="F662" s="0" t="n">
        <v>76</v>
      </c>
      <c r="G662" s="1" t="n">
        <f aca="false">(E662/100)*F662</f>
        <v>38</v>
      </c>
      <c r="H662" s="0" t="n">
        <v>0</v>
      </c>
      <c r="I662" s="2" t="n">
        <f aca="false">(E662/100)*H662</f>
        <v>0</v>
      </c>
      <c r="J662" s="0" t="n">
        <v>4</v>
      </c>
      <c r="K662" s="6" t="n">
        <f aca="false">G662/E662</f>
        <v>0.76</v>
      </c>
      <c r="L662" s="0" t="n">
        <f aca="false">0.18*0.4</f>
        <v>0.072</v>
      </c>
      <c r="M662" s="0" t="n">
        <f aca="false">3.49/G662</f>
        <v>0.0918421052631579</v>
      </c>
      <c r="N662" s="0" t="n">
        <v>0</v>
      </c>
      <c r="O662" s="0" t="n">
        <v>0</v>
      </c>
      <c r="P662" s="0" t="n">
        <v>0</v>
      </c>
      <c r="Q662" s="0" t="n">
        <v>0</v>
      </c>
      <c r="V662" s="0" t="n">
        <v>0</v>
      </c>
    </row>
    <row r="663" customFormat="false" ht="12.8" hidden="false" customHeight="false" outlineLevel="0" collapsed="false">
      <c r="A663" s="0" t="s">
        <v>776</v>
      </c>
      <c r="B663" s="0" t="s">
        <v>36</v>
      </c>
      <c r="C663" s="0" t="s">
        <v>37</v>
      </c>
      <c r="D663" s="0" t="s">
        <v>782</v>
      </c>
      <c r="E663" s="0" t="n">
        <v>50</v>
      </c>
      <c r="F663" s="0" t="n">
        <v>68</v>
      </c>
      <c r="G663" s="1" t="n">
        <f aca="false">(E663/100)*F663</f>
        <v>34</v>
      </c>
      <c r="H663" s="0" t="n">
        <v>8</v>
      </c>
      <c r="I663" s="2" t="n">
        <f aca="false">(E663/100)*H663</f>
        <v>4</v>
      </c>
      <c r="J663" s="0" t="n">
        <v>0</v>
      </c>
      <c r="K663" s="6" t="n">
        <f aca="false">G663/E663</f>
        <v>0.68</v>
      </c>
      <c r="L663" s="0" t="n">
        <f aca="false">0.26*0.4</f>
        <v>0.104</v>
      </c>
      <c r="M663" s="0" t="n">
        <f aca="false">3.49/G663</f>
        <v>0.102647058823529</v>
      </c>
      <c r="N663" s="0" t="n">
        <v>0</v>
      </c>
      <c r="O663" s="0" t="n">
        <v>0</v>
      </c>
      <c r="P663" s="0" t="n">
        <v>1</v>
      </c>
      <c r="Q663" s="0" t="n">
        <v>0</v>
      </c>
      <c r="V663" s="0" t="n">
        <v>0</v>
      </c>
    </row>
    <row r="664" customFormat="false" ht="12.8" hidden="false" customHeight="false" outlineLevel="0" collapsed="false">
      <c r="A664" s="0" t="s">
        <v>776</v>
      </c>
      <c r="B664" s="0" t="s">
        <v>36</v>
      </c>
      <c r="C664" s="0" t="s">
        <v>37</v>
      </c>
      <c r="D664" s="0" t="s">
        <v>783</v>
      </c>
      <c r="E664" s="0" t="n">
        <v>50</v>
      </c>
      <c r="F664" s="0" t="n">
        <v>60</v>
      </c>
      <c r="G664" s="1" t="n">
        <f aca="false">(E664/100)*F664</f>
        <v>30</v>
      </c>
      <c r="H664" s="0" t="n">
        <v>10</v>
      </c>
      <c r="I664" s="2" t="n">
        <f aca="false">(E664/100)*H664</f>
        <v>5</v>
      </c>
      <c r="J664" s="0" t="n">
        <v>0</v>
      </c>
      <c r="K664" s="6" t="n">
        <f aca="false">G664/E664</f>
        <v>0.6</v>
      </c>
      <c r="L664" s="0" t="n">
        <f aca="false">0.62*0.4</f>
        <v>0.248</v>
      </c>
      <c r="M664" s="0" t="n">
        <f aca="false">3.49/G664</f>
        <v>0.116333333333333</v>
      </c>
      <c r="N664" s="0" t="n">
        <v>0</v>
      </c>
      <c r="O664" s="0" t="n">
        <v>0</v>
      </c>
      <c r="P664" s="0" t="n">
        <v>1</v>
      </c>
      <c r="Q664" s="0" t="n">
        <v>0</v>
      </c>
      <c r="V664" s="0" t="n">
        <v>0</v>
      </c>
    </row>
    <row r="665" customFormat="false" ht="12.8" hidden="false" customHeight="false" outlineLevel="0" collapsed="false">
      <c r="A665" s="0" t="s">
        <v>776</v>
      </c>
      <c r="B665" s="0" t="s">
        <v>36</v>
      </c>
      <c r="C665" s="0" t="s">
        <v>37</v>
      </c>
      <c r="D665" s="0" t="s">
        <v>784</v>
      </c>
      <c r="E665" s="0" t="n">
        <v>50</v>
      </c>
      <c r="F665" s="0" t="n">
        <v>62</v>
      </c>
      <c r="G665" s="1" t="n">
        <f aca="false">(E665/100)*F665</f>
        <v>31</v>
      </c>
      <c r="H665" s="0" t="n">
        <v>10</v>
      </c>
      <c r="I665" s="2" t="n">
        <f aca="false">(E665/100)*H665</f>
        <v>5</v>
      </c>
      <c r="J665" s="0" t="n">
        <v>0</v>
      </c>
      <c r="K665" s="6" t="n">
        <f aca="false">G665/E665</f>
        <v>0.62</v>
      </c>
      <c r="L665" s="0" t="n">
        <f aca="false">0.35*0.4</f>
        <v>0.14</v>
      </c>
      <c r="M665" s="0" t="n">
        <f aca="false">3.49/G665</f>
        <v>0.11258064516129</v>
      </c>
      <c r="N665" s="0" t="n">
        <v>0</v>
      </c>
      <c r="O665" s="0" t="n">
        <v>0</v>
      </c>
      <c r="P665" s="0" t="n">
        <v>0</v>
      </c>
      <c r="Q665" s="0" t="n">
        <v>0</v>
      </c>
      <c r="V665" s="0" t="n">
        <v>0</v>
      </c>
    </row>
    <row r="666" customFormat="false" ht="12.8" hidden="false" customHeight="false" outlineLevel="0" collapsed="false">
      <c r="A666" s="0" t="s">
        <v>785</v>
      </c>
      <c r="B666" s="0" t="s">
        <v>25</v>
      </c>
      <c r="C666" s="0" t="s">
        <v>26</v>
      </c>
      <c r="D666" s="0" t="s">
        <v>786</v>
      </c>
      <c r="E666" s="0" t="n">
        <v>1</v>
      </c>
      <c r="F666" s="0" t="n">
        <v>95</v>
      </c>
      <c r="G666" s="1" t="n">
        <f aca="false">(E666/100)*F666</f>
        <v>0.95</v>
      </c>
      <c r="H666" s="0" t="n">
        <v>0</v>
      </c>
      <c r="I666" s="2" t="n">
        <f aca="false">(E666/100)*H666</f>
        <v>0</v>
      </c>
      <c r="J666" s="0" t="n">
        <v>0</v>
      </c>
      <c r="K666" s="6" t="n">
        <f aca="false">G666/E666</f>
        <v>0.95</v>
      </c>
      <c r="L666" s="0" t="n">
        <f aca="false">0.0095*0.4</f>
        <v>0.0038</v>
      </c>
      <c r="M666" s="0" t="n">
        <f aca="false">(34.95/850)/G666</f>
        <v>0.04328173374613</v>
      </c>
      <c r="N666" s="0" t="n">
        <v>0</v>
      </c>
      <c r="O666" s="0" t="n">
        <v>0</v>
      </c>
      <c r="P666" s="0" t="n">
        <v>0</v>
      </c>
      <c r="Q666" s="0" t="n">
        <v>0</v>
      </c>
      <c r="U666" s="11" t="s">
        <v>787</v>
      </c>
      <c r="V666" s="0" t="n">
        <v>1</v>
      </c>
    </row>
    <row r="667" customFormat="false" ht="12.8" hidden="false" customHeight="false" outlineLevel="0" collapsed="false">
      <c r="A667" s="0" t="s">
        <v>785</v>
      </c>
      <c r="B667" s="0" t="s">
        <v>25</v>
      </c>
      <c r="C667" s="0" t="s">
        <v>26</v>
      </c>
      <c r="D667" s="0" t="s">
        <v>788</v>
      </c>
      <c r="E667" s="0" t="n">
        <v>1</v>
      </c>
      <c r="F667" s="0" t="n">
        <v>97</v>
      </c>
      <c r="G667" s="1" t="n">
        <f aca="false">(E667/100)*F667</f>
        <v>0.97</v>
      </c>
      <c r="H667" s="0" t="n">
        <v>0</v>
      </c>
      <c r="I667" s="2" t="n">
        <f aca="false">(E667/100)*H667</f>
        <v>0</v>
      </c>
      <c r="J667" s="0" t="n">
        <v>0</v>
      </c>
      <c r="K667" s="6" t="n">
        <f aca="false">G667/E667</f>
        <v>0.97</v>
      </c>
      <c r="L667" s="0" t="n">
        <f aca="false">0.03*0.4</f>
        <v>0.012</v>
      </c>
      <c r="M667" s="0" t="n">
        <f aca="false">(12.95/320)/G667</f>
        <v>0.0417203608247423</v>
      </c>
      <c r="N667" s="0" t="n">
        <v>0</v>
      </c>
      <c r="O667" s="0" t="n">
        <v>0</v>
      </c>
      <c r="P667" s="0" t="n">
        <v>0</v>
      </c>
      <c r="Q667" s="0" t="n">
        <v>0</v>
      </c>
      <c r="U667" s="11" t="s">
        <v>787</v>
      </c>
      <c r="V667" s="0" t="n">
        <v>1</v>
      </c>
    </row>
    <row r="668" customFormat="false" ht="12.8" hidden="false" customHeight="false" outlineLevel="0" collapsed="false">
      <c r="A668" s="0" t="s">
        <v>785</v>
      </c>
      <c r="B668" s="0" t="s">
        <v>20</v>
      </c>
      <c r="C668" s="0" t="s">
        <v>21</v>
      </c>
      <c r="D668" s="0" t="s">
        <v>789</v>
      </c>
      <c r="E668" s="0" t="n">
        <v>60</v>
      </c>
      <c r="F668" s="0" t="n">
        <v>50</v>
      </c>
      <c r="G668" s="1" t="n">
        <f aca="false">(E668/100)*F668</f>
        <v>30</v>
      </c>
      <c r="H668" s="0" t="n">
        <v>0</v>
      </c>
      <c r="I668" s="2" t="n">
        <f aca="false">(E668/100)*H668</f>
        <v>0</v>
      </c>
      <c r="J668" s="0" t="n">
        <v>0</v>
      </c>
      <c r="K668" s="6" t="n">
        <f aca="false">G668/E668</f>
        <v>0.5</v>
      </c>
      <c r="L668" s="0" t="n">
        <v>0.2</v>
      </c>
      <c r="M668" s="0" t="n">
        <f aca="false">(29.95/12)/G668</f>
        <v>0.0831944444444444</v>
      </c>
      <c r="N668" s="0" t="n">
        <v>0</v>
      </c>
      <c r="O668" s="0" t="n">
        <v>0</v>
      </c>
      <c r="P668" s="0" t="n">
        <v>0</v>
      </c>
      <c r="Q668" s="0" t="n">
        <v>0</v>
      </c>
      <c r="U668" s="11" t="s">
        <v>787</v>
      </c>
      <c r="V668" s="0" t="n">
        <v>1</v>
      </c>
    </row>
    <row r="669" customFormat="false" ht="12.8" hidden="false" customHeight="false" outlineLevel="0" collapsed="false">
      <c r="A669" s="0" t="s">
        <v>785</v>
      </c>
      <c r="B669" s="0" t="s">
        <v>20</v>
      </c>
      <c r="C669" s="0" t="s">
        <v>21</v>
      </c>
      <c r="D669" s="0" t="s">
        <v>790</v>
      </c>
      <c r="E669" s="0" t="n">
        <v>60</v>
      </c>
      <c r="F669" s="0" t="n">
        <v>50</v>
      </c>
      <c r="G669" s="1" t="n">
        <f aca="false">(E669/100)*F669</f>
        <v>30</v>
      </c>
      <c r="H669" s="0" t="n">
        <v>0</v>
      </c>
      <c r="I669" s="2" t="n">
        <f aca="false">(E669/100)*H669</f>
        <v>0</v>
      </c>
      <c r="J669" s="0" t="n">
        <v>75</v>
      </c>
      <c r="K669" s="6" t="n">
        <f aca="false">G669/E669</f>
        <v>0.5</v>
      </c>
      <c r="L669" s="0" t="n">
        <v>0.2</v>
      </c>
      <c r="M669" s="0" t="n">
        <f aca="false">(29.95/12)/G669</f>
        <v>0.0831944444444444</v>
      </c>
      <c r="N669" s="0" t="n">
        <v>0</v>
      </c>
      <c r="O669" s="0" t="n">
        <v>0</v>
      </c>
      <c r="P669" s="0" t="n">
        <v>0</v>
      </c>
      <c r="Q669" s="0" t="n">
        <v>0</v>
      </c>
      <c r="U669" s="11" t="s">
        <v>787</v>
      </c>
      <c r="V669" s="0" t="n">
        <v>1</v>
      </c>
    </row>
    <row r="670" customFormat="false" ht="12.8" hidden="false" customHeight="false" outlineLevel="0" collapsed="false">
      <c r="A670" s="0" t="s">
        <v>785</v>
      </c>
      <c r="B670" s="0" t="s">
        <v>20</v>
      </c>
      <c r="C670" s="0" t="s">
        <v>21</v>
      </c>
      <c r="D670" s="0" t="s">
        <v>791</v>
      </c>
      <c r="E670" s="0" t="n">
        <v>77</v>
      </c>
      <c r="F670" s="0" t="n">
        <v>39</v>
      </c>
      <c r="G670" s="1" t="n">
        <f aca="false">(E670/100)*F670</f>
        <v>30.03</v>
      </c>
      <c r="H670" s="0" t="n">
        <v>0</v>
      </c>
      <c r="I670" s="2" t="n">
        <f aca="false">(E670/100)*H670</f>
        <v>0</v>
      </c>
      <c r="J670" s="0" t="n">
        <v>0</v>
      </c>
      <c r="K670" s="6" t="n">
        <f aca="false">G670/E670</f>
        <v>0.39</v>
      </c>
      <c r="L670" s="0" t="n">
        <v>0.2</v>
      </c>
      <c r="M670" s="0" t="n">
        <f aca="false">(34.95/12)/G670</f>
        <v>0.096986346986347</v>
      </c>
      <c r="N670" s="0" t="n">
        <v>0</v>
      </c>
      <c r="O670" s="0" t="n">
        <v>0</v>
      </c>
      <c r="P670" s="0" t="n">
        <v>0</v>
      </c>
      <c r="Q670" s="0" t="n">
        <v>0</v>
      </c>
      <c r="U670" s="11" t="s">
        <v>787</v>
      </c>
      <c r="V670" s="0" t="n">
        <v>1</v>
      </c>
    </row>
    <row r="671" customFormat="false" ht="12.8" hidden="false" customHeight="false" outlineLevel="0" collapsed="false">
      <c r="A671" s="0" t="s">
        <v>785</v>
      </c>
      <c r="B671" s="0" t="s">
        <v>20</v>
      </c>
      <c r="C671" s="0" t="s">
        <v>21</v>
      </c>
      <c r="D671" s="0" t="s">
        <v>792</v>
      </c>
      <c r="E671" s="0" t="n">
        <v>60</v>
      </c>
      <c r="F671" s="0" t="n">
        <v>66.7</v>
      </c>
      <c r="G671" s="1" t="n">
        <f aca="false">(E671/100)*F671</f>
        <v>40.02</v>
      </c>
      <c r="H671" s="0" t="n">
        <v>0</v>
      </c>
      <c r="I671" s="2" t="n">
        <f aca="false">(E671/100)*H671</f>
        <v>0</v>
      </c>
      <c r="J671" s="0" t="n">
        <v>0</v>
      </c>
      <c r="K671" s="6" t="n">
        <f aca="false">G671/E671</f>
        <v>0.667</v>
      </c>
      <c r="L671" s="0" t="n">
        <v>0.2</v>
      </c>
      <c r="M671" s="0" t="n">
        <f aca="false">(39.95/12)/G671</f>
        <v>0.0831875728802266</v>
      </c>
      <c r="N671" s="0" t="n">
        <v>0</v>
      </c>
      <c r="O671" s="0" t="n">
        <v>0</v>
      </c>
      <c r="P671" s="0" t="n">
        <v>0</v>
      </c>
      <c r="Q671" s="0" t="n">
        <v>0</v>
      </c>
      <c r="U671" s="11" t="s">
        <v>787</v>
      </c>
      <c r="V671" s="0" t="n">
        <v>1</v>
      </c>
    </row>
    <row r="672" customFormat="false" ht="12.8" hidden="false" customHeight="false" outlineLevel="0" collapsed="false">
      <c r="A672" s="0" t="s">
        <v>785</v>
      </c>
      <c r="B672" s="0" t="s">
        <v>20</v>
      </c>
      <c r="C672" s="0" t="s">
        <v>21</v>
      </c>
      <c r="D672" s="0" t="s">
        <v>793</v>
      </c>
      <c r="E672" s="0" t="n">
        <v>60</v>
      </c>
      <c r="F672" s="0" t="n">
        <v>66.7</v>
      </c>
      <c r="G672" s="1" t="n">
        <f aca="false">(E672/100)*F672</f>
        <v>40.02</v>
      </c>
      <c r="H672" s="0" t="n">
        <v>0</v>
      </c>
      <c r="I672" s="2" t="n">
        <f aca="false">(E672/100)*H672</f>
        <v>0</v>
      </c>
      <c r="J672" s="0" t="n">
        <v>100</v>
      </c>
      <c r="K672" s="6" t="n">
        <f aca="false">G672/E672</f>
        <v>0.667</v>
      </c>
      <c r="L672" s="0" t="n">
        <v>0.2</v>
      </c>
      <c r="M672" s="0" t="n">
        <f aca="false">(39.95/12)/G672</f>
        <v>0.0831875728802266</v>
      </c>
      <c r="N672" s="0" t="n">
        <v>0</v>
      </c>
      <c r="O672" s="0" t="n">
        <v>0</v>
      </c>
      <c r="P672" s="0" t="n">
        <v>0</v>
      </c>
      <c r="Q672" s="0" t="n">
        <v>0</v>
      </c>
      <c r="U672" s="11" t="s">
        <v>787</v>
      </c>
      <c r="V672" s="0" t="n">
        <v>1</v>
      </c>
    </row>
    <row r="673" customFormat="false" ht="12.8" hidden="false" customHeight="false" outlineLevel="0" collapsed="false">
      <c r="A673" s="0" t="s">
        <v>785</v>
      </c>
      <c r="B673" s="0" t="s">
        <v>20</v>
      </c>
      <c r="C673" s="0" t="s">
        <v>21</v>
      </c>
      <c r="D673" s="0" t="s">
        <v>794</v>
      </c>
      <c r="E673" s="0" t="n">
        <v>77</v>
      </c>
      <c r="F673" s="0" t="n">
        <v>52</v>
      </c>
      <c r="G673" s="1" t="n">
        <f aca="false">(E673/100)*F673</f>
        <v>40.04</v>
      </c>
      <c r="H673" s="0" t="n">
        <v>0</v>
      </c>
      <c r="I673" s="2" t="n">
        <f aca="false">(E673/100)*H673</f>
        <v>0</v>
      </c>
      <c r="J673" s="0" t="n">
        <v>0</v>
      </c>
      <c r="K673" s="6" t="n">
        <f aca="false">G673/E673</f>
        <v>0.52</v>
      </c>
      <c r="L673" s="0" t="n">
        <v>0.2</v>
      </c>
      <c r="M673" s="0" t="n">
        <f aca="false">(44.95/12)/G673</f>
        <v>0.0935522810522811</v>
      </c>
      <c r="N673" s="0" t="n">
        <v>0</v>
      </c>
      <c r="O673" s="0" t="n">
        <v>0</v>
      </c>
      <c r="P673" s="0" t="n">
        <v>0</v>
      </c>
      <c r="Q673" s="0" t="n">
        <v>0</v>
      </c>
      <c r="U673" s="11" t="s">
        <v>787</v>
      </c>
      <c r="V673" s="0" t="n">
        <v>1</v>
      </c>
    </row>
    <row r="674" customFormat="false" ht="12.8" hidden="false" customHeight="false" outlineLevel="0" collapsed="false">
      <c r="A674" s="0" t="s">
        <v>785</v>
      </c>
      <c r="B674" s="0" t="s">
        <v>36</v>
      </c>
      <c r="C674" s="0" t="s">
        <v>37</v>
      </c>
      <c r="D674" s="0" t="s">
        <v>795</v>
      </c>
      <c r="E674" s="0" t="n">
        <v>38</v>
      </c>
      <c r="F674" s="0" t="n">
        <v>80</v>
      </c>
      <c r="G674" s="1" t="n">
        <f aca="false">(E674/100)*F674</f>
        <v>30.4</v>
      </c>
      <c r="H674" s="0" t="n">
        <v>0</v>
      </c>
      <c r="I674" s="2" t="n">
        <f aca="false">(E674/100)*H674</f>
        <v>0</v>
      </c>
      <c r="J674" s="0" t="n">
        <v>0</v>
      </c>
      <c r="K674" s="6" t="n">
        <f aca="false">G674/E674</f>
        <v>0.8</v>
      </c>
      <c r="L674" s="0" t="n">
        <v>0.1</v>
      </c>
      <c r="M674" s="0" t="n">
        <f aca="false">(28.95/12)/G674</f>
        <v>0.079358552631579</v>
      </c>
      <c r="N674" s="0" t="n">
        <v>0</v>
      </c>
      <c r="O674" s="0" t="n">
        <v>0</v>
      </c>
      <c r="P674" s="0" t="n">
        <v>0</v>
      </c>
      <c r="Q674" s="0" t="n">
        <v>0</v>
      </c>
      <c r="U674" s="11" t="s">
        <v>787</v>
      </c>
      <c r="V674" s="0" t="n">
        <v>1</v>
      </c>
    </row>
    <row r="675" customFormat="false" ht="12.8" hidden="false" customHeight="false" outlineLevel="0" collapsed="false">
      <c r="A675" s="0" t="s">
        <v>785</v>
      </c>
      <c r="B675" s="0" t="s">
        <v>36</v>
      </c>
      <c r="C675" s="0" t="s">
        <v>37</v>
      </c>
      <c r="D675" s="0" t="s">
        <v>796</v>
      </c>
      <c r="E675" s="0" t="n">
        <v>37</v>
      </c>
      <c r="F675" s="0" t="n">
        <v>87</v>
      </c>
      <c r="G675" s="1" t="n">
        <f aca="false">(E675/100)*F675</f>
        <v>32.19</v>
      </c>
      <c r="H675" s="0" t="n">
        <v>3.2</v>
      </c>
      <c r="I675" s="2" t="n">
        <f aca="false">(E675/100)*H675</f>
        <v>1.184</v>
      </c>
      <c r="J675" s="0" t="n">
        <v>0</v>
      </c>
      <c r="K675" s="6" t="n">
        <f aca="false">G675/E675</f>
        <v>0.87</v>
      </c>
      <c r="L675" s="0" t="n">
        <v>0.045</v>
      </c>
      <c r="M675" s="0" t="n">
        <f aca="false">(26.95/12)/G675</f>
        <v>0.0697680439059749</v>
      </c>
      <c r="N675" s="0" t="n">
        <v>0</v>
      </c>
      <c r="O675" s="0" t="n">
        <v>0</v>
      </c>
      <c r="P675" s="0" t="n">
        <v>1</v>
      </c>
      <c r="Q675" s="0" t="n">
        <v>0</v>
      </c>
      <c r="U675" s="11" t="s">
        <v>787</v>
      </c>
      <c r="V675" s="0" t="n">
        <v>1</v>
      </c>
    </row>
    <row r="676" customFormat="false" ht="12.8" hidden="false" customHeight="false" outlineLevel="0" collapsed="false">
      <c r="A676" s="0" t="s">
        <v>785</v>
      </c>
      <c r="B676" s="0" t="s">
        <v>36</v>
      </c>
      <c r="C676" s="0" t="s">
        <v>37</v>
      </c>
      <c r="D676" s="0" t="s">
        <v>797</v>
      </c>
      <c r="E676" s="0" t="n">
        <v>50</v>
      </c>
      <c r="F676" s="0" t="n">
        <v>63</v>
      </c>
      <c r="G676" s="1" t="n">
        <f aca="false">(E676/100)*F676</f>
        <v>31.5</v>
      </c>
      <c r="H676" s="0" t="n">
        <v>12</v>
      </c>
      <c r="I676" s="2" t="n">
        <f aca="false">(E676/100)*H676</f>
        <v>6</v>
      </c>
      <c r="J676" s="0" t="n">
        <v>0</v>
      </c>
      <c r="K676" s="6" t="n">
        <f aca="false">G676/E676</f>
        <v>0.63</v>
      </c>
      <c r="L676" s="0" t="n">
        <v>0.005</v>
      </c>
      <c r="M676" s="0" t="n">
        <f aca="false">(24.9/12)/G676</f>
        <v>0.0658730158730159</v>
      </c>
      <c r="N676" s="0" t="n">
        <v>0</v>
      </c>
      <c r="O676" s="0" t="n">
        <v>1</v>
      </c>
      <c r="P676" s="0" t="n">
        <v>0</v>
      </c>
      <c r="Q676" s="0" t="n">
        <v>0</v>
      </c>
      <c r="U676" s="11" t="s">
        <v>787</v>
      </c>
      <c r="V676" s="0" t="n">
        <v>1</v>
      </c>
    </row>
    <row r="677" customFormat="false" ht="12.8" hidden="false" customHeight="false" outlineLevel="0" collapsed="false">
      <c r="A677" s="0" t="s">
        <v>785</v>
      </c>
      <c r="B677" s="0" t="s">
        <v>36</v>
      </c>
      <c r="C677" s="0" t="s">
        <v>37</v>
      </c>
      <c r="D677" s="0" t="s">
        <v>798</v>
      </c>
      <c r="E677" s="0" t="n">
        <v>50</v>
      </c>
      <c r="F677" s="0" t="n">
        <v>63</v>
      </c>
      <c r="G677" s="1" t="n">
        <f aca="false">(E677/100)*F677</f>
        <v>31.5</v>
      </c>
      <c r="H677" s="0" t="n">
        <v>12</v>
      </c>
      <c r="I677" s="2" t="n">
        <f aca="false">(E677/100)*H677</f>
        <v>6</v>
      </c>
      <c r="J677" s="0" t="n">
        <v>0</v>
      </c>
      <c r="K677" s="6" t="n">
        <f aca="false">G677/E677</f>
        <v>0.63</v>
      </c>
      <c r="L677" s="0" t="n">
        <v>0.005</v>
      </c>
      <c r="M677" s="0" t="n">
        <f aca="false">(24.9/12)/G677</f>
        <v>0.0658730158730159</v>
      </c>
      <c r="N677" s="0" t="n">
        <v>0</v>
      </c>
      <c r="O677" s="0" t="n">
        <v>0</v>
      </c>
      <c r="P677" s="0" t="n">
        <v>1</v>
      </c>
      <c r="Q677" s="0" t="n">
        <v>0</v>
      </c>
      <c r="U677" s="11" t="s">
        <v>787</v>
      </c>
      <c r="V677" s="0" t="n">
        <v>1</v>
      </c>
    </row>
    <row r="678" customFormat="false" ht="12.8" hidden="false" customHeight="false" outlineLevel="0" collapsed="false">
      <c r="A678" s="0" t="s">
        <v>785</v>
      </c>
      <c r="B678" s="0" t="s">
        <v>36</v>
      </c>
      <c r="C678" s="0" t="s">
        <v>37</v>
      </c>
      <c r="D678" s="0" t="s">
        <v>799</v>
      </c>
      <c r="E678" s="0" t="n">
        <v>45</v>
      </c>
      <c r="F678" s="0" t="n">
        <v>68</v>
      </c>
      <c r="G678" s="1" t="n">
        <f aca="false">(E678/100)*F678</f>
        <v>30.6</v>
      </c>
      <c r="H678" s="0" t="n">
        <v>13</v>
      </c>
      <c r="I678" s="2" t="n">
        <f aca="false">(E678/100)*H678</f>
        <v>5.85</v>
      </c>
      <c r="J678" s="0" t="n">
        <v>0</v>
      </c>
      <c r="K678" s="6" t="n">
        <f aca="false">G678/E678</f>
        <v>0.68</v>
      </c>
      <c r="L678" s="0" t="n">
        <v>0.045</v>
      </c>
      <c r="M678" s="0" t="n">
        <f aca="false">(25.95/12)/G678</f>
        <v>0.0706699346405229</v>
      </c>
      <c r="N678" s="0" t="n">
        <v>0</v>
      </c>
      <c r="O678" s="0" t="n">
        <v>0</v>
      </c>
      <c r="P678" s="0" t="n">
        <v>1</v>
      </c>
      <c r="Q678" s="0" t="n">
        <v>0</v>
      </c>
      <c r="U678" s="11" t="s">
        <v>787</v>
      </c>
      <c r="V678" s="0" t="n">
        <v>1</v>
      </c>
    </row>
    <row r="679" customFormat="false" ht="12.8" hidden="false" customHeight="false" outlineLevel="0" collapsed="false">
      <c r="A679" s="0" t="s">
        <v>785</v>
      </c>
      <c r="B679" s="0" t="s">
        <v>36</v>
      </c>
      <c r="C679" s="0" t="s">
        <v>37</v>
      </c>
      <c r="D679" s="0" t="s">
        <v>800</v>
      </c>
      <c r="E679" s="0" t="n">
        <v>50</v>
      </c>
      <c r="F679" s="0" t="n">
        <v>80</v>
      </c>
      <c r="G679" s="1" t="n">
        <f aca="false">(E679/100)*F679</f>
        <v>40</v>
      </c>
      <c r="H679" s="0" t="n">
        <v>0.5</v>
      </c>
      <c r="I679" s="2" t="n">
        <f aca="false">(E679/100)*H679</f>
        <v>0.25</v>
      </c>
      <c r="J679" s="0" t="n">
        <v>0</v>
      </c>
      <c r="K679" s="6" t="n">
        <f aca="false">G679/E679</f>
        <v>0.8</v>
      </c>
      <c r="L679" s="0" t="n">
        <v>0.1</v>
      </c>
      <c r="M679" s="0" t="n">
        <f aca="false">(39.95/12)/G679</f>
        <v>0.0832291666666667</v>
      </c>
      <c r="N679" s="0" t="n">
        <v>0</v>
      </c>
      <c r="O679" s="0" t="n">
        <v>0</v>
      </c>
      <c r="P679" s="0" t="n">
        <v>0</v>
      </c>
      <c r="Q679" s="0" t="n">
        <v>0</v>
      </c>
      <c r="U679" s="11" t="s">
        <v>787</v>
      </c>
      <c r="V679" s="0" t="n">
        <v>1</v>
      </c>
    </row>
    <row r="680" customFormat="false" ht="12.8" hidden="false" customHeight="false" outlineLevel="0" collapsed="false">
      <c r="A680" s="0" t="s">
        <v>801</v>
      </c>
      <c r="B680" s="0" t="s">
        <v>36</v>
      </c>
      <c r="C680" s="0" t="s">
        <v>37</v>
      </c>
      <c r="D680" s="0" t="s">
        <v>802</v>
      </c>
      <c r="E680" s="0" t="n">
        <v>30</v>
      </c>
      <c r="F680" s="0" t="n">
        <v>59.2</v>
      </c>
      <c r="G680" s="1" t="n">
        <f aca="false">(E680/100)*F680</f>
        <v>17.76</v>
      </c>
      <c r="H680" s="0" t="n">
        <v>3.9</v>
      </c>
      <c r="I680" s="2" t="n">
        <f aca="false">(E680/100)*H680</f>
        <v>1.17</v>
      </c>
      <c r="J680" s="0" t="n">
        <v>0</v>
      </c>
      <c r="K680" s="6" t="n">
        <f aca="false">G680/E680</f>
        <v>0.592</v>
      </c>
      <c r="L680" s="0" t="n">
        <v>0</v>
      </c>
      <c r="M680" s="0" t="n">
        <f aca="false">1.9/G680</f>
        <v>0.106981981981982</v>
      </c>
      <c r="N680" s="0" t="n">
        <v>0</v>
      </c>
      <c r="O680" s="0" t="n">
        <v>0</v>
      </c>
      <c r="P680" s="0" t="n">
        <v>1</v>
      </c>
      <c r="Q680" s="0" t="n">
        <v>0</v>
      </c>
      <c r="V680" s="0" t="n">
        <v>0</v>
      </c>
    </row>
    <row r="681" customFormat="false" ht="12.8" hidden="false" customHeight="false" outlineLevel="0" collapsed="false">
      <c r="A681" s="0" t="s">
        <v>801</v>
      </c>
      <c r="B681" s="0" t="s">
        <v>36</v>
      </c>
      <c r="C681" s="0" t="s">
        <v>37</v>
      </c>
      <c r="D681" s="0" t="s">
        <v>803</v>
      </c>
      <c r="E681" s="0" t="n">
        <v>30</v>
      </c>
      <c r="F681" s="0" t="n">
        <v>50.9</v>
      </c>
      <c r="G681" s="1" t="n">
        <f aca="false">(E681/100)*F681</f>
        <v>15.27</v>
      </c>
      <c r="H681" s="0" t="n">
        <v>5.98</v>
      </c>
      <c r="I681" s="2" t="n">
        <f aca="false">(E681/100)*H681</f>
        <v>1.794</v>
      </c>
      <c r="J681" s="0" t="n">
        <v>0</v>
      </c>
      <c r="K681" s="6" t="n">
        <f aca="false">G681/E681</f>
        <v>0.509</v>
      </c>
      <c r="L681" s="0" t="n">
        <v>0</v>
      </c>
      <c r="M681" s="0" t="n">
        <f aca="false">1.9/G681</f>
        <v>0.124426981008513</v>
      </c>
      <c r="N681" s="0" t="n">
        <v>0</v>
      </c>
      <c r="O681" s="0" t="n">
        <v>0</v>
      </c>
      <c r="P681" s="0" t="n">
        <v>1</v>
      </c>
      <c r="Q681" s="0" t="n">
        <v>0</v>
      </c>
      <c r="V681" s="0" t="n">
        <v>0</v>
      </c>
    </row>
    <row r="682" customFormat="false" ht="12.8" hidden="false" customHeight="false" outlineLevel="0" collapsed="false">
      <c r="A682" s="0" t="s">
        <v>801</v>
      </c>
      <c r="B682" s="0" t="s">
        <v>36</v>
      </c>
      <c r="C682" s="0" t="s">
        <v>37</v>
      </c>
      <c r="D682" s="0" t="s">
        <v>804</v>
      </c>
      <c r="E682" s="0" t="n">
        <v>30</v>
      </c>
      <c r="F682" s="0" t="n">
        <v>53.92</v>
      </c>
      <c r="G682" s="1" t="n">
        <f aca="false">(E682/100)*F682</f>
        <v>16.176</v>
      </c>
      <c r="H682" s="0" t="n">
        <v>6.4</v>
      </c>
      <c r="I682" s="2" t="n">
        <f aca="false">(E682/100)*H682</f>
        <v>1.92</v>
      </c>
      <c r="J682" s="0" t="n">
        <v>0</v>
      </c>
      <c r="K682" s="6" t="n">
        <f aca="false">G682/E682</f>
        <v>0.5392</v>
      </c>
      <c r="L682" s="0" t="n">
        <v>0</v>
      </c>
      <c r="M682" s="0" t="n">
        <f aca="false">1.9/G682</f>
        <v>0.117457962413452</v>
      </c>
      <c r="N682" s="0" t="n">
        <v>0</v>
      </c>
      <c r="O682" s="0" t="n">
        <v>0</v>
      </c>
      <c r="P682" s="0" t="n">
        <v>1</v>
      </c>
      <c r="Q682" s="0" t="n">
        <v>0</v>
      </c>
      <c r="V682" s="0" t="n">
        <v>0</v>
      </c>
    </row>
    <row r="683" customFormat="false" ht="12.8" hidden="false" customHeight="false" outlineLevel="0" collapsed="false">
      <c r="A683" s="0" t="s">
        <v>801</v>
      </c>
      <c r="B683" s="0" t="s">
        <v>36</v>
      </c>
      <c r="C683" s="0" t="s">
        <v>37</v>
      </c>
      <c r="D683" s="0" t="s">
        <v>805</v>
      </c>
      <c r="E683" s="0" t="n">
        <v>30</v>
      </c>
      <c r="F683" s="0" t="n">
        <v>46.6</v>
      </c>
      <c r="G683" s="1" t="n">
        <f aca="false">(E683/100)*F683</f>
        <v>13.98</v>
      </c>
      <c r="H683" s="0" t="n">
        <v>8.28</v>
      </c>
      <c r="I683" s="2" t="n">
        <f aca="false">(E683/100)*H683</f>
        <v>2.484</v>
      </c>
      <c r="J683" s="0" t="n">
        <v>0</v>
      </c>
      <c r="K683" s="6" t="n">
        <f aca="false">G683/E683</f>
        <v>0.466</v>
      </c>
      <c r="L683" s="0" t="n">
        <v>0</v>
      </c>
      <c r="M683" s="0" t="n">
        <f aca="false">1.9/G683</f>
        <v>0.135908440629471</v>
      </c>
      <c r="N683" s="0" t="n">
        <v>0</v>
      </c>
      <c r="O683" s="0" t="n">
        <v>0</v>
      </c>
      <c r="P683" s="0" t="n">
        <v>1</v>
      </c>
      <c r="Q683" s="0" t="n">
        <v>0</v>
      </c>
      <c r="V683" s="0" t="n">
        <v>0</v>
      </c>
    </row>
    <row r="684" customFormat="false" ht="12.8" hidden="false" customHeight="false" outlineLevel="0" collapsed="false">
      <c r="A684" s="0" t="s">
        <v>801</v>
      </c>
      <c r="B684" s="0" t="s">
        <v>36</v>
      </c>
      <c r="C684" s="0" t="s">
        <v>37</v>
      </c>
      <c r="D684" s="0" t="s">
        <v>806</v>
      </c>
      <c r="E684" s="0" t="n">
        <v>30</v>
      </c>
      <c r="F684" s="0" t="n">
        <v>58.02</v>
      </c>
      <c r="G684" s="1" t="n">
        <f aca="false">(E684/100)*F684</f>
        <v>17.406</v>
      </c>
      <c r="H684" s="0" t="n">
        <v>6.2</v>
      </c>
      <c r="I684" s="2" t="n">
        <f aca="false">(E684/100)*H684</f>
        <v>1.86</v>
      </c>
      <c r="J684" s="0" t="n">
        <v>0</v>
      </c>
      <c r="K684" s="6" t="n">
        <f aca="false">G684/E684</f>
        <v>0.5802</v>
      </c>
      <c r="L684" s="0" t="n">
        <v>0</v>
      </c>
      <c r="M684" s="0" t="n">
        <f aca="false">1.9/G684</f>
        <v>0.109157761691371</v>
      </c>
      <c r="N684" s="0" t="n">
        <v>0</v>
      </c>
      <c r="O684" s="0" t="n">
        <v>0</v>
      </c>
      <c r="P684" s="0" t="n">
        <v>1</v>
      </c>
      <c r="Q684" s="0" t="n">
        <v>0</v>
      </c>
      <c r="V684" s="0" t="n">
        <v>0</v>
      </c>
    </row>
    <row r="685" customFormat="false" ht="12.8" hidden="false" customHeight="false" outlineLevel="0" collapsed="false">
      <c r="A685" s="0" t="s">
        <v>801</v>
      </c>
      <c r="B685" s="0" t="s">
        <v>36</v>
      </c>
      <c r="C685" s="0" t="s">
        <v>37</v>
      </c>
      <c r="D685" s="10" t="s">
        <v>807</v>
      </c>
      <c r="E685" s="0" t="n">
        <v>30</v>
      </c>
      <c r="F685" s="0" t="n">
        <v>53.87</v>
      </c>
      <c r="G685" s="1" t="n">
        <f aca="false">(E685/100)*F685</f>
        <v>16.161</v>
      </c>
      <c r="H685" s="0" t="n">
        <v>6.49</v>
      </c>
      <c r="I685" s="2" t="n">
        <f aca="false">(E685/100)*H685</f>
        <v>1.947</v>
      </c>
      <c r="J685" s="0" t="n">
        <v>0</v>
      </c>
      <c r="K685" s="6" t="n">
        <f aca="false">G685/E685</f>
        <v>0.5387</v>
      </c>
      <c r="L685" s="0" t="n">
        <v>0</v>
      </c>
      <c r="M685" s="0" t="n">
        <f aca="false">1.9/G685</f>
        <v>0.117566982241198</v>
      </c>
      <c r="N685" s="0" t="n">
        <v>0</v>
      </c>
      <c r="O685" s="0" t="n">
        <v>0</v>
      </c>
      <c r="P685" s="0" t="n">
        <v>1</v>
      </c>
      <c r="Q685" s="0" t="n">
        <v>0</v>
      </c>
      <c r="V685" s="0" t="n">
        <v>0</v>
      </c>
    </row>
    <row r="686" customFormat="false" ht="12.8" hidden="false" customHeight="false" outlineLevel="0" collapsed="false">
      <c r="A686" s="0" t="s">
        <v>801</v>
      </c>
      <c r="B686" s="0" t="s">
        <v>36</v>
      </c>
      <c r="C686" s="0" t="s">
        <v>37</v>
      </c>
      <c r="D686" s="10" t="s">
        <v>808</v>
      </c>
      <c r="E686" s="0" t="n">
        <v>30</v>
      </c>
      <c r="F686" s="0" t="n">
        <v>45.21</v>
      </c>
      <c r="G686" s="1" t="n">
        <f aca="false">(E686/100)*F686</f>
        <v>13.563</v>
      </c>
      <c r="H686" s="0" t="n">
        <v>4.62</v>
      </c>
      <c r="I686" s="2" t="n">
        <f aca="false">(E686/100)*H686</f>
        <v>1.386</v>
      </c>
      <c r="J686" s="0" t="n">
        <v>0</v>
      </c>
      <c r="K686" s="6" t="n">
        <f aca="false">G686/E686</f>
        <v>0.4521</v>
      </c>
      <c r="L686" s="0" t="n">
        <v>0</v>
      </c>
      <c r="M686" s="0" t="n">
        <f aca="false">1.9/G686</f>
        <v>0.14008700140087</v>
      </c>
      <c r="N686" s="0" t="n">
        <v>0</v>
      </c>
      <c r="O686" s="0" t="n">
        <v>0</v>
      </c>
      <c r="P686" s="0" t="n">
        <v>1</v>
      </c>
      <c r="Q686" s="0" t="n">
        <v>0</v>
      </c>
      <c r="V686" s="0" t="n">
        <v>0</v>
      </c>
    </row>
    <row r="687" customFormat="false" ht="12.8" hidden="false" customHeight="false" outlineLevel="0" collapsed="false">
      <c r="A687" s="0" t="s">
        <v>801</v>
      </c>
      <c r="B687" s="0" t="s">
        <v>36</v>
      </c>
      <c r="C687" s="0" t="s">
        <v>37</v>
      </c>
      <c r="D687" s="10" t="s">
        <v>809</v>
      </c>
      <c r="E687" s="0" t="n">
        <v>30</v>
      </c>
      <c r="F687" s="0" t="n">
        <v>53.09</v>
      </c>
      <c r="G687" s="1" t="n">
        <f aca="false">(E687/100)*F687</f>
        <v>15.927</v>
      </c>
      <c r="H687" s="0" t="n">
        <v>8.08</v>
      </c>
      <c r="I687" s="2" t="n">
        <f aca="false">(E687/100)*H687</f>
        <v>2.424</v>
      </c>
      <c r="J687" s="0" t="n">
        <v>0</v>
      </c>
      <c r="K687" s="6" t="n">
        <f aca="false">G687/E687</f>
        <v>0.5309</v>
      </c>
      <c r="L687" s="0" t="n">
        <v>0</v>
      </c>
      <c r="M687" s="0" t="n">
        <f aca="false">1.9/G687</f>
        <v>0.119294280153199</v>
      </c>
      <c r="N687" s="0" t="n">
        <v>0</v>
      </c>
      <c r="O687" s="0" t="n">
        <v>0</v>
      </c>
      <c r="P687" s="0" t="n">
        <v>1</v>
      </c>
      <c r="Q687" s="0" t="n">
        <v>0</v>
      </c>
      <c r="V687" s="0" t="n">
        <v>0</v>
      </c>
    </row>
    <row r="688" customFormat="false" ht="12.8" hidden="false" customHeight="false" outlineLevel="0" collapsed="false">
      <c r="A688" s="0" t="s">
        <v>801</v>
      </c>
      <c r="B688" s="0" t="s">
        <v>36</v>
      </c>
      <c r="C688" s="0" t="s">
        <v>37</v>
      </c>
      <c r="D688" s="0" t="s">
        <v>810</v>
      </c>
      <c r="E688" s="0" t="n">
        <v>25</v>
      </c>
      <c r="F688" s="0" t="n">
        <v>36.58</v>
      </c>
      <c r="G688" s="1" t="n">
        <f aca="false">(E688/100)*F688</f>
        <v>9.145</v>
      </c>
      <c r="H688" s="0" t="n">
        <v>14.34</v>
      </c>
      <c r="I688" s="2" t="n">
        <f aca="false">(E688/100)*H688</f>
        <v>3.585</v>
      </c>
      <c r="J688" s="0" t="n">
        <v>0</v>
      </c>
      <c r="K688" s="6" t="n">
        <f aca="false">G688/E688</f>
        <v>0.3658</v>
      </c>
      <c r="L688" s="0" t="n">
        <v>0.05</v>
      </c>
      <c r="M688" s="0" t="n">
        <f aca="false">2.4/G688</f>
        <v>0.262438490978677</v>
      </c>
      <c r="N688" s="0" t="n">
        <v>0</v>
      </c>
      <c r="O688" s="0" t="n">
        <v>0</v>
      </c>
      <c r="P688" s="0" t="n">
        <v>1</v>
      </c>
      <c r="Q688" s="0" t="n">
        <v>0</v>
      </c>
      <c r="V688" s="0" t="n">
        <v>0</v>
      </c>
    </row>
    <row r="689" customFormat="false" ht="12.8" hidden="false" customHeight="false" outlineLevel="0" collapsed="false">
      <c r="A689" s="0" t="s">
        <v>801</v>
      </c>
      <c r="B689" s="0" t="s">
        <v>36</v>
      </c>
      <c r="C689" s="0" t="s">
        <v>37</v>
      </c>
      <c r="D689" s="0" t="s">
        <v>811</v>
      </c>
      <c r="E689" s="0" t="n">
        <v>25</v>
      </c>
      <c r="F689" s="0" t="n">
        <v>33.9</v>
      </c>
      <c r="G689" s="1" t="n">
        <f aca="false">(E689/100)*F689</f>
        <v>8.475</v>
      </c>
      <c r="H689" s="0" t="n">
        <v>14.58</v>
      </c>
      <c r="I689" s="2" t="n">
        <f aca="false">(E689/100)*H689</f>
        <v>3.645</v>
      </c>
      <c r="J689" s="0" t="n">
        <v>0</v>
      </c>
      <c r="K689" s="6" t="n">
        <f aca="false">G689/E689</f>
        <v>0.339</v>
      </c>
      <c r="L689" s="0" t="n">
        <v>0.05</v>
      </c>
      <c r="M689" s="0" t="n">
        <f aca="false">2.4/G689</f>
        <v>0.283185840707965</v>
      </c>
      <c r="N689" s="0" t="n">
        <v>0</v>
      </c>
      <c r="O689" s="0" t="n">
        <v>0</v>
      </c>
      <c r="P689" s="0" t="n">
        <v>1</v>
      </c>
      <c r="Q689" s="0" t="n">
        <v>0</v>
      </c>
      <c r="V689" s="0" t="n">
        <v>0</v>
      </c>
    </row>
    <row r="690" customFormat="false" ht="12.8" hidden="false" customHeight="false" outlineLevel="0" collapsed="false">
      <c r="A690" s="0" t="s">
        <v>801</v>
      </c>
      <c r="B690" s="0" t="s">
        <v>36</v>
      </c>
      <c r="C690" s="0" t="s">
        <v>37</v>
      </c>
      <c r="D690" s="0" t="s">
        <v>812</v>
      </c>
      <c r="E690" s="0" t="n">
        <v>25</v>
      </c>
      <c r="F690" s="0" t="n">
        <v>32.4</v>
      </c>
      <c r="G690" s="1" t="n">
        <f aca="false">(E690/100)*F690</f>
        <v>8.1</v>
      </c>
      <c r="H690" s="0" t="n">
        <v>15.07</v>
      </c>
      <c r="I690" s="2" t="n">
        <f aca="false">(E690/100)*H690</f>
        <v>3.7675</v>
      </c>
      <c r="J690" s="0" t="n">
        <v>0</v>
      </c>
      <c r="K690" s="6" t="n">
        <f aca="false">G690/E690</f>
        <v>0.324</v>
      </c>
      <c r="L690" s="0" t="n">
        <v>0.05</v>
      </c>
      <c r="M690" s="0" t="n">
        <f aca="false">2.4/G690</f>
        <v>0.296296296296296</v>
      </c>
      <c r="N690" s="0" t="n">
        <v>0</v>
      </c>
      <c r="O690" s="0" t="n">
        <v>0</v>
      </c>
      <c r="P690" s="0" t="n">
        <v>1</v>
      </c>
      <c r="Q690" s="0" t="n">
        <v>0</v>
      </c>
      <c r="V690" s="0" t="n">
        <v>0</v>
      </c>
    </row>
    <row r="691" customFormat="false" ht="12.8" hidden="false" customHeight="false" outlineLevel="0" collapsed="false">
      <c r="A691" s="0" t="s">
        <v>801</v>
      </c>
      <c r="B691" s="0" t="s">
        <v>36</v>
      </c>
      <c r="C691" s="0" t="s">
        <v>37</v>
      </c>
      <c r="D691" s="0" t="s">
        <v>813</v>
      </c>
      <c r="E691" s="0" t="n">
        <v>25</v>
      </c>
      <c r="F691" s="0" t="n">
        <v>37.51</v>
      </c>
      <c r="G691" s="1" t="n">
        <f aca="false">(E691/100)*F691</f>
        <v>9.3775</v>
      </c>
      <c r="H691" s="0" t="n">
        <v>14.01</v>
      </c>
      <c r="I691" s="2" t="n">
        <f aca="false">(E691/100)*H691</f>
        <v>3.5025</v>
      </c>
      <c r="J691" s="0" t="n">
        <v>0</v>
      </c>
      <c r="K691" s="6" t="n">
        <f aca="false">G691/E691</f>
        <v>0.3751</v>
      </c>
      <c r="L691" s="0" t="n">
        <v>0.05</v>
      </c>
      <c r="M691" s="0" t="n">
        <f aca="false">2.4/G691</f>
        <v>0.255931751532925</v>
      </c>
      <c r="N691" s="0" t="n">
        <v>0</v>
      </c>
      <c r="O691" s="0" t="n">
        <v>0</v>
      </c>
      <c r="P691" s="0" t="n">
        <v>1</v>
      </c>
      <c r="Q691" s="0" t="n">
        <v>0</v>
      </c>
      <c r="V691" s="0" t="n">
        <v>0</v>
      </c>
    </row>
    <row r="692" customFormat="false" ht="12.8" hidden="false" customHeight="false" outlineLevel="0" collapsed="false">
      <c r="A692" s="0" t="s">
        <v>801</v>
      </c>
      <c r="B692" s="0" t="s">
        <v>36</v>
      </c>
      <c r="C692" s="0" t="s">
        <v>37</v>
      </c>
      <c r="D692" s="0" t="s">
        <v>814</v>
      </c>
      <c r="E692" s="0" t="n">
        <v>25</v>
      </c>
      <c r="F692" s="0" t="n">
        <v>38.07</v>
      </c>
      <c r="G692" s="1" t="n">
        <f aca="false">(E692/100)*F692</f>
        <v>9.5175</v>
      </c>
      <c r="H692" s="0" t="n">
        <v>13.56</v>
      </c>
      <c r="I692" s="2" t="n">
        <f aca="false">(E692/100)*H692</f>
        <v>3.39</v>
      </c>
      <c r="J692" s="0" t="n">
        <v>0</v>
      </c>
      <c r="K692" s="6" t="n">
        <f aca="false">G692/E692</f>
        <v>0.3807</v>
      </c>
      <c r="L692" s="0" t="n">
        <v>0.05</v>
      </c>
      <c r="M692" s="0" t="n">
        <f aca="false">2.4/G692</f>
        <v>0.252167060677699</v>
      </c>
      <c r="N692" s="0" t="n">
        <v>0</v>
      </c>
      <c r="O692" s="0" t="n">
        <v>0</v>
      </c>
      <c r="P692" s="0" t="n">
        <v>1</v>
      </c>
      <c r="Q692" s="0" t="n">
        <v>0</v>
      </c>
      <c r="V692" s="0" t="n">
        <v>0</v>
      </c>
    </row>
    <row r="693" customFormat="false" ht="12.8" hidden="false" customHeight="false" outlineLevel="0" collapsed="false">
      <c r="A693" s="0" t="s">
        <v>801</v>
      </c>
      <c r="B693" s="0" t="s">
        <v>36</v>
      </c>
      <c r="C693" s="0" t="s">
        <v>37</v>
      </c>
      <c r="D693" s="0" t="s">
        <v>815</v>
      </c>
      <c r="E693" s="0" t="n">
        <v>25</v>
      </c>
      <c r="F693" s="0" t="n">
        <v>36.51</v>
      </c>
      <c r="G693" s="1" t="n">
        <f aca="false">(E693/100)*F693</f>
        <v>9.1275</v>
      </c>
      <c r="H693" s="0" t="n">
        <v>14.55</v>
      </c>
      <c r="I693" s="2" t="n">
        <f aca="false">(E693/100)*H693</f>
        <v>3.6375</v>
      </c>
      <c r="J693" s="0" t="n">
        <v>0</v>
      </c>
      <c r="K693" s="6" t="n">
        <f aca="false">G693/E693</f>
        <v>0.3651</v>
      </c>
      <c r="L693" s="0" t="n">
        <v>0.05</v>
      </c>
      <c r="M693" s="0" t="n">
        <f aca="false">2.4/G693</f>
        <v>0.262941659819228</v>
      </c>
      <c r="N693" s="0" t="n">
        <v>0</v>
      </c>
      <c r="O693" s="0" t="n">
        <v>0</v>
      </c>
      <c r="P693" s="0" t="n">
        <v>1</v>
      </c>
      <c r="Q693" s="0" t="n">
        <v>0</v>
      </c>
      <c r="V693" s="0" t="n">
        <v>0</v>
      </c>
    </row>
    <row r="694" customFormat="false" ht="12.8" hidden="false" customHeight="false" outlineLevel="0" collapsed="false">
      <c r="A694" s="0" t="s">
        <v>801</v>
      </c>
      <c r="B694" s="0" t="s">
        <v>45</v>
      </c>
      <c r="C694" s="0" t="s">
        <v>46</v>
      </c>
      <c r="D694" s="0" t="s">
        <v>816</v>
      </c>
      <c r="E694" s="0" t="n">
        <v>25</v>
      </c>
      <c r="F694" s="0" t="n">
        <v>23.55</v>
      </c>
      <c r="G694" s="1" t="n">
        <f aca="false">(E694/100)*F694</f>
        <v>5.8875</v>
      </c>
      <c r="H694" s="0" t="n">
        <v>17.02</v>
      </c>
      <c r="I694" s="2" t="n">
        <f aca="false">(E694/100)*H694</f>
        <v>4.255</v>
      </c>
      <c r="J694" s="0" t="n">
        <v>0</v>
      </c>
      <c r="K694" s="6" t="n">
        <f aca="false">G694/E694</f>
        <v>0.2355</v>
      </c>
      <c r="L694" s="0" t="n">
        <v>0.1</v>
      </c>
      <c r="M694" s="0" t="n">
        <f aca="false">2.4/G694</f>
        <v>0.407643312101911</v>
      </c>
      <c r="N694" s="0" t="n">
        <v>0</v>
      </c>
      <c r="O694" s="0" t="n">
        <v>0</v>
      </c>
      <c r="P694" s="0" t="n">
        <v>1</v>
      </c>
      <c r="Q694" s="0" t="n">
        <v>0</v>
      </c>
      <c r="V694" s="0" t="n">
        <v>0</v>
      </c>
    </row>
    <row r="695" customFormat="false" ht="12.8" hidden="false" customHeight="false" outlineLevel="0" collapsed="false">
      <c r="A695" s="0" t="s">
        <v>817</v>
      </c>
      <c r="B695" s="0" t="s">
        <v>25</v>
      </c>
      <c r="C695" s="0" t="s">
        <v>26</v>
      </c>
      <c r="D695" s="0" t="s">
        <v>818</v>
      </c>
      <c r="E695" s="0" t="n">
        <v>1</v>
      </c>
      <c r="F695" s="0" t="n">
        <v>91.5</v>
      </c>
      <c r="G695" s="1" t="n">
        <f aca="false">(E695/100)*F695</f>
        <v>0.915</v>
      </c>
      <c r="H695" s="0" t="n">
        <v>0</v>
      </c>
      <c r="I695" s="2" t="n">
        <f aca="false">(E695/100)*H695</f>
        <v>0</v>
      </c>
      <c r="J695" s="0" t="n">
        <v>0</v>
      </c>
      <c r="K695" s="6" t="n">
        <f aca="false">G695/E695</f>
        <v>0.915</v>
      </c>
      <c r="L695" s="0" t="n">
        <f aca="false">0.576/100</f>
        <v>0.00576</v>
      </c>
      <c r="M695" s="0" t="n">
        <f aca="false">(27.95/800)/G695</f>
        <v>0.0381830601092896</v>
      </c>
      <c r="N695" s="0" t="n">
        <v>1</v>
      </c>
      <c r="O695" s="0" t="n">
        <v>0</v>
      </c>
      <c r="P695" s="0" t="n">
        <v>0</v>
      </c>
      <c r="Q695" s="0" t="n">
        <v>0</v>
      </c>
      <c r="U695" s="0" t="s">
        <v>598</v>
      </c>
      <c r="V695" s="0" t="n">
        <v>1</v>
      </c>
    </row>
    <row r="696" customFormat="false" ht="12.8" hidden="false" customHeight="false" outlineLevel="0" collapsed="false">
      <c r="A696" s="0" t="s">
        <v>819</v>
      </c>
      <c r="B696" s="0" t="s">
        <v>27</v>
      </c>
      <c r="C696" s="0" t="s">
        <v>28</v>
      </c>
      <c r="D696" s="0" t="s">
        <v>820</v>
      </c>
      <c r="E696" s="0" t="n">
        <v>70</v>
      </c>
      <c r="F696" s="0" t="n">
        <v>59</v>
      </c>
      <c r="G696" s="1" t="n">
        <f aca="false">(E696/100)*F696</f>
        <v>41.3</v>
      </c>
      <c r="H696" s="0" t="n">
        <v>0.6</v>
      </c>
      <c r="I696" s="2" t="n">
        <f aca="false">(E696/100)*H696</f>
        <v>0.42</v>
      </c>
      <c r="J696" s="0" t="n">
        <v>0</v>
      </c>
      <c r="K696" s="6" t="n">
        <f aca="false">G696/E696</f>
        <v>0.59</v>
      </c>
      <c r="L696" s="0" t="n">
        <v>0</v>
      </c>
      <c r="M696" s="0" t="n">
        <f aca="false">2.5/G696</f>
        <v>0.0605326876513317</v>
      </c>
      <c r="N696" s="0" t="n">
        <v>0</v>
      </c>
      <c r="O696" s="0" t="n">
        <v>0</v>
      </c>
      <c r="P696" s="0" t="n">
        <v>0</v>
      </c>
      <c r="Q696" s="0" t="n">
        <v>0</v>
      </c>
      <c r="V696" s="0" t="n">
        <v>0</v>
      </c>
    </row>
    <row r="697" customFormat="false" ht="12.8" hidden="false" customHeight="false" outlineLevel="0" collapsed="false">
      <c r="A697" s="0" t="s">
        <v>819</v>
      </c>
      <c r="B697" s="0" t="s">
        <v>27</v>
      </c>
      <c r="C697" s="0" t="s">
        <v>28</v>
      </c>
      <c r="D697" s="0" t="s">
        <v>821</v>
      </c>
      <c r="E697" s="0" t="n">
        <v>70</v>
      </c>
      <c r="F697" s="0" t="n">
        <f aca="false">52/0.7</f>
        <v>74.2857142857143</v>
      </c>
      <c r="G697" s="1" t="n">
        <f aca="false">(E697/100)*F697</f>
        <v>52</v>
      </c>
      <c r="H697" s="0" t="n">
        <f aca="false">1.1/0.7</f>
        <v>1.57142857142857</v>
      </c>
      <c r="I697" s="2" t="n">
        <f aca="false">(E697/100)*H697</f>
        <v>1.1</v>
      </c>
      <c r="J697" s="0" t="n">
        <v>0</v>
      </c>
      <c r="K697" s="6" t="n">
        <f aca="false">G697/E697</f>
        <v>0.742857142857143</v>
      </c>
      <c r="L697" s="0" t="n">
        <v>0</v>
      </c>
      <c r="M697" s="0" t="n">
        <f aca="false">2.5/G697</f>
        <v>0.0480769230769231</v>
      </c>
      <c r="N697" s="0" t="n">
        <v>0</v>
      </c>
      <c r="O697" s="0" t="n">
        <v>0</v>
      </c>
      <c r="P697" s="0" t="n">
        <v>0</v>
      </c>
      <c r="Q697" s="0" t="n">
        <v>0</v>
      </c>
      <c r="V697" s="0" t="n">
        <v>0</v>
      </c>
    </row>
    <row r="698" customFormat="false" ht="12.8" hidden="false" customHeight="false" outlineLevel="0" collapsed="false">
      <c r="A698" s="0" t="s">
        <v>819</v>
      </c>
      <c r="B698" s="0" t="s">
        <v>27</v>
      </c>
      <c r="C698" s="0" t="s">
        <v>28</v>
      </c>
      <c r="D698" s="0" t="s">
        <v>822</v>
      </c>
      <c r="E698" s="0" t="n">
        <v>70</v>
      </c>
      <c r="F698" s="0" t="n">
        <f aca="false">44/0.7</f>
        <v>62.8571428571429</v>
      </c>
      <c r="G698" s="1" t="n">
        <f aca="false">(E698/100)*F698</f>
        <v>44</v>
      </c>
      <c r="H698" s="0" t="n">
        <f aca="false">0.7/0.7</f>
        <v>1</v>
      </c>
      <c r="I698" s="2" t="n">
        <f aca="false">(E698/100)*H698</f>
        <v>0.7</v>
      </c>
      <c r="J698" s="0" t="n">
        <v>0</v>
      </c>
      <c r="K698" s="6" t="n">
        <f aca="false">G698/E698</f>
        <v>0.628571428571429</v>
      </c>
      <c r="L698" s="0" t="n">
        <v>0</v>
      </c>
      <c r="M698" s="0" t="n">
        <f aca="false">2.5/G698</f>
        <v>0.0568181818181818</v>
      </c>
      <c r="N698" s="0" t="n">
        <v>0</v>
      </c>
      <c r="O698" s="0" t="n">
        <v>0</v>
      </c>
      <c r="P698" s="0" t="n">
        <v>0</v>
      </c>
      <c r="Q698" s="0" t="n">
        <v>0</v>
      </c>
      <c r="V698" s="0" t="n">
        <v>0</v>
      </c>
    </row>
    <row r="699" customFormat="false" ht="12.8" hidden="false" customHeight="false" outlineLevel="0" collapsed="false">
      <c r="A699" s="0" t="s">
        <v>819</v>
      </c>
      <c r="B699" s="0" t="s">
        <v>27</v>
      </c>
      <c r="C699" s="0" t="s">
        <v>28</v>
      </c>
      <c r="D699" s="0" t="s">
        <v>823</v>
      </c>
      <c r="E699" s="0" t="n">
        <v>70</v>
      </c>
      <c r="F699" s="0" t="n">
        <f aca="false">47/0.7</f>
        <v>67.1428571428572</v>
      </c>
      <c r="G699" s="1" t="n">
        <f aca="false">(E699/100)*F699</f>
        <v>47</v>
      </c>
      <c r="H699" s="0" t="n">
        <f aca="false">1.2/0.7</f>
        <v>1.71428571428571</v>
      </c>
      <c r="I699" s="2" t="n">
        <f aca="false">(E699/100)*H699</f>
        <v>1.2</v>
      </c>
      <c r="J699" s="0" t="n">
        <v>0</v>
      </c>
      <c r="K699" s="6" t="n">
        <f aca="false">G699/E699</f>
        <v>0.671428571428571</v>
      </c>
      <c r="L699" s="0" t="n">
        <v>0</v>
      </c>
      <c r="M699" s="0" t="n">
        <f aca="false">2.5/G699</f>
        <v>0.0531914893617021</v>
      </c>
      <c r="N699" s="0" t="n">
        <v>0</v>
      </c>
      <c r="O699" s="0" t="n">
        <v>0</v>
      </c>
      <c r="P699" s="0" t="n">
        <v>0</v>
      </c>
      <c r="Q699" s="0" t="n">
        <v>0</v>
      </c>
      <c r="V699" s="0" t="n">
        <v>0</v>
      </c>
    </row>
    <row r="700" customFormat="false" ht="12.8" hidden="false" customHeight="false" outlineLevel="0" collapsed="false">
      <c r="A700" s="0" t="s">
        <v>819</v>
      </c>
      <c r="B700" s="0" t="s">
        <v>27</v>
      </c>
      <c r="C700" s="0" t="s">
        <v>28</v>
      </c>
      <c r="D700" s="0" t="s">
        <v>824</v>
      </c>
      <c r="E700" s="0" t="n">
        <v>70</v>
      </c>
      <c r="F700" s="0" t="n">
        <f aca="false">39/0.7</f>
        <v>55.7142857142857</v>
      </c>
      <c r="G700" s="1" t="n">
        <f aca="false">(E700/100)*F700</f>
        <v>39</v>
      </c>
      <c r="H700" s="0" t="n">
        <f aca="false">1/0.7</f>
        <v>1.42857142857143</v>
      </c>
      <c r="I700" s="2" t="n">
        <f aca="false">(E700/100)*H700</f>
        <v>1</v>
      </c>
      <c r="J700" s="0" t="n">
        <v>0</v>
      </c>
      <c r="K700" s="6" t="n">
        <f aca="false">G700/E700</f>
        <v>0.557142857142857</v>
      </c>
      <c r="L700" s="0" t="n">
        <v>0</v>
      </c>
      <c r="M700" s="0" t="n">
        <f aca="false">2.5/G700</f>
        <v>0.0641025641025641</v>
      </c>
      <c r="N700" s="0" t="n">
        <v>0</v>
      </c>
      <c r="O700" s="0" t="n">
        <v>0</v>
      </c>
      <c r="P700" s="0" t="n">
        <v>0</v>
      </c>
      <c r="Q700" s="0" t="n">
        <v>0</v>
      </c>
      <c r="V700" s="0" t="n">
        <v>0</v>
      </c>
    </row>
    <row r="701" customFormat="false" ht="12.8" hidden="false" customHeight="false" outlineLevel="0" collapsed="false">
      <c r="A701" s="0" t="s">
        <v>819</v>
      </c>
      <c r="B701" s="0" t="s">
        <v>27</v>
      </c>
      <c r="C701" s="0" t="s">
        <v>28</v>
      </c>
      <c r="D701" s="0" t="s">
        <v>825</v>
      </c>
      <c r="E701" s="0" t="n">
        <v>70</v>
      </c>
      <c r="F701" s="0" t="n">
        <f aca="false">52/0.7</f>
        <v>74.2857142857143</v>
      </c>
      <c r="G701" s="1" t="n">
        <f aca="false">(E701/100)*F701</f>
        <v>52</v>
      </c>
      <c r="H701" s="0" t="n">
        <f aca="false">0.4/0.7</f>
        <v>0.571428571428571</v>
      </c>
      <c r="I701" s="2" t="n">
        <f aca="false">(E701/100)*H701</f>
        <v>0.4</v>
      </c>
      <c r="J701" s="0" t="n">
        <v>0</v>
      </c>
      <c r="K701" s="6" t="n">
        <f aca="false">G701/E701</f>
        <v>0.742857142857143</v>
      </c>
      <c r="L701" s="0" t="n">
        <f aca="false">0.04*0.4</f>
        <v>0.016</v>
      </c>
      <c r="M701" s="0" t="n">
        <f aca="false">2.5/G701</f>
        <v>0.0480769230769231</v>
      </c>
      <c r="N701" s="0" t="n">
        <v>0</v>
      </c>
      <c r="O701" s="0" t="n">
        <v>0</v>
      </c>
      <c r="P701" s="0" t="n">
        <v>0</v>
      </c>
      <c r="Q701" s="0" t="n">
        <v>0</v>
      </c>
      <c r="V701" s="0" t="n">
        <v>0</v>
      </c>
    </row>
    <row r="702" customFormat="false" ht="12.8" hidden="false" customHeight="false" outlineLevel="0" collapsed="false">
      <c r="A702" s="0" t="s">
        <v>819</v>
      </c>
      <c r="B702" s="0" t="s">
        <v>27</v>
      </c>
      <c r="C702" s="0" t="s">
        <v>28</v>
      </c>
      <c r="D702" s="0" t="s">
        <v>826</v>
      </c>
      <c r="E702" s="0" t="n">
        <v>70</v>
      </c>
      <c r="F702" s="0" t="n">
        <f aca="false">54.7/0.7</f>
        <v>78.1428571428572</v>
      </c>
      <c r="G702" s="1" t="n">
        <f aca="false">(E702/100)*F702</f>
        <v>54.7</v>
      </c>
      <c r="H702" s="0" t="n">
        <f aca="false">0.8/0.7</f>
        <v>1.14285714285714</v>
      </c>
      <c r="I702" s="2" t="n">
        <f aca="false">(E702/100)*H702</f>
        <v>0.8</v>
      </c>
      <c r="J702" s="0" t="n">
        <v>0</v>
      </c>
      <c r="K702" s="6" t="n">
        <f aca="false">G702/E702</f>
        <v>0.781428571428571</v>
      </c>
      <c r="L702" s="0" t="n">
        <f aca="false">0.35*0.4</f>
        <v>0.14</v>
      </c>
      <c r="M702" s="0" t="n">
        <f aca="false">2.5/G702</f>
        <v>0.0457038391224863</v>
      </c>
      <c r="N702" s="0" t="n">
        <v>0</v>
      </c>
      <c r="O702" s="0" t="n">
        <v>0</v>
      </c>
      <c r="P702" s="0" t="n">
        <v>0</v>
      </c>
      <c r="Q702" s="0" t="n">
        <v>0</v>
      </c>
      <c r="V702" s="0" t="n">
        <v>0</v>
      </c>
    </row>
    <row r="703" customFormat="false" ht="12.8" hidden="false" customHeight="false" outlineLevel="0" collapsed="false">
      <c r="A703" s="0" t="s">
        <v>819</v>
      </c>
      <c r="B703" s="0" t="s">
        <v>27</v>
      </c>
      <c r="C703" s="0" t="s">
        <v>28</v>
      </c>
      <c r="D703" s="0" t="s">
        <v>827</v>
      </c>
      <c r="E703" s="0" t="n">
        <v>70</v>
      </c>
      <c r="F703" s="0" t="n">
        <f aca="false">40/0.7</f>
        <v>57.1428571428571</v>
      </c>
      <c r="G703" s="1" t="n">
        <f aca="false">(E703/100)*F703</f>
        <v>40</v>
      </c>
      <c r="H703" s="0" t="n">
        <f aca="false">0.4/0.7</f>
        <v>0.571428571428571</v>
      </c>
      <c r="I703" s="2" t="n">
        <f aca="false">(E703/100)*H703</f>
        <v>0.4</v>
      </c>
      <c r="J703" s="0" t="n">
        <v>0</v>
      </c>
      <c r="K703" s="6" t="n">
        <f aca="false">G703/E703</f>
        <v>0.571428571428571</v>
      </c>
      <c r="L703" s="0" t="n">
        <v>0.016</v>
      </c>
      <c r="M703" s="0" t="n">
        <f aca="false">2.5/G703</f>
        <v>0.0625</v>
      </c>
      <c r="N703" s="0" t="n">
        <v>0</v>
      </c>
      <c r="O703" s="0" t="n">
        <v>0</v>
      </c>
      <c r="P703" s="0" t="n">
        <v>0</v>
      </c>
      <c r="Q703" s="0" t="n">
        <v>0</v>
      </c>
      <c r="V703" s="0" t="n">
        <v>0</v>
      </c>
    </row>
    <row r="704" customFormat="false" ht="12.8" hidden="false" customHeight="false" outlineLevel="0" collapsed="false">
      <c r="A704" s="0" t="s">
        <v>819</v>
      </c>
      <c r="B704" s="0" t="s">
        <v>27</v>
      </c>
      <c r="C704" s="0" t="s">
        <v>28</v>
      </c>
      <c r="D704" s="0" t="s">
        <v>828</v>
      </c>
      <c r="E704" s="0" t="n">
        <v>70</v>
      </c>
      <c r="F704" s="0" t="n">
        <f aca="false">40/0.7</f>
        <v>57.1428571428571</v>
      </c>
      <c r="G704" s="1" t="n">
        <f aca="false">(E704/100)*F704</f>
        <v>40</v>
      </c>
      <c r="H704" s="0" t="n">
        <f aca="false">0.5/0.7</f>
        <v>0.714285714285714</v>
      </c>
      <c r="I704" s="2" t="n">
        <f aca="false">(E704/100)*H704</f>
        <v>0.5</v>
      </c>
      <c r="J704" s="0" t="n">
        <v>0</v>
      </c>
      <c r="K704" s="6" t="n">
        <f aca="false">G704/E704</f>
        <v>0.571428571428571</v>
      </c>
      <c r="L704" s="0" t="n">
        <v>0.01</v>
      </c>
      <c r="M704" s="0" t="n">
        <f aca="false">2.5/G704</f>
        <v>0.0625</v>
      </c>
      <c r="N704" s="0" t="n">
        <v>0</v>
      </c>
      <c r="O704" s="0" t="n">
        <v>0</v>
      </c>
      <c r="P704" s="0" t="n">
        <v>0</v>
      </c>
      <c r="Q704" s="0" t="n">
        <v>0</v>
      </c>
      <c r="V704" s="0" t="n">
        <v>0</v>
      </c>
    </row>
    <row r="705" customFormat="false" ht="12.8" hidden="false" customHeight="false" outlineLevel="0" collapsed="false">
      <c r="A705" s="0" t="s">
        <v>819</v>
      </c>
      <c r="B705" s="0" t="s">
        <v>27</v>
      </c>
      <c r="C705" s="0" t="s">
        <v>28</v>
      </c>
      <c r="D705" s="0" t="s">
        <v>829</v>
      </c>
      <c r="E705" s="0" t="n">
        <v>70</v>
      </c>
      <c r="F705" s="0" t="n">
        <f aca="false">20.3/0.7</f>
        <v>29</v>
      </c>
      <c r="G705" s="1" t="n">
        <f aca="false">(E705/100)*F705</f>
        <v>20.3</v>
      </c>
      <c r="H705" s="0" t="n">
        <f aca="false">0.56/0.7</f>
        <v>0.8</v>
      </c>
      <c r="I705" s="2" t="n">
        <f aca="false">(E705/100)*H705</f>
        <v>0.56</v>
      </c>
      <c r="J705" s="0" t="n">
        <v>0</v>
      </c>
      <c r="K705" s="6" t="n">
        <f aca="false">G705/E705</f>
        <v>0.29</v>
      </c>
      <c r="L705" s="0" t="n">
        <v>0</v>
      </c>
      <c r="M705" s="0" t="n">
        <f aca="false">2.5/G705</f>
        <v>0.123152709359606</v>
      </c>
      <c r="N705" s="0" t="n">
        <v>0</v>
      </c>
      <c r="O705" s="0" t="n">
        <v>0</v>
      </c>
      <c r="P705" s="0" t="n">
        <v>0</v>
      </c>
      <c r="Q705" s="0" t="n">
        <v>0</v>
      </c>
      <c r="V705" s="0" t="n">
        <v>0</v>
      </c>
    </row>
    <row r="706" customFormat="false" ht="12.8" hidden="false" customHeight="false" outlineLevel="0" collapsed="false">
      <c r="A706" s="0" t="s">
        <v>819</v>
      </c>
      <c r="B706" s="0" t="s">
        <v>27</v>
      </c>
      <c r="C706" s="0" t="s">
        <v>28</v>
      </c>
      <c r="D706" s="0" t="s">
        <v>830</v>
      </c>
      <c r="E706" s="0" t="n">
        <v>70</v>
      </c>
      <c r="F706" s="0" t="n">
        <f aca="false">16.59/0.7</f>
        <v>23.7</v>
      </c>
      <c r="G706" s="1" t="n">
        <f aca="false">(E706/100)*F706</f>
        <v>16.59</v>
      </c>
      <c r="H706" s="0" t="n">
        <f aca="false">1.05/0.7</f>
        <v>1.5</v>
      </c>
      <c r="I706" s="2" t="n">
        <f aca="false">(E706/100)*H706</f>
        <v>1.05</v>
      </c>
      <c r="J706" s="0" t="n">
        <v>0</v>
      </c>
      <c r="K706" s="6" t="n">
        <f aca="false">G706/E706</f>
        <v>0.237</v>
      </c>
      <c r="L706" s="0" t="n">
        <v>0</v>
      </c>
      <c r="M706" s="0" t="n">
        <f aca="false">2.5/G706</f>
        <v>0.150693188667872</v>
      </c>
      <c r="N706" s="0" t="n">
        <v>0</v>
      </c>
      <c r="O706" s="0" t="n">
        <v>0</v>
      </c>
      <c r="P706" s="0" t="n">
        <v>0</v>
      </c>
      <c r="Q706" s="0" t="n">
        <v>0</v>
      </c>
      <c r="V706" s="0" t="n">
        <v>0</v>
      </c>
    </row>
    <row r="707" customFormat="false" ht="12.8" hidden="false" customHeight="false" outlineLevel="0" collapsed="false">
      <c r="A707" s="0" t="s">
        <v>819</v>
      </c>
      <c r="B707" s="0" t="s">
        <v>27</v>
      </c>
      <c r="C707" s="0" t="s">
        <v>28</v>
      </c>
      <c r="D707" s="0" t="s">
        <v>831</v>
      </c>
      <c r="E707" s="0" t="n">
        <v>70</v>
      </c>
      <c r="F707" s="0" t="n">
        <f aca="false">25.3/0.7</f>
        <v>36.1428571428571</v>
      </c>
      <c r="G707" s="1" t="n">
        <f aca="false">(E707/100)*F707</f>
        <v>25.3</v>
      </c>
      <c r="H707" s="0" t="n">
        <f aca="false">0.8/0.7</f>
        <v>1.14285714285714</v>
      </c>
      <c r="I707" s="2" t="n">
        <f aca="false">(E707/100)*H707</f>
        <v>0.8</v>
      </c>
      <c r="J707" s="0" t="n">
        <v>0</v>
      </c>
      <c r="K707" s="6" t="n">
        <f aca="false">G707/E707</f>
        <v>0.361428571428571</v>
      </c>
      <c r="L707" s="0" t="n">
        <v>0</v>
      </c>
      <c r="M707" s="0" t="n">
        <f aca="false">2.5/G707</f>
        <v>0.0988142292490119</v>
      </c>
      <c r="N707" s="0" t="n">
        <v>0</v>
      </c>
      <c r="O707" s="0" t="n">
        <v>0</v>
      </c>
      <c r="P707" s="0" t="n">
        <v>0</v>
      </c>
      <c r="Q707" s="0" t="n">
        <v>0</v>
      </c>
      <c r="V707" s="0" t="n">
        <v>0</v>
      </c>
    </row>
    <row r="708" customFormat="false" ht="12.8" hidden="false" customHeight="false" outlineLevel="0" collapsed="false">
      <c r="A708" s="0" t="s">
        <v>819</v>
      </c>
      <c r="B708" s="0" t="s">
        <v>32</v>
      </c>
      <c r="C708" s="0" t="s">
        <v>33</v>
      </c>
      <c r="D708" s="0" t="s">
        <v>832</v>
      </c>
      <c r="E708" s="0" t="n">
        <v>70</v>
      </c>
      <c r="F708" s="0" t="n">
        <f aca="false">6.72/0.7</f>
        <v>9.6</v>
      </c>
      <c r="G708" s="1" t="n">
        <f aca="false">(E708/100)*F708</f>
        <v>6.72</v>
      </c>
      <c r="H708" s="0" t="n">
        <f aca="false">2.52/0.7</f>
        <v>3.6</v>
      </c>
      <c r="I708" s="2" t="n">
        <f aca="false">(E708/100)*H708</f>
        <v>2.52</v>
      </c>
      <c r="J708" s="0" t="n">
        <v>0</v>
      </c>
      <c r="K708" s="6" t="n">
        <f aca="false">G708/E708</f>
        <v>0.096</v>
      </c>
      <c r="L708" s="0" t="n">
        <f aca="false">0.42*0.4</f>
        <v>0.168</v>
      </c>
      <c r="M708" s="0" t="n">
        <f aca="false">2.5/G708</f>
        <v>0.37202380952381</v>
      </c>
      <c r="N708" s="0" t="n">
        <v>0</v>
      </c>
      <c r="O708" s="0" t="n">
        <v>0</v>
      </c>
      <c r="P708" s="0" t="n">
        <v>0</v>
      </c>
      <c r="Q708" s="0" t="n">
        <v>0</v>
      </c>
      <c r="V708" s="0" t="n">
        <v>0</v>
      </c>
    </row>
    <row r="709" customFormat="false" ht="12.8" hidden="false" customHeight="false" outlineLevel="0" collapsed="false">
      <c r="A709" s="0" t="s">
        <v>819</v>
      </c>
      <c r="B709" s="0" t="s">
        <v>32</v>
      </c>
      <c r="C709" s="0" t="s">
        <v>33</v>
      </c>
      <c r="D709" s="0" t="s">
        <v>833</v>
      </c>
      <c r="E709" s="0" t="n">
        <v>70</v>
      </c>
      <c r="F709" s="0" t="n">
        <f aca="false">3.01/0.7</f>
        <v>4.3</v>
      </c>
      <c r="G709" s="1" t="n">
        <f aca="false">(E709/100)*F709</f>
        <v>3.01</v>
      </c>
      <c r="H709" s="0" t="n">
        <f aca="false">0.63/0.7</f>
        <v>0.9</v>
      </c>
      <c r="I709" s="2" t="n">
        <f aca="false">(E709/100)*H709</f>
        <v>0.63</v>
      </c>
      <c r="J709" s="0" t="n">
        <v>0</v>
      </c>
      <c r="K709" s="6" t="n">
        <f aca="false">G709/E709</f>
        <v>0.043</v>
      </c>
      <c r="L709" s="0" t="n">
        <f aca="false">0.49*0.4</f>
        <v>0.196</v>
      </c>
      <c r="M709" s="0" t="n">
        <f aca="false">2.5/G709</f>
        <v>0.830564784053156</v>
      </c>
      <c r="N709" s="0" t="n">
        <v>0</v>
      </c>
      <c r="O709" s="0" t="n">
        <v>0</v>
      </c>
      <c r="P709" s="0" t="n">
        <v>0</v>
      </c>
      <c r="Q709" s="0" t="n">
        <v>0</v>
      </c>
      <c r="V709" s="0" t="n">
        <v>0</v>
      </c>
    </row>
    <row r="710" customFormat="false" ht="12.8" hidden="false" customHeight="false" outlineLevel="0" collapsed="false">
      <c r="K710" s="6"/>
    </row>
    <row r="711" customFormat="false" ht="12.8" hidden="false" customHeight="false" outlineLevel="0" collapsed="false">
      <c r="K711" s="6"/>
    </row>
    <row r="712" customFormat="false" ht="12.8" hidden="false" customHeight="false" outlineLevel="0" collapsed="false">
      <c r="K712" s="6"/>
    </row>
    <row r="713" customFormat="false" ht="12.8" hidden="false" customHeight="false" outlineLevel="0" collapsed="false">
      <c r="K713" s="6"/>
    </row>
    <row r="714" customFormat="false" ht="12.8" hidden="false" customHeight="false" outlineLevel="0" collapsed="false">
      <c r="K714" s="6"/>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18909</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2025-06-06T19:31:51Z</dcterms:modified>
  <cp:revision>187</cp:revision>
  <dc:subject/>
  <dc:title/>
</cp:coreProperties>
</file>

<file path=docProps/custom.xml><?xml version="1.0" encoding="utf-8"?>
<Properties xmlns="http://schemas.openxmlformats.org/officeDocument/2006/custom-properties" xmlns:vt="http://schemas.openxmlformats.org/officeDocument/2006/docPropsVTypes"/>
</file>