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"/>
    </mc:Choice>
  </mc:AlternateContent>
  <xr:revisionPtr revIDLastSave="0" documentId="13_ncr:1_{598168EF-5FF0-42BC-AECC-8E1EC91ACB00}" xr6:coauthVersionLast="47" xr6:coauthVersionMax="47" xr10:uidLastSave="{00000000-0000-0000-0000-000000000000}"/>
  <bookViews>
    <workbookView xWindow="1125" yWindow="1125" windowWidth="28080" windowHeight="14940" xr2:uid="{00000000-000D-0000-FFFF-FFFF00000000}"/>
  </bookViews>
  <sheets>
    <sheet name="Lattergas" sheetId="6" r:id="rId1"/>
    <sheet name="Anæstesigasser" sheetId="2" state="hidden" r:id="rId2"/>
    <sheet name="Bagrundsdata" sheetId="1" r:id="rId3"/>
  </sheet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6" l="1"/>
  <c r="H45" i="6" s="1"/>
  <c r="G50" i="6" l="1"/>
  <c r="H50" i="6" s="1"/>
  <c r="G49" i="6" l="1"/>
  <c r="H49" i="6" s="1"/>
  <c r="G16" i="6" l="1"/>
  <c r="H16" i="6" s="1"/>
  <c r="G2" i="6"/>
  <c r="H2" i="6" s="1"/>
  <c r="G28" i="6"/>
  <c r="H28" i="6" s="1"/>
  <c r="G53" i="6"/>
  <c r="H53" i="6" s="1"/>
  <c r="G17" i="6"/>
  <c r="H17" i="6" s="1"/>
  <c r="G3" i="6"/>
  <c r="H3" i="6" s="1"/>
  <c r="G29" i="6"/>
  <c r="H29" i="6" s="1"/>
  <c r="G54" i="6"/>
  <c r="H54" i="6" s="1"/>
  <c r="G46" i="6"/>
  <c r="H46" i="6" s="1"/>
  <c r="G38" i="6"/>
  <c r="H38" i="6" s="1"/>
  <c r="G18" i="6"/>
  <c r="H18" i="6" s="1"/>
  <c r="G4" i="6"/>
  <c r="H4" i="6" s="1"/>
  <c r="G30" i="6"/>
  <c r="H30" i="6" s="1"/>
  <c r="G55" i="6"/>
  <c r="H55" i="6" s="1"/>
  <c r="G47" i="6"/>
  <c r="H47" i="6" s="1"/>
  <c r="G39" i="6"/>
  <c r="H39" i="6" s="1"/>
  <c r="G19" i="6"/>
  <c r="H19" i="6" s="1"/>
  <c r="G5" i="6"/>
  <c r="H5" i="6" s="1"/>
  <c r="G31" i="6"/>
  <c r="H31" i="6" s="1"/>
  <c r="G56" i="6"/>
  <c r="H56" i="6" s="1"/>
  <c r="G40" i="6"/>
  <c r="H40" i="6" s="1"/>
  <c r="G20" i="6"/>
  <c r="H20" i="6" s="1"/>
  <c r="G6" i="6"/>
  <c r="H6" i="6" s="1"/>
  <c r="G32" i="6"/>
  <c r="H32" i="6" s="1"/>
  <c r="G57" i="6"/>
  <c r="H57" i="6" s="1"/>
  <c r="G41" i="6"/>
  <c r="H41" i="6" s="1"/>
  <c r="G21" i="6"/>
  <c r="H21" i="6" s="1"/>
  <c r="G7" i="6"/>
  <c r="H7" i="6" s="1"/>
  <c r="G58" i="6"/>
  <c r="H58" i="6" s="1"/>
  <c r="G33" i="6"/>
  <c r="H33" i="6" s="1"/>
  <c r="G48" i="6"/>
  <c r="H48" i="6" s="1"/>
  <c r="G22" i="6"/>
  <c r="H22" i="6" s="1"/>
  <c r="G63" i="6"/>
  <c r="H63" i="6" s="1"/>
  <c r="G8" i="6"/>
  <c r="H8" i="6" s="1"/>
  <c r="G52" i="6"/>
  <c r="H52" i="6" s="1"/>
  <c r="G51" i="6"/>
  <c r="H51" i="6" s="1"/>
  <c r="G23" i="6"/>
  <c r="H23" i="6" s="1"/>
  <c r="G9" i="6"/>
  <c r="H9" i="6" s="1"/>
  <c r="G34" i="6"/>
  <c r="H34" i="6" s="1"/>
  <c r="G59" i="6"/>
  <c r="H59" i="6" s="1"/>
  <c r="G42" i="6"/>
  <c r="H42" i="6" s="1"/>
  <c r="G10" i="6"/>
  <c r="H10" i="6" s="1"/>
  <c r="G11" i="6"/>
  <c r="H11" i="6" s="1"/>
  <c r="G60" i="6"/>
  <c r="H60" i="6" s="1"/>
  <c r="G24" i="6"/>
  <c r="H24" i="6" s="1"/>
  <c r="G12" i="6"/>
  <c r="H12" i="6" s="1"/>
  <c r="G35" i="6"/>
  <c r="H35" i="6" s="1"/>
  <c r="G61" i="6"/>
  <c r="H61" i="6" s="1"/>
  <c r="G43" i="6"/>
  <c r="H43" i="6" s="1"/>
  <c r="G13" i="6"/>
  <c r="H13" i="6" s="1"/>
  <c r="G25" i="6"/>
  <c r="H25" i="6" s="1"/>
  <c r="G14" i="6"/>
  <c r="H14" i="6" s="1"/>
  <c r="G36" i="6"/>
  <c r="H36" i="6" s="1"/>
  <c r="G62" i="6"/>
  <c r="H62" i="6" s="1"/>
  <c r="G44" i="6"/>
  <c r="H44" i="6" s="1"/>
  <c r="G26" i="6"/>
  <c r="H26" i="6" s="1"/>
  <c r="G27" i="6"/>
  <c r="H27" i="6" s="1"/>
  <c r="G15" i="6"/>
  <c r="H15" i="6" s="1"/>
  <c r="G37" i="6"/>
  <c r="H37" i="6" s="1"/>
  <c r="I29" i="2" l="1"/>
  <c r="I19" i="2"/>
  <c r="I6" i="2"/>
  <c r="I9" i="2"/>
  <c r="F27" i="2"/>
  <c r="F29" i="2"/>
  <c r="F17" i="2"/>
  <c r="F6" i="2"/>
  <c r="F7" i="2"/>
  <c r="F9" i="2"/>
  <c r="J29" i="2" l="1"/>
  <c r="G27" i="2"/>
  <c r="G29" i="2"/>
  <c r="J19" i="2"/>
  <c r="G17" i="2"/>
  <c r="J6" i="2"/>
  <c r="J9" i="2"/>
  <c r="G6" i="2"/>
  <c r="G7" i="2"/>
  <c r="G9" i="2"/>
  <c r="H28" i="2" l="1"/>
  <c r="I28" i="2" s="1"/>
  <c r="J28" i="2" s="1"/>
  <c r="E28" i="2"/>
  <c r="F28" i="2" s="1"/>
  <c r="G28" i="2" s="1"/>
  <c r="E18" i="2"/>
  <c r="F18" i="2" s="1"/>
  <c r="G18" i="2" s="1"/>
  <c r="H8" i="2"/>
  <c r="I8" i="2" s="1"/>
  <c r="J8" i="2" s="1"/>
  <c r="E8" i="2"/>
  <c r="F8" i="2" s="1"/>
  <c r="G8" i="2" s="1"/>
  <c r="H26" i="2" l="1"/>
  <c r="I26" i="2" s="1"/>
  <c r="J26" i="2" s="1"/>
  <c r="E26" i="2"/>
  <c r="F26" i="2" s="1"/>
  <c r="G26" i="2" s="1"/>
  <c r="H27" i="2"/>
  <c r="I27" i="2" s="1"/>
  <c r="J27" i="2" s="1"/>
  <c r="E25" i="2"/>
  <c r="F25" i="2" s="1"/>
  <c r="G25" i="2" s="1"/>
  <c r="H25" i="2"/>
  <c r="H7" i="2"/>
  <c r="I7" i="2" s="1"/>
  <c r="J7" i="2" s="1"/>
  <c r="E5" i="2"/>
  <c r="F5" i="2" s="1"/>
  <c r="G5" i="2" s="1"/>
  <c r="H5" i="2"/>
  <c r="I5" i="2" s="1"/>
  <c r="J5" i="2" s="1"/>
  <c r="H31" i="2" l="1"/>
  <c r="I25" i="2"/>
  <c r="B31" i="2"/>
  <c r="B21" i="2"/>
  <c r="E31" i="2"/>
  <c r="C29" i="2"/>
  <c r="D29" i="2" s="1"/>
  <c r="C28" i="2"/>
  <c r="D28" i="2" s="1"/>
  <c r="C27" i="2"/>
  <c r="D27" i="2" s="1"/>
  <c r="C26" i="2"/>
  <c r="D26" i="2" s="1"/>
  <c r="C25" i="2"/>
  <c r="D25" i="2" s="1"/>
  <c r="I31" i="2" l="1"/>
  <c r="J25" i="2"/>
  <c r="C31" i="2"/>
  <c r="D31" i="2"/>
  <c r="G31" i="2"/>
  <c r="Q6" i="2" s="1"/>
  <c r="Q8" i="2" s="1"/>
  <c r="F31" i="2"/>
  <c r="J31" i="2"/>
  <c r="Q7" i="2" s="1"/>
  <c r="E19" i="2" l="1"/>
  <c r="F19" i="2" s="1"/>
  <c r="G19" i="2" s="1"/>
  <c r="H16" i="2"/>
  <c r="I16" i="2" s="1"/>
  <c r="J16" i="2" s="1"/>
  <c r="E16" i="2"/>
  <c r="F16" i="2" s="1"/>
  <c r="G16" i="2" s="1"/>
  <c r="H17" i="2"/>
  <c r="I17" i="2" s="1"/>
  <c r="J17" i="2" s="1"/>
  <c r="H18" i="2"/>
  <c r="I18" i="2" s="1"/>
  <c r="J18" i="2" s="1"/>
  <c r="E15" i="2" l="1"/>
  <c r="F15" i="2" s="1"/>
  <c r="G15" i="2" s="1"/>
  <c r="H15" i="2"/>
  <c r="E21" i="2"/>
  <c r="C19" i="2"/>
  <c r="C18" i="2"/>
  <c r="C17" i="2"/>
  <c r="C16" i="2"/>
  <c r="C15" i="2"/>
  <c r="C6" i="2"/>
  <c r="C7" i="2"/>
  <c r="C8" i="2"/>
  <c r="C9" i="2"/>
  <c r="C5" i="2"/>
  <c r="H21" i="2" l="1"/>
  <c r="I15" i="2"/>
  <c r="J15" i="2" s="1"/>
  <c r="C21" i="2"/>
  <c r="D9" i="2"/>
  <c r="D6" i="2"/>
  <c r="D8" i="2"/>
  <c r="D7" i="2"/>
  <c r="D5" i="2"/>
  <c r="D16" i="2"/>
  <c r="D17" i="2"/>
  <c r="D18" i="2"/>
  <c r="D15" i="2"/>
  <c r="D19" i="2"/>
  <c r="F21" i="2"/>
  <c r="E11" i="2"/>
  <c r="H11" i="2"/>
  <c r="F11" i="2"/>
  <c r="I11" i="2"/>
  <c r="D11" i="2" l="1"/>
  <c r="D21" i="2"/>
  <c r="I21" i="2"/>
  <c r="G21" i="2"/>
  <c r="P6" i="2" s="1"/>
  <c r="J11" i="2"/>
  <c r="O7" i="2" s="1"/>
  <c r="G11" i="2"/>
  <c r="O6" i="2" s="1"/>
  <c r="O8" i="2" s="1"/>
  <c r="J21" i="2" l="1"/>
  <c r="P7" i="2" s="1"/>
  <c r="P8" i="2" s="1"/>
</calcChain>
</file>

<file path=xl/sharedStrings.xml><?xml version="1.0" encoding="utf-8"?>
<sst xmlns="http://schemas.openxmlformats.org/spreadsheetml/2006/main" count="367" uniqueCount="64">
  <si>
    <t>Datainput</t>
  </si>
  <si>
    <t>g/ml</t>
  </si>
  <si>
    <t>kg CO2-eg/kg</t>
  </si>
  <si>
    <t>Lattergas</t>
  </si>
  <si>
    <t>R32</t>
  </si>
  <si>
    <t>R134a</t>
  </si>
  <si>
    <t>R404a</t>
  </si>
  <si>
    <t>R410a</t>
  </si>
  <si>
    <t>Isofluran</t>
  </si>
  <si>
    <t>Desfluran</t>
  </si>
  <si>
    <t>Sevofluran</t>
  </si>
  <si>
    <t xml:space="preserve">Kilde </t>
  </si>
  <si>
    <t>(Practice Greenhealth, 2019, Anesthetic gas how-to guide)</t>
  </si>
  <si>
    <t>OUH</t>
  </si>
  <si>
    <t>SVS</t>
  </si>
  <si>
    <t>SLB</t>
  </si>
  <si>
    <t>SHS</t>
  </si>
  <si>
    <t xml:space="preserve">Andet </t>
  </si>
  <si>
    <t xml:space="preserve">Anæstesigasser </t>
  </si>
  <si>
    <t>ml</t>
  </si>
  <si>
    <t>kg</t>
  </si>
  <si>
    <t>kg CO2-eq</t>
  </si>
  <si>
    <t>Totalt CO2-eq</t>
  </si>
  <si>
    <t>Omregning</t>
  </si>
  <si>
    <t>enhed</t>
  </si>
  <si>
    <t>*1 pakke sevofluran til friklinikken</t>
  </si>
  <si>
    <t>R407c</t>
  </si>
  <si>
    <t>R290</t>
  </si>
  <si>
    <t>R744</t>
  </si>
  <si>
    <t>R600</t>
  </si>
  <si>
    <t>R717</t>
  </si>
  <si>
    <t>Kolonne1</t>
  </si>
  <si>
    <t>https://ww2.arb.ca.gov/resources/documents/high-gwp-refrigerants</t>
  </si>
  <si>
    <t>Årstal</t>
  </si>
  <si>
    <t>Enhed</t>
  </si>
  <si>
    <t>R449a</t>
  </si>
  <si>
    <t>https://darment.eu/refrigerant/r449a-2/</t>
  </si>
  <si>
    <t>1750M</t>
  </si>
  <si>
    <t>1710M</t>
  </si>
  <si>
    <t>1704M</t>
  </si>
  <si>
    <t>Varenr</t>
  </si>
  <si>
    <t>Antal</t>
  </si>
  <si>
    <t>Kg</t>
  </si>
  <si>
    <t>Kg CO2e</t>
  </si>
  <si>
    <t>Kolding sygehus</t>
  </si>
  <si>
    <t>Svendborg sygehus</t>
  </si>
  <si>
    <t>Vejle Sygehus</t>
  </si>
  <si>
    <t>Vejle sygehus</t>
  </si>
  <si>
    <t>Sygehus Sønderjylland</t>
  </si>
  <si>
    <t>Sydvestjysk sygehus</t>
  </si>
  <si>
    <t>51051050M3Q2</t>
  </si>
  <si>
    <t>Æreskøbing sygehus</t>
  </si>
  <si>
    <t>Tønder sygehus</t>
  </si>
  <si>
    <t>Sønderborg sygehus</t>
  </si>
  <si>
    <t>kg/enhed</t>
  </si>
  <si>
    <t>L/enhed</t>
  </si>
  <si>
    <t>Odense Universitetshospital</t>
  </si>
  <si>
    <t>Kolding Sygehus</t>
  </si>
  <si>
    <t>Svendborg Sygehus</t>
  </si>
  <si>
    <t>Sydvestjysk Sygehus Esbjerg</t>
  </si>
  <si>
    <t>Sygehus</t>
  </si>
  <si>
    <t>Sum af Kg CO2e</t>
  </si>
  <si>
    <t>Sygehus Sønderjylland, Aabenraa</t>
  </si>
  <si>
    <t>kg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</si>
</sst>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0" borderId="16" xfId="0" applyBorder="1" applyAlignment="1">
      <alignment horizontal="center"/>
    </xf>
    <xf numFmtId="0" fontId="0" fillId="0" borderId="3" xfId="0" applyBorder="1"/>
    <xf numFmtId="0" fontId="0" fillId="0" borderId="18" xfId="0" applyBorder="1"/>
    <xf numFmtId="0" fontId="0" fillId="0" borderId="19" xfId="0" applyBorder="1"/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20" xfId="0" applyBorder="1" applyAlignment="1">
      <alignment horizontal="center"/>
    </xf>
    <xf numFmtId="0" fontId="0" fillId="0" borderId="2" xfId="0" applyBorder="1"/>
    <xf numFmtId="164" fontId="0" fillId="0" borderId="2" xfId="1" applyNumberFormat="1" applyFont="1" applyFill="1" applyBorder="1"/>
    <xf numFmtId="164" fontId="3" fillId="0" borderId="2" xfId="1" applyNumberFormat="1" applyFont="1" applyBorder="1"/>
    <xf numFmtId="0" fontId="4" fillId="0" borderId="15" xfId="2" applyBorder="1"/>
    <xf numFmtId="0" fontId="0" fillId="0" borderId="0" xfId="0" pivotButton="1"/>
    <xf numFmtId="0" fontId="0" fillId="2" borderId="12" xfId="0" applyFill="1" applyBorder="1"/>
    <xf numFmtId="0" fontId="0" fillId="2" borderId="13" xfId="0" applyFill="1" applyBorder="1"/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2" borderId="13" xfId="0" applyFont="1" applyFill="1" applyBorder="1"/>
    <xf numFmtId="43" fontId="0" fillId="2" borderId="1" xfId="1" applyFont="1" applyFill="1" applyBorder="1"/>
    <xf numFmtId="164" fontId="0" fillId="2" borderId="1" xfId="1" applyNumberFormat="1" applyFont="1" applyFill="1" applyBorder="1"/>
    <xf numFmtId="164" fontId="0" fillId="2" borderId="10" xfId="1" applyNumberFormat="1" applyFont="1" applyFill="1" applyBorder="1"/>
    <xf numFmtId="0" fontId="0" fillId="2" borderId="4" xfId="0" applyFill="1" applyBorder="1"/>
    <xf numFmtId="0" fontId="0" fillId="2" borderId="1" xfId="0" applyFill="1" applyBorder="1"/>
    <xf numFmtId="0" fontId="2" fillId="2" borderId="1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164" fontId="2" fillId="2" borderId="6" xfId="1" applyNumberFormat="1" applyFont="1" applyFill="1" applyBorder="1"/>
    <xf numFmtId="164" fontId="2" fillId="2" borderId="11" xfId="1" applyNumberFormat="1" applyFont="1" applyFill="1" applyBorder="1"/>
    <xf numFmtId="164" fontId="0" fillId="2" borderId="1" xfId="0" applyNumberFormat="1" applyFill="1" applyBorder="1"/>
    <xf numFmtId="164" fontId="0" fillId="2" borderId="10" xfId="0" applyNumberFormat="1" applyFill="1" applyBorder="1"/>
    <xf numFmtId="0" fontId="0" fillId="2" borderId="10" xfId="0" applyFill="1" applyBorder="1"/>
    <xf numFmtId="43" fontId="0" fillId="3" borderId="4" xfId="1" applyFont="1" applyFill="1" applyBorder="1"/>
    <xf numFmtId="164" fontId="0" fillId="3" borderId="1" xfId="1" applyNumberFormat="1" applyFont="1" applyFill="1" applyBorder="1"/>
    <xf numFmtId="165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0" fontId="0" fillId="0" borderId="21" xfId="0" applyBorder="1"/>
    <xf numFmtId="0" fontId="6" fillId="0" borderId="0" xfId="0" applyFont="1"/>
    <xf numFmtId="0" fontId="0" fillId="0" borderId="22" xfId="0" applyBorder="1"/>
    <xf numFmtId="3" fontId="0" fillId="0" borderId="0" xfId="0" applyNumberFormat="1"/>
    <xf numFmtId="164" fontId="0" fillId="0" borderId="0" xfId="0" applyNumberFormat="1"/>
    <xf numFmtId="0" fontId="0" fillId="0" borderId="0" xfId="0" quotePrefix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9AEC08D5-C9DF-42E7-9C7D-0550C4E467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a Skafte Böttcher" refreshedDate="45468.379280092595" createdVersion="6" refreshedVersion="6" minRefreshableVersion="3" recordCount="62" xr:uid="{00000000-000A-0000-FFFF-FFFF03000000}">
  <cacheSource type="worksheet">
    <worksheetSource name="Tabel4"/>
  </cacheSource>
  <cacheFields count="8">
    <cacheField name="Årstal" numFmtId="0">
      <sharedItems containsSemiMixedTypes="0" containsString="0" containsNumber="1" containsInteger="1" minValue="2020" maxValue="2023" count="4">
        <n v="2023"/>
        <n v="2020"/>
        <n v="2021"/>
        <n v="2022"/>
      </sharedItems>
    </cacheField>
    <cacheField name="Enhed" numFmtId="0">
      <sharedItems count="4">
        <s v="SLB"/>
        <s v="OUH"/>
        <s v="SVS"/>
        <s v="SHS"/>
      </sharedItems>
    </cacheField>
    <cacheField name="Sygehus" numFmtId="0">
      <sharedItems/>
    </cacheField>
    <cacheField name="Kolonne1" numFmtId="0">
      <sharedItems/>
    </cacheField>
    <cacheField name="Varenr" numFmtId="0">
      <sharedItems/>
    </cacheField>
    <cacheField name="Antal" numFmtId="0">
      <sharedItems containsSemiMixedTypes="0" containsString="0" containsNumber="1" containsInteger="1" minValue="0" maxValue="191"/>
    </cacheField>
    <cacheField name="Kg" numFmtId="0">
      <sharedItems containsSemiMixedTypes="0" containsString="0" containsNumber="1" minValue="0" maxValue="7067"/>
    </cacheField>
    <cacheField name="Kg CO2e" numFmtId="0">
      <sharedItems containsSemiMixedTypes="0" containsString="0" containsNumber="1" minValue="0" maxValue="21059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s v="Kolding sygehus"/>
    <s v="SLB"/>
    <s v="1750M"/>
    <n v="48"/>
    <n v="1776"/>
    <n v="529248"/>
  </r>
  <r>
    <x v="0"/>
    <x v="0"/>
    <s v="Kolding sygehus"/>
    <s v="SLB"/>
    <s v="51051050M3Q2"/>
    <n v="27"/>
    <n v="49.95"/>
    <n v="8618.4729000000007"/>
  </r>
  <r>
    <x v="1"/>
    <x v="0"/>
    <s v="Kolding sygehus"/>
    <s v="SLB"/>
    <s v="51051050M3Q2"/>
    <n v="22"/>
    <n v="40.700000000000003"/>
    <n v="7022.4593999999997"/>
  </r>
  <r>
    <x v="2"/>
    <x v="0"/>
    <s v="Kolding sygehus"/>
    <s v="SLB"/>
    <s v="51051050M3Q2"/>
    <n v="23"/>
    <n v="42.550000000000004"/>
    <n v="7341.6620999999996"/>
  </r>
  <r>
    <x v="3"/>
    <x v="0"/>
    <s v="Kolding sygehus"/>
    <s v="SLB"/>
    <s v="51051050M3Q2"/>
    <n v="24"/>
    <n v="44.400000000000006"/>
    <n v="7660.8648000000012"/>
  </r>
  <r>
    <x v="0"/>
    <x v="0"/>
    <s v="Kolding sygehus"/>
    <s v="SLB"/>
    <s v="1704M"/>
    <n v="31"/>
    <n v="91.76"/>
    <n v="27344.480000000003"/>
  </r>
  <r>
    <x v="0"/>
    <x v="0"/>
    <s v="Kolding sygehus"/>
    <s v="SLB"/>
    <s v="1710M"/>
    <n v="0"/>
    <n v="0"/>
    <n v="0"/>
  </r>
  <r>
    <x v="1"/>
    <x v="0"/>
    <s v="Kolding sygehus"/>
    <s v="SLB"/>
    <s v="1750M"/>
    <n v="46"/>
    <n v="1702"/>
    <n v="507196"/>
  </r>
  <r>
    <x v="1"/>
    <x v="0"/>
    <s v="Kolding sygehus"/>
    <s v="SLB"/>
    <s v="1710M"/>
    <n v="2"/>
    <n v="14.8"/>
    <n v="4410.4000000000005"/>
  </r>
  <r>
    <x v="1"/>
    <x v="0"/>
    <s v="Kolding sygehus"/>
    <s v="SLB"/>
    <s v="1704M"/>
    <n v="20"/>
    <n v="59.2"/>
    <n v="17641.600000000002"/>
  </r>
  <r>
    <x v="2"/>
    <x v="0"/>
    <s v="Kolding sygehus"/>
    <s v="SLB"/>
    <s v="1750M"/>
    <n v="45"/>
    <n v="1665"/>
    <n v="496170"/>
  </r>
  <r>
    <x v="2"/>
    <x v="0"/>
    <s v="Kolding sygehus"/>
    <s v="SLB"/>
    <s v="1704M"/>
    <n v="15"/>
    <n v="44.4"/>
    <n v="13231.199999999999"/>
  </r>
  <r>
    <x v="3"/>
    <x v="0"/>
    <s v="Kolding sygehus"/>
    <s v="SLB"/>
    <s v="1750M"/>
    <n v="44"/>
    <n v="1628"/>
    <n v="485144"/>
  </r>
  <r>
    <x v="3"/>
    <x v="0"/>
    <s v="Kolding sygehus"/>
    <s v="SLB"/>
    <s v="1704M"/>
    <n v="17"/>
    <n v="50.32"/>
    <n v="14995.36"/>
  </r>
  <r>
    <x v="0"/>
    <x v="1"/>
    <s v="Odense Universitetshospital"/>
    <s v="OUH"/>
    <s v="1750M"/>
    <n v="180"/>
    <n v="6660"/>
    <n v="1984680"/>
  </r>
  <r>
    <x v="0"/>
    <x v="1"/>
    <s v="Odense Universitetshospital"/>
    <s v="OUH"/>
    <s v="51051050M3Q2"/>
    <n v="33"/>
    <n v="61.050000000000004"/>
    <n v="10533.6891"/>
  </r>
  <r>
    <x v="1"/>
    <x v="1"/>
    <s v="Odense Universitetshospital"/>
    <s v="OUH"/>
    <s v="51051050M3Q2"/>
    <n v="35"/>
    <n v="64.75"/>
    <n v="11172.094499999999"/>
  </r>
  <r>
    <x v="2"/>
    <x v="1"/>
    <s v="Odense Universitetshospital"/>
    <s v="OUH"/>
    <s v="51051050M3Q2"/>
    <n v="16"/>
    <n v="29.6"/>
    <n v="5107.2431999999999"/>
  </r>
  <r>
    <x v="3"/>
    <x v="1"/>
    <s v="Odense Universitetshospital"/>
    <s v="OUH"/>
    <s v="51051050M3Q2"/>
    <n v="32"/>
    <n v="59.2"/>
    <n v="10214.4864"/>
  </r>
  <r>
    <x v="0"/>
    <x v="1"/>
    <s v="Odense Universitetshospital"/>
    <s v="OUH"/>
    <s v="1704M"/>
    <n v="6"/>
    <n v="17.759999999999998"/>
    <n v="5292.48"/>
  </r>
  <r>
    <x v="0"/>
    <x v="1"/>
    <s v="Odense Universitetshospital"/>
    <s v="OUH"/>
    <s v="1710M"/>
    <n v="0"/>
    <n v="0"/>
    <n v="0"/>
  </r>
  <r>
    <x v="1"/>
    <x v="1"/>
    <s v="Odense Universitetshospital"/>
    <s v="OUH"/>
    <s v="1750M"/>
    <n v="140"/>
    <n v="5180"/>
    <n v="1543640"/>
  </r>
  <r>
    <x v="2"/>
    <x v="1"/>
    <s v="Odense Universitetshospital"/>
    <s v="OUH"/>
    <s v="1750M"/>
    <n v="156"/>
    <n v="5772"/>
    <n v="1720056"/>
  </r>
  <r>
    <x v="3"/>
    <x v="1"/>
    <s v="Odense Universitetshospital"/>
    <s v="OUH"/>
    <s v="1750M"/>
    <n v="191"/>
    <n v="7067"/>
    <n v="2105966"/>
  </r>
  <r>
    <x v="3"/>
    <x v="1"/>
    <s v="Odense Universitetshospital"/>
    <s v="OUH"/>
    <s v="1710M"/>
    <n v="2"/>
    <n v="14.8"/>
    <n v="4410.4000000000005"/>
  </r>
  <r>
    <x v="3"/>
    <x v="1"/>
    <s v="Odense Universitetshospital"/>
    <s v="OUH"/>
    <s v="1704M"/>
    <n v="6"/>
    <n v="17.759999999999998"/>
    <n v="5292.48"/>
  </r>
  <r>
    <x v="0"/>
    <x v="1"/>
    <s v="Svendborg sygehus"/>
    <s v="OUH"/>
    <s v="1750M"/>
    <n v="9"/>
    <n v="333"/>
    <n v="99234"/>
  </r>
  <r>
    <x v="0"/>
    <x v="1"/>
    <s v="Svendborg sygehus"/>
    <s v="OUH"/>
    <s v="51051050M3Q2"/>
    <n v="5"/>
    <n v="9.25"/>
    <n v="1596.0134999999998"/>
  </r>
  <r>
    <x v="1"/>
    <x v="1"/>
    <s v="Svendborg sygehus"/>
    <s v="OUH"/>
    <s v="51051050M3Q2"/>
    <n v="0"/>
    <n v="0"/>
    <n v="0"/>
  </r>
  <r>
    <x v="2"/>
    <x v="1"/>
    <s v="Svendborg sygehus"/>
    <s v="OUH"/>
    <s v="51051050M3Q2"/>
    <n v="6"/>
    <n v="11.100000000000001"/>
    <n v="1915.2162000000003"/>
  </r>
  <r>
    <x v="3"/>
    <x v="1"/>
    <s v="Svendborg sygehus"/>
    <s v="OUH"/>
    <s v="51051050M3Q2"/>
    <n v="14"/>
    <n v="25.900000000000002"/>
    <n v="4468.8378000000002"/>
  </r>
  <r>
    <x v="0"/>
    <x v="1"/>
    <s v="Svendborg sygehus"/>
    <s v="OUH"/>
    <s v="1704M"/>
    <n v="24"/>
    <n v="71.039999999999992"/>
    <n v="21169.919999999998"/>
  </r>
  <r>
    <x v="1"/>
    <x v="1"/>
    <s v="Svendborg sygehus"/>
    <s v="OUH"/>
    <s v="1750M"/>
    <n v="8"/>
    <n v="296"/>
    <n v="88208"/>
  </r>
  <r>
    <x v="2"/>
    <x v="1"/>
    <s v="Svendborg sygehus"/>
    <s v="OUH"/>
    <s v="1750M"/>
    <n v="9"/>
    <n v="333"/>
    <n v="99234"/>
  </r>
  <r>
    <x v="3"/>
    <x v="1"/>
    <s v="Svendborg sygehus"/>
    <s v="OUH"/>
    <s v="1750M"/>
    <n v="8"/>
    <n v="296"/>
    <n v="88208"/>
  </r>
  <r>
    <x v="3"/>
    <x v="1"/>
    <s v="Svendborg sygehus"/>
    <s v="OUH"/>
    <s v="1704M"/>
    <n v="7"/>
    <n v="20.72"/>
    <n v="6174.5599999999995"/>
  </r>
  <r>
    <x v="0"/>
    <x v="2"/>
    <s v="Sydvestjysk sygehus"/>
    <s v="SVS"/>
    <s v="51051050M3Q2"/>
    <n v="32"/>
    <n v="59.2"/>
    <n v="10214.4864"/>
  </r>
  <r>
    <x v="1"/>
    <x v="2"/>
    <s v="Sydvestjysk sygehus"/>
    <s v="SVS"/>
    <s v="51051050M3Q2"/>
    <n v="28"/>
    <n v="51.800000000000004"/>
    <n v="8937.6756000000005"/>
  </r>
  <r>
    <x v="2"/>
    <x v="2"/>
    <s v="Sydvestjysk sygehus"/>
    <s v="SVS"/>
    <s v="51051050M3Q2"/>
    <n v="7"/>
    <n v="12.950000000000001"/>
    <n v="2234.4189000000001"/>
  </r>
  <r>
    <x v="3"/>
    <x v="2"/>
    <s v="Sydvestjysk sygehus"/>
    <s v="SVS"/>
    <s v="51051050M3Q2"/>
    <n v="14"/>
    <n v="25.900000000000002"/>
    <n v="4468.8378000000002"/>
  </r>
  <r>
    <x v="1"/>
    <x v="2"/>
    <s v="Sydvestjysk Sygehus Esbjerg"/>
    <s v="SVS"/>
    <s v="1750M"/>
    <n v="14"/>
    <n v="518"/>
    <n v="154364"/>
  </r>
  <r>
    <x v="2"/>
    <x v="2"/>
    <s v="Sydvestjysk Sygehus Esbjerg"/>
    <s v="SVS"/>
    <s v="1750M"/>
    <n v="16"/>
    <n v="592"/>
    <n v="176416"/>
  </r>
  <r>
    <x v="3"/>
    <x v="2"/>
    <s v="Sydvestjysk Sygehus Esbjerg"/>
    <s v="SVS"/>
    <s v="1750M"/>
    <n v="18"/>
    <n v="666"/>
    <n v="198468"/>
  </r>
  <r>
    <x v="0"/>
    <x v="2"/>
    <s v="Sydvestjysk Sygehus Esbjerg"/>
    <s v="SVS"/>
    <s v="1750M"/>
    <n v="22"/>
    <n v="814"/>
    <n v="242572"/>
  </r>
  <r>
    <x v="0"/>
    <x v="3"/>
    <s v="Sygehus Sønderjylland"/>
    <s v="SHS"/>
    <s v="51051050M3Q2"/>
    <n v="9"/>
    <n v="16.650000000000002"/>
    <n v="2872.8242999999998"/>
  </r>
  <r>
    <x v="1"/>
    <x v="3"/>
    <s v="Sygehus Sønderjylland"/>
    <s v="SHS"/>
    <s v="51051050M3Q2"/>
    <n v="12"/>
    <n v="22.200000000000003"/>
    <n v="3830.4324000000006"/>
  </r>
  <r>
    <x v="0"/>
    <x v="3"/>
    <s v="Sygehus Sønderjylland"/>
    <s v="SHS"/>
    <s v="1704M"/>
    <n v="0"/>
    <n v="0"/>
    <n v="0"/>
  </r>
  <r>
    <x v="2"/>
    <x v="3"/>
    <s v="Sygehus Sønderjylland"/>
    <s v="SHS"/>
    <s v="51051050M3Q2"/>
    <n v="6"/>
    <n v="11.100000000000001"/>
    <n v="1915.2162000000003"/>
  </r>
  <r>
    <x v="3"/>
    <x v="3"/>
    <s v="Sygehus Sønderjylland, Aabenraa"/>
    <s v="SHS"/>
    <s v="51051050M3Q2"/>
    <n v="12"/>
    <n v="22.200000000000003"/>
    <n v="3830.4324000000006"/>
  </r>
  <r>
    <x v="0"/>
    <x v="3"/>
    <s v="Sønderborg sygehus"/>
    <s v="SHS"/>
    <s v="1710M"/>
    <n v="0"/>
    <n v="0"/>
    <n v="0"/>
  </r>
  <r>
    <x v="0"/>
    <x v="3"/>
    <s v="Tønder sygehus"/>
    <s v="SHS"/>
    <s v="1710M"/>
    <n v="0"/>
    <n v="0"/>
    <n v="0"/>
  </r>
  <r>
    <x v="0"/>
    <x v="0"/>
    <s v="Vejle Sygehus"/>
    <s v="SLB"/>
    <s v="1750M"/>
    <n v="4"/>
    <n v="148"/>
    <n v="44104"/>
  </r>
  <r>
    <x v="0"/>
    <x v="0"/>
    <s v="Vejle Sygehus"/>
    <s v="SLB"/>
    <s v="51051050M3Q2"/>
    <n v="3"/>
    <n v="5.5500000000000007"/>
    <n v="957.60810000000015"/>
  </r>
  <r>
    <x v="1"/>
    <x v="0"/>
    <s v="Vejle Sygehus"/>
    <s v="SLB"/>
    <s v="51051050M3Q2"/>
    <n v="4"/>
    <n v="7.4"/>
    <n v="1276.8108"/>
  </r>
  <r>
    <x v="2"/>
    <x v="0"/>
    <s v="Vejle Sygehus"/>
    <s v="SLB"/>
    <s v="51051050M3Q2"/>
    <n v="7"/>
    <n v="12.950000000000001"/>
    <n v="2234.4189000000001"/>
  </r>
  <r>
    <x v="3"/>
    <x v="0"/>
    <s v="Vejle Sygehus"/>
    <s v="SLB"/>
    <s v="51051050M3Q2"/>
    <n v="4"/>
    <n v="7.4"/>
    <n v="1276.8108"/>
  </r>
  <r>
    <x v="0"/>
    <x v="0"/>
    <s v="Vejle Sygehus"/>
    <s v="SLB"/>
    <s v="1704M"/>
    <n v="9"/>
    <n v="26.64"/>
    <n v="7938.72"/>
  </r>
  <r>
    <x v="1"/>
    <x v="0"/>
    <s v="Vejle Sygehus"/>
    <s v="SLB"/>
    <s v="1750M"/>
    <n v="3"/>
    <n v="111"/>
    <n v="33078"/>
  </r>
  <r>
    <x v="1"/>
    <x v="0"/>
    <s v="Vejle Sygehus"/>
    <s v="SLB"/>
    <s v="1704M"/>
    <n v="1"/>
    <n v="2.96"/>
    <n v="882.08"/>
  </r>
  <r>
    <x v="2"/>
    <x v="0"/>
    <s v="Vejle Sygehus"/>
    <s v="SLB"/>
    <s v="1750M"/>
    <n v="3"/>
    <n v="111"/>
    <n v="33078"/>
  </r>
  <r>
    <x v="3"/>
    <x v="0"/>
    <s v="Vejle Sygehus"/>
    <s v="SLB"/>
    <s v="1750M"/>
    <n v="4"/>
    <n v="148"/>
    <n v="44104"/>
  </r>
  <r>
    <x v="0"/>
    <x v="1"/>
    <s v="Æreskøbing sygehus"/>
    <s v="OUH"/>
    <s v="1710M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2" cacheId="0" applyNumberFormats="0" applyBorderFormats="0" applyFontFormats="0" applyPatternFormats="0" applyAlignmentFormats="0" applyWidthHeightFormats="1" dataCaption="Værdier" updatedVersion="6" minRefreshableVersion="3" useAutoFormatting="1" rowGrandTotals="0" colGrandTotals="0" itemPrintTitles="1" createdVersion="6" indent="0" compact="0" compactData="0" multipleFieldFilters="0">
  <location ref="K4:O9" firstHeaderRow="1" firstDataRow="2" firstDataCol="1"/>
  <pivotFields count="8">
    <pivotField axis="axisCol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af Kg CO2e" fld="7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4" displayName="Tabel4" ref="A1:H63" totalsRowShown="0" dataDxfId="13">
  <autoFilter ref="A1:H63" xr:uid="{00000000-0009-0000-0100-000004000000}"/>
  <sortState xmlns:xlrd2="http://schemas.microsoft.com/office/spreadsheetml/2017/richdata2" ref="A2:H63">
    <sortCondition ref="C1:C63"/>
  </sortState>
  <tableColumns count="8">
    <tableColumn id="6" xr3:uid="{00000000-0010-0000-0000-000006000000}" name="Årstal"/>
    <tableColumn id="7" xr3:uid="{00000000-0010-0000-0000-000007000000}" name="Enhed"/>
    <tableColumn id="1" xr3:uid="{00000000-0010-0000-0000-000001000000}" name="Sygehus"/>
    <tableColumn id="8" xr3:uid="{00000000-0010-0000-0000-000008000000}" name="Kolonne1"/>
    <tableColumn id="2" xr3:uid="{00000000-0010-0000-0000-000002000000}" name="Varenr" dataDxfId="12"/>
    <tableColumn id="3" xr3:uid="{00000000-0010-0000-0000-000003000000}" name="Antal" dataDxfId="11"/>
    <tableColumn id="4" xr3:uid="{00000000-0010-0000-0000-000004000000}" name="Kg" dataDxfId="10">
      <calculatedColumnFormula>VLOOKUP(Tabel4[[#This Row],[Varenr]],Tabel5[],2,FALSE)*Tabel4[[#This Row],[Antal]]</calculatedColumnFormula>
    </tableColumn>
    <tableColumn id="5" xr3:uid="{00000000-0010-0000-0000-000005000000}" name="Kg CO2e" dataDxfId="9">
      <calculatedColumnFormula>IF(Tabel4[[#This Row],[Varenr]]="51051050M3Q2",Tabel4[[#This Row],[Kg]]*0.579*Bagrundsdata!$D$6,Tabel4[[#This Row],[Kg]]*Bagrundsdata!$D$6)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2" displayName="Tabel2" ref="A2:E16" totalsRowShown="0" headerRowDxfId="8" headerRowBorderDxfId="7" tableBorderDxfId="6" totalsRowBorderDxfId="5">
  <autoFilter ref="A2:E16" xr:uid="{00000000-0009-0000-0100-000002000000}"/>
  <tableColumns count="5">
    <tableColumn id="1" xr3:uid="{00000000-0010-0000-0100-000001000000}" name="Kolonne1" dataDxfId="4"/>
    <tableColumn id="2" xr3:uid="{00000000-0010-0000-0100-000002000000}" name="Omregning" dataDxfId="3"/>
    <tableColumn id="3" xr3:uid="{00000000-0010-0000-0100-000003000000}" name="enhed" dataDxfId="2"/>
    <tableColumn id="4" xr3:uid="{00000000-0010-0000-0100-000004000000}" name="kg CO2-eg/kg" dataDxfId="1"/>
    <tableColumn id="5" xr3:uid="{00000000-0010-0000-0100-000005000000}" name="Kilde 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5" displayName="Tabel5" ref="A21:C25" totalsRowShown="0">
  <autoFilter ref="A21:C25" xr:uid="{00000000-0009-0000-0100-000005000000}"/>
  <tableColumns count="3">
    <tableColumn id="1" xr3:uid="{00000000-0010-0000-0200-000001000000}" name="Lattergas"/>
    <tableColumn id="2" xr3:uid="{00000000-0010-0000-0200-000002000000}" name="kg/enhed"/>
    <tableColumn id="3" xr3:uid="{00000000-0010-0000-0200-000003000000}" name="L/enh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2.arb.ca.gov/resources/documents/high-gwp-refrigerants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topLeftCell="D1" workbookViewId="0">
      <selection activeCell="L21" sqref="L21"/>
    </sheetView>
  </sheetViews>
  <sheetFormatPr defaultRowHeight="15" x14ac:dyDescent="0.25"/>
  <cols>
    <col min="1" max="1" width="13.28515625" bestFit="1" customWidth="1"/>
    <col min="2" max="2" width="21.42578125" bestFit="1" customWidth="1"/>
    <col min="3" max="3" width="23.85546875" bestFit="1" customWidth="1"/>
    <col min="4" max="4" width="23.85546875" customWidth="1"/>
    <col min="5" max="5" width="14.28515625" bestFit="1" customWidth="1"/>
    <col min="6" max="6" width="10.5703125" bestFit="1" customWidth="1"/>
    <col min="7" max="7" width="10.42578125" customWidth="1"/>
    <col min="8" max="8" width="9.5703125" bestFit="1" customWidth="1"/>
    <col min="9" max="9" width="13.28515625" bestFit="1" customWidth="1"/>
    <col min="11" max="11" width="14.85546875" customWidth="1"/>
    <col min="12" max="13" width="9.140625" customWidth="1"/>
    <col min="14" max="15" width="9.140625" bestFit="1" customWidth="1"/>
    <col min="16" max="16" width="10.85546875" customWidth="1"/>
  </cols>
  <sheetData>
    <row r="1" spans="1:17" x14ac:dyDescent="0.25">
      <c r="A1" t="s">
        <v>33</v>
      </c>
      <c r="B1" t="s">
        <v>34</v>
      </c>
      <c r="C1" t="s">
        <v>60</v>
      </c>
      <c r="D1" t="s">
        <v>31</v>
      </c>
      <c r="E1" t="s">
        <v>40</v>
      </c>
      <c r="F1" t="s">
        <v>41</v>
      </c>
      <c r="G1" t="s">
        <v>42</v>
      </c>
      <c r="H1" t="s">
        <v>43</v>
      </c>
    </row>
    <row r="2" spans="1:17" x14ac:dyDescent="0.25">
      <c r="A2">
        <v>2023</v>
      </c>
      <c r="B2" t="s">
        <v>15</v>
      </c>
      <c r="C2" t="s">
        <v>44</v>
      </c>
      <c r="D2" t="s">
        <v>15</v>
      </c>
      <c r="E2" t="s">
        <v>37</v>
      </c>
      <c r="F2">
        <v>48</v>
      </c>
      <c r="G2">
        <f>VLOOKUP(Tabel4[[#This Row],[Varenr]],Tabel5[],2,FALSE)*Tabel4[[#This Row],[Antal]]</f>
        <v>1776</v>
      </c>
      <c r="H2">
        <f>IF(Tabel4[[#This Row],[Varenr]]="51051050M3Q2",Tabel4[[#This Row],[Kg]]*0.579*Bagrundsdata!$D$6,Tabel4[[#This Row],[Kg]]*Bagrundsdata!$D$6)</f>
        <v>529248</v>
      </c>
    </row>
    <row r="3" spans="1:17" x14ac:dyDescent="0.25">
      <c r="A3">
        <v>2023</v>
      </c>
      <c r="B3" t="s">
        <v>15</v>
      </c>
      <c r="C3" t="s">
        <v>44</v>
      </c>
      <c r="D3" t="s">
        <v>15</v>
      </c>
      <c r="E3" t="s">
        <v>50</v>
      </c>
      <c r="F3">
        <v>27</v>
      </c>
      <c r="G3">
        <f>VLOOKUP(Tabel4[[#This Row],[Varenr]],Tabel5[],2,FALSE)*Tabel4[[#This Row],[Antal]]</f>
        <v>49.95</v>
      </c>
      <c r="H3">
        <f>IF(Tabel4[[#This Row],[Varenr]]="51051050M3Q2",Tabel4[[#This Row],[Kg]]*0.579*Bagrundsdata!$D$6,Tabel4[[#This Row],[Kg]]*Bagrundsdata!$D$6)</f>
        <v>8618.4729000000007</v>
      </c>
    </row>
    <row r="4" spans="1:17" x14ac:dyDescent="0.25">
      <c r="A4">
        <v>2020</v>
      </c>
      <c r="B4" t="s">
        <v>15</v>
      </c>
      <c r="C4" t="s">
        <v>44</v>
      </c>
      <c r="D4" t="s">
        <v>15</v>
      </c>
      <c r="E4" t="s">
        <v>50</v>
      </c>
      <c r="F4">
        <v>22</v>
      </c>
      <c r="G4">
        <f>VLOOKUP(Tabel4[[#This Row],[Varenr]],Tabel5[],2,FALSE)*Tabel4[[#This Row],[Antal]]</f>
        <v>40.700000000000003</v>
      </c>
      <c r="H4">
        <f>IF(Tabel4[[#This Row],[Varenr]]="51051050M3Q2",Tabel4[[#This Row],[Kg]]*0.579*Bagrundsdata!$D$6,Tabel4[[#This Row],[Kg]]*Bagrundsdata!$D$6)</f>
        <v>7022.4593999999997</v>
      </c>
      <c r="K4" s="15" t="s">
        <v>61</v>
      </c>
      <c r="L4" s="15" t="s">
        <v>33</v>
      </c>
    </row>
    <row r="5" spans="1:17" x14ac:dyDescent="0.25">
      <c r="A5">
        <v>2021</v>
      </c>
      <c r="B5" t="s">
        <v>15</v>
      </c>
      <c r="C5" t="s">
        <v>44</v>
      </c>
      <c r="D5" t="s">
        <v>15</v>
      </c>
      <c r="E5" t="s">
        <v>50</v>
      </c>
      <c r="F5">
        <v>23</v>
      </c>
      <c r="G5">
        <f>VLOOKUP(Tabel4[[#This Row],[Varenr]],Tabel5[],2,FALSE)*Tabel4[[#This Row],[Antal]]</f>
        <v>42.550000000000004</v>
      </c>
      <c r="H5">
        <f>IF(Tabel4[[#This Row],[Varenr]]="51051050M3Q2",Tabel4[[#This Row],[Kg]]*0.579*Bagrundsdata!$D$6,Tabel4[[#This Row],[Kg]]*Bagrundsdata!$D$6)</f>
        <v>7341.6620999999996</v>
      </c>
      <c r="K5" s="15" t="s">
        <v>34</v>
      </c>
      <c r="L5">
        <v>2020</v>
      </c>
      <c r="M5">
        <v>2021</v>
      </c>
      <c r="N5">
        <v>2022</v>
      </c>
      <c r="O5">
        <v>2023</v>
      </c>
    </row>
    <row r="6" spans="1:17" x14ac:dyDescent="0.25">
      <c r="A6">
        <v>2022</v>
      </c>
      <c r="B6" t="s">
        <v>15</v>
      </c>
      <c r="C6" t="s">
        <v>44</v>
      </c>
      <c r="D6" t="s">
        <v>15</v>
      </c>
      <c r="E6" t="s">
        <v>50</v>
      </c>
      <c r="F6">
        <v>24</v>
      </c>
      <c r="G6">
        <f>VLOOKUP(Tabel4[[#This Row],[Varenr]],Tabel5[],2,FALSE)*Tabel4[[#This Row],[Antal]]</f>
        <v>44.400000000000006</v>
      </c>
      <c r="H6">
        <f>IF(Tabel4[[#This Row],[Varenr]]="51051050M3Q2",Tabel4[[#This Row],[Kg]]*0.579*Bagrundsdata!$D$6,Tabel4[[#This Row],[Kg]]*Bagrundsdata!$D$6)</f>
        <v>7660.8648000000012</v>
      </c>
      <c r="K6" t="s">
        <v>13</v>
      </c>
      <c r="L6" s="43">
        <v>1643020.0944999999</v>
      </c>
      <c r="M6" s="43">
        <v>1826312.4593999998</v>
      </c>
      <c r="N6" s="43">
        <v>2224734.7641999996</v>
      </c>
      <c r="O6" s="43">
        <v>2122506.1025999999</v>
      </c>
      <c r="P6" s="43"/>
    </row>
    <row r="7" spans="1:17" x14ac:dyDescent="0.25">
      <c r="A7">
        <v>2023</v>
      </c>
      <c r="B7" t="s">
        <v>15</v>
      </c>
      <c r="C7" t="s">
        <v>44</v>
      </c>
      <c r="D7" t="s">
        <v>15</v>
      </c>
      <c r="E7" t="s">
        <v>39</v>
      </c>
      <c r="F7">
        <v>31</v>
      </c>
      <c r="G7">
        <f>VLOOKUP(Tabel4[[#This Row],[Varenr]],Tabel5[],2,FALSE)*Tabel4[[#This Row],[Antal]]</f>
        <v>91.76</v>
      </c>
      <c r="H7">
        <f>IF(Tabel4[[#This Row],[Varenr]]="51051050M3Q2",Tabel4[[#This Row],[Kg]]*0.579*Bagrundsdata!$D$6,Tabel4[[#This Row],[Kg]]*Bagrundsdata!$D$6)</f>
        <v>27344.480000000003</v>
      </c>
      <c r="K7" t="s">
        <v>16</v>
      </c>
      <c r="L7" s="43">
        <v>3830.4324000000006</v>
      </c>
      <c r="M7" s="43">
        <v>1915.2162000000003</v>
      </c>
      <c r="N7" s="43">
        <v>3830.4324000000006</v>
      </c>
      <c r="O7" s="43">
        <v>2872.8242999999998</v>
      </c>
      <c r="P7" s="43"/>
      <c r="Q7" s="43"/>
    </row>
    <row r="8" spans="1:17" x14ac:dyDescent="0.25">
      <c r="A8">
        <v>2023</v>
      </c>
      <c r="B8" t="s">
        <v>15</v>
      </c>
      <c r="C8" t="s">
        <v>44</v>
      </c>
      <c r="D8" t="s">
        <v>15</v>
      </c>
      <c r="E8" t="s">
        <v>38</v>
      </c>
      <c r="F8">
        <v>0</v>
      </c>
      <c r="G8">
        <f>VLOOKUP(Tabel4[[#This Row],[Varenr]],Tabel5[],2,FALSE)*Tabel4[[#This Row],[Antal]]</f>
        <v>0</v>
      </c>
      <c r="H8">
        <f>IF(Tabel4[[#This Row],[Varenr]]="51051050M3Q2",Tabel4[[#This Row],[Kg]]*0.579*Bagrundsdata!$D$6,Tabel4[[#This Row],[Kg]]*Bagrundsdata!$D$6)</f>
        <v>0</v>
      </c>
      <c r="K8" t="s">
        <v>15</v>
      </c>
      <c r="L8" s="43">
        <v>571507.35019999999</v>
      </c>
      <c r="M8" s="43">
        <v>552055.28099999996</v>
      </c>
      <c r="N8" s="43">
        <v>553181.03559999994</v>
      </c>
      <c r="O8" s="43">
        <v>618211.28099999996</v>
      </c>
      <c r="P8" s="43"/>
    </row>
    <row r="9" spans="1:17" x14ac:dyDescent="0.25">
      <c r="A9">
        <v>2020</v>
      </c>
      <c r="B9" t="s">
        <v>15</v>
      </c>
      <c r="C9" t="s">
        <v>57</v>
      </c>
      <c r="D9" t="s">
        <v>15</v>
      </c>
      <c r="E9" t="s">
        <v>37</v>
      </c>
      <c r="F9">
        <v>46</v>
      </c>
      <c r="G9">
        <f>VLOOKUP(Tabel4[[#This Row],[Varenr]],Tabel5[],2,FALSE)*Tabel4[[#This Row],[Antal]]</f>
        <v>1702</v>
      </c>
      <c r="H9">
        <f>IF(Tabel4[[#This Row],[Varenr]]="51051050M3Q2",Tabel4[[#This Row],[Kg]]*0.579*Bagrundsdata!$D$6,Tabel4[[#This Row],[Kg]]*Bagrundsdata!$D$6)</f>
        <v>507196</v>
      </c>
      <c r="K9" t="s">
        <v>14</v>
      </c>
      <c r="L9" s="43">
        <v>163301.67559999999</v>
      </c>
      <c r="M9" s="43">
        <v>178650.41889999999</v>
      </c>
      <c r="N9" s="43">
        <v>202936.83780000001</v>
      </c>
      <c r="O9" s="43">
        <v>252786.48639999999</v>
      </c>
      <c r="P9" s="43"/>
      <c r="Q9" s="43"/>
    </row>
    <row r="10" spans="1:17" x14ac:dyDescent="0.25">
      <c r="A10">
        <v>2020</v>
      </c>
      <c r="B10" t="s">
        <v>15</v>
      </c>
      <c r="C10" t="s">
        <v>57</v>
      </c>
      <c r="D10" t="s">
        <v>15</v>
      </c>
      <c r="E10" t="s">
        <v>38</v>
      </c>
      <c r="F10">
        <v>2</v>
      </c>
      <c r="G10">
        <f>VLOOKUP(Tabel4[[#This Row],[Varenr]],Tabel5[],2,FALSE)*Tabel4[[#This Row],[Antal]]</f>
        <v>14.8</v>
      </c>
      <c r="H10">
        <f>IF(Tabel4[[#This Row],[Varenr]]="51051050M3Q2",Tabel4[[#This Row],[Kg]]*0.579*Bagrundsdata!$D$6,Tabel4[[#This Row],[Kg]]*Bagrundsdata!$D$6)</f>
        <v>4410.4000000000005</v>
      </c>
      <c r="N10" s="43"/>
      <c r="P10" s="43"/>
    </row>
    <row r="11" spans="1:17" x14ac:dyDescent="0.25">
      <c r="A11">
        <v>2020</v>
      </c>
      <c r="B11" t="s">
        <v>15</v>
      </c>
      <c r="C11" t="s">
        <v>57</v>
      </c>
      <c r="D11" t="s">
        <v>15</v>
      </c>
      <c r="E11" s="46" t="s">
        <v>39</v>
      </c>
      <c r="F11">
        <v>20</v>
      </c>
      <c r="G11">
        <f>VLOOKUP(Tabel4[[#This Row],[Varenr]],Tabel5[],2,FALSE)*Tabel4[[#This Row],[Antal]]</f>
        <v>59.2</v>
      </c>
      <c r="H11">
        <f>IF(Tabel4[[#This Row],[Varenr]]="51051050M3Q2",Tabel4[[#This Row],[Kg]]*0.579*Bagrundsdata!$D$6,Tabel4[[#This Row],[Kg]]*Bagrundsdata!$D$6)</f>
        <v>17641.600000000002</v>
      </c>
      <c r="N11" s="43"/>
      <c r="P11" s="43"/>
      <c r="Q11" s="43"/>
    </row>
    <row r="12" spans="1:17" x14ac:dyDescent="0.25">
      <c r="A12">
        <v>2021</v>
      </c>
      <c r="B12" t="s">
        <v>15</v>
      </c>
      <c r="C12" t="s">
        <v>57</v>
      </c>
      <c r="D12" t="s">
        <v>15</v>
      </c>
      <c r="E12" t="s">
        <v>37</v>
      </c>
      <c r="F12">
        <v>45</v>
      </c>
      <c r="G12">
        <f>VLOOKUP(Tabel4[[#This Row],[Varenr]],Tabel5[],2,FALSE)*Tabel4[[#This Row],[Antal]]</f>
        <v>1665</v>
      </c>
      <c r="H12">
        <f>IF(Tabel4[[#This Row],[Varenr]]="51051050M3Q2",Tabel4[[#This Row],[Kg]]*0.579*Bagrundsdata!$D$6,Tabel4[[#This Row],[Kg]]*Bagrundsdata!$D$6)</f>
        <v>496170</v>
      </c>
      <c r="N12" s="43"/>
      <c r="P12" s="43"/>
    </row>
    <row r="13" spans="1:17" x14ac:dyDescent="0.25">
      <c r="A13">
        <v>2021</v>
      </c>
      <c r="B13" t="s">
        <v>15</v>
      </c>
      <c r="C13" t="s">
        <v>57</v>
      </c>
      <c r="D13" t="s">
        <v>15</v>
      </c>
      <c r="E13" t="s">
        <v>39</v>
      </c>
      <c r="F13">
        <v>15</v>
      </c>
      <c r="G13">
        <f>VLOOKUP(Tabel4[[#This Row],[Varenr]],Tabel5[],2,FALSE)*Tabel4[[#This Row],[Antal]]</f>
        <v>44.4</v>
      </c>
      <c r="H13">
        <f>IF(Tabel4[[#This Row],[Varenr]]="51051050M3Q2",Tabel4[[#This Row],[Kg]]*0.579*Bagrundsdata!$D$6,Tabel4[[#This Row],[Kg]]*Bagrundsdata!$D$6)</f>
        <v>13231.199999999999</v>
      </c>
      <c r="N13" s="43"/>
      <c r="P13" s="43"/>
    </row>
    <row r="14" spans="1:17" x14ac:dyDescent="0.25">
      <c r="A14">
        <v>2022</v>
      </c>
      <c r="B14" t="s">
        <v>15</v>
      </c>
      <c r="C14" t="s">
        <v>57</v>
      </c>
      <c r="D14" t="s">
        <v>15</v>
      </c>
      <c r="E14" t="s">
        <v>37</v>
      </c>
      <c r="F14" s="47">
        <v>44</v>
      </c>
      <c r="G14">
        <f>VLOOKUP(Tabel4[[#This Row],[Varenr]],Tabel5[],2,FALSE)*Tabel4[[#This Row],[Antal]]</f>
        <v>1628</v>
      </c>
      <c r="H14">
        <f>IF(Tabel4[[#This Row],[Varenr]]="51051050M3Q2",Tabel4[[#This Row],[Kg]]*0.579*Bagrundsdata!$D$6,Tabel4[[#This Row],[Kg]]*Bagrundsdata!$D$6)</f>
        <v>485144</v>
      </c>
      <c r="N14" s="43"/>
      <c r="P14" s="43"/>
    </row>
    <row r="15" spans="1:17" x14ac:dyDescent="0.25">
      <c r="A15">
        <v>2022</v>
      </c>
      <c r="B15" t="s">
        <v>15</v>
      </c>
      <c r="C15" t="s">
        <v>57</v>
      </c>
      <c r="D15" t="s">
        <v>15</v>
      </c>
      <c r="E15" t="s">
        <v>39</v>
      </c>
      <c r="F15" s="47">
        <v>17</v>
      </c>
      <c r="G15">
        <f>VLOOKUP(Tabel4[[#This Row],[Varenr]],Tabel5[],2,FALSE)*Tabel4[[#This Row],[Antal]]</f>
        <v>50.32</v>
      </c>
      <c r="H15">
        <f>IF(Tabel4[[#This Row],[Varenr]]="51051050M3Q2",Tabel4[[#This Row],[Kg]]*0.579*Bagrundsdata!$D$6,Tabel4[[#This Row],[Kg]]*Bagrundsdata!$D$6)</f>
        <v>14995.36</v>
      </c>
      <c r="N15" s="43"/>
      <c r="P15" s="43"/>
    </row>
    <row r="16" spans="1:17" x14ac:dyDescent="0.25">
      <c r="A16">
        <v>2023</v>
      </c>
      <c r="B16" t="s">
        <v>13</v>
      </c>
      <c r="C16" t="s">
        <v>56</v>
      </c>
      <c r="D16" t="s">
        <v>13</v>
      </c>
      <c r="E16" t="s">
        <v>37</v>
      </c>
      <c r="F16">
        <v>180</v>
      </c>
      <c r="G16">
        <f>VLOOKUP(Tabel4[[#This Row],[Varenr]],Tabel5[],2,FALSE)*Tabel4[[#This Row],[Antal]]</f>
        <v>6660</v>
      </c>
      <c r="H16">
        <f>IF(Tabel4[[#This Row],[Varenr]]="51051050M3Q2",Tabel4[[#This Row],[Kg]]*0.579*Bagrundsdata!$D$6,Tabel4[[#This Row],[Kg]]*Bagrundsdata!$D$6)</f>
        <v>1984680</v>
      </c>
      <c r="N16" s="43"/>
      <c r="P16" s="43"/>
    </row>
    <row r="17" spans="1:14" x14ac:dyDescent="0.25">
      <c r="A17">
        <v>2023</v>
      </c>
      <c r="B17" t="s">
        <v>13</v>
      </c>
      <c r="C17" t="s">
        <v>56</v>
      </c>
      <c r="D17" t="s">
        <v>13</v>
      </c>
      <c r="E17" t="s">
        <v>50</v>
      </c>
      <c r="F17">
        <v>33</v>
      </c>
      <c r="G17">
        <f>VLOOKUP(Tabel4[[#This Row],[Varenr]],Tabel5[],2,FALSE)*Tabel4[[#This Row],[Antal]]</f>
        <v>61.050000000000004</v>
      </c>
      <c r="H17">
        <f>IF(Tabel4[[#This Row],[Varenr]]="51051050M3Q2",Tabel4[[#This Row],[Kg]]*0.579*Bagrundsdata!$D$6,Tabel4[[#This Row],[Kg]]*Bagrundsdata!$D$6)</f>
        <v>10533.6891</v>
      </c>
      <c r="N17" s="43"/>
    </row>
    <row r="18" spans="1:14" x14ac:dyDescent="0.25">
      <c r="A18">
        <v>2020</v>
      </c>
      <c r="B18" t="s">
        <v>13</v>
      </c>
      <c r="C18" t="s">
        <v>56</v>
      </c>
      <c r="D18" t="s">
        <v>13</v>
      </c>
      <c r="E18" t="s">
        <v>50</v>
      </c>
      <c r="F18">
        <v>35</v>
      </c>
      <c r="G18">
        <f>VLOOKUP(Tabel4[[#This Row],[Varenr]],Tabel5[],2,FALSE)*Tabel4[[#This Row],[Antal]]</f>
        <v>64.75</v>
      </c>
      <c r="H18">
        <f>IF(Tabel4[[#This Row],[Varenr]]="51051050M3Q2",Tabel4[[#This Row],[Kg]]*0.579*Bagrundsdata!$D$6,Tabel4[[#This Row],[Kg]]*Bagrundsdata!$D$6)</f>
        <v>11172.094499999999</v>
      </c>
      <c r="N18" s="43"/>
    </row>
    <row r="19" spans="1:14" x14ac:dyDescent="0.25">
      <c r="A19">
        <v>2021</v>
      </c>
      <c r="B19" t="s">
        <v>13</v>
      </c>
      <c r="C19" t="s">
        <v>56</v>
      </c>
      <c r="D19" t="s">
        <v>13</v>
      </c>
      <c r="E19" t="s">
        <v>50</v>
      </c>
      <c r="F19">
        <v>16</v>
      </c>
      <c r="G19">
        <f>VLOOKUP(Tabel4[[#This Row],[Varenr]],Tabel5[],2,FALSE)*Tabel4[[#This Row],[Antal]]</f>
        <v>29.6</v>
      </c>
      <c r="H19">
        <f>IF(Tabel4[[#This Row],[Varenr]]="51051050M3Q2",Tabel4[[#This Row],[Kg]]*0.579*Bagrundsdata!$D$6,Tabel4[[#This Row],[Kg]]*Bagrundsdata!$D$6)</f>
        <v>5107.2431999999999</v>
      </c>
      <c r="N19" s="43"/>
    </row>
    <row r="20" spans="1:14" x14ac:dyDescent="0.25">
      <c r="A20">
        <v>2022</v>
      </c>
      <c r="B20" t="s">
        <v>13</v>
      </c>
      <c r="C20" t="s">
        <v>56</v>
      </c>
      <c r="D20" t="s">
        <v>13</v>
      </c>
      <c r="E20" t="s">
        <v>50</v>
      </c>
      <c r="F20">
        <v>32</v>
      </c>
      <c r="G20">
        <f>VLOOKUP(Tabel4[[#This Row],[Varenr]],Tabel5[],2,FALSE)*Tabel4[[#This Row],[Antal]]</f>
        <v>59.2</v>
      </c>
      <c r="H20">
        <f>IF(Tabel4[[#This Row],[Varenr]]="51051050M3Q2",Tabel4[[#This Row],[Kg]]*0.579*Bagrundsdata!$D$6,Tabel4[[#This Row],[Kg]]*Bagrundsdata!$D$6)</f>
        <v>10214.4864</v>
      </c>
      <c r="N20" s="43"/>
    </row>
    <row r="21" spans="1:14" x14ac:dyDescent="0.25">
      <c r="A21">
        <v>2023</v>
      </c>
      <c r="B21" t="s">
        <v>13</v>
      </c>
      <c r="C21" t="s">
        <v>56</v>
      </c>
      <c r="D21" t="s">
        <v>13</v>
      </c>
      <c r="E21" t="s">
        <v>39</v>
      </c>
      <c r="F21">
        <v>6</v>
      </c>
      <c r="G21">
        <f>VLOOKUP(Tabel4[[#This Row],[Varenr]],Tabel5[],2,FALSE)*Tabel4[[#This Row],[Antal]]</f>
        <v>17.759999999999998</v>
      </c>
      <c r="H21">
        <f>IF(Tabel4[[#This Row],[Varenr]]="51051050M3Q2",Tabel4[[#This Row],[Kg]]*0.579*Bagrundsdata!$D$6,Tabel4[[#This Row],[Kg]]*Bagrundsdata!$D$6)</f>
        <v>5292.48</v>
      </c>
    </row>
    <row r="22" spans="1:14" x14ac:dyDescent="0.25">
      <c r="A22">
        <v>2023</v>
      </c>
      <c r="B22" t="s">
        <v>13</v>
      </c>
      <c r="C22" t="s">
        <v>56</v>
      </c>
      <c r="D22" t="s">
        <v>13</v>
      </c>
      <c r="E22" t="s">
        <v>38</v>
      </c>
      <c r="F22">
        <v>0</v>
      </c>
      <c r="G22">
        <f>VLOOKUP(Tabel4[[#This Row],[Varenr]],Tabel5[],2,FALSE)*Tabel4[[#This Row],[Antal]]</f>
        <v>0</v>
      </c>
      <c r="H22">
        <f>IF(Tabel4[[#This Row],[Varenr]]="51051050M3Q2",Tabel4[[#This Row],[Kg]]*0.579*Bagrundsdata!$D$6,Tabel4[[#This Row],[Kg]]*Bagrundsdata!$D$6)</f>
        <v>0</v>
      </c>
      <c r="M22" s="43"/>
      <c r="N22" s="43"/>
    </row>
    <row r="23" spans="1:14" x14ac:dyDescent="0.25">
      <c r="A23">
        <v>2020</v>
      </c>
      <c r="B23" t="s">
        <v>13</v>
      </c>
      <c r="C23" t="s">
        <v>56</v>
      </c>
      <c r="D23" t="s">
        <v>13</v>
      </c>
      <c r="E23" t="s">
        <v>37</v>
      </c>
      <c r="F23">
        <v>140</v>
      </c>
      <c r="G23">
        <f>VLOOKUP(Tabel4[[#This Row],[Varenr]],Tabel5[],2,FALSE)*Tabel4[[#This Row],[Antal]]</f>
        <v>5180</v>
      </c>
      <c r="H23">
        <f>IF(Tabel4[[#This Row],[Varenr]]="51051050M3Q2",Tabel4[[#This Row],[Kg]]*0.579*Bagrundsdata!$D$6,Tabel4[[#This Row],[Kg]]*Bagrundsdata!$D$6)</f>
        <v>1543640</v>
      </c>
      <c r="M23" s="43"/>
      <c r="N23" s="43"/>
    </row>
    <row r="24" spans="1:14" x14ac:dyDescent="0.25">
      <c r="A24">
        <v>2021</v>
      </c>
      <c r="B24" t="s">
        <v>13</v>
      </c>
      <c r="C24" t="s">
        <v>56</v>
      </c>
      <c r="D24" t="s">
        <v>13</v>
      </c>
      <c r="E24" t="s">
        <v>37</v>
      </c>
      <c r="F24">
        <v>156</v>
      </c>
      <c r="G24">
        <f>VLOOKUP(Tabel4[[#This Row],[Varenr]],Tabel5[],2,FALSE)*Tabel4[[#This Row],[Antal]]</f>
        <v>5772</v>
      </c>
      <c r="H24">
        <f>IF(Tabel4[[#This Row],[Varenr]]="51051050M3Q2",Tabel4[[#This Row],[Kg]]*0.579*Bagrundsdata!$D$6,Tabel4[[#This Row],[Kg]]*Bagrundsdata!$D$6)</f>
        <v>1720056</v>
      </c>
      <c r="N24" s="43"/>
    </row>
    <row r="25" spans="1:14" x14ac:dyDescent="0.25">
      <c r="A25">
        <v>2022</v>
      </c>
      <c r="B25" t="s">
        <v>13</v>
      </c>
      <c r="C25" t="s">
        <v>56</v>
      </c>
      <c r="D25" t="s">
        <v>13</v>
      </c>
      <c r="E25" t="s">
        <v>37</v>
      </c>
      <c r="F25" s="47">
        <v>191</v>
      </c>
      <c r="G25">
        <f>VLOOKUP(Tabel4[[#This Row],[Varenr]],Tabel5[],2,FALSE)*Tabel4[[#This Row],[Antal]]</f>
        <v>7067</v>
      </c>
      <c r="H25">
        <f>IF(Tabel4[[#This Row],[Varenr]]="51051050M3Q2",Tabel4[[#This Row],[Kg]]*0.579*Bagrundsdata!$D$6,Tabel4[[#This Row],[Kg]]*Bagrundsdata!$D$6)</f>
        <v>2105966</v>
      </c>
      <c r="N25" s="43"/>
    </row>
    <row r="26" spans="1:14" x14ac:dyDescent="0.25">
      <c r="A26">
        <v>2022</v>
      </c>
      <c r="B26" t="s">
        <v>13</v>
      </c>
      <c r="C26" t="s">
        <v>56</v>
      </c>
      <c r="D26" t="s">
        <v>13</v>
      </c>
      <c r="E26" t="s">
        <v>38</v>
      </c>
      <c r="F26" s="47">
        <v>2</v>
      </c>
      <c r="G26">
        <f>VLOOKUP(Tabel4[[#This Row],[Varenr]],Tabel5[],2,FALSE)*Tabel4[[#This Row],[Antal]]</f>
        <v>14.8</v>
      </c>
      <c r="H26">
        <f>IF(Tabel4[[#This Row],[Varenr]]="51051050M3Q2",Tabel4[[#This Row],[Kg]]*0.579*Bagrundsdata!$D$6,Tabel4[[#This Row],[Kg]]*Bagrundsdata!$D$6)</f>
        <v>4410.4000000000005</v>
      </c>
      <c r="N26" s="43"/>
    </row>
    <row r="27" spans="1:14" x14ac:dyDescent="0.25">
      <c r="A27">
        <v>2022</v>
      </c>
      <c r="B27" t="s">
        <v>13</v>
      </c>
      <c r="C27" t="s">
        <v>56</v>
      </c>
      <c r="D27" t="s">
        <v>13</v>
      </c>
      <c r="E27" t="s">
        <v>39</v>
      </c>
      <c r="F27" s="47">
        <v>6</v>
      </c>
      <c r="G27">
        <f>VLOOKUP(Tabel4[[#This Row],[Varenr]],Tabel5[],2,FALSE)*Tabel4[[#This Row],[Antal]]</f>
        <v>17.759999999999998</v>
      </c>
      <c r="H27">
        <f>IF(Tabel4[[#This Row],[Varenr]]="51051050M3Q2",Tabel4[[#This Row],[Kg]]*0.579*Bagrundsdata!$D$6,Tabel4[[#This Row],[Kg]]*Bagrundsdata!$D$6)</f>
        <v>5292.48</v>
      </c>
      <c r="N27" s="43"/>
    </row>
    <row r="28" spans="1:14" x14ac:dyDescent="0.25">
      <c r="A28">
        <v>2023</v>
      </c>
      <c r="B28" t="s">
        <v>13</v>
      </c>
      <c r="C28" t="s">
        <v>45</v>
      </c>
      <c r="D28" t="s">
        <v>13</v>
      </c>
      <c r="E28" t="s">
        <v>37</v>
      </c>
      <c r="F28">
        <v>9</v>
      </c>
      <c r="G28">
        <f>VLOOKUP(Tabel4[[#This Row],[Varenr]],Tabel5[],2,FALSE)*Tabel4[[#This Row],[Antal]]</f>
        <v>333</v>
      </c>
      <c r="H28">
        <f>IF(Tabel4[[#This Row],[Varenr]]="51051050M3Q2",Tabel4[[#This Row],[Kg]]*0.579*Bagrundsdata!$D$6,Tabel4[[#This Row],[Kg]]*Bagrundsdata!$D$6)</f>
        <v>99234</v>
      </c>
      <c r="N28" s="43"/>
    </row>
    <row r="29" spans="1:14" x14ac:dyDescent="0.25">
      <c r="A29">
        <v>2023</v>
      </c>
      <c r="B29" t="s">
        <v>13</v>
      </c>
      <c r="C29" t="s">
        <v>45</v>
      </c>
      <c r="D29" t="s">
        <v>13</v>
      </c>
      <c r="E29" t="s">
        <v>50</v>
      </c>
      <c r="F29">
        <v>5</v>
      </c>
      <c r="G29">
        <f>VLOOKUP(Tabel4[[#This Row],[Varenr]],Tabel5[],2,FALSE)*Tabel4[[#This Row],[Antal]]</f>
        <v>9.25</v>
      </c>
      <c r="H29">
        <f>IF(Tabel4[[#This Row],[Varenr]]="51051050M3Q2",Tabel4[[#This Row],[Kg]]*0.579*Bagrundsdata!$D$6,Tabel4[[#This Row],[Kg]]*Bagrundsdata!$D$6)</f>
        <v>1596.0134999999998</v>
      </c>
      <c r="N29" s="43"/>
    </row>
    <row r="30" spans="1:14" x14ac:dyDescent="0.25">
      <c r="A30">
        <v>2020</v>
      </c>
      <c r="B30" t="s">
        <v>13</v>
      </c>
      <c r="C30" s="45" t="s">
        <v>45</v>
      </c>
      <c r="D30" t="s">
        <v>13</v>
      </c>
      <c r="E30" t="s">
        <v>50</v>
      </c>
      <c r="F30">
        <v>0</v>
      </c>
      <c r="G30">
        <f>VLOOKUP(Tabel4[[#This Row],[Varenr]],Tabel5[],2,FALSE)*Tabel4[[#This Row],[Antal]]</f>
        <v>0</v>
      </c>
      <c r="H30">
        <f>IF(Tabel4[[#This Row],[Varenr]]="51051050M3Q2",Tabel4[[#This Row],[Kg]]*0.579*Bagrundsdata!$D$6,Tabel4[[#This Row],[Kg]]*Bagrundsdata!$D$6)</f>
        <v>0</v>
      </c>
      <c r="N30" s="43"/>
    </row>
    <row r="31" spans="1:14" x14ac:dyDescent="0.25">
      <c r="A31">
        <v>2021</v>
      </c>
      <c r="B31" t="s">
        <v>13</v>
      </c>
      <c r="C31" t="s">
        <v>45</v>
      </c>
      <c r="D31" t="s">
        <v>13</v>
      </c>
      <c r="E31" t="s">
        <v>50</v>
      </c>
      <c r="F31">
        <v>6</v>
      </c>
      <c r="G31">
        <f>VLOOKUP(Tabel4[[#This Row],[Varenr]],Tabel5[],2,FALSE)*Tabel4[[#This Row],[Antal]]</f>
        <v>11.100000000000001</v>
      </c>
      <c r="H31">
        <f>IF(Tabel4[[#This Row],[Varenr]]="51051050M3Q2",Tabel4[[#This Row],[Kg]]*0.579*Bagrundsdata!$D$6,Tabel4[[#This Row],[Kg]]*Bagrundsdata!$D$6)</f>
        <v>1915.2162000000003</v>
      </c>
      <c r="N31" s="43"/>
    </row>
    <row r="32" spans="1:14" x14ac:dyDescent="0.25">
      <c r="A32">
        <v>2022</v>
      </c>
      <c r="B32" t="s">
        <v>13</v>
      </c>
      <c r="C32" t="s">
        <v>45</v>
      </c>
      <c r="D32" t="s">
        <v>13</v>
      </c>
      <c r="E32" t="s">
        <v>50</v>
      </c>
      <c r="F32">
        <v>14</v>
      </c>
      <c r="G32">
        <f>VLOOKUP(Tabel4[[#This Row],[Varenr]],Tabel5[],2,FALSE)*Tabel4[[#This Row],[Antal]]</f>
        <v>25.900000000000002</v>
      </c>
      <c r="H32">
        <f>IF(Tabel4[[#This Row],[Varenr]]="51051050M3Q2",Tabel4[[#This Row],[Kg]]*0.579*Bagrundsdata!$D$6,Tabel4[[#This Row],[Kg]]*Bagrundsdata!$D$6)</f>
        <v>4468.8378000000002</v>
      </c>
      <c r="N32" s="43"/>
    </row>
    <row r="33" spans="1:14" x14ac:dyDescent="0.25">
      <c r="A33">
        <v>2023</v>
      </c>
      <c r="B33" t="s">
        <v>13</v>
      </c>
      <c r="C33" t="s">
        <v>45</v>
      </c>
      <c r="D33" t="s">
        <v>13</v>
      </c>
      <c r="E33" t="s">
        <v>39</v>
      </c>
      <c r="F33">
        <v>24</v>
      </c>
      <c r="G33">
        <f>VLOOKUP(Tabel4[[#This Row],[Varenr]],Tabel5[],2,FALSE)*Tabel4[[#This Row],[Antal]]</f>
        <v>71.039999999999992</v>
      </c>
      <c r="H33">
        <f>IF(Tabel4[[#This Row],[Varenr]]="51051050M3Q2",Tabel4[[#This Row],[Kg]]*0.579*Bagrundsdata!$D$6,Tabel4[[#This Row],[Kg]]*Bagrundsdata!$D$6)</f>
        <v>21169.919999999998</v>
      </c>
      <c r="N33" s="43"/>
    </row>
    <row r="34" spans="1:14" x14ac:dyDescent="0.25">
      <c r="A34">
        <v>2020</v>
      </c>
      <c r="B34" t="s">
        <v>13</v>
      </c>
      <c r="C34" t="s">
        <v>58</v>
      </c>
      <c r="D34" t="s">
        <v>13</v>
      </c>
      <c r="E34" t="s">
        <v>37</v>
      </c>
      <c r="F34">
        <v>8</v>
      </c>
      <c r="G34">
        <f>VLOOKUP(Tabel4[[#This Row],[Varenr]],Tabel5[],2,FALSE)*Tabel4[[#This Row],[Antal]]</f>
        <v>296</v>
      </c>
      <c r="H34">
        <f>IF(Tabel4[[#This Row],[Varenr]]="51051050M3Q2",Tabel4[[#This Row],[Kg]]*0.579*Bagrundsdata!$D$6,Tabel4[[#This Row],[Kg]]*Bagrundsdata!$D$6)</f>
        <v>88208</v>
      </c>
      <c r="N34" s="43"/>
    </row>
    <row r="35" spans="1:14" x14ac:dyDescent="0.25">
      <c r="A35">
        <v>2021</v>
      </c>
      <c r="B35" t="s">
        <v>13</v>
      </c>
      <c r="C35" t="s">
        <v>58</v>
      </c>
      <c r="D35" t="s">
        <v>13</v>
      </c>
      <c r="E35" t="s">
        <v>37</v>
      </c>
      <c r="F35">
        <v>9</v>
      </c>
      <c r="G35">
        <f>VLOOKUP(Tabel4[[#This Row],[Varenr]],Tabel5[],2,FALSE)*Tabel4[[#This Row],[Antal]]</f>
        <v>333</v>
      </c>
      <c r="H35">
        <f>IF(Tabel4[[#This Row],[Varenr]]="51051050M3Q2",Tabel4[[#This Row],[Kg]]*0.579*Bagrundsdata!$D$6,Tabel4[[#This Row],[Kg]]*Bagrundsdata!$D$6)</f>
        <v>99234</v>
      </c>
      <c r="N35" s="43"/>
    </row>
    <row r="36" spans="1:14" x14ac:dyDescent="0.25">
      <c r="A36">
        <v>2022</v>
      </c>
      <c r="B36" t="s">
        <v>13</v>
      </c>
      <c r="C36" t="s">
        <v>58</v>
      </c>
      <c r="D36" t="s">
        <v>13</v>
      </c>
      <c r="E36" t="s">
        <v>37</v>
      </c>
      <c r="F36" s="47">
        <v>8</v>
      </c>
      <c r="G36">
        <f>VLOOKUP(Tabel4[[#This Row],[Varenr]],Tabel5[],2,FALSE)*Tabel4[[#This Row],[Antal]]</f>
        <v>296</v>
      </c>
      <c r="H36">
        <f>IF(Tabel4[[#This Row],[Varenr]]="51051050M3Q2",Tabel4[[#This Row],[Kg]]*0.579*Bagrundsdata!$D$6,Tabel4[[#This Row],[Kg]]*Bagrundsdata!$D$6)</f>
        <v>88208</v>
      </c>
      <c r="N36" s="43"/>
    </row>
    <row r="37" spans="1:14" x14ac:dyDescent="0.25">
      <c r="A37">
        <v>2022</v>
      </c>
      <c r="B37" t="s">
        <v>13</v>
      </c>
      <c r="C37" t="s">
        <v>58</v>
      </c>
      <c r="D37" t="s">
        <v>13</v>
      </c>
      <c r="E37" t="s">
        <v>39</v>
      </c>
      <c r="F37" s="47">
        <v>7</v>
      </c>
      <c r="G37">
        <f>VLOOKUP(Tabel4[[#This Row],[Varenr]],Tabel5[],2,FALSE)*Tabel4[[#This Row],[Antal]]</f>
        <v>20.72</v>
      </c>
      <c r="H37">
        <f>IF(Tabel4[[#This Row],[Varenr]]="51051050M3Q2",Tabel4[[#This Row],[Kg]]*0.579*Bagrundsdata!$D$6,Tabel4[[#This Row],[Kg]]*Bagrundsdata!$D$6)</f>
        <v>6174.5599999999995</v>
      </c>
      <c r="N37" s="43"/>
    </row>
    <row r="38" spans="1:14" x14ac:dyDescent="0.25">
      <c r="A38">
        <v>2023</v>
      </c>
      <c r="B38" t="s">
        <v>14</v>
      </c>
      <c r="C38" t="s">
        <v>49</v>
      </c>
      <c r="D38" t="s">
        <v>14</v>
      </c>
      <c r="E38" t="s">
        <v>50</v>
      </c>
      <c r="F38">
        <v>32</v>
      </c>
      <c r="G38">
        <f>VLOOKUP(Tabel4[[#This Row],[Varenr]],Tabel5[],2,FALSE)*Tabel4[[#This Row],[Antal]]</f>
        <v>59.2</v>
      </c>
      <c r="H38">
        <f>IF(Tabel4[[#This Row],[Varenr]]="51051050M3Q2",Tabel4[[#This Row],[Kg]]*0.579*Bagrundsdata!$D$6,Tabel4[[#This Row],[Kg]]*Bagrundsdata!$D$6)</f>
        <v>10214.4864</v>
      </c>
    </row>
    <row r="39" spans="1:14" x14ac:dyDescent="0.25">
      <c r="A39">
        <v>2020</v>
      </c>
      <c r="B39" t="s">
        <v>14</v>
      </c>
      <c r="C39" t="s">
        <v>49</v>
      </c>
      <c r="D39" t="s">
        <v>14</v>
      </c>
      <c r="E39" t="s">
        <v>50</v>
      </c>
      <c r="F39">
        <v>28</v>
      </c>
      <c r="G39">
        <f>VLOOKUP(Tabel4[[#This Row],[Varenr]],Tabel5[],2,FALSE)*Tabel4[[#This Row],[Antal]]</f>
        <v>51.800000000000004</v>
      </c>
      <c r="H39">
        <f>IF(Tabel4[[#This Row],[Varenr]]="51051050M3Q2",Tabel4[[#This Row],[Kg]]*0.579*Bagrundsdata!$D$6,Tabel4[[#This Row],[Kg]]*Bagrundsdata!$D$6)</f>
        <v>8937.6756000000005</v>
      </c>
    </row>
    <row r="40" spans="1:14" x14ac:dyDescent="0.25">
      <c r="A40">
        <v>2021</v>
      </c>
      <c r="B40" t="s">
        <v>14</v>
      </c>
      <c r="C40" t="s">
        <v>49</v>
      </c>
      <c r="D40" t="s">
        <v>14</v>
      </c>
      <c r="E40" t="s">
        <v>50</v>
      </c>
      <c r="F40">
        <v>7</v>
      </c>
      <c r="G40">
        <f>VLOOKUP(Tabel4[[#This Row],[Varenr]],Tabel5[],2,FALSE)*Tabel4[[#This Row],[Antal]]</f>
        <v>12.950000000000001</v>
      </c>
      <c r="H40">
        <f>IF(Tabel4[[#This Row],[Varenr]]="51051050M3Q2",Tabel4[[#This Row],[Kg]]*0.579*Bagrundsdata!$D$6,Tabel4[[#This Row],[Kg]]*Bagrundsdata!$D$6)</f>
        <v>2234.4189000000001</v>
      </c>
    </row>
    <row r="41" spans="1:14" x14ac:dyDescent="0.25">
      <c r="A41">
        <v>2022</v>
      </c>
      <c r="B41" t="s">
        <v>14</v>
      </c>
      <c r="C41" t="s">
        <v>49</v>
      </c>
      <c r="D41" t="s">
        <v>14</v>
      </c>
      <c r="E41" t="s">
        <v>50</v>
      </c>
      <c r="F41">
        <v>14</v>
      </c>
      <c r="G41">
        <f>VLOOKUP(Tabel4[[#This Row],[Varenr]],Tabel5[],2,FALSE)*Tabel4[[#This Row],[Antal]]</f>
        <v>25.900000000000002</v>
      </c>
      <c r="H41">
        <f>IF(Tabel4[[#This Row],[Varenr]]="51051050M3Q2",Tabel4[[#This Row],[Kg]]*0.579*Bagrundsdata!$D$6,Tabel4[[#This Row],[Kg]]*Bagrundsdata!$D$6)</f>
        <v>4468.8378000000002</v>
      </c>
    </row>
    <row r="42" spans="1:14" x14ac:dyDescent="0.25">
      <c r="A42">
        <v>2020</v>
      </c>
      <c r="B42" t="s">
        <v>14</v>
      </c>
      <c r="C42" t="s">
        <v>59</v>
      </c>
      <c r="D42" t="s">
        <v>14</v>
      </c>
      <c r="E42" t="s">
        <v>37</v>
      </c>
      <c r="F42">
        <v>14</v>
      </c>
      <c r="G42">
        <f>VLOOKUP(Tabel4[[#This Row],[Varenr]],Tabel5[],2,FALSE)*Tabel4[[#This Row],[Antal]]</f>
        <v>518</v>
      </c>
      <c r="H42">
        <f>IF(Tabel4[[#This Row],[Varenr]]="51051050M3Q2",Tabel4[[#This Row],[Kg]]*0.579*Bagrundsdata!$D$6,Tabel4[[#This Row],[Kg]]*Bagrundsdata!$D$6)</f>
        <v>154364</v>
      </c>
    </row>
    <row r="43" spans="1:14" x14ac:dyDescent="0.25">
      <c r="A43">
        <v>2021</v>
      </c>
      <c r="B43" t="s">
        <v>14</v>
      </c>
      <c r="C43" t="s">
        <v>59</v>
      </c>
      <c r="D43" t="s">
        <v>14</v>
      </c>
      <c r="E43" t="s">
        <v>37</v>
      </c>
      <c r="F43">
        <v>16</v>
      </c>
      <c r="G43">
        <f>VLOOKUP(Tabel4[[#This Row],[Varenr]],Tabel5[],2,FALSE)*Tabel4[[#This Row],[Antal]]</f>
        <v>592</v>
      </c>
      <c r="H43">
        <f>IF(Tabel4[[#This Row],[Varenr]]="51051050M3Q2",Tabel4[[#This Row],[Kg]]*0.579*Bagrundsdata!$D$6,Tabel4[[#This Row],[Kg]]*Bagrundsdata!$D$6)</f>
        <v>176416</v>
      </c>
    </row>
    <row r="44" spans="1:14" x14ac:dyDescent="0.25">
      <c r="A44">
        <v>2022</v>
      </c>
      <c r="B44" t="s">
        <v>14</v>
      </c>
      <c r="C44" t="s">
        <v>59</v>
      </c>
      <c r="D44" t="s">
        <v>14</v>
      </c>
      <c r="E44" t="s">
        <v>37</v>
      </c>
      <c r="F44" s="47">
        <v>18</v>
      </c>
      <c r="G44">
        <f>VLOOKUP(Tabel4[[#This Row],[Varenr]],Tabel5[],2,FALSE)*Tabel4[[#This Row],[Antal]]</f>
        <v>666</v>
      </c>
      <c r="H44">
        <f>IF(Tabel4[[#This Row],[Varenr]]="51051050M3Q2",Tabel4[[#This Row],[Kg]]*0.579*Bagrundsdata!$D$6,Tabel4[[#This Row],[Kg]]*Bagrundsdata!$D$6)</f>
        <v>198468</v>
      </c>
    </row>
    <row r="45" spans="1:14" x14ac:dyDescent="0.25">
      <c r="A45">
        <v>2023</v>
      </c>
      <c r="B45" t="s">
        <v>14</v>
      </c>
      <c r="C45" t="s">
        <v>59</v>
      </c>
      <c r="D45" t="s">
        <v>14</v>
      </c>
      <c r="E45" t="s">
        <v>37</v>
      </c>
      <c r="F45">
        <v>22</v>
      </c>
      <c r="G45">
        <f>VLOOKUP(Tabel4[[#This Row],[Varenr]],Tabel5[],2,FALSE)*Tabel4[[#This Row],[Antal]]</f>
        <v>814</v>
      </c>
      <c r="H45">
        <f>IF(Tabel4[[#This Row],[Varenr]]="51051050M3Q2",Tabel4[[#This Row],[Kg]]*0.579*Bagrundsdata!$D$6,Tabel4[[#This Row],[Kg]]*Bagrundsdata!$D$6)</f>
        <v>242572</v>
      </c>
    </row>
    <row r="46" spans="1:14" x14ac:dyDescent="0.25">
      <c r="A46">
        <v>2023</v>
      </c>
      <c r="B46" t="s">
        <v>16</v>
      </c>
      <c r="C46" t="s">
        <v>48</v>
      </c>
      <c r="D46" t="s">
        <v>16</v>
      </c>
      <c r="E46" t="s">
        <v>50</v>
      </c>
      <c r="F46">
        <v>9</v>
      </c>
      <c r="G46">
        <f>VLOOKUP(Tabel4[[#This Row],[Varenr]],Tabel5[],2,FALSE)*Tabel4[[#This Row],[Antal]]</f>
        <v>16.650000000000002</v>
      </c>
      <c r="H46">
        <f>IF(Tabel4[[#This Row],[Varenr]]="51051050M3Q2",Tabel4[[#This Row],[Kg]]*0.579*Bagrundsdata!$D$6,Tabel4[[#This Row],[Kg]]*Bagrundsdata!$D$6)</f>
        <v>2872.8242999999998</v>
      </c>
    </row>
    <row r="47" spans="1:14" x14ac:dyDescent="0.25">
      <c r="A47">
        <v>2020</v>
      </c>
      <c r="B47" t="s">
        <v>16</v>
      </c>
      <c r="C47" t="s">
        <v>48</v>
      </c>
      <c r="D47" t="s">
        <v>16</v>
      </c>
      <c r="E47" t="s">
        <v>50</v>
      </c>
      <c r="F47">
        <v>12</v>
      </c>
      <c r="G47">
        <f>VLOOKUP(Tabel4[[#This Row],[Varenr]],Tabel5[],2,FALSE)*Tabel4[[#This Row],[Antal]]</f>
        <v>22.200000000000003</v>
      </c>
      <c r="H47">
        <f>IF(Tabel4[[#This Row],[Varenr]]="51051050M3Q2",Tabel4[[#This Row],[Kg]]*0.579*Bagrundsdata!$D$6,Tabel4[[#This Row],[Kg]]*Bagrundsdata!$D$6)</f>
        <v>3830.4324000000006</v>
      </c>
    </row>
    <row r="48" spans="1:14" x14ac:dyDescent="0.25">
      <c r="A48">
        <v>2023</v>
      </c>
      <c r="B48" t="s">
        <v>16</v>
      </c>
      <c r="C48" t="s">
        <v>48</v>
      </c>
      <c r="D48" t="s">
        <v>16</v>
      </c>
      <c r="E48" t="s">
        <v>39</v>
      </c>
      <c r="F48">
        <v>0</v>
      </c>
      <c r="G48">
        <f>VLOOKUP(Tabel4[[#This Row],[Varenr]],Tabel5[],2,FALSE)*Tabel4[[#This Row],[Antal]]</f>
        <v>0</v>
      </c>
      <c r="H48">
        <f>IF(Tabel4[[#This Row],[Varenr]]="51051050M3Q2",Tabel4[[#This Row],[Kg]]*0.579*Bagrundsdata!$D$6,Tabel4[[#This Row],[Kg]]*Bagrundsdata!$D$6)</f>
        <v>0</v>
      </c>
    </row>
    <row r="49" spans="1:8" x14ac:dyDescent="0.25">
      <c r="A49">
        <v>2021</v>
      </c>
      <c r="B49" t="s">
        <v>16</v>
      </c>
      <c r="C49" t="s">
        <v>48</v>
      </c>
      <c r="D49" t="s">
        <v>16</v>
      </c>
      <c r="E49" t="s">
        <v>50</v>
      </c>
      <c r="F49">
        <v>6</v>
      </c>
      <c r="G49">
        <f>VLOOKUP(Tabel4[[#This Row],[Varenr]],Tabel5[],2,FALSE)*Tabel4[[#This Row],[Antal]]</f>
        <v>11.100000000000001</v>
      </c>
      <c r="H49">
        <f>IF(Tabel4[[#This Row],[Varenr]]="51051050M3Q2",Tabel4[[#This Row],[Kg]]*0.579*Bagrundsdata!$D$6,Tabel4[[#This Row],[Kg]]*Bagrundsdata!$D$6)</f>
        <v>1915.2162000000003</v>
      </c>
    </row>
    <row r="50" spans="1:8" x14ac:dyDescent="0.25">
      <c r="A50">
        <v>2022</v>
      </c>
      <c r="B50" t="s">
        <v>16</v>
      </c>
      <c r="C50" t="s">
        <v>62</v>
      </c>
      <c r="D50" t="s">
        <v>16</v>
      </c>
      <c r="E50" t="s">
        <v>50</v>
      </c>
      <c r="F50">
        <v>12</v>
      </c>
      <c r="G50">
        <f>VLOOKUP(Tabel4[[#This Row],[Varenr]],Tabel5[],2,FALSE)*Tabel4[[#This Row],[Antal]]</f>
        <v>22.200000000000003</v>
      </c>
      <c r="H50">
        <f>IF(Tabel4[[#This Row],[Varenr]]="51051050M3Q2",Tabel4[[#This Row],[Kg]]*0.579*Bagrundsdata!$D$6,Tabel4[[#This Row],[Kg]]*Bagrundsdata!$D$6)</f>
        <v>3830.4324000000006</v>
      </c>
    </row>
    <row r="51" spans="1:8" x14ac:dyDescent="0.25">
      <c r="A51">
        <v>2023</v>
      </c>
      <c r="B51" t="s">
        <v>16</v>
      </c>
      <c r="C51" t="s">
        <v>53</v>
      </c>
      <c r="D51" t="s">
        <v>16</v>
      </c>
      <c r="E51" t="s">
        <v>38</v>
      </c>
      <c r="F51">
        <v>0</v>
      </c>
      <c r="G51">
        <f>VLOOKUP(Tabel4[[#This Row],[Varenr]],Tabel5[],2,FALSE)*Tabel4[[#This Row],[Antal]]</f>
        <v>0</v>
      </c>
      <c r="H51">
        <f>IF(Tabel4[[#This Row],[Varenr]]="51051050M3Q2",Tabel4[[#This Row],[Kg]]*0.579*Bagrundsdata!$D$6,Tabel4[[#This Row],[Kg]]*Bagrundsdata!$D$6)</f>
        <v>0</v>
      </c>
    </row>
    <row r="52" spans="1:8" x14ac:dyDescent="0.25">
      <c r="A52">
        <v>2023</v>
      </c>
      <c r="B52" t="s">
        <v>16</v>
      </c>
      <c r="C52" t="s">
        <v>52</v>
      </c>
      <c r="D52" t="s">
        <v>16</v>
      </c>
      <c r="E52" t="s">
        <v>38</v>
      </c>
      <c r="F52">
        <v>0</v>
      </c>
      <c r="G52">
        <f>VLOOKUP(Tabel4[[#This Row],[Varenr]],Tabel5[],2,FALSE)*Tabel4[[#This Row],[Antal]]</f>
        <v>0</v>
      </c>
      <c r="H52">
        <f>IF(Tabel4[[#This Row],[Varenr]]="51051050M3Q2",Tabel4[[#This Row],[Kg]]*0.579*Bagrundsdata!$D$6,Tabel4[[#This Row],[Kg]]*Bagrundsdata!$D$6)</f>
        <v>0</v>
      </c>
    </row>
    <row r="53" spans="1:8" x14ac:dyDescent="0.25">
      <c r="A53">
        <v>2023</v>
      </c>
      <c r="B53" t="s">
        <v>15</v>
      </c>
      <c r="C53" t="s">
        <v>46</v>
      </c>
      <c r="D53" t="s">
        <v>15</v>
      </c>
      <c r="E53" t="s">
        <v>37</v>
      </c>
      <c r="F53">
        <v>4</v>
      </c>
      <c r="G53">
        <f>VLOOKUP(Tabel4[[#This Row],[Varenr]],Tabel5[],2,FALSE)*Tabel4[[#This Row],[Antal]]</f>
        <v>148</v>
      </c>
      <c r="H53">
        <f>IF(Tabel4[[#This Row],[Varenr]]="51051050M3Q2",Tabel4[[#This Row],[Kg]]*0.579*Bagrundsdata!$D$6,Tabel4[[#This Row],[Kg]]*Bagrundsdata!$D$6)</f>
        <v>44104</v>
      </c>
    </row>
    <row r="54" spans="1:8" x14ac:dyDescent="0.25">
      <c r="A54">
        <v>2023</v>
      </c>
      <c r="B54" t="s">
        <v>15</v>
      </c>
      <c r="C54" t="s">
        <v>47</v>
      </c>
      <c r="D54" t="s">
        <v>15</v>
      </c>
      <c r="E54" t="s">
        <v>50</v>
      </c>
      <c r="F54">
        <v>3</v>
      </c>
      <c r="G54">
        <f>VLOOKUP(Tabel4[[#This Row],[Varenr]],Tabel5[],2,FALSE)*Tabel4[[#This Row],[Antal]]</f>
        <v>5.5500000000000007</v>
      </c>
      <c r="H54">
        <f>IF(Tabel4[[#This Row],[Varenr]]="51051050M3Q2",Tabel4[[#This Row],[Kg]]*0.579*Bagrundsdata!$D$6,Tabel4[[#This Row],[Kg]]*Bagrundsdata!$D$6)</f>
        <v>957.60810000000015</v>
      </c>
    </row>
    <row r="55" spans="1:8" x14ac:dyDescent="0.25">
      <c r="A55">
        <v>2020</v>
      </c>
      <c r="B55" t="s">
        <v>15</v>
      </c>
      <c r="C55" s="45" t="s">
        <v>47</v>
      </c>
      <c r="D55" t="s">
        <v>15</v>
      </c>
      <c r="E55" t="s">
        <v>50</v>
      </c>
      <c r="F55">
        <v>4</v>
      </c>
      <c r="G55">
        <f>VLOOKUP(Tabel4[[#This Row],[Varenr]],Tabel5[],2,FALSE)*Tabel4[[#This Row],[Antal]]</f>
        <v>7.4</v>
      </c>
      <c r="H55">
        <f>IF(Tabel4[[#This Row],[Varenr]]="51051050M3Q2",Tabel4[[#This Row],[Kg]]*0.579*Bagrundsdata!$D$6,Tabel4[[#This Row],[Kg]]*Bagrundsdata!$D$6)</f>
        <v>1276.8108</v>
      </c>
    </row>
    <row r="56" spans="1:8" x14ac:dyDescent="0.25">
      <c r="A56">
        <v>2021</v>
      </c>
      <c r="B56" t="s">
        <v>15</v>
      </c>
      <c r="C56" t="s">
        <v>47</v>
      </c>
      <c r="D56" t="s">
        <v>15</v>
      </c>
      <c r="E56" t="s">
        <v>50</v>
      </c>
      <c r="F56">
        <v>7</v>
      </c>
      <c r="G56">
        <f>VLOOKUP(Tabel4[[#This Row],[Varenr]],Tabel5[],2,FALSE)*Tabel4[[#This Row],[Antal]]</f>
        <v>12.950000000000001</v>
      </c>
      <c r="H56">
        <f>IF(Tabel4[[#This Row],[Varenr]]="51051050M3Q2",Tabel4[[#This Row],[Kg]]*0.579*Bagrundsdata!$D$6,Tabel4[[#This Row],[Kg]]*Bagrundsdata!$D$6)</f>
        <v>2234.4189000000001</v>
      </c>
    </row>
    <row r="57" spans="1:8" x14ac:dyDescent="0.25">
      <c r="A57">
        <v>2022</v>
      </c>
      <c r="B57" t="s">
        <v>15</v>
      </c>
      <c r="C57" t="s">
        <v>47</v>
      </c>
      <c r="D57" t="s">
        <v>15</v>
      </c>
      <c r="E57" t="s">
        <v>50</v>
      </c>
      <c r="F57">
        <v>4</v>
      </c>
      <c r="G57">
        <f>VLOOKUP(Tabel4[[#This Row],[Varenr]],Tabel5[],2,FALSE)*Tabel4[[#This Row],[Antal]]</f>
        <v>7.4</v>
      </c>
      <c r="H57">
        <f>IF(Tabel4[[#This Row],[Varenr]]="51051050M3Q2",Tabel4[[#This Row],[Kg]]*0.579*Bagrundsdata!$D$6,Tabel4[[#This Row],[Kg]]*Bagrundsdata!$D$6)</f>
        <v>1276.8108</v>
      </c>
    </row>
    <row r="58" spans="1:8" x14ac:dyDescent="0.25">
      <c r="A58">
        <v>2023</v>
      </c>
      <c r="B58" t="s">
        <v>15</v>
      </c>
      <c r="C58" t="s">
        <v>47</v>
      </c>
      <c r="D58" t="s">
        <v>15</v>
      </c>
      <c r="E58" t="s">
        <v>39</v>
      </c>
      <c r="F58">
        <v>9</v>
      </c>
      <c r="G58">
        <f>VLOOKUP(Tabel4[[#This Row],[Varenr]],Tabel5[],2,FALSE)*Tabel4[[#This Row],[Antal]]</f>
        <v>26.64</v>
      </c>
      <c r="H58">
        <f>IF(Tabel4[[#This Row],[Varenr]]="51051050M3Q2",Tabel4[[#This Row],[Kg]]*0.579*Bagrundsdata!$D$6,Tabel4[[#This Row],[Kg]]*Bagrundsdata!$D$6)</f>
        <v>7938.72</v>
      </c>
    </row>
    <row r="59" spans="1:8" x14ac:dyDescent="0.25">
      <c r="A59">
        <v>2020</v>
      </c>
      <c r="B59" t="s">
        <v>15</v>
      </c>
      <c r="C59" t="s">
        <v>46</v>
      </c>
      <c r="D59" t="s">
        <v>15</v>
      </c>
      <c r="E59" t="s">
        <v>37</v>
      </c>
      <c r="F59">
        <v>3</v>
      </c>
      <c r="G59">
        <f>VLOOKUP(Tabel4[[#This Row],[Varenr]],Tabel5[],2,FALSE)*Tabel4[[#This Row],[Antal]]</f>
        <v>111</v>
      </c>
      <c r="H59">
        <f>IF(Tabel4[[#This Row],[Varenr]]="51051050M3Q2",Tabel4[[#This Row],[Kg]]*0.579*Bagrundsdata!$D$6,Tabel4[[#This Row],[Kg]]*Bagrundsdata!$D$6)</f>
        <v>33078</v>
      </c>
    </row>
    <row r="60" spans="1:8" x14ac:dyDescent="0.25">
      <c r="A60">
        <v>2020</v>
      </c>
      <c r="B60" t="s">
        <v>15</v>
      </c>
      <c r="C60" t="s">
        <v>46</v>
      </c>
      <c r="D60" t="s">
        <v>15</v>
      </c>
      <c r="E60" s="46" t="s">
        <v>39</v>
      </c>
      <c r="F60">
        <v>1</v>
      </c>
      <c r="G60">
        <f>VLOOKUP(Tabel4[[#This Row],[Varenr]],Tabel5[],2,FALSE)*Tabel4[[#This Row],[Antal]]</f>
        <v>2.96</v>
      </c>
      <c r="H60">
        <f>IF(Tabel4[[#This Row],[Varenr]]="51051050M3Q2",Tabel4[[#This Row],[Kg]]*0.579*Bagrundsdata!$D$6,Tabel4[[#This Row],[Kg]]*Bagrundsdata!$D$6)</f>
        <v>882.08</v>
      </c>
    </row>
    <row r="61" spans="1:8" x14ac:dyDescent="0.25">
      <c r="A61">
        <v>2021</v>
      </c>
      <c r="B61" t="s">
        <v>15</v>
      </c>
      <c r="C61" t="s">
        <v>46</v>
      </c>
      <c r="D61" t="s">
        <v>15</v>
      </c>
      <c r="E61" t="s">
        <v>37</v>
      </c>
      <c r="F61">
        <v>3</v>
      </c>
      <c r="G61">
        <f>VLOOKUP(Tabel4[[#This Row],[Varenr]],Tabel5[],2,FALSE)*Tabel4[[#This Row],[Antal]]</f>
        <v>111</v>
      </c>
      <c r="H61">
        <f>IF(Tabel4[[#This Row],[Varenr]]="51051050M3Q2",Tabel4[[#This Row],[Kg]]*0.579*Bagrundsdata!$D$6,Tabel4[[#This Row],[Kg]]*Bagrundsdata!$D$6)</f>
        <v>33078</v>
      </c>
    </row>
    <row r="62" spans="1:8" x14ac:dyDescent="0.25">
      <c r="A62">
        <v>2022</v>
      </c>
      <c r="B62" t="s">
        <v>15</v>
      </c>
      <c r="C62" t="s">
        <v>46</v>
      </c>
      <c r="D62" t="s">
        <v>15</v>
      </c>
      <c r="E62" t="s">
        <v>37</v>
      </c>
      <c r="F62" s="47">
        <v>4</v>
      </c>
      <c r="G62">
        <f>VLOOKUP(Tabel4[[#This Row],[Varenr]],Tabel5[],2,FALSE)*Tabel4[[#This Row],[Antal]]</f>
        <v>148</v>
      </c>
      <c r="H62">
        <f>IF(Tabel4[[#This Row],[Varenr]]="51051050M3Q2",Tabel4[[#This Row],[Kg]]*0.579*Bagrundsdata!$D$6,Tabel4[[#This Row],[Kg]]*Bagrundsdata!$D$6)</f>
        <v>44104</v>
      </c>
    </row>
    <row r="63" spans="1:8" x14ac:dyDescent="0.25">
      <c r="A63">
        <v>2023</v>
      </c>
      <c r="B63" t="s">
        <v>13</v>
      </c>
      <c r="C63" t="s">
        <v>51</v>
      </c>
      <c r="D63" t="s">
        <v>13</v>
      </c>
      <c r="E63" t="s">
        <v>38</v>
      </c>
      <c r="F63">
        <v>0</v>
      </c>
      <c r="G63">
        <f>VLOOKUP(Tabel4[[#This Row],[Varenr]],Tabel5[],2,FALSE)*Tabel4[[#This Row],[Antal]]</f>
        <v>0</v>
      </c>
      <c r="H63">
        <f>IF(Tabel4[[#This Row],[Varenr]]="51051050M3Q2",Tabel4[[#This Row],[Kg]]*0.579*Bagrundsdata!$D$6,Tabel4[[#This Row],[Kg]]*Bagrundsdata!$D$6)</f>
        <v>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workbookViewId="0">
      <selection activeCell="H18" sqref="H18"/>
    </sheetView>
  </sheetViews>
  <sheetFormatPr defaultRowHeight="15" x14ac:dyDescent="0.25"/>
  <cols>
    <col min="1" max="1" width="13.28515625" bestFit="1" customWidth="1"/>
    <col min="4" max="4" width="10" bestFit="1" customWidth="1"/>
    <col min="7" max="7" width="10" bestFit="1" customWidth="1"/>
    <col min="8" max="8" width="10.5703125" bestFit="1" customWidth="1"/>
    <col min="10" max="10" width="10" bestFit="1" customWidth="1"/>
    <col min="13" max="13" width="9.28515625" bestFit="1" customWidth="1"/>
    <col min="14" max="14" width="10.5703125" bestFit="1" customWidth="1"/>
    <col min="15" max="15" width="9.28515625" customWidth="1"/>
    <col min="16" max="16" width="10" bestFit="1" customWidth="1"/>
    <col min="17" max="17" width="9" bestFit="1" customWidth="1"/>
    <col min="18" max="18" width="9.85546875" customWidth="1"/>
    <col min="19" max="19" width="10" bestFit="1" customWidth="1"/>
  </cols>
  <sheetData>
    <row r="1" spans="1:17" ht="21.75" thickBot="1" x14ac:dyDescent="0.4">
      <c r="A1" s="40"/>
      <c r="B1" s="41" t="s">
        <v>18</v>
      </c>
    </row>
    <row r="2" spans="1:17" ht="15.75" x14ac:dyDescent="0.25">
      <c r="A2" s="16"/>
      <c r="B2" s="48">
        <v>2020</v>
      </c>
      <c r="C2" s="49"/>
      <c r="D2" s="49"/>
      <c r="E2" s="49"/>
      <c r="F2" s="49"/>
      <c r="G2" s="49"/>
      <c r="H2" s="49"/>
      <c r="I2" s="49"/>
      <c r="J2" s="50"/>
      <c r="L2" s="39"/>
      <c r="M2" t="s">
        <v>0</v>
      </c>
    </row>
    <row r="3" spans="1:17" x14ac:dyDescent="0.25">
      <c r="A3" s="17"/>
      <c r="B3" s="51" t="s">
        <v>8</v>
      </c>
      <c r="C3" s="52"/>
      <c r="D3" s="52"/>
      <c r="E3" s="52" t="s">
        <v>9</v>
      </c>
      <c r="F3" s="52"/>
      <c r="G3" s="52"/>
      <c r="H3" s="52" t="s">
        <v>10</v>
      </c>
      <c r="I3" s="52"/>
      <c r="J3" s="53"/>
    </row>
    <row r="4" spans="1:17" x14ac:dyDescent="0.25">
      <c r="A4" s="17"/>
      <c r="B4" s="18" t="s">
        <v>19</v>
      </c>
      <c r="C4" s="19" t="s">
        <v>20</v>
      </c>
      <c r="D4" s="19" t="s">
        <v>21</v>
      </c>
      <c r="E4" s="19" t="s">
        <v>19</v>
      </c>
      <c r="F4" s="19" t="s">
        <v>20</v>
      </c>
      <c r="G4" s="19" t="s">
        <v>21</v>
      </c>
      <c r="H4" s="19" t="s">
        <v>19</v>
      </c>
      <c r="I4" s="19" t="s">
        <v>20</v>
      </c>
      <c r="J4" s="20" t="s">
        <v>21</v>
      </c>
      <c r="N4" t="s">
        <v>63</v>
      </c>
      <c r="O4">
        <v>2020</v>
      </c>
      <c r="P4">
        <v>2021</v>
      </c>
      <c r="Q4">
        <v>2022</v>
      </c>
    </row>
    <row r="5" spans="1:17" x14ac:dyDescent="0.25">
      <c r="A5" s="21" t="s">
        <v>13</v>
      </c>
      <c r="B5" s="35">
        <v>0</v>
      </c>
      <c r="C5" s="22">
        <f>B5*Bagrundsdata!$B$3/1000</f>
        <v>0</v>
      </c>
      <c r="D5" s="22">
        <f>C5*Bagrundsdata!$D$3</f>
        <v>0</v>
      </c>
      <c r="E5" s="36">
        <f>105*6*240</f>
        <v>151200</v>
      </c>
      <c r="F5" s="23">
        <f>E5*Bagrundsdata!$B$4/1000</f>
        <v>221.50800000000001</v>
      </c>
      <c r="G5" s="23">
        <f>F5*Bagrundsdata!$D$4</f>
        <v>562630.32000000007</v>
      </c>
      <c r="H5" s="36">
        <f>250*6*250</f>
        <v>375000</v>
      </c>
      <c r="I5" s="32">
        <f>H5*Bagrundsdata!$B$5/1000</f>
        <v>570.75</v>
      </c>
      <c r="J5" s="33">
        <f>I5*Bagrundsdata!$D$5</f>
        <v>74197.5</v>
      </c>
    </row>
    <row r="6" spans="1:17" x14ac:dyDescent="0.25">
      <c r="A6" s="21" t="s">
        <v>14</v>
      </c>
      <c r="B6" s="35">
        <v>0</v>
      </c>
      <c r="C6" s="22">
        <f>B6*Bagrundsdata!$B$3/1000</f>
        <v>0</v>
      </c>
      <c r="D6" s="22">
        <f>C6*Bagrundsdata!$D$3</f>
        <v>0</v>
      </c>
      <c r="E6" s="37">
        <v>79200</v>
      </c>
      <c r="F6" s="23">
        <f>E6*Bagrundsdata!$B$4/1000</f>
        <v>116.02800000000001</v>
      </c>
      <c r="G6" s="23">
        <f>F6*Bagrundsdata!$D$4</f>
        <v>294711.12</v>
      </c>
      <c r="H6" s="37">
        <v>84000</v>
      </c>
      <c r="I6" s="32">
        <f>H6*Bagrundsdata!$B$5/1000</f>
        <v>127.848</v>
      </c>
      <c r="J6" s="33">
        <f>I6*Bagrundsdata!$D$5</f>
        <v>16620.240000000002</v>
      </c>
      <c r="N6" t="s">
        <v>9</v>
      </c>
      <c r="O6" s="44">
        <f>G11</f>
        <v>884133.3600000001</v>
      </c>
      <c r="P6" s="44">
        <f>G21</f>
        <v>718023.45600000001</v>
      </c>
      <c r="Q6" s="44">
        <f>G31</f>
        <v>664439.61600000004</v>
      </c>
    </row>
    <row r="7" spans="1:17" x14ac:dyDescent="0.25">
      <c r="A7" s="21" t="s">
        <v>15</v>
      </c>
      <c r="B7" s="35">
        <v>0</v>
      </c>
      <c r="C7" s="22">
        <f>B7*Bagrundsdata!$B$3/1000</f>
        <v>0</v>
      </c>
      <c r="D7" s="22">
        <f>C7*Bagrundsdata!$D$3</f>
        <v>0</v>
      </c>
      <c r="E7" s="38">
        <v>0</v>
      </c>
      <c r="F7" s="23">
        <f>E7*Bagrundsdata!$B$4/1000</f>
        <v>0</v>
      </c>
      <c r="G7" s="23">
        <f>F7*Bagrundsdata!$D$4</f>
        <v>0</v>
      </c>
      <c r="H7" s="36">
        <f>53*6*250</f>
        <v>79500</v>
      </c>
      <c r="I7" s="32">
        <f>H7*Bagrundsdata!$B$5/1000</f>
        <v>120.999</v>
      </c>
      <c r="J7" s="33">
        <f>I7*Bagrundsdata!$D$5</f>
        <v>15729.869999999999</v>
      </c>
      <c r="N7" t="s">
        <v>10</v>
      </c>
      <c r="O7" s="44">
        <f>J11</f>
        <v>114560.94</v>
      </c>
      <c r="P7" s="44">
        <f>J21</f>
        <v>101205.39000000001</v>
      </c>
      <c r="Q7" s="44">
        <f>J31</f>
        <v>97050.33</v>
      </c>
    </row>
    <row r="8" spans="1:17" x14ac:dyDescent="0.25">
      <c r="A8" s="21" t="s">
        <v>16</v>
      </c>
      <c r="B8" s="35">
        <v>0</v>
      </c>
      <c r="C8" s="22">
        <f>B8*Bagrundsdata!$B$3/1000</f>
        <v>0</v>
      </c>
      <c r="D8" s="22">
        <f>C8*Bagrundsdata!$D$3</f>
        <v>0</v>
      </c>
      <c r="E8" s="36">
        <f>5*6*240</f>
        <v>7200</v>
      </c>
      <c r="F8" s="23">
        <f>E8*Bagrundsdata!$B$4/1000</f>
        <v>10.548</v>
      </c>
      <c r="G8" s="23">
        <f>F8*Bagrundsdata!$D$4</f>
        <v>26791.920000000002</v>
      </c>
      <c r="H8" s="36">
        <f>27*6*250</f>
        <v>40500</v>
      </c>
      <c r="I8" s="32">
        <f>H8*Bagrundsdata!$B$5/1000</f>
        <v>61.640999999999998</v>
      </c>
      <c r="J8" s="33">
        <f>I8*Bagrundsdata!$D$5</f>
        <v>8013.33</v>
      </c>
      <c r="O8" s="44">
        <f>SUM(O6:O7)</f>
        <v>998694.3</v>
      </c>
      <c r="P8" s="44">
        <f t="shared" ref="P8:Q8" si="0">SUM(P6:P7)</f>
        <v>819228.84600000002</v>
      </c>
      <c r="Q8" s="44">
        <f t="shared" si="0"/>
        <v>761489.946</v>
      </c>
    </row>
    <row r="9" spans="1:17" x14ac:dyDescent="0.25">
      <c r="A9" s="21" t="s">
        <v>17</v>
      </c>
      <c r="B9" s="35">
        <v>0</v>
      </c>
      <c r="C9" s="22">
        <f>B9*Bagrundsdata!$B$3/1000</f>
        <v>0</v>
      </c>
      <c r="D9" s="22">
        <f>C9*Bagrundsdata!$D$3</f>
        <v>0</v>
      </c>
      <c r="E9" s="38">
        <v>0</v>
      </c>
      <c r="F9" s="23">
        <f>E9*Bagrundsdata!$B$4/1000</f>
        <v>0</v>
      </c>
      <c r="G9" s="23">
        <f>F9*Bagrundsdata!$D$4</f>
        <v>0</v>
      </c>
      <c r="H9" s="36"/>
      <c r="I9" s="32">
        <f>H9*Bagrundsdata!$B$5/1000</f>
        <v>0</v>
      </c>
      <c r="J9" s="33">
        <f>I9*Bagrundsdata!$D$5</f>
        <v>0</v>
      </c>
    </row>
    <row r="10" spans="1:17" x14ac:dyDescent="0.25">
      <c r="A10" s="17"/>
      <c r="B10" s="25"/>
      <c r="C10" s="26"/>
      <c r="D10" s="26"/>
      <c r="E10" s="26"/>
      <c r="F10" s="26"/>
      <c r="G10" s="26"/>
      <c r="H10" s="26"/>
      <c r="I10" s="26"/>
      <c r="J10" s="34"/>
    </row>
    <row r="11" spans="1:17" ht="15.75" thickBot="1" x14ac:dyDescent="0.3">
      <c r="A11" s="27" t="s">
        <v>22</v>
      </c>
      <c r="B11" s="28"/>
      <c r="C11" s="29"/>
      <c r="D11" s="30">
        <f t="shared" ref="D11:J11" si="1">SUM(D5:D9)</f>
        <v>0</v>
      </c>
      <c r="E11" s="30">
        <f t="shared" si="1"/>
        <v>237600</v>
      </c>
      <c r="F11" s="30">
        <f t="shared" si="1"/>
        <v>348.084</v>
      </c>
      <c r="G11" s="30">
        <f t="shared" si="1"/>
        <v>884133.3600000001</v>
      </c>
      <c r="H11" s="30">
        <f t="shared" si="1"/>
        <v>579000</v>
      </c>
      <c r="I11" s="30">
        <f t="shared" si="1"/>
        <v>881.23799999999994</v>
      </c>
      <c r="J11" s="31">
        <f t="shared" si="1"/>
        <v>114560.94</v>
      </c>
    </row>
    <row r="12" spans="1:17" ht="15.75" x14ac:dyDescent="0.25">
      <c r="A12" s="16"/>
      <c r="B12" s="48">
        <v>2021</v>
      </c>
      <c r="C12" s="49"/>
      <c r="D12" s="49"/>
      <c r="E12" s="49"/>
      <c r="F12" s="49"/>
      <c r="G12" s="49"/>
      <c r="H12" s="49"/>
      <c r="I12" s="49"/>
      <c r="J12" s="50"/>
    </row>
    <row r="13" spans="1:17" x14ac:dyDescent="0.25">
      <c r="A13" s="17"/>
      <c r="B13" s="51" t="s">
        <v>8</v>
      </c>
      <c r="C13" s="52"/>
      <c r="D13" s="52"/>
      <c r="E13" s="52" t="s">
        <v>9</v>
      </c>
      <c r="F13" s="52"/>
      <c r="G13" s="52"/>
      <c r="H13" s="52" t="s">
        <v>10</v>
      </c>
      <c r="I13" s="52"/>
      <c r="J13" s="53"/>
    </row>
    <row r="14" spans="1:17" x14ac:dyDescent="0.25">
      <c r="A14" s="17"/>
      <c r="B14" s="18" t="s">
        <v>19</v>
      </c>
      <c r="C14" s="19" t="s">
        <v>20</v>
      </c>
      <c r="D14" s="19" t="s">
        <v>21</v>
      </c>
      <c r="E14" s="19" t="s">
        <v>19</v>
      </c>
      <c r="F14" s="19" t="s">
        <v>20</v>
      </c>
      <c r="G14" s="19" t="s">
        <v>21</v>
      </c>
      <c r="H14" s="19" t="s">
        <v>19</v>
      </c>
      <c r="I14" s="19" t="s">
        <v>20</v>
      </c>
      <c r="J14" s="20" t="s">
        <v>21</v>
      </c>
    </row>
    <row r="15" spans="1:17" x14ac:dyDescent="0.25">
      <c r="A15" s="21" t="s">
        <v>13</v>
      </c>
      <c r="B15" s="35">
        <v>0</v>
      </c>
      <c r="C15" s="22">
        <f>B15*Bagrundsdata!$B$3/1000</f>
        <v>0</v>
      </c>
      <c r="D15" s="23">
        <f>C15*Bagrundsdata!$D$3</f>
        <v>0</v>
      </c>
      <c r="E15" s="36">
        <f>95*6*240</f>
        <v>136800</v>
      </c>
      <c r="F15" s="23">
        <f>E15*Bagrundsdata!$B$4/1000</f>
        <v>200.41200000000001</v>
      </c>
      <c r="G15" s="23">
        <f>F15*Bagrundsdata!$D$4</f>
        <v>509046.48000000004</v>
      </c>
      <c r="H15" s="36">
        <f>208*6*250</f>
        <v>312000</v>
      </c>
      <c r="I15" s="23">
        <f>H15*Bagrundsdata!$B$5/1000</f>
        <v>474.86399999999998</v>
      </c>
      <c r="J15" s="24">
        <f>I15*Bagrundsdata!$D$5</f>
        <v>61732.32</v>
      </c>
    </row>
    <row r="16" spans="1:17" x14ac:dyDescent="0.25">
      <c r="A16" s="21" t="s">
        <v>14</v>
      </c>
      <c r="B16" s="35">
        <v>0</v>
      </c>
      <c r="C16" s="22">
        <f>B16*Bagrundsdata!$B$3/1000</f>
        <v>0</v>
      </c>
      <c r="D16" s="23">
        <f>C16*Bagrundsdata!$D$3</f>
        <v>0</v>
      </c>
      <c r="E16" s="36">
        <f>33*6*240</f>
        <v>47520</v>
      </c>
      <c r="F16" s="23">
        <f>E16*Bagrundsdata!$B$4/1000</f>
        <v>69.616799999999998</v>
      </c>
      <c r="G16" s="23">
        <f>F16*Bagrundsdata!$D$4</f>
        <v>176826.67199999999</v>
      </c>
      <c r="H16" s="36">
        <f>61*6*250</f>
        <v>91500</v>
      </c>
      <c r="I16" s="23">
        <f>H16*Bagrundsdata!$B$5/1000</f>
        <v>139.26300000000001</v>
      </c>
      <c r="J16" s="24">
        <f>I16*Bagrundsdata!$D$5</f>
        <v>18104.190000000002</v>
      </c>
    </row>
    <row r="17" spans="1:11" x14ac:dyDescent="0.25">
      <c r="A17" s="21" t="s">
        <v>15</v>
      </c>
      <c r="B17" s="35">
        <v>0</v>
      </c>
      <c r="C17" s="22">
        <f>B17*Bagrundsdata!$B$3/1000</f>
        <v>0</v>
      </c>
      <c r="D17" s="23">
        <f>C17*Bagrundsdata!$D$3</f>
        <v>0</v>
      </c>
      <c r="E17" s="36">
        <v>0</v>
      </c>
      <c r="F17" s="23">
        <f>E17*Bagrundsdata!$B$4/1000</f>
        <v>0</v>
      </c>
      <c r="G17" s="23">
        <f>F17*Bagrundsdata!$D$4</f>
        <v>0</v>
      </c>
      <c r="H17" s="36">
        <f>51*6*250</f>
        <v>76500</v>
      </c>
      <c r="I17" s="23">
        <f>H17*Bagrundsdata!$B$5/1000</f>
        <v>116.43300000000001</v>
      </c>
      <c r="J17" s="24">
        <f>I17*Bagrundsdata!$D$5</f>
        <v>15136.29</v>
      </c>
    </row>
    <row r="18" spans="1:11" x14ac:dyDescent="0.25">
      <c r="A18" s="21" t="s">
        <v>16</v>
      </c>
      <c r="B18" s="35">
        <v>0</v>
      </c>
      <c r="C18" s="22">
        <f>B18*Bagrundsdata!$B$3/1000</f>
        <v>0</v>
      </c>
      <c r="D18" s="23">
        <f>C18*Bagrundsdata!$D$3</f>
        <v>0</v>
      </c>
      <c r="E18" s="36">
        <f>6*6*240</f>
        <v>8640</v>
      </c>
      <c r="F18" s="23">
        <f>E18*Bagrundsdata!$B$4/1000</f>
        <v>12.6576</v>
      </c>
      <c r="G18" s="23">
        <f>F18*Bagrundsdata!$D$4</f>
        <v>32150.304</v>
      </c>
      <c r="H18" s="36">
        <f>21*6*250</f>
        <v>31500</v>
      </c>
      <c r="I18" s="23">
        <f>H18*Bagrundsdata!$B$5/1000</f>
        <v>47.942999999999998</v>
      </c>
      <c r="J18" s="24">
        <f>I18*Bagrundsdata!$D$5</f>
        <v>6232.59</v>
      </c>
    </row>
    <row r="19" spans="1:11" x14ac:dyDescent="0.25">
      <c r="A19" s="21" t="s">
        <v>17</v>
      </c>
      <c r="B19" s="35">
        <v>0</v>
      </c>
      <c r="C19" s="22">
        <f>B19*Bagrundsdata!$B$3/1000</f>
        <v>0</v>
      </c>
      <c r="D19" s="23">
        <f>C19*Bagrundsdata!$D$3</f>
        <v>0</v>
      </c>
      <c r="E19" s="36">
        <f>0*6*240</f>
        <v>0</v>
      </c>
      <c r="F19" s="23">
        <f>E19*Bagrundsdata!$B$4/1000</f>
        <v>0</v>
      </c>
      <c r="G19" s="23">
        <f>F19*Bagrundsdata!$D$4</f>
        <v>0</v>
      </c>
      <c r="H19" s="36"/>
      <c r="I19" s="23">
        <f>H19*Bagrundsdata!$B$5/1000</f>
        <v>0</v>
      </c>
      <c r="J19" s="24">
        <f>I19*Bagrundsdata!$D$5</f>
        <v>0</v>
      </c>
      <c r="K19" t="s">
        <v>25</v>
      </c>
    </row>
    <row r="20" spans="1:11" x14ac:dyDescent="0.25">
      <c r="A20" s="17"/>
      <c r="B20" s="25"/>
      <c r="C20" s="26"/>
      <c r="D20" s="23"/>
      <c r="E20" s="23"/>
      <c r="F20" s="23"/>
      <c r="G20" s="23"/>
      <c r="H20" s="23"/>
      <c r="I20" s="23"/>
      <c r="J20" s="24"/>
    </row>
    <row r="21" spans="1:11" ht="15.75" thickBot="1" x14ac:dyDescent="0.3">
      <c r="A21" s="27" t="s">
        <v>22</v>
      </c>
      <c r="B21" s="30">
        <f>SUM(B15:B19)</f>
        <v>0</v>
      </c>
      <c r="C21" s="30">
        <f t="shared" ref="C21:J21" si="2">SUM(C15:C19)</f>
        <v>0</v>
      </c>
      <c r="D21" s="30">
        <f t="shared" si="2"/>
        <v>0</v>
      </c>
      <c r="E21" s="30">
        <f t="shared" si="2"/>
        <v>192960</v>
      </c>
      <c r="F21" s="30">
        <f t="shared" si="2"/>
        <v>282.68639999999999</v>
      </c>
      <c r="G21" s="30">
        <f t="shared" si="2"/>
        <v>718023.45600000001</v>
      </c>
      <c r="H21" s="30">
        <f t="shared" si="2"/>
        <v>511500</v>
      </c>
      <c r="I21" s="30">
        <f t="shared" si="2"/>
        <v>778.50299999999993</v>
      </c>
      <c r="J21" s="31">
        <f t="shared" si="2"/>
        <v>101205.39000000001</v>
      </c>
    </row>
    <row r="22" spans="1:11" ht="15.75" x14ac:dyDescent="0.25">
      <c r="A22" s="16"/>
      <c r="B22" s="48">
        <v>2022</v>
      </c>
      <c r="C22" s="49"/>
      <c r="D22" s="49"/>
      <c r="E22" s="49"/>
      <c r="F22" s="49"/>
      <c r="G22" s="49"/>
      <c r="H22" s="49"/>
      <c r="I22" s="49"/>
      <c r="J22" s="50"/>
    </row>
    <row r="23" spans="1:11" x14ac:dyDescent="0.25">
      <c r="A23" s="17"/>
      <c r="B23" s="51" t="s">
        <v>8</v>
      </c>
      <c r="C23" s="52"/>
      <c r="D23" s="52"/>
      <c r="E23" s="52" t="s">
        <v>9</v>
      </c>
      <c r="F23" s="52"/>
      <c r="G23" s="52"/>
      <c r="H23" s="52" t="s">
        <v>10</v>
      </c>
      <c r="I23" s="52"/>
      <c r="J23" s="53"/>
    </row>
    <row r="24" spans="1:11" x14ac:dyDescent="0.25">
      <c r="A24" s="17"/>
      <c r="B24" s="18" t="s">
        <v>19</v>
      </c>
      <c r="C24" s="19" t="s">
        <v>20</v>
      </c>
      <c r="D24" s="19" t="s">
        <v>21</v>
      </c>
      <c r="E24" s="19" t="s">
        <v>19</v>
      </c>
      <c r="F24" s="19" t="s">
        <v>20</v>
      </c>
      <c r="G24" s="19" t="s">
        <v>21</v>
      </c>
      <c r="H24" s="19" t="s">
        <v>19</v>
      </c>
      <c r="I24" s="19" t="s">
        <v>20</v>
      </c>
      <c r="J24" s="20" t="s">
        <v>21</v>
      </c>
    </row>
    <row r="25" spans="1:11" x14ac:dyDescent="0.25">
      <c r="A25" s="21" t="s">
        <v>13</v>
      </c>
      <c r="B25" s="35">
        <v>0</v>
      </c>
      <c r="C25" s="22">
        <f>B25*Bagrundsdata!$B$3/1000</f>
        <v>0</v>
      </c>
      <c r="D25" s="23">
        <f>C25*Bagrundsdata!$D$3</f>
        <v>0</v>
      </c>
      <c r="E25" s="36">
        <f>90*6*240</f>
        <v>129600</v>
      </c>
      <c r="F25" s="23">
        <f>E25*Bagrundsdata!$B$4/1000</f>
        <v>189.864</v>
      </c>
      <c r="G25" s="23">
        <f>F25*Bagrundsdata!$D$4</f>
        <v>482254.56</v>
      </c>
      <c r="H25" s="36">
        <f>171*6*250</f>
        <v>256500</v>
      </c>
      <c r="I25" s="23">
        <f>H25*Bagrundsdata!$B$5/1000</f>
        <v>390.39299999999997</v>
      </c>
      <c r="J25" s="24">
        <f>I25*Bagrundsdata!$D$5</f>
        <v>50751.09</v>
      </c>
    </row>
    <row r="26" spans="1:11" x14ac:dyDescent="0.25">
      <c r="A26" s="21" t="s">
        <v>14</v>
      </c>
      <c r="B26" s="35">
        <v>0</v>
      </c>
      <c r="C26" s="22">
        <f>B26*Bagrundsdata!$B$3/1000</f>
        <v>0</v>
      </c>
      <c r="D26" s="23">
        <f>C26*Bagrundsdata!$D$3</f>
        <v>0</v>
      </c>
      <c r="E26" s="36">
        <f>28*6*240</f>
        <v>40320</v>
      </c>
      <c r="F26" s="23">
        <f>E26*Bagrundsdata!$B$4/1000</f>
        <v>59.068800000000003</v>
      </c>
      <c r="G26" s="23">
        <f>F26*Bagrundsdata!$D$4</f>
        <v>150034.75200000001</v>
      </c>
      <c r="H26" s="36">
        <f>79*6*250</f>
        <v>118500</v>
      </c>
      <c r="I26" s="23">
        <f>H26*Bagrundsdata!$B$5/1000</f>
        <v>180.357</v>
      </c>
      <c r="J26" s="24">
        <f>I26*Bagrundsdata!$D$5</f>
        <v>23446.41</v>
      </c>
    </row>
    <row r="27" spans="1:11" x14ac:dyDescent="0.25">
      <c r="A27" s="21" t="s">
        <v>15</v>
      </c>
      <c r="B27" s="35">
        <v>0</v>
      </c>
      <c r="C27" s="22">
        <f>B27*Bagrundsdata!$B$3/1000</f>
        <v>0</v>
      </c>
      <c r="D27" s="23">
        <f>C27*Bagrundsdata!$D$3</f>
        <v>0</v>
      </c>
      <c r="E27" s="36">
        <v>0</v>
      </c>
      <c r="F27" s="23">
        <f>E27*Bagrundsdata!$B$4/1000</f>
        <v>0</v>
      </c>
      <c r="G27" s="23">
        <f>F27*Bagrundsdata!$D$4</f>
        <v>0</v>
      </c>
      <c r="H27" s="36">
        <f>58*6*250</f>
        <v>87000</v>
      </c>
      <c r="I27" s="23">
        <f>H27*Bagrundsdata!$B$5/1000</f>
        <v>132.41399999999999</v>
      </c>
      <c r="J27" s="24">
        <f>I27*Bagrundsdata!$D$5</f>
        <v>17213.82</v>
      </c>
    </row>
    <row r="28" spans="1:11" x14ac:dyDescent="0.25">
      <c r="A28" s="21" t="s">
        <v>16</v>
      </c>
      <c r="B28" s="35">
        <v>0</v>
      </c>
      <c r="C28" s="22">
        <f>B28*Bagrundsdata!$B$3/1000</f>
        <v>0</v>
      </c>
      <c r="D28" s="23">
        <f>C28*Bagrundsdata!$D$3</f>
        <v>0</v>
      </c>
      <c r="E28" s="36">
        <f>6*6*240</f>
        <v>8640</v>
      </c>
      <c r="F28" s="23">
        <f>E28*Bagrundsdata!$B$4/1000</f>
        <v>12.6576</v>
      </c>
      <c r="G28" s="23">
        <f>F28*Bagrundsdata!$D$4</f>
        <v>32150.304</v>
      </c>
      <c r="H28" s="36">
        <f>19*6*250</f>
        <v>28500</v>
      </c>
      <c r="I28" s="23">
        <f>H28*Bagrundsdata!$B$5/1000</f>
        <v>43.377000000000002</v>
      </c>
      <c r="J28" s="24">
        <f>I28*Bagrundsdata!$D$5</f>
        <v>5639.01</v>
      </c>
    </row>
    <row r="29" spans="1:11" x14ac:dyDescent="0.25">
      <c r="A29" s="21" t="s">
        <v>17</v>
      </c>
      <c r="B29" s="35">
        <v>0</v>
      </c>
      <c r="C29" s="22">
        <f>B29*Bagrundsdata!$B$3/1000</f>
        <v>0</v>
      </c>
      <c r="D29" s="23">
        <f>C29*Bagrundsdata!$D$3</f>
        <v>0</v>
      </c>
      <c r="E29" s="36">
        <v>0</v>
      </c>
      <c r="F29" s="23">
        <f>E29*Bagrundsdata!$B$4/1000</f>
        <v>0</v>
      </c>
      <c r="G29" s="23">
        <f>F29*Bagrundsdata!$D$4</f>
        <v>0</v>
      </c>
      <c r="H29" s="36">
        <v>0</v>
      </c>
      <c r="I29" s="23">
        <f>H29*Bagrundsdata!$B$5/1000</f>
        <v>0</v>
      </c>
      <c r="J29" s="24">
        <f>I29*Bagrundsdata!$D$5</f>
        <v>0</v>
      </c>
    </row>
    <row r="30" spans="1:11" x14ac:dyDescent="0.25">
      <c r="A30" s="17"/>
      <c r="B30" s="25"/>
      <c r="C30" s="26"/>
      <c r="D30" s="23"/>
      <c r="E30" s="23"/>
      <c r="F30" s="23"/>
      <c r="G30" s="23"/>
      <c r="H30" s="23"/>
      <c r="I30" s="23"/>
      <c r="J30" s="24"/>
    </row>
    <row r="31" spans="1:11" ht="15.75" thickBot="1" x14ac:dyDescent="0.3">
      <c r="A31" s="27" t="s">
        <v>22</v>
      </c>
      <c r="B31" s="30">
        <f t="shared" ref="B31:J31" si="3">SUM(B25:B29)</f>
        <v>0</v>
      </c>
      <c r="C31" s="30">
        <f t="shared" si="3"/>
        <v>0</v>
      </c>
      <c r="D31" s="30">
        <f t="shared" si="3"/>
        <v>0</v>
      </c>
      <c r="E31" s="30">
        <f t="shared" si="3"/>
        <v>178560</v>
      </c>
      <c r="F31" s="30">
        <f t="shared" si="3"/>
        <v>261.59039999999999</v>
      </c>
      <c r="G31" s="30">
        <f t="shared" si="3"/>
        <v>664439.61600000004</v>
      </c>
      <c r="H31" s="30">
        <f>SUM(H25:H29)</f>
        <v>490500</v>
      </c>
      <c r="I31" s="30">
        <f>SUM(I25:I29)</f>
        <v>746.54099999999994</v>
      </c>
      <c r="J31" s="31">
        <f t="shared" si="3"/>
        <v>97050.33</v>
      </c>
    </row>
    <row r="32" spans="1:11" x14ac:dyDescent="0.25">
      <c r="H32" s="44"/>
    </row>
  </sheetData>
  <mergeCells count="12">
    <mergeCell ref="B22:J22"/>
    <mergeCell ref="B23:D23"/>
    <mergeCell ref="E23:G23"/>
    <mergeCell ref="H23:J23"/>
    <mergeCell ref="B3:D3"/>
    <mergeCell ref="E3:G3"/>
    <mergeCell ref="H3:J3"/>
    <mergeCell ref="B2:J2"/>
    <mergeCell ref="B12:J12"/>
    <mergeCell ref="B13:D13"/>
    <mergeCell ref="E13:G13"/>
    <mergeCell ref="H13:J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C22" sqref="C22"/>
    </sheetView>
  </sheetViews>
  <sheetFormatPr defaultRowHeight="15" x14ac:dyDescent="0.25"/>
  <cols>
    <col min="1" max="1" width="14.85546875" bestFit="1" customWidth="1"/>
    <col min="2" max="3" width="13.28515625" customWidth="1"/>
    <col min="4" max="4" width="16.28515625" customWidth="1"/>
    <col min="5" max="5" width="63.85546875" bestFit="1" customWidth="1"/>
  </cols>
  <sheetData>
    <row r="1" spans="1:5" x14ac:dyDescent="0.25">
      <c r="A1" s="1"/>
      <c r="B1" s="54" t="s">
        <v>0</v>
      </c>
      <c r="C1" s="55"/>
      <c r="D1" s="55"/>
      <c r="E1" s="56"/>
    </row>
    <row r="2" spans="1:5" x14ac:dyDescent="0.25">
      <c r="A2" s="6" t="s">
        <v>31</v>
      </c>
      <c r="B2" s="5" t="s">
        <v>23</v>
      </c>
      <c r="C2" s="5" t="s">
        <v>24</v>
      </c>
      <c r="D2" s="5" t="s">
        <v>2</v>
      </c>
      <c r="E2" s="7" t="s">
        <v>11</v>
      </c>
    </row>
    <row r="3" spans="1:5" x14ac:dyDescent="0.25">
      <c r="A3" s="4" t="s">
        <v>8</v>
      </c>
      <c r="B3" s="1">
        <v>1.496</v>
      </c>
      <c r="C3" s="1" t="s">
        <v>1</v>
      </c>
      <c r="D3" s="2">
        <v>510</v>
      </c>
      <c r="E3" s="8" t="s">
        <v>12</v>
      </c>
    </row>
    <row r="4" spans="1:5" x14ac:dyDescent="0.25">
      <c r="A4" s="4" t="s">
        <v>9</v>
      </c>
      <c r="B4" s="1">
        <v>1.4650000000000001</v>
      </c>
      <c r="C4" s="1" t="s">
        <v>1</v>
      </c>
      <c r="D4" s="2">
        <v>2540</v>
      </c>
      <c r="E4" s="8" t="s">
        <v>12</v>
      </c>
    </row>
    <row r="5" spans="1:5" x14ac:dyDescent="0.25">
      <c r="A5" s="4" t="s">
        <v>10</v>
      </c>
      <c r="B5" s="1">
        <v>1.522</v>
      </c>
      <c r="C5" s="1" t="s">
        <v>1</v>
      </c>
      <c r="D5" s="2">
        <v>130</v>
      </c>
      <c r="E5" s="8" t="s">
        <v>12</v>
      </c>
    </row>
    <row r="6" spans="1:5" x14ac:dyDescent="0.25">
      <c r="A6" s="4" t="s">
        <v>3</v>
      </c>
      <c r="B6" s="1"/>
      <c r="C6" s="1"/>
      <c r="D6" s="2">
        <v>298</v>
      </c>
      <c r="E6" s="8" t="s">
        <v>12</v>
      </c>
    </row>
    <row r="7" spans="1:5" x14ac:dyDescent="0.25">
      <c r="A7" s="4" t="s">
        <v>4</v>
      </c>
      <c r="B7" s="1"/>
      <c r="C7" s="1"/>
      <c r="D7" s="2">
        <v>675</v>
      </c>
      <c r="E7" s="9" t="s">
        <v>32</v>
      </c>
    </row>
    <row r="8" spans="1:5" x14ac:dyDescent="0.25">
      <c r="A8" s="4" t="s">
        <v>5</v>
      </c>
      <c r="B8" s="1"/>
      <c r="C8" s="1"/>
      <c r="D8" s="2">
        <v>1430</v>
      </c>
      <c r="E8" s="14" t="s">
        <v>32</v>
      </c>
    </row>
    <row r="9" spans="1:5" x14ac:dyDescent="0.25">
      <c r="A9" s="4" t="s">
        <v>6</v>
      </c>
      <c r="B9" s="1"/>
      <c r="C9" s="1"/>
      <c r="D9" s="2">
        <v>3921.6</v>
      </c>
      <c r="E9" s="9" t="s">
        <v>32</v>
      </c>
    </row>
    <row r="10" spans="1:5" x14ac:dyDescent="0.25">
      <c r="A10" s="4" t="s">
        <v>7</v>
      </c>
      <c r="B10" s="1"/>
      <c r="C10" s="1"/>
      <c r="D10" s="2">
        <v>2087.5</v>
      </c>
      <c r="E10" s="9" t="s">
        <v>32</v>
      </c>
    </row>
    <row r="11" spans="1:5" x14ac:dyDescent="0.25">
      <c r="A11" s="4" t="s">
        <v>26</v>
      </c>
      <c r="B11" s="1"/>
      <c r="C11" s="1"/>
      <c r="D11" s="3">
        <v>1773.85</v>
      </c>
      <c r="E11" s="9" t="s">
        <v>32</v>
      </c>
    </row>
    <row r="12" spans="1:5" x14ac:dyDescent="0.25">
      <c r="A12" s="10" t="s">
        <v>28</v>
      </c>
      <c r="B12" s="11"/>
      <c r="C12" s="11"/>
      <c r="D12" s="12">
        <v>1</v>
      </c>
      <c r="E12" s="9" t="s">
        <v>32</v>
      </c>
    </row>
    <row r="13" spans="1:5" x14ac:dyDescent="0.25">
      <c r="A13" s="10" t="s">
        <v>27</v>
      </c>
      <c r="B13" s="11"/>
      <c r="C13" s="11"/>
      <c r="D13" s="13"/>
      <c r="E13" s="9" t="s">
        <v>32</v>
      </c>
    </row>
    <row r="14" spans="1:5" x14ac:dyDescent="0.25">
      <c r="A14" s="10" t="s">
        <v>29</v>
      </c>
      <c r="B14" s="11"/>
      <c r="C14" s="11"/>
      <c r="D14" s="13"/>
      <c r="E14" s="9" t="s">
        <v>32</v>
      </c>
    </row>
    <row r="15" spans="1:5" x14ac:dyDescent="0.25">
      <c r="A15" s="10" t="s">
        <v>30</v>
      </c>
      <c r="B15" s="11"/>
      <c r="C15" s="11"/>
      <c r="D15" s="13"/>
      <c r="E15" s="9" t="s">
        <v>32</v>
      </c>
    </row>
    <row r="16" spans="1:5" x14ac:dyDescent="0.25">
      <c r="A16" s="10" t="s">
        <v>35</v>
      </c>
      <c r="B16" s="11"/>
      <c r="C16" s="11"/>
      <c r="D16" s="13">
        <v>1397</v>
      </c>
      <c r="E16" s="42" t="s">
        <v>36</v>
      </c>
    </row>
    <row r="21" spans="1:6" x14ac:dyDescent="0.25">
      <c r="A21" t="s">
        <v>3</v>
      </c>
      <c r="B21" t="s">
        <v>54</v>
      </c>
      <c r="C21" t="s">
        <v>55</v>
      </c>
    </row>
    <row r="22" spans="1:6" x14ac:dyDescent="0.25">
      <c r="A22" t="s">
        <v>37</v>
      </c>
      <c r="B22">
        <v>37</v>
      </c>
      <c r="C22">
        <v>50</v>
      </c>
    </row>
    <row r="23" spans="1:6" x14ac:dyDescent="0.25">
      <c r="A23" t="s">
        <v>38</v>
      </c>
      <c r="B23">
        <v>7.4</v>
      </c>
      <c r="C23">
        <v>10</v>
      </c>
    </row>
    <row r="24" spans="1:6" x14ac:dyDescent="0.25">
      <c r="A24" t="s">
        <v>39</v>
      </c>
      <c r="B24">
        <v>2.96</v>
      </c>
      <c r="C24">
        <v>4</v>
      </c>
      <c r="F24" s="44"/>
    </row>
    <row r="25" spans="1:6" x14ac:dyDescent="0.25">
      <c r="A25" t="s">
        <v>50</v>
      </c>
      <c r="B25">
        <v>1.85</v>
      </c>
      <c r="C25">
        <v>5</v>
      </c>
    </row>
  </sheetData>
  <mergeCells count="1">
    <mergeCell ref="B1:E1"/>
  </mergeCells>
  <hyperlinks>
    <hyperlink ref="E8" r:id="rId1" xr:uid="{00000000-0004-0000-0200-000000000000}"/>
  </hyperlinks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Lattergas</vt:lpstr>
      <vt:lpstr>Anæstesigasser</vt:lpstr>
      <vt:lpstr>Bagrundsdata</vt:lpstr>
    </vt:vector>
  </TitlesOfParts>
  <Company>Region Syddanmark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Skafte Böttcher</dc:creator>
  <cp:lastModifiedBy>Rune Winther Fabrin Olsen</cp:lastModifiedBy>
  <dcterms:created xsi:type="dcterms:W3CDTF">2022-03-29T10:19:10Z</dcterms:created>
  <dcterms:modified xsi:type="dcterms:W3CDTF">2025-01-17T12:57:28Z</dcterms:modified>
</cp:coreProperties>
</file>