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16FBF1C8-ABE7-4427-A947-4CAEBA68ED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P11" i="6"/>
  <c r="J1" i="4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4" i="6"/>
  <c r="I4" i="12"/>
  <c r="T3" i="6"/>
  <c r="I3" i="12"/>
  <c r="D3" i="12" l="1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1" i="5"/>
  <c r="C10" i="5"/>
  <c r="B14" i="5"/>
  <c r="B13" i="5"/>
  <c r="B12" i="5"/>
  <c r="C12" i="5" s="1"/>
  <c r="B11" i="5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4" i="1"/>
  <c r="H3" i="1"/>
  <c r="C5" i="3" l="1"/>
  <c r="D5" i="3"/>
  <c r="E5" i="3"/>
  <c r="F5" i="3"/>
  <c r="G5" i="3"/>
  <c r="H5" i="3"/>
  <c r="I5" i="3"/>
  <c r="J5" i="3"/>
  <c r="K5" i="3"/>
  <c r="B5" i="3"/>
  <c r="C4" i="3"/>
  <c r="D4" i="3"/>
  <c r="E4" i="3"/>
  <c r="F4" i="3"/>
  <c r="G4" i="3"/>
  <c r="H4" i="3"/>
  <c r="I4" i="3"/>
  <c r="J4" i="3"/>
  <c r="K4" i="3"/>
  <c r="B4" i="3"/>
  <c r="C3" i="3"/>
  <c r="D3" i="3"/>
  <c r="E3" i="3"/>
  <c r="F3" i="3"/>
  <c r="G3" i="3"/>
  <c r="H3" i="3"/>
  <c r="I3" i="3"/>
  <c r="J3" i="3"/>
  <c r="K3" i="3"/>
  <c r="B3" i="3"/>
  <c r="B2" i="3"/>
  <c r="C2" i="3"/>
  <c r="B1" i="3"/>
  <c r="C1" i="3"/>
  <c r="D1" i="3"/>
  <c r="E1" i="3"/>
  <c r="F1" i="3"/>
  <c r="G1" i="3"/>
  <c r="H1" i="3"/>
  <c r="I1" i="3"/>
  <c r="J1" i="3"/>
  <c r="K1" i="3"/>
  <c r="D2" i="3"/>
  <c r="E2" i="3"/>
  <c r="F2" i="3"/>
  <c r="G2" i="3"/>
  <c r="H2" i="3"/>
  <c r="I2" i="3"/>
  <c r="J2" i="3"/>
  <c r="K2" i="3"/>
  <c r="J4" i="4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0" i="6"/>
  <c r="P15" i="6" s="1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E12" i="3" s="1"/>
  <c r="F7" i="3"/>
  <c r="G7" i="3"/>
  <c r="H7" i="3"/>
  <c r="I7" i="3"/>
  <c r="J7" i="3"/>
  <c r="K7" i="3"/>
  <c r="C13" i="3" l="1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B18" i="3" s="1"/>
  <c r="E32" i="4"/>
  <c r="B32" i="4"/>
  <c r="B14" i="4"/>
  <c r="E14" i="4"/>
  <c r="F7" i="2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G8" i="2"/>
  <c r="F8" i="2"/>
  <c r="G7" i="2"/>
  <c r="B4" i="2"/>
  <c r="B8" i="2" s="1"/>
  <c r="H7" i="2" l="1"/>
  <c r="J15" i="2"/>
  <c r="H8" i="2"/>
  <c r="L14" i="2"/>
  <c r="L15" i="2" s="1"/>
  <c r="G15" i="2"/>
  <c r="F15" i="2"/>
  <c r="I15" i="2"/>
  <c r="C15" i="2"/>
  <c r="K15" i="2"/>
  <c r="H15" i="2"/>
  <c r="B15" i="2"/>
  <c r="D14" i="2"/>
  <c r="H6" i="1"/>
  <c r="B18" i="6" s="1"/>
  <c r="H9" i="2" l="1"/>
  <c r="D15" i="2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P20" i="6" s="1"/>
  <c r="B6" i="6" s="1"/>
  <c r="Z8" i="6"/>
  <c r="E34" i="4"/>
  <c r="B9" i="4"/>
  <c r="B27" i="4"/>
  <c r="B34" i="4" s="1"/>
  <c r="B22" i="4"/>
  <c r="B24" i="4" s="1"/>
  <c r="E16" i="4"/>
  <c r="E12" i="4"/>
  <c r="E27" i="4"/>
  <c r="E36" i="4" s="1"/>
  <c r="B14" i="6" l="1"/>
  <c r="B17" i="6" s="1"/>
  <c r="B19" i="6" s="1"/>
  <c r="B21" i="6" s="1"/>
  <c r="C21" i="6" s="1"/>
  <c r="C25" i="6" s="1"/>
  <c r="G14" i="6"/>
  <c r="E14" i="6"/>
  <c r="F14" i="6"/>
  <c r="K14" i="6"/>
  <c r="H14" i="6"/>
  <c r="D14" i="6"/>
  <c r="C14" i="6"/>
  <c r="L13" i="6"/>
  <c r="L14" i="6" s="1"/>
  <c r="J14" i="6"/>
  <c r="I14" i="6"/>
  <c r="J8" i="4"/>
  <c r="B2" i="6" s="1"/>
  <c r="B5" i="6" s="1"/>
  <c r="E18" i="4"/>
  <c r="J9" i="4" s="1"/>
  <c r="B1" i="6" s="1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<sst xmlns="http://schemas.openxmlformats.org/spreadsheetml/2006/main" count="433" uniqueCount="324">
  <si>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</si>
  <si>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</si>
  <si>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</si>
  <si>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</si>
  <si>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</si>
  <si>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</si>
  <si>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</si>
  <si>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</si>
  <si>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</si>
  <si>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</si>
  <si>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</si>
  <si>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</si>
  <si>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</si>
  <si>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</si>
  <si>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</si>
  <si>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</si>
  <si>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</si>
  <si>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</si>
  <si>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</si>
  <si>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</si>
  <si>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</si>
  <si>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</si>
  <si>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</si>
  <si>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</si>
  <si>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Ke</t>
  </si>
  <si>
    <t>Beta</t>
  </si>
  <si>
    <t>Sources</t>
  </si>
  <si>
    <t>http://pages.stern.nyu.edu/~adamodar/</t>
  </si>
  <si>
    <t>https://finance.yahoo.com/quote/UNP/</t>
  </si>
  <si>
    <t>Risk-Free Rate (Rf)</t>
  </si>
  <si>
    <t>Equity Risk Premium (ERP)</t>
  </si>
  <si>
    <t>https://www.cnbc.com/quotes/?symbol=US10Y</t>
  </si>
  <si>
    <t>Years of High Growth</t>
  </si>
  <si>
    <t>Terminal Growth Rate</t>
  </si>
  <si>
    <t>High Growth Rate</t>
  </si>
  <si>
    <t>2018 Hike</t>
  </si>
  <si>
    <t>2019 Hike</t>
  </si>
  <si>
    <t>Historical Dividend Raises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</si>
  <si>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</si>
  <si>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</si>
  <si>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</si>
  <si>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</si>
  <si>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</si>
  <si>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</si>
  <si>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</si>
  <si>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</si>
  <si>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</si>
  <si>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</si>
  <si>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</si>
  <si>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</si>
  <si>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</si>
  <si>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</si>
  <si>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</si>
  <si>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</si>
  <si>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</si>
  <si>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</si>
  <si>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</si>
  <si>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</si>
  <si>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</si>
  <si>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</si>
  <si>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</si>
  <si>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</si>
  <si>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</si>
  <si>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</si>
  <si>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</si>
  <si>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</si>
  <si>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</si>
  <si>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</si>
  <si>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</si>
  <si>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</si>
  <si>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</si>
  <si>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</si>
  <si>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</si>
  <si>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</si>
  <si>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</si>
  <si>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</si>
  <si>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</si>
  <si>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</si>
  <si>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</si>
  <si>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</si>
  <si>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</si>
  <si>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</si>
  <si>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</si>
  <si>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</si>
  <si>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</si>
  <si>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</si>
  <si>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</si>
  <si>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</si>
  <si>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</si>
  <si>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</si>
  <si>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</si>
  <si>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</si>
  <si>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</si>
  <si>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</si>
  <si>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</si>
  <si>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</si>
  <si>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</si>
  <si>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</si>
  <si>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</si>
  <si>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</si>
  <si>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</si>
  <si>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</si>
  <si>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</si>
  <si>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</si>
  <si>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</si>
  <si>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</si>
  <si>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</si>
  <si>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</si>
  <si>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</si>
  <si>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</si>
  <si>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</si>
  <si>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</si>
  <si>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</si>
  <si>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</si>
  <si>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</si>
  <si>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</si>
  <si>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</si>
  <si>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</si>
  <si>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</si>
  <si>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</si>
  <si>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</si>
  <si>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</si>
  <si>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</si>
  <si>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</si>
  <si>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</si>
  <si>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</si>
  <si>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</si>
  <si>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</si>
  <si>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</si>
  <si>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</si>
  <si>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</si>
  <si>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</si>
  <si>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</si>
  <si>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</si>
  <si>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</si>
  <si>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</si>
  <si>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</si>
  <si>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</si>
  <si>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</si>
  <si>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</si>
  <si>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</si>
  <si>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</si>
  <si>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</si>
  <si>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</si>
  <si>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</si>
  <si>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</si>
  <si>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</si>
  <si>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</si>
  <si>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</si>
  <si>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</si>
  <si>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</si>
  <si>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</si>
  <si>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</si>
  <si>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</si>
  <si>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</si>
  <si>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</si>
  <si>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</si>
  <si>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</si>
  <si>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</si>
  <si>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</si>
  <si>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</si>
  <si>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</si>
  <si>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</si>
  <si>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</si>
  <si>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</si>
  <si>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</si>
  <si>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</si>
  <si>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</si>
  <si>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</si>
  <si>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</si>
  <si>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</si>
  <si>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</si>
  <si>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</si>
  <si>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</si>
  <si>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</si>
  <si>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</si>
  <si>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</si>
  <si>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</si>
  <si>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</si>
  <si>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</si>
  <si>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</si>
  <si>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</si>
  <si>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</si>
  <si>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</si>
  <si>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</si>
  <si>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</si>
  <si>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</si>
  <si>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</si>
  <si>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</si>
  <si>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</si>
  <si>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</si>
  <si>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</si>
  <si>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</si>
  <si>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</si>
  <si>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</si>
  <si>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</si>
  <si>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</si>
  <si>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</si>
  <si>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</si>
  <si>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</si>
  <si>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</si>
  <si>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</si>
  <si>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</si>
  <si>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</si>
  <si>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</si>
  <si>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</si>
  <si>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</si>
  <si>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</si>
  <si>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</si>
  <si>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</si>
  <si>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</si>
  <si>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</si>
  <si>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</si>
  <si>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</si>
  <si>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</si>
  <si>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</si>
  <si>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</si>
  <si>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</si>
  <si>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</si>
  <si>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</si>
  <si>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</si>
  <si>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</si>
  <si>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</si>
  <si>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</si>
  <si>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</si>
  <si>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</si>
  <si>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</si>
  <si>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</si>
  <si>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</si>
  <si>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</si>
  <si>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</si>
  <si>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</si>
  <si>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</si>
  <si>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</si>
  <si>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</si>
  <si>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</si>
  <si>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</si>
  <si>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</si>
  <si>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</si>
  <si>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</si>
  <si>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</si>
  <si>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</si>
  <si>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</si>
  <si>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</si>
  <si>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</si>
  <si>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</si>
  <si>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</si>
  <si>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</si>
  <si>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</si>
  <si>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</si>
  <si>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</si>
  <si>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</si>
  <si>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</si>
  <si>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</si>
  <si>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</si>
  <si>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</si>
  <si>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</si>
  <si>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</si>
  <si>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</si>
  <si>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</si>
  <si>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</si>
  <si>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</si>
  <si>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</si>
  <si>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</si>
  <si>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</si>
  <si>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</si>
  <si>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</si>
  <si>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</si>
  <si>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</si>
  <si>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</si>
  <si>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</si>
  <si>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</si>
  <si>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</si>
  <si>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</si>
  <si>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</si>
  <si>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</si>
  <si>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</si>
  <si>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</si>
  <si>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</si>
  <si>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</si>
  <si>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</si>
  <si>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</si>
  <si>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</si>
  <si>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</si>
  <si>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</si>
  <si>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</si>
  <si>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</si>
  <si>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</si>
  <si>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</si>
  <si>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</si>
  <si>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</si>
  <si>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</si>
  <si>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</si>
  <si>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</si>
  <si>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</si>
  <si>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</si>
  <si>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</si>
  <si>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</si>
  <si>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</si>
  <si>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</si>
  <si>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</si>
  <si>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</si>
  <si>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</si>
  <si>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</si>
  <si>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</si>
  <si>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</si>
  <si>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</si>
  <si>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</si>
  <si>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</si>
  <si>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</si>
  <si>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</si>
  <si>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</si>
  <si>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</si>
  <si>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</si>
  <si>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</si>
  <si>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</si>
  <si>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Deffered Revenue</t>
  </si>
  <si>
    <t xml:space="preserve">Chosen Growth Rate: </t>
  </si>
  <si>
    <t>FCFF Selected</t>
  </si>
  <si>
    <t>FCFE Selected</t>
  </si>
  <si>
    <t>Debt Analysis Source</t>
  </si>
  <si>
    <t>Custom Spreadsheet</t>
  </si>
  <si>
    <t>Current Debt</t>
  </si>
  <si>
    <t>Average Cost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</si>
</sst>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0" fontId="2" fillId="0" borderId="0" xfId="0" applyFont="1" applyAlignment="1">
      <alignment horizontal="center"/>
    </xf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D34"/>
  <sheetViews>
    <sheetView tabSelected="1" topLeftCell="P1" workbookViewId="0">
      <selection activeCell="T5" sqref="T5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</cols>
  <sheetData>
    <row r="1" spans="1:30" x14ac:dyDescent="0.3">
      <c r="A1" s="2" t="s">
        <v>64</v>
      </c>
      <c r="B1" s="4">
        <f>'FCFF &amp; FCFE'!J9</f>
        <v>0</v>
      </c>
      <c r="O1" s="55" t="s">
        <v>25</v>
      </c>
      <c r="X1" s="64" t="s">
        <v>320</v>
      </c>
      <c r="Y1" s="12" t="s">
        <v>321</v>
      </c>
    </row>
    <row r="2" spans="1:30" x14ac:dyDescent="0.3">
      <c r="A2" s="2" t="s">
        <v>63</v>
      </c>
      <c r="B2" s="4">
        <f>'FCFF &amp; FCFE'!J8</f>
        <v>0</v>
      </c>
      <c r="P2" s="36"/>
      <c r="S2" s="2" t="s">
        <v>98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</row>
    <row r="3" spans="1:30" x14ac:dyDescent="0.3">
      <c r="F3" s="8"/>
      <c r="G3" s="29"/>
      <c r="P3" s="36"/>
      <c r="S3" s="68" t="s">
        <v>102</v>
      </c>
      <c r="T3" s="4">
        <f>SUM('Debt Template'!B3:B628)</f>
        <v>0</v>
      </c>
      <c r="Y3" s="65" t="s">
        <v>322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0" x14ac:dyDescent="0.3">
      <c r="A4" t="s">
        <v>118</v>
      </c>
      <c r="B4" s="12" t="s">
        <v>63</v>
      </c>
      <c r="P4" s="36"/>
      <c r="S4" s="68" t="s">
        <v>103</v>
      </c>
      <c r="T4" s="69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0" x14ac:dyDescent="0.3">
      <c r="A5" t="s">
        <v>119</v>
      </c>
      <c r="B5" s="4">
        <f>IF(B4="FCFF",B2,B1)</f>
        <v>0</v>
      </c>
      <c r="O5" s="2" t="s">
        <v>105</v>
      </c>
      <c r="P5" s="57" t="e">
        <f>AVERAGE(P2:P4)</f>
        <v>#DIV/0!</v>
      </c>
      <c r="S5" s="68" t="s">
        <v>104</v>
      </c>
      <c r="T5" s="67" t="e">
        <f ca="1">T4(1-P14)</f>
        <v>#REF!</v>
      </c>
      <c r="Y5" s="2" t="s">
        <v>77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0" x14ac:dyDescent="0.3">
      <c r="A6" t="str">
        <f>IF(B4="FCFF", "WACC", "Cost of Equity")</f>
        <v>WACC</v>
      </c>
      <c r="B6" s="11" t="e">
        <f ca="1">IF(B4="FCFF",P20,P19)</f>
        <v>#REF!</v>
      </c>
      <c r="C6" s="8"/>
      <c r="Y6" s="64" t="s">
        <v>116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0" x14ac:dyDescent="0.3">
      <c r="A7" t="s">
        <v>120</v>
      </c>
      <c r="B7" s="12"/>
      <c r="O7" s="37" t="s">
        <v>106</v>
      </c>
      <c r="Y7" s="64" t="s">
        <v>323</v>
      </c>
      <c r="Z7" t="e">
        <f>AVERAGE(Z6:AD6)</f>
        <v>#DIV/0!</v>
      </c>
    </row>
    <row r="8" spans="1:30" x14ac:dyDescent="0.3">
      <c r="A8" t="s">
        <v>33</v>
      </c>
      <c r="B8" s="61"/>
      <c r="O8" t="s">
        <v>25</v>
      </c>
      <c r="P8" s="6" t="e">
        <f>P5</f>
        <v>#DIV/0!</v>
      </c>
      <c r="Y8" s="64" t="s">
        <v>104</v>
      </c>
      <c r="Z8" s="66" t="e">
        <f>Z7*(1-P14)</f>
        <v>#DIV/0!</v>
      </c>
    </row>
    <row r="9" spans="1:30" x14ac:dyDescent="0.3">
      <c r="O9" t="s">
        <v>107</v>
      </c>
      <c r="P9" s="13"/>
    </row>
    <row r="10" spans="1:30" x14ac:dyDescent="0.3">
      <c r="A10" t="s">
        <v>50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108</v>
      </c>
      <c r="P10" s="38">
        <f>T3</f>
        <v>0</v>
      </c>
    </row>
    <row r="11" spans="1:30" x14ac:dyDescent="0.3">
      <c r="A11" t="s">
        <v>40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47</v>
      </c>
      <c r="O11" t="s">
        <v>109</v>
      </c>
      <c r="P11" s="22">
        <f>VLOOKUP("Shares Mil", 'Key Ratios'!1:1048576,2,FALSE)/100</f>
        <v>0</v>
      </c>
    </row>
    <row r="12" spans="1:30" x14ac:dyDescent="0.3">
      <c r="A12" t="s">
        <v>41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110</v>
      </c>
      <c r="P12" s="7"/>
    </row>
    <row r="13" spans="1:30" x14ac:dyDescent="0.3">
      <c r="A13" t="s">
        <v>130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 ca="1">(HLOOKUP(B7,B11:K13,3)*(1+L12))/(B6-B8)</f>
        <v>#N/A</v>
      </c>
      <c r="O13" t="s">
        <v>111</v>
      </c>
      <c r="P13" s="4">
        <f>P11*P12</f>
        <v>0</v>
      </c>
    </row>
    <row r="14" spans="1:30" x14ac:dyDescent="0.3">
      <c r="A14" t="s">
        <v>131</v>
      </c>
      <c r="B14" s="38" t="e">
        <f ca="1">B13/(1+$B$6)^B11</f>
        <v>#REF!</v>
      </c>
      <c r="C14" s="38" t="e">
        <f t="shared" ref="C14:K14" ca="1" si="2">C13/(1+$B$6)^C11</f>
        <v>#REF!</v>
      </c>
      <c r="D14" s="38" t="e">
        <f t="shared" ca="1" si="2"/>
        <v>#REF!</v>
      </c>
      <c r="E14" s="38" t="e">
        <f t="shared" ca="1" si="2"/>
        <v>#REF!</v>
      </c>
      <c r="F14" s="38" t="e">
        <f t="shared" ca="1" si="2"/>
        <v>#REF!</v>
      </c>
      <c r="G14" s="40" t="e">
        <f t="shared" ca="1" si="2"/>
        <v>#REF!</v>
      </c>
      <c r="H14" s="40" t="e">
        <f t="shared" ca="1" si="2"/>
        <v>#REF!</v>
      </c>
      <c r="I14" s="40" t="e">
        <f t="shared" ca="1" si="2"/>
        <v>#REF!</v>
      </c>
      <c r="J14" s="40" t="e">
        <f t="shared" ca="1" si="2"/>
        <v>#REF!</v>
      </c>
      <c r="K14" s="40" t="e">
        <f t="shared" ca="1" si="2"/>
        <v>#REF!</v>
      </c>
      <c r="L14" s="38" t="e">
        <f ca="1">L13/(1+B6)^HLOOKUP(B7,B11:K13,1)</f>
        <v>#N/A</v>
      </c>
      <c r="O14" t="s">
        <v>112</v>
      </c>
      <c r="P14" s="39">
        <f>'FCFF &amp; FCFE'!J1</f>
        <v>0</v>
      </c>
    </row>
    <row r="15" spans="1:30" x14ac:dyDescent="0.3">
      <c r="O15" t="s">
        <v>114</v>
      </c>
      <c r="P15" s="11" t="e">
        <f>P10/(P10+P13)</f>
        <v>#DIV/0!</v>
      </c>
    </row>
    <row r="16" spans="1:30" x14ac:dyDescent="0.3">
      <c r="O16" t="s">
        <v>113</v>
      </c>
      <c r="P16" s="8" t="e">
        <f>1-P15</f>
        <v>#DIV/0!</v>
      </c>
    </row>
    <row r="17" spans="1:16" x14ac:dyDescent="0.3">
      <c r="A17" t="s">
        <v>121</v>
      </c>
      <c r="B17" s="38" t="e">
        <f ca="1">SUM(B14:L14)</f>
        <v>#REF!</v>
      </c>
      <c r="O17" t="s">
        <v>115</v>
      </c>
      <c r="P17" s="13"/>
    </row>
    <row r="18" spans="1:16" x14ac:dyDescent="0.3">
      <c r="A18" t="s">
        <v>15</v>
      </c>
      <c r="B18" s="4">
        <f>Multiples!H6</f>
        <v>0</v>
      </c>
      <c r="O18" t="s">
        <v>116</v>
      </c>
      <c r="P18" s="8" t="e">
        <f ca="1">IF(Y1="Custom Spreadsheet",T5,Z8)</f>
        <v>#REF!</v>
      </c>
    </row>
    <row r="19" spans="1:16" x14ac:dyDescent="0.3">
      <c r="A19" t="s">
        <v>122</v>
      </c>
      <c r="B19" s="5" t="e">
        <f ca="1">B17-B18</f>
        <v>#REF!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117</v>
      </c>
      <c r="P20" s="56" t="e">
        <f ca="1">(P18*P15)+(P19*P16)</f>
        <v>#REF!</v>
      </c>
    </row>
    <row r="21" spans="1:16" ht="15" thickBot="1" x14ac:dyDescent="0.35">
      <c r="A21" s="31" t="s">
        <v>48</v>
      </c>
      <c r="B21" s="41" t="e">
        <f ca="1">B19/P11</f>
        <v>#REF!</v>
      </c>
      <c r="C21" s="42" t="e">
        <f ca="1">B21/P12-1</f>
        <v>#REF!</v>
      </c>
    </row>
    <row r="24" spans="1:16" x14ac:dyDescent="0.3">
      <c r="A24" s="32" t="s">
        <v>123</v>
      </c>
      <c r="B24" s="32" t="s">
        <v>124</v>
      </c>
      <c r="C24" s="32" t="s">
        <v>125</v>
      </c>
      <c r="D24" s="32" t="s">
        <v>126</v>
      </c>
      <c r="G24" s="50"/>
      <c r="H24" s="71" t="s">
        <v>134</v>
      </c>
      <c r="I24" s="71"/>
      <c r="J24" s="71"/>
      <c r="K24" s="71"/>
      <c r="L24" s="71"/>
      <c r="M24" s="71"/>
      <c r="N24" s="71"/>
    </row>
    <row r="25" spans="1:16" x14ac:dyDescent="0.3">
      <c r="A25" s="33" t="s">
        <v>127</v>
      </c>
      <c r="B25" s="43" t="e">
        <f ca="1">B21</f>
        <v>#REF!</v>
      </c>
      <c r="C25" s="44" t="e">
        <f ca="1">C21</f>
        <v>#REF!</v>
      </c>
      <c r="D25" s="46">
        <v>0.8</v>
      </c>
      <c r="H25" s="70" t="s">
        <v>132</v>
      </c>
      <c r="I25" s="70"/>
      <c r="J25" s="70"/>
      <c r="K25" s="70"/>
      <c r="L25" s="70"/>
      <c r="M25" s="70"/>
      <c r="N25" s="70"/>
    </row>
    <row r="26" spans="1:16" ht="15" customHeight="1" x14ac:dyDescent="0.3">
      <c r="A26" s="33" t="s">
        <v>129</v>
      </c>
      <c r="B26" s="43">
        <f>Multiples!A8</f>
        <v>0</v>
      </c>
      <c r="C26" s="45" t="e">
        <f>B26/P12-1</f>
        <v>#DIV/0!</v>
      </c>
      <c r="D26" s="46">
        <v>0.2</v>
      </c>
      <c r="F26" s="72" t="s">
        <v>133</v>
      </c>
      <c r="G26" s="51" t="e">
        <f ca="1">B28</f>
        <v>#REF!</v>
      </c>
      <c r="H26" s="53">
        <v>-0.09</v>
      </c>
      <c r="I26" s="53">
        <v>-0.06</v>
      </c>
      <c r="J26" s="53">
        <v>-0.03</v>
      </c>
      <c r="K26" s="53">
        <v>0</v>
      </c>
      <c r="L26" s="53">
        <v>0.03</v>
      </c>
      <c r="M26" s="53">
        <v>0.06</v>
      </c>
      <c r="N26" s="53">
        <v>0.09</v>
      </c>
    </row>
    <row r="27" spans="1:16" ht="15" customHeight="1" x14ac:dyDescent="0.3">
      <c r="A27" s="33" t="s">
        <v>128</v>
      </c>
      <c r="B27" s="43" t="e">
        <f>DDM!B18</f>
        <v>#N/A</v>
      </c>
      <c r="C27" s="45" t="e">
        <f>B27/P12-1</f>
        <v>#N/A</v>
      </c>
      <c r="D27" s="46">
        <v>0</v>
      </c>
      <c r="F27" s="72"/>
      <c r="G27" s="8">
        <v>5.5E-2</v>
      </c>
      <c r="H27" s="54" t="e">
        <f t="dataTable" ref="H27:N34" dt2D="1" dtr="1" r1="B12" r2="B6" ca="1"/>
        <v>#N/A</v>
      </c>
      <c r="I27" s="54" t="e">
        <v>#N/A</v>
      </c>
      <c r="J27" s="54" t="e">
        <v>#N/A</v>
      </c>
      <c r="K27" s="54" t="e">
        <v>#N/A</v>
      </c>
      <c r="L27" s="54" t="e">
        <v>#N/A</v>
      </c>
      <c r="M27" s="54" t="e">
        <v>#N/A</v>
      </c>
      <c r="N27" s="54" t="e">
        <v>#N/A</v>
      </c>
    </row>
    <row r="28" spans="1:16" ht="15" thickBot="1" x14ac:dyDescent="0.35">
      <c r="A28" s="34" t="s">
        <v>3</v>
      </c>
      <c r="B28" s="48" t="e">
        <f ca="1">(B25*D25)+(B26*D26)+(B27*D27)</f>
        <v>#REF!</v>
      </c>
      <c r="C28" s="49" t="e">
        <f ca="1">B28/P12-1</f>
        <v>#REF!</v>
      </c>
      <c r="D28" s="47">
        <f>SUM(D25:D27)</f>
        <v>1</v>
      </c>
      <c r="F28" s="72"/>
      <c r="G28" s="8">
        <v>0.06</v>
      </c>
      <c r="H28" s="54" t="e">
        <v>#N/A</v>
      </c>
      <c r="I28" s="54" t="e">
        <v>#N/A</v>
      </c>
      <c r="J28" s="54" t="e">
        <v>#N/A</v>
      </c>
      <c r="K28" s="54" t="e">
        <v>#N/A</v>
      </c>
      <c r="L28" s="54" t="e">
        <v>#N/A</v>
      </c>
      <c r="M28" s="54" t="e">
        <v>#N/A</v>
      </c>
      <c r="N28" s="54" t="e">
        <v>#N/A</v>
      </c>
    </row>
    <row r="29" spans="1:16" ht="15" thickTop="1" x14ac:dyDescent="0.3">
      <c r="F29" s="72"/>
      <c r="G29" s="8">
        <f>G28+0.005</f>
        <v>6.5000000000000002E-2</v>
      </c>
      <c r="H29" s="54" t="e">
        <v>#N/A</v>
      </c>
      <c r="I29" s="54" t="e">
        <v>#N/A</v>
      </c>
      <c r="J29" s="54" t="e">
        <v>#N/A</v>
      </c>
      <c r="K29" s="54" t="e">
        <v>#N/A</v>
      </c>
      <c r="L29" s="54" t="e">
        <v>#N/A</v>
      </c>
      <c r="M29" s="54" t="e">
        <v>#N/A</v>
      </c>
      <c r="N29" s="54" t="e">
        <v>#N/A</v>
      </c>
    </row>
    <row r="30" spans="1:16" x14ac:dyDescent="0.3">
      <c r="F30" s="72"/>
      <c r="G30" s="8">
        <f t="shared" ref="G30:G33" si="3">G29+0.005</f>
        <v>7.0000000000000007E-2</v>
      </c>
      <c r="H30" s="54" t="e">
        <v>#N/A</v>
      </c>
      <c r="I30" s="54" t="e">
        <v>#N/A</v>
      </c>
      <c r="J30" s="54" t="e">
        <v>#N/A</v>
      </c>
      <c r="K30" s="54" t="e">
        <v>#N/A</v>
      </c>
      <c r="L30" s="54" t="e">
        <v>#N/A</v>
      </c>
      <c r="M30" s="54" t="e">
        <v>#N/A</v>
      </c>
      <c r="N30" s="54" t="e">
        <v>#N/A</v>
      </c>
    </row>
    <row r="31" spans="1:16" x14ac:dyDescent="0.3">
      <c r="F31" s="72"/>
      <c r="G31" s="8">
        <f t="shared" si="3"/>
        <v>7.5000000000000011E-2</v>
      </c>
      <c r="H31" s="54" t="e">
        <v>#N/A</v>
      </c>
      <c r="I31" s="54" t="e">
        <v>#N/A</v>
      </c>
      <c r="J31" s="54" t="e">
        <v>#N/A</v>
      </c>
      <c r="K31" s="54" t="e">
        <v>#N/A</v>
      </c>
      <c r="L31" s="54" t="e">
        <v>#N/A</v>
      </c>
      <c r="M31" s="54" t="e">
        <v>#N/A</v>
      </c>
      <c r="N31" s="54" t="e">
        <v>#N/A</v>
      </c>
    </row>
    <row r="32" spans="1:16" x14ac:dyDescent="0.3">
      <c r="F32" s="72"/>
      <c r="G32" s="8">
        <f t="shared" si="3"/>
        <v>8.0000000000000016E-2</v>
      </c>
      <c r="H32" s="54" t="e">
        <v>#N/A</v>
      </c>
      <c r="I32" s="54" t="e">
        <v>#N/A</v>
      </c>
      <c r="J32" s="54" t="e">
        <v>#N/A</v>
      </c>
      <c r="K32" s="54" t="e">
        <v>#N/A</v>
      </c>
      <c r="L32" s="54" t="e">
        <v>#N/A</v>
      </c>
      <c r="M32" s="54" t="e">
        <v>#N/A</v>
      </c>
      <c r="N32" s="54" t="e">
        <v>#N/A</v>
      </c>
    </row>
    <row r="33" spans="6:14" x14ac:dyDescent="0.3">
      <c r="F33" s="72"/>
      <c r="G33" s="8">
        <f t="shared" si="3"/>
        <v>8.500000000000002E-2</v>
      </c>
      <c r="H33" s="54" t="e">
        <v>#N/A</v>
      </c>
      <c r="I33" s="54" t="e">
        <v>#N/A</v>
      </c>
      <c r="J33" s="54" t="e">
        <v>#N/A</v>
      </c>
      <c r="K33" s="54" t="e">
        <v>#N/A</v>
      </c>
      <c r="L33" s="54" t="e">
        <v>#N/A</v>
      </c>
      <c r="M33" s="54" t="e">
        <v>#N/A</v>
      </c>
      <c r="N33" s="54" t="e">
        <v>#N/A</v>
      </c>
    </row>
    <row r="34" spans="6:14" x14ac:dyDescent="0.3">
      <c r="F34" s="72"/>
      <c r="G34" s="8">
        <v>0.09</v>
      </c>
      <c r="H34" s="54" t="e">
        <v>#N/A</v>
      </c>
      <c r="I34" s="54" t="e">
        <v>#N/A</v>
      </c>
      <c r="J34" s="54" t="e">
        <v>#N/A</v>
      </c>
      <c r="K34" s="54" t="e">
        <v>#N/A</v>
      </c>
      <c r="L34" s="54" t="e">
        <v>#N/A</v>
      </c>
      <c r="M34" s="54" t="e">
        <v>#N/A</v>
      </c>
      <c r="N34" s="54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33D063B7-09F7-4604-9061-8CCE50158D64}">
      <formula1>"Financial Statements,Custom Spreadsheet"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D12" sqref="D12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-VLOOKUP("Cash", 'Balance Sheet (Annual)'!A1:DJ60, 2,FALSE)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topLeftCell="B1" workbookViewId="0">
      <selection activeCell="B8" sqref="B8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E1" t="s">
        <v>24</v>
      </c>
      <c r="H1" t="s">
        <v>26</v>
      </c>
    </row>
    <row r="2" spans="1:12" x14ac:dyDescent="0.3">
      <c r="E2" t="s">
        <v>25</v>
      </c>
      <c r="F2">
        <v>1.1100000000000001</v>
      </c>
      <c r="H2" s="9" t="s">
        <v>28</v>
      </c>
    </row>
    <row r="3" spans="1:12" x14ac:dyDescent="0.3">
      <c r="A3" t="s">
        <v>22</v>
      </c>
      <c r="B3" s="7"/>
      <c r="E3" t="s">
        <v>30</v>
      </c>
      <c r="F3" s="8">
        <v>5.2200000000000003E-2</v>
      </c>
      <c r="H3" s="9" t="s">
        <v>27</v>
      </c>
    </row>
    <row r="4" spans="1:12" x14ac:dyDescent="0.3">
      <c r="A4" t="s">
        <v>23</v>
      </c>
      <c r="B4" s="11">
        <f>F4+(F2*F3)</f>
        <v>7.3572000000000012E-2</v>
      </c>
      <c r="E4" t="s">
        <v>29</v>
      </c>
      <c r="F4" s="10">
        <v>1.5630000000000002E-2</v>
      </c>
      <c r="H4" s="9" t="s">
        <v>31</v>
      </c>
    </row>
    <row r="5" spans="1:12" x14ac:dyDescent="0.3">
      <c r="A5" t="s">
        <v>32</v>
      </c>
      <c r="B5" s="12"/>
    </row>
    <row r="6" spans="1:12" x14ac:dyDescent="0.3">
      <c r="A6" t="s">
        <v>34</v>
      </c>
      <c r="B6" s="13"/>
      <c r="E6" t="s">
        <v>37</v>
      </c>
      <c r="F6" s="11"/>
    </row>
    <row r="7" spans="1:12" x14ac:dyDescent="0.3">
      <c r="A7" t="s">
        <v>33</v>
      </c>
      <c r="B7" s="8">
        <v>0</v>
      </c>
      <c r="E7" t="s">
        <v>35</v>
      </c>
      <c r="F7" s="11">
        <f>0.73/0.665-1</f>
        <v>9.7744360902255467E-2</v>
      </c>
      <c r="G7" s="11">
        <f>0.8/0.73-1</f>
        <v>9.5890410958904271E-2</v>
      </c>
      <c r="H7" s="11">
        <f>(F7+G7)/2</f>
        <v>9.6817385930579869E-2</v>
      </c>
    </row>
    <row r="8" spans="1:12" x14ac:dyDescent="0.3">
      <c r="A8" t="s">
        <v>38</v>
      </c>
      <c r="B8" s="8">
        <f>B4-B7</f>
        <v>7.3572000000000012E-2</v>
      </c>
      <c r="E8" t="s">
        <v>36</v>
      </c>
      <c r="F8" s="11">
        <f>0.88/0.8-1</f>
        <v>9.9999999999999867E-2</v>
      </c>
      <c r="G8" s="11">
        <f>0.97/0.88-1</f>
        <v>0.10227272727272729</v>
      </c>
      <c r="H8" s="11">
        <f>(F8+G8)/2</f>
        <v>0.10113636363636358</v>
      </c>
    </row>
    <row r="9" spans="1:12" x14ac:dyDescent="0.3">
      <c r="H9" s="11">
        <f>(H7+H8)/2</f>
        <v>9.8976874783471724E-2</v>
      </c>
    </row>
    <row r="11" spans="1:12" x14ac:dyDescent="0.3">
      <c r="A11" s="2" t="s">
        <v>39</v>
      </c>
      <c r="B11" t="s">
        <v>42</v>
      </c>
      <c r="C11" t="s">
        <v>43</v>
      </c>
      <c r="D11" t="s">
        <v>44</v>
      </c>
    </row>
    <row r="12" spans="1:12" x14ac:dyDescent="0.3">
      <c r="A12" t="s">
        <v>40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47</v>
      </c>
    </row>
    <row r="13" spans="1:12" x14ac:dyDescent="0.3">
      <c r="A13" t="s">
        <v>41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45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46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48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3" t="s">
        <v>63</v>
      </c>
      <c r="B1" s="73"/>
      <c r="D1" s="73" t="s">
        <v>64</v>
      </c>
      <c r="E1" s="73"/>
      <c r="I1" t="s">
        <v>71</v>
      </c>
      <c r="J1" s="23">
        <f>VLOOKUP("Tax Rate %", 'Key Ratios'!1:1048576,2,FALSE)/100</f>
        <v>0</v>
      </c>
    </row>
    <row r="3" spans="1:10" x14ac:dyDescent="0.3">
      <c r="A3" s="73" t="s">
        <v>65</v>
      </c>
      <c r="B3" s="73"/>
      <c r="D3" s="73" t="s">
        <v>65</v>
      </c>
      <c r="E3" s="73"/>
      <c r="I3" t="s">
        <v>73</v>
      </c>
      <c r="J3" s="12">
        <f>VLOOKUP("Debt Issued",'Cash Flow Statement'!1:1048576,2,FALSE)</f>
        <v>0</v>
      </c>
    </row>
    <row r="4" spans="1:10" x14ac:dyDescent="0.3">
      <c r="A4" t="s">
        <v>66</v>
      </c>
      <c r="B4" s="22">
        <f>VLOOKUP("Net income available to common shareholders",'Income Statement'!A2:AE36,2,FALSE)</f>
        <v>0</v>
      </c>
      <c r="D4" t="s">
        <v>66</v>
      </c>
      <c r="E4">
        <f>B4</f>
        <v>0</v>
      </c>
      <c r="I4" t="s">
        <v>74</v>
      </c>
      <c r="J4" s="12">
        <f>VLOOKUP("Debt Repayment",'Cash Flow Statement'!1:1048576,2,FALSE)</f>
        <v>0</v>
      </c>
    </row>
    <row r="5" spans="1:10" ht="15" thickBot="1" x14ac:dyDescent="0.35">
      <c r="A5" t="s">
        <v>67</v>
      </c>
      <c r="B5" s="22">
        <f>VLOOKUP("Depreciation &amp; amortization",'Cash Flow Statement'!1:1048576,2,FALSE)</f>
        <v>0</v>
      </c>
      <c r="D5" t="s">
        <v>67</v>
      </c>
      <c r="E5">
        <f>B5</f>
        <v>0</v>
      </c>
      <c r="I5" s="24" t="s">
        <v>72</v>
      </c>
      <c r="J5" s="24">
        <f>SUM(J3:J4)</f>
        <v>0</v>
      </c>
    </row>
    <row r="6" spans="1:10" ht="15" thickTop="1" x14ac:dyDescent="0.3">
      <c r="A6" t="s">
        <v>68</v>
      </c>
      <c r="B6" s="22">
        <f>-'Change WC'!B18</f>
        <v>0</v>
      </c>
      <c r="D6" t="s">
        <v>68</v>
      </c>
      <c r="E6">
        <f>B6</f>
        <v>0</v>
      </c>
    </row>
    <row r="7" spans="1:10" x14ac:dyDescent="0.3">
      <c r="A7" t="s">
        <v>69</v>
      </c>
      <c r="B7" s="22">
        <f>VLOOKUP("Capital expenditure",'Cash Flow Statement'!1:1048576,2,FALSE)</f>
        <v>0</v>
      </c>
      <c r="D7" t="s">
        <v>69</v>
      </c>
      <c r="E7">
        <f>B7</f>
        <v>0</v>
      </c>
    </row>
    <row r="8" spans="1:10" ht="15.6" x14ac:dyDescent="0.3">
      <c r="A8" t="s">
        <v>70</v>
      </c>
      <c r="B8" s="22">
        <f>VLOOKUP("Interest Expense",'Income Statement'!A2:AE36,2,FALSE) * (1-J1)</f>
        <v>0</v>
      </c>
      <c r="D8" t="s">
        <v>72</v>
      </c>
      <c r="E8" s="12">
        <f>J5</f>
        <v>0</v>
      </c>
      <c r="I8" s="62" t="s">
        <v>318</v>
      </c>
      <c r="J8" s="63">
        <f>MIN(B9,B16,B24,B34)</f>
        <v>0</v>
      </c>
    </row>
    <row r="9" spans="1:10" ht="16.2" thickBot="1" x14ac:dyDescent="0.35">
      <c r="A9" s="24" t="s">
        <v>63</v>
      </c>
      <c r="B9" s="25">
        <f>SUM(B4:B8)</f>
        <v>0</v>
      </c>
      <c r="D9" s="24" t="s">
        <v>64</v>
      </c>
      <c r="E9" s="24">
        <f>SUM(E4:E8)</f>
        <v>0</v>
      </c>
      <c r="I9" s="62" t="s">
        <v>319</v>
      </c>
      <c r="J9" s="63">
        <f>MIN(E9,E18,E24,E36)</f>
        <v>0</v>
      </c>
    </row>
    <row r="10" spans="1:10" ht="15" thickTop="1" x14ac:dyDescent="0.3"/>
    <row r="11" spans="1:10" x14ac:dyDescent="0.3">
      <c r="A11" s="73" t="s">
        <v>75</v>
      </c>
      <c r="B11" s="73"/>
      <c r="D11" s="73" t="s">
        <v>75</v>
      </c>
      <c r="E11" s="73"/>
    </row>
    <row r="12" spans="1:10" x14ac:dyDescent="0.3">
      <c r="A12" t="s">
        <v>80</v>
      </c>
      <c r="B12" s="22">
        <f>VLOOKUP("Operating Income",'Income Statement'!1:1048576,2,FALSE)*(1-J1)</f>
        <v>0</v>
      </c>
      <c r="D12" t="s">
        <v>80</v>
      </c>
      <c r="E12" s="21">
        <f>B12</f>
        <v>0</v>
      </c>
    </row>
    <row r="13" spans="1:10" x14ac:dyDescent="0.3">
      <c r="A13" t="s">
        <v>67</v>
      </c>
      <c r="B13">
        <f>B5</f>
        <v>0</v>
      </c>
      <c r="D13" t="s">
        <v>67</v>
      </c>
      <c r="E13">
        <f>B5</f>
        <v>0</v>
      </c>
    </row>
    <row r="14" spans="1:10" x14ac:dyDescent="0.3">
      <c r="A14" t="s">
        <v>76</v>
      </c>
      <c r="B14">
        <f>B6</f>
        <v>0</v>
      </c>
      <c r="D14" t="s">
        <v>68</v>
      </c>
      <c r="E14">
        <f>B6</f>
        <v>0</v>
      </c>
    </row>
    <row r="15" spans="1:10" x14ac:dyDescent="0.3">
      <c r="A15" t="s">
        <v>69</v>
      </c>
      <c r="B15">
        <f>B7</f>
        <v>0</v>
      </c>
      <c r="D15" t="s">
        <v>69</v>
      </c>
      <c r="E15">
        <f>B7</f>
        <v>0</v>
      </c>
    </row>
    <row r="16" spans="1:10" ht="15" thickBot="1" x14ac:dyDescent="0.35">
      <c r="A16" s="24" t="s">
        <v>63</v>
      </c>
      <c r="B16" s="25">
        <f>SUM(B12:B15)</f>
        <v>0</v>
      </c>
      <c r="D16" t="s">
        <v>70</v>
      </c>
      <c r="E16">
        <f>B8</f>
        <v>0</v>
      </c>
    </row>
    <row r="17" spans="1:5" ht="15" thickTop="1" x14ac:dyDescent="0.3">
      <c r="D17" t="s">
        <v>72</v>
      </c>
      <c r="E17">
        <f>E8</f>
        <v>0</v>
      </c>
    </row>
    <row r="18" spans="1:5" ht="15" thickBot="1" x14ac:dyDescent="0.35">
      <c r="D18" s="24" t="s">
        <v>64</v>
      </c>
      <c r="E18" s="25">
        <f>SUM(E12:E17)</f>
        <v>0</v>
      </c>
    </row>
    <row r="19" spans="1:5" ht="15" thickTop="1" x14ac:dyDescent="0.3"/>
    <row r="20" spans="1:5" x14ac:dyDescent="0.3">
      <c r="A20" s="73" t="s">
        <v>78</v>
      </c>
      <c r="B20" s="73"/>
      <c r="D20" s="73" t="s">
        <v>78</v>
      </c>
      <c r="E20" s="73"/>
    </row>
    <row r="21" spans="1:5" x14ac:dyDescent="0.3">
      <c r="A21" t="s">
        <v>78</v>
      </c>
      <c r="B21" s="22">
        <f>VLOOKUP("Operating cash flow",'Cash Flow Statement'!1:1048576,2,FALSE)</f>
        <v>0</v>
      </c>
      <c r="D21" t="s">
        <v>78</v>
      </c>
      <c r="E21">
        <f>B21</f>
        <v>0</v>
      </c>
    </row>
    <row r="22" spans="1:5" x14ac:dyDescent="0.3">
      <c r="A22" t="s">
        <v>70</v>
      </c>
      <c r="B22" s="21">
        <f>B8</f>
        <v>0</v>
      </c>
      <c r="D22" t="s">
        <v>69</v>
      </c>
      <c r="E22">
        <f>B7</f>
        <v>0</v>
      </c>
    </row>
    <row r="23" spans="1:5" x14ac:dyDescent="0.3">
      <c r="A23" t="s">
        <v>69</v>
      </c>
      <c r="B23" s="21">
        <f>B7</f>
        <v>0</v>
      </c>
      <c r="D23" t="s">
        <v>72</v>
      </c>
      <c r="E23">
        <f>E8</f>
        <v>0</v>
      </c>
    </row>
    <row r="24" spans="1:5" ht="15" thickBot="1" x14ac:dyDescent="0.35">
      <c r="A24" s="24" t="s">
        <v>63</v>
      </c>
      <c r="B24" s="25">
        <f>SUM(B21:B23)</f>
        <v>0</v>
      </c>
      <c r="D24" s="24" t="s">
        <v>64</v>
      </c>
      <c r="E24" s="24">
        <f>SUM(E21:E23)</f>
        <v>0</v>
      </c>
    </row>
    <row r="25" spans="1:5" ht="15" thickTop="1" x14ac:dyDescent="0.3"/>
    <row r="26" spans="1:5" x14ac:dyDescent="0.3">
      <c r="A26" s="73" t="s">
        <v>79</v>
      </c>
      <c r="B26" s="73"/>
      <c r="D26" s="73" t="s">
        <v>79</v>
      </c>
      <c r="E26" s="73"/>
    </row>
    <row r="27" spans="1:5" x14ac:dyDescent="0.3">
      <c r="A27" t="s">
        <v>80</v>
      </c>
      <c r="B27" s="21">
        <f>B12</f>
        <v>0</v>
      </c>
      <c r="D27" t="s">
        <v>80</v>
      </c>
      <c r="E27" s="21">
        <f>B12</f>
        <v>0</v>
      </c>
    </row>
    <row r="28" spans="1:5" x14ac:dyDescent="0.3">
      <c r="A28" t="s">
        <v>67</v>
      </c>
      <c r="B28">
        <f>B5</f>
        <v>0</v>
      </c>
      <c r="D28" t="s">
        <v>67</v>
      </c>
      <c r="E28">
        <f>B5</f>
        <v>0</v>
      </c>
    </row>
    <row r="29" spans="1:5" x14ac:dyDescent="0.3">
      <c r="A29" t="s">
        <v>81</v>
      </c>
      <c r="B29" s="12">
        <f>_xlfn.IFNA(VLOOKUP("Stock Compensation",'Cash Flow Statement'!1:1048576,2,FALSE),0)</f>
        <v>0</v>
      </c>
      <c r="D29" t="s">
        <v>81</v>
      </c>
      <c r="E29">
        <f>B29</f>
        <v>0</v>
      </c>
    </row>
    <row r="30" spans="1:5" x14ac:dyDescent="0.3">
      <c r="A30" t="s">
        <v>82</v>
      </c>
      <c r="B30" s="12">
        <f>_xlfn.IFNA(VLOOKUP(A30,'Cash Flow Statement'!1:1048576,2,FALSE),0)</f>
        <v>0</v>
      </c>
      <c r="D30" t="s">
        <v>82</v>
      </c>
      <c r="E30">
        <f>B30</f>
        <v>0</v>
      </c>
    </row>
    <row r="31" spans="1:5" x14ac:dyDescent="0.3">
      <c r="A31" t="s">
        <v>83</v>
      </c>
      <c r="B31" s="12">
        <f>_xlfn.IFNA(VLOOKUP("Deferred Income Taxes",'Cash Flow Statement'!1:1048576,2,FALSE),0)</f>
        <v>0</v>
      </c>
      <c r="D31" t="s">
        <v>83</v>
      </c>
      <c r="E31">
        <f>B31</f>
        <v>0</v>
      </c>
    </row>
    <row r="32" spans="1:5" x14ac:dyDescent="0.3">
      <c r="A32" t="s">
        <v>68</v>
      </c>
      <c r="B32">
        <f>B6</f>
        <v>0</v>
      </c>
      <c r="D32" t="s">
        <v>68</v>
      </c>
      <c r="E32">
        <f>B6</f>
        <v>0</v>
      </c>
    </row>
    <row r="33" spans="1:5" x14ac:dyDescent="0.3">
      <c r="A33" t="s">
        <v>69</v>
      </c>
      <c r="B33">
        <f>B7</f>
        <v>0</v>
      </c>
      <c r="D33" t="s">
        <v>69</v>
      </c>
      <c r="E33">
        <f>B7</f>
        <v>0</v>
      </c>
    </row>
    <row r="34" spans="1:5" ht="15" thickBot="1" x14ac:dyDescent="0.35">
      <c r="A34" s="24" t="s">
        <v>63</v>
      </c>
      <c r="B34" s="25">
        <f>SUM(B27:B33)</f>
        <v>0</v>
      </c>
      <c r="D34" t="s">
        <v>70</v>
      </c>
      <c r="E34">
        <f>B8</f>
        <v>0</v>
      </c>
    </row>
    <row r="35" spans="1:5" ht="15" thickTop="1" x14ac:dyDescent="0.3">
      <c r="D35" t="s">
        <v>72</v>
      </c>
      <c r="E35">
        <f>E8</f>
        <v>0</v>
      </c>
    </row>
    <row r="36" spans="1:5" ht="15" thickBot="1" x14ac:dyDescent="0.35">
      <c r="D36" s="24" t="s">
        <v>64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O18"/>
  <sheetViews>
    <sheetView workbookViewId="0">
      <selection activeCell="B18" sqref="B18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50</v>
      </c>
      <c r="B1" s="16">
        <f>'Key Ratios'!C2</f>
        <v>0</v>
      </c>
      <c r="C1" s="52">
        <f>'Key Ratios'!D2</f>
        <v>0</v>
      </c>
      <c r="D1" s="52">
        <f>'Key Ratios'!E2</f>
        <v>0</v>
      </c>
      <c r="E1" s="52">
        <f>'Key Ratios'!F2</f>
        <v>0</v>
      </c>
      <c r="F1" s="52">
        <f>'Key Ratios'!G2</f>
        <v>0</v>
      </c>
      <c r="G1" s="52">
        <f>'Key Ratios'!H2</f>
        <v>0</v>
      </c>
      <c r="H1" s="52">
        <f>'Key Ratios'!I2</f>
        <v>0</v>
      </c>
      <c r="I1" s="52">
        <f>'Key Ratios'!J2</f>
        <v>0</v>
      </c>
      <c r="J1" s="52">
        <f>'Key Ratios'!K2</f>
        <v>0</v>
      </c>
      <c r="K1" s="52">
        <f>'Key Ratios'!L2</f>
        <v>0</v>
      </c>
    </row>
    <row r="2" spans="1:15" x14ac:dyDescent="0.3">
      <c r="A2" t="s">
        <v>49</v>
      </c>
      <c r="B2" s="12">
        <f>'Key Ratios'!C10</f>
        <v>0</v>
      </c>
      <c r="C2" s="12">
        <f>'Key Ratios'!D10</f>
        <v>0</v>
      </c>
      <c r="D2" s="12">
        <f>'Key Ratios'!E10</f>
        <v>0</v>
      </c>
      <c r="E2" s="12">
        <f>'Key Ratios'!F10</f>
        <v>0</v>
      </c>
      <c r="F2" s="12">
        <f>'Key Ratios'!G10</f>
        <v>0</v>
      </c>
      <c r="G2" s="12">
        <f>'Key Ratios'!H10</f>
        <v>0</v>
      </c>
      <c r="H2" s="12">
        <f>'Key Ratios'!I10</f>
        <v>0</v>
      </c>
      <c r="I2" s="12">
        <f>'Key Ratios'!J10</f>
        <v>0</v>
      </c>
      <c r="J2" s="12">
        <f>'Key Ratios'!K10</f>
        <v>0</v>
      </c>
      <c r="K2" s="12">
        <f>'Key Ratios'!L10</f>
        <v>0</v>
      </c>
      <c r="O2" t="s">
        <v>54</v>
      </c>
    </row>
    <row r="3" spans="1:15" x14ac:dyDescent="0.3">
      <c r="A3" t="s">
        <v>51</v>
      </c>
      <c r="B3" s="12">
        <f>'Key Ratios'!C35</f>
        <v>0</v>
      </c>
      <c r="C3" s="12">
        <f>'Key Ratios'!D35</f>
        <v>0</v>
      </c>
      <c r="D3" s="12">
        <f>'Key Ratios'!E35</f>
        <v>0</v>
      </c>
      <c r="E3" s="12">
        <f>'Key Ratios'!F35</f>
        <v>0</v>
      </c>
      <c r="F3" s="12">
        <f>'Key Ratios'!G35</f>
        <v>0</v>
      </c>
      <c r="G3" s="12">
        <f>'Key Ratios'!H35</f>
        <v>0</v>
      </c>
      <c r="H3" s="12">
        <f>'Key Ratios'!I35</f>
        <v>0</v>
      </c>
      <c r="I3" s="12">
        <f>'Key Ratios'!J35</f>
        <v>0</v>
      </c>
      <c r="J3" s="12">
        <f>'Key Ratios'!K35</f>
        <v>0</v>
      </c>
      <c r="K3" s="12">
        <f>'Key Ratios'!L35</f>
        <v>0</v>
      </c>
      <c r="O3" t="s">
        <v>55</v>
      </c>
    </row>
    <row r="4" spans="1:15" x14ac:dyDescent="0.3">
      <c r="A4" t="s">
        <v>52</v>
      </c>
      <c r="B4" s="12">
        <f>'Key Ratios'!C37</f>
        <v>0</v>
      </c>
      <c r="C4" s="12">
        <f>'Key Ratios'!D37</f>
        <v>0</v>
      </c>
      <c r="D4" s="12">
        <f>'Key Ratios'!E37</f>
        <v>0</v>
      </c>
      <c r="E4" s="12">
        <f>'Key Ratios'!F37</f>
        <v>0</v>
      </c>
      <c r="F4" s="12">
        <f>'Key Ratios'!G37</f>
        <v>0</v>
      </c>
      <c r="G4" s="12">
        <f>'Key Ratios'!H37</f>
        <v>0</v>
      </c>
      <c r="H4" s="12">
        <f>'Key Ratios'!I37</f>
        <v>0</v>
      </c>
      <c r="I4" s="12">
        <f>'Key Ratios'!J37</f>
        <v>0</v>
      </c>
      <c r="J4" s="12">
        <f>'Key Ratios'!K37</f>
        <v>0</v>
      </c>
      <c r="K4" s="12">
        <f>'Key Ratios'!L37</f>
        <v>0</v>
      </c>
    </row>
    <row r="5" spans="1:15" x14ac:dyDescent="0.3">
      <c r="A5" t="s">
        <v>53</v>
      </c>
      <c r="B5" s="12">
        <f>'Key Ratios'!C38</f>
        <v>0</v>
      </c>
      <c r="C5" s="12">
        <f>'Key Ratios'!D38</f>
        <v>0</v>
      </c>
      <c r="D5" s="12">
        <f>'Key Ratios'!E38</f>
        <v>0</v>
      </c>
      <c r="E5" s="12">
        <f>'Key Ratios'!F38</f>
        <v>0</v>
      </c>
      <c r="F5" s="12">
        <f>'Key Ratios'!G38</f>
        <v>0</v>
      </c>
      <c r="G5" s="12">
        <f>'Key Ratios'!H38</f>
        <v>0</v>
      </c>
      <c r="H5" s="12">
        <f>'Key Ratios'!I38</f>
        <v>0</v>
      </c>
      <c r="I5" s="12">
        <f>'Key Ratios'!J38</f>
        <v>0</v>
      </c>
      <c r="J5" s="12">
        <f>'Key Ratios'!K38</f>
        <v>0</v>
      </c>
      <c r="K5" s="12">
        <f>'Key Ratios'!L38</f>
        <v>0</v>
      </c>
    </row>
    <row r="7" spans="1:15" x14ac:dyDescent="0.3">
      <c r="A7" t="s">
        <v>56</v>
      </c>
      <c r="B7" s="15">
        <f>1-(B2/100)</f>
        <v>1</v>
      </c>
      <c r="C7" s="15">
        <f t="shared" ref="C7:K7" si="0">1-(C2/100)</f>
        <v>1</v>
      </c>
      <c r="D7" s="15">
        <f t="shared" si="0"/>
        <v>1</v>
      </c>
      <c r="E7" s="15">
        <f t="shared" si="0"/>
        <v>1</v>
      </c>
      <c r="F7" s="15">
        <f t="shared" si="0"/>
        <v>1</v>
      </c>
      <c r="G7" s="15">
        <f t="shared" si="0"/>
        <v>1</v>
      </c>
      <c r="H7" s="15">
        <f t="shared" si="0"/>
        <v>1</v>
      </c>
      <c r="I7" s="15">
        <f t="shared" si="0"/>
        <v>1</v>
      </c>
      <c r="J7" s="15">
        <f t="shared" si="0"/>
        <v>1</v>
      </c>
      <c r="K7" s="15">
        <f t="shared" si="0"/>
        <v>1</v>
      </c>
    </row>
    <row r="8" spans="1:15" x14ac:dyDescent="0.3">
      <c r="A8" t="s">
        <v>51</v>
      </c>
      <c r="B8" s="15">
        <f>B3/100</f>
        <v>0</v>
      </c>
      <c r="C8" s="15">
        <f t="shared" ref="C8:K8" si="1">C3/100</f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15">
        <f t="shared" si="1"/>
        <v>0</v>
      </c>
      <c r="K8" s="15">
        <f t="shared" si="1"/>
        <v>0</v>
      </c>
    </row>
    <row r="9" spans="1:15" x14ac:dyDescent="0.3">
      <c r="A9" t="s">
        <v>52</v>
      </c>
      <c r="B9" s="15">
        <f>B4/100</f>
        <v>0</v>
      </c>
      <c r="C9" s="15">
        <f t="shared" ref="C9:K9" si="2">C4/100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</row>
    <row r="10" spans="1:15" x14ac:dyDescent="0.3">
      <c r="A10" t="s">
        <v>53</v>
      </c>
      <c r="B10" s="15">
        <f>B5/100</f>
        <v>0</v>
      </c>
      <c r="C10" s="15">
        <f t="shared" ref="C10:K10" si="3">C5/100</f>
        <v>0</v>
      </c>
      <c r="D10" s="15">
        <f t="shared" si="3"/>
        <v>0</v>
      </c>
      <c r="E10" s="15">
        <f t="shared" si="3"/>
        <v>0</v>
      </c>
      <c r="F10" s="15">
        <f t="shared" si="3"/>
        <v>0</v>
      </c>
      <c r="G10" s="15">
        <f t="shared" si="3"/>
        <v>0</v>
      </c>
      <c r="H10" s="15">
        <f t="shared" si="3"/>
        <v>0</v>
      </c>
      <c r="I10" s="15">
        <f t="shared" si="3"/>
        <v>0</v>
      </c>
      <c r="J10" s="15">
        <f t="shared" si="3"/>
        <v>0</v>
      </c>
      <c r="K10" s="15">
        <f t="shared" si="3"/>
        <v>0</v>
      </c>
    </row>
    <row r="11" spans="1:15" x14ac:dyDescent="0.3">
      <c r="M11" s="17" t="s">
        <v>58</v>
      </c>
    </row>
    <row r="12" spans="1:15" x14ac:dyDescent="0.3">
      <c r="A12" t="s">
        <v>57</v>
      </c>
      <c r="B12" s="20">
        <f>(B8*B7)/(1-(B8*B7))</f>
        <v>0</v>
      </c>
      <c r="C12" s="20">
        <f t="shared" ref="C12:K12" si="4">(C8*C7)/(1-(C8*C7))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20">
        <f t="shared" si="4"/>
        <v>0</v>
      </c>
      <c r="M12" s="18">
        <f>AVERAGE(B12:K12)</f>
        <v>0</v>
      </c>
    </row>
    <row r="13" spans="1:15" x14ac:dyDescent="0.3">
      <c r="A13" t="s">
        <v>59</v>
      </c>
      <c r="B13" s="20">
        <f>(B9*B7)/(1-(B9*B7))</f>
        <v>0</v>
      </c>
      <c r="C13" s="20">
        <f t="shared" ref="C13:K13" si="5">(C9*C7)/(1-(C9*C7))</f>
        <v>0</v>
      </c>
      <c r="D13" s="20">
        <f t="shared" si="5"/>
        <v>0</v>
      </c>
      <c r="E13" s="20">
        <f t="shared" si="5"/>
        <v>0</v>
      </c>
      <c r="F13" s="20">
        <f t="shared" si="5"/>
        <v>0</v>
      </c>
      <c r="G13" s="20">
        <f t="shared" si="5"/>
        <v>0</v>
      </c>
      <c r="H13" s="20">
        <f t="shared" si="5"/>
        <v>0</v>
      </c>
      <c r="I13" s="20">
        <f t="shared" si="5"/>
        <v>0</v>
      </c>
      <c r="J13" s="20">
        <f t="shared" si="5"/>
        <v>0</v>
      </c>
      <c r="K13" s="20">
        <f t="shared" si="5"/>
        <v>0</v>
      </c>
      <c r="M13" s="18">
        <f t="shared" ref="M13:M14" si="6">AVERAGE(B13:K13)</f>
        <v>0</v>
      </c>
    </row>
    <row r="14" spans="1:15" x14ac:dyDescent="0.3">
      <c r="A14" t="s">
        <v>60</v>
      </c>
      <c r="B14" s="20">
        <f>B10*B7</f>
        <v>0</v>
      </c>
      <c r="C14" s="20">
        <f t="shared" ref="C14:K14" si="7">C10*C7</f>
        <v>0</v>
      </c>
      <c r="D14" s="20">
        <f t="shared" si="7"/>
        <v>0</v>
      </c>
      <c r="E14" s="20">
        <f t="shared" si="7"/>
        <v>0</v>
      </c>
      <c r="F14" s="20">
        <f t="shared" si="7"/>
        <v>0</v>
      </c>
      <c r="G14" s="20">
        <f t="shared" si="7"/>
        <v>0</v>
      </c>
      <c r="H14" s="20">
        <f t="shared" si="7"/>
        <v>0</v>
      </c>
      <c r="I14" s="20">
        <f t="shared" si="7"/>
        <v>0</v>
      </c>
      <c r="J14" s="20">
        <f t="shared" si="7"/>
        <v>0</v>
      </c>
      <c r="K14" s="20">
        <f t="shared" si="7"/>
        <v>0</v>
      </c>
      <c r="M14" s="18">
        <f t="shared" si="6"/>
        <v>0</v>
      </c>
    </row>
    <row r="15" spans="1:15" x14ac:dyDescent="0.3">
      <c r="A15" t="s">
        <v>61</v>
      </c>
      <c r="M15" s="19" t="s">
        <v>135</v>
      </c>
      <c r="O15" t="s">
        <v>62</v>
      </c>
    </row>
    <row r="18" spans="1:2" x14ac:dyDescent="0.3">
      <c r="A18" t="s">
        <v>317</v>
      </c>
      <c r="B18" s="8">
        <f>MIN(M12:M14)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3" sqref="C13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84</v>
      </c>
    </row>
    <row r="3" spans="1:3" x14ac:dyDescent="0.3">
      <c r="A3" s="16" t="s">
        <v>89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85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86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87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90</v>
      </c>
    </row>
    <row r="10" spans="1:3" x14ac:dyDescent="0.3">
      <c r="A10" t="s">
        <v>91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92</v>
      </c>
      <c r="B11" s="12">
        <f>VLOOKUP(A11,'Balance Sheet (Annual)'!1:1048576,2,FALSE)</f>
        <v>0</v>
      </c>
      <c r="C11" s="12">
        <f>VLOOKUP(A11,'Balance Sheet (Annual)'!1:1048576,3,FALSE)</f>
        <v>0</v>
      </c>
    </row>
    <row r="12" spans="1:3" x14ac:dyDescent="0.3">
      <c r="A12" t="s">
        <v>93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316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94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95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136</v>
      </c>
    </row>
    <row r="3" spans="1:2" x14ac:dyDescent="0.3">
      <c r="A3" t="s">
        <v>137</v>
      </c>
    </row>
    <row r="4" spans="1:2" x14ac:dyDescent="0.3">
      <c r="A4" t="s">
        <v>138</v>
      </c>
    </row>
    <row r="5" spans="1:2" x14ac:dyDescent="0.3">
      <c r="A5" t="s">
        <v>139</v>
      </c>
    </row>
    <row r="6" spans="1:2" x14ac:dyDescent="0.3">
      <c r="A6" t="s">
        <v>140</v>
      </c>
    </row>
    <row r="7" spans="1:2" x14ac:dyDescent="0.3">
      <c r="A7" t="s">
        <v>141</v>
      </c>
    </row>
    <row r="8" spans="1:2" x14ac:dyDescent="0.3">
      <c r="A8" t="s">
        <v>142</v>
      </c>
    </row>
    <row r="9" spans="1:2" x14ac:dyDescent="0.3">
      <c r="A9" t="s">
        <v>143</v>
      </c>
    </row>
    <row r="10" spans="1:2" x14ac:dyDescent="0.3">
      <c r="A10" t="s">
        <v>144</v>
      </c>
    </row>
    <row r="11" spans="1:2" x14ac:dyDescent="0.3">
      <c r="A11" t="s">
        <v>145</v>
      </c>
    </row>
    <row r="12" spans="1:2" x14ac:dyDescent="0.3">
      <c r="A12" t="s">
        <v>146</v>
      </c>
    </row>
    <row r="13" spans="1:2" x14ac:dyDescent="0.3">
      <c r="A13" t="s">
        <v>77</v>
      </c>
    </row>
    <row r="14" spans="1:2" x14ac:dyDescent="0.3">
      <c r="A14" t="s">
        <v>147</v>
      </c>
    </row>
    <row r="15" spans="1:2" x14ac:dyDescent="0.3">
      <c r="A15" t="s">
        <v>148</v>
      </c>
    </row>
    <row r="16" spans="1:2" x14ac:dyDescent="0.3">
      <c r="A16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154</v>
      </c>
    </row>
    <row r="25" spans="1:1" x14ac:dyDescent="0.3">
      <c r="A25" t="s">
        <v>155</v>
      </c>
    </row>
    <row r="26" spans="1:1" x14ac:dyDescent="0.3">
      <c r="A26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158</v>
      </c>
    </row>
    <row r="4" spans="1:1" x14ac:dyDescent="0.3">
      <c r="A4" t="s">
        <v>159</v>
      </c>
    </row>
    <row r="5" spans="1:1" x14ac:dyDescent="0.3">
      <c r="A5" t="s">
        <v>160</v>
      </c>
    </row>
    <row r="6" spans="1:1" x14ac:dyDescent="0.3">
      <c r="A6" t="s">
        <v>161</v>
      </c>
    </row>
    <row r="7" spans="1:1" x14ac:dyDescent="0.3">
      <c r="A7" t="s">
        <v>162</v>
      </c>
    </row>
    <row r="8" spans="1:1" x14ac:dyDescent="0.3">
      <c r="A8" t="s">
        <v>163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164</v>
      </c>
    </row>
    <row r="12" spans="1:1" x14ac:dyDescent="0.3">
      <c r="A12" t="s">
        <v>87</v>
      </c>
    </row>
    <row r="13" spans="1:1" x14ac:dyDescent="0.3">
      <c r="A13" t="s">
        <v>88</v>
      </c>
    </row>
    <row r="14" spans="1:1" x14ac:dyDescent="0.3">
      <c r="A14" t="s">
        <v>165</v>
      </c>
    </row>
    <row r="15" spans="1:1" x14ac:dyDescent="0.3">
      <c r="A15" t="s">
        <v>166</v>
      </c>
    </row>
    <row r="16" spans="1:1" x14ac:dyDescent="0.3">
      <c r="A16" t="s">
        <v>167</v>
      </c>
    </row>
    <row r="17" spans="1:1" x14ac:dyDescent="0.3">
      <c r="A17" t="s">
        <v>168</v>
      </c>
    </row>
    <row r="18" spans="1:1" x14ac:dyDescent="0.3">
      <c r="A18" t="s">
        <v>169</v>
      </c>
    </row>
    <row r="19" spans="1:1" x14ac:dyDescent="0.3">
      <c r="A19" t="s">
        <v>170</v>
      </c>
    </row>
    <row r="20" spans="1:1" x14ac:dyDescent="0.3">
      <c r="A20" t="s">
        <v>171</v>
      </c>
    </row>
    <row r="21" spans="1:1" x14ac:dyDescent="0.3">
      <c r="A21" t="s">
        <v>172</v>
      </c>
    </row>
    <row r="22" spans="1:1" x14ac:dyDescent="0.3">
      <c r="A22" t="s">
        <v>173</v>
      </c>
    </row>
    <row r="23" spans="1:1" x14ac:dyDescent="0.3">
      <c r="A23" t="s">
        <v>174</v>
      </c>
    </row>
    <row r="24" spans="1:1" x14ac:dyDescent="0.3">
      <c r="A24" t="s">
        <v>175</v>
      </c>
    </row>
    <row r="25" spans="1:1" x14ac:dyDescent="0.3">
      <c r="A25" t="s">
        <v>176</v>
      </c>
    </row>
    <row r="26" spans="1:1" x14ac:dyDescent="0.3">
      <c r="A26" t="s">
        <v>177</v>
      </c>
    </row>
    <row r="27" spans="1:1" x14ac:dyDescent="0.3">
      <c r="A27" t="s">
        <v>178</v>
      </c>
    </row>
    <row r="28" spans="1:1" x14ac:dyDescent="0.3">
      <c r="A28" t="s">
        <v>179</v>
      </c>
    </row>
    <row r="29" spans="1:1" x14ac:dyDescent="0.3">
      <c r="A29" t="s">
        <v>91</v>
      </c>
    </row>
    <row r="30" spans="1:1" x14ac:dyDescent="0.3">
      <c r="A30" t="s">
        <v>92</v>
      </c>
    </row>
    <row r="31" spans="1:1" x14ac:dyDescent="0.3">
      <c r="A31" t="s">
        <v>180</v>
      </c>
    </row>
    <row r="32" spans="1:1" x14ac:dyDescent="0.3">
      <c r="A32" t="s">
        <v>94</v>
      </c>
    </row>
    <row r="33" spans="1:1" x14ac:dyDescent="0.3">
      <c r="A33" t="s">
        <v>95</v>
      </c>
    </row>
    <row r="34" spans="1:1" x14ac:dyDescent="0.3">
      <c r="A34" t="s">
        <v>181</v>
      </c>
    </row>
    <row r="35" spans="1:1" x14ac:dyDescent="0.3">
      <c r="A35" t="s">
        <v>182</v>
      </c>
    </row>
    <row r="36" spans="1:1" x14ac:dyDescent="0.3">
      <c r="A36" t="s">
        <v>183</v>
      </c>
    </row>
    <row r="37" spans="1:1" x14ac:dyDescent="0.3">
      <c r="A37" t="s">
        <v>184</v>
      </c>
    </row>
    <row r="38" spans="1:1" x14ac:dyDescent="0.3">
      <c r="A38" t="s">
        <v>180</v>
      </c>
    </row>
    <row r="39" spans="1:1" x14ac:dyDescent="0.3">
      <c r="A39" t="s">
        <v>185</v>
      </c>
    </row>
    <row r="40" spans="1:1" x14ac:dyDescent="0.3">
      <c r="A40" t="s">
        <v>186</v>
      </c>
    </row>
    <row r="41" spans="1:1" x14ac:dyDescent="0.3">
      <c r="A41" t="s">
        <v>187</v>
      </c>
    </row>
    <row r="42" spans="1:1" x14ac:dyDescent="0.3">
      <c r="A42" t="s">
        <v>188</v>
      </c>
    </row>
    <row r="43" spans="1:1" x14ac:dyDescent="0.3">
      <c r="A43" t="s">
        <v>189</v>
      </c>
    </row>
    <row r="44" spans="1:1" x14ac:dyDescent="0.3">
      <c r="A44" t="s">
        <v>190</v>
      </c>
    </row>
    <row r="45" spans="1:1" x14ac:dyDescent="0.3">
      <c r="A45" t="s">
        <v>191</v>
      </c>
    </row>
    <row r="46" spans="1:1" x14ac:dyDescent="0.3">
      <c r="A46" t="s">
        <v>192</v>
      </c>
    </row>
    <row r="47" spans="1:1" x14ac:dyDescent="0.3">
      <c r="A47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194</v>
      </c>
      <c r="B2" t="s">
        <v>136</v>
      </c>
    </row>
    <row r="3" spans="1:2" x14ac:dyDescent="0.3">
      <c r="A3" t="s">
        <v>195</v>
      </c>
    </row>
    <row r="4" spans="1:2" x14ac:dyDescent="0.3">
      <c r="A4" t="s">
        <v>151</v>
      </c>
    </row>
    <row r="5" spans="1:2" x14ac:dyDescent="0.3">
      <c r="A5" t="s">
        <v>196</v>
      </c>
    </row>
    <row r="6" spans="1:2" x14ac:dyDescent="0.3">
      <c r="A6" t="s">
        <v>197</v>
      </c>
    </row>
    <row r="7" spans="1:2" x14ac:dyDescent="0.3">
      <c r="A7" t="s">
        <v>198</v>
      </c>
    </row>
    <row r="8" spans="1:2" x14ac:dyDescent="0.3">
      <c r="A8" t="s">
        <v>164</v>
      </c>
    </row>
    <row r="9" spans="1:2" x14ac:dyDescent="0.3">
      <c r="A9" t="s">
        <v>199</v>
      </c>
    </row>
    <row r="10" spans="1:2" x14ac:dyDescent="0.3">
      <c r="A10" t="s">
        <v>97</v>
      </c>
    </row>
    <row r="11" spans="1:2" x14ac:dyDescent="0.3">
      <c r="A11" t="s">
        <v>200</v>
      </c>
    </row>
    <row r="12" spans="1:2" x14ac:dyDescent="0.3">
      <c r="A12" t="s">
        <v>201</v>
      </c>
    </row>
    <row r="13" spans="1:2" x14ac:dyDescent="0.3">
      <c r="A13" t="s">
        <v>91</v>
      </c>
    </row>
    <row r="14" spans="1:2" x14ac:dyDescent="0.3">
      <c r="A14" t="s">
        <v>202</v>
      </c>
    </row>
    <row r="15" spans="1:2" x14ac:dyDescent="0.3">
      <c r="A15" t="s">
        <v>203</v>
      </c>
    </row>
    <row r="16" spans="1:2" x14ac:dyDescent="0.3">
      <c r="A16" t="s">
        <v>204</v>
      </c>
    </row>
    <row r="17" spans="1:1" x14ac:dyDescent="0.3">
      <c r="A17" t="s">
        <v>205</v>
      </c>
    </row>
    <row r="18" spans="1:1" x14ac:dyDescent="0.3">
      <c r="A18" t="s">
        <v>206</v>
      </c>
    </row>
    <row r="19" spans="1:1" x14ac:dyDescent="0.3">
      <c r="A19" t="s">
        <v>207</v>
      </c>
    </row>
    <row r="20" spans="1:1" x14ac:dyDescent="0.3">
      <c r="A20" t="s">
        <v>208</v>
      </c>
    </row>
    <row r="21" spans="1:1" x14ac:dyDescent="0.3">
      <c r="A21" t="s">
        <v>209</v>
      </c>
    </row>
    <row r="22" spans="1:1" x14ac:dyDescent="0.3">
      <c r="A22" t="s">
        <v>210</v>
      </c>
    </row>
    <row r="23" spans="1:1" x14ac:dyDescent="0.3">
      <c r="A23" t="s">
        <v>211</v>
      </c>
    </row>
    <row r="24" spans="1:1" x14ac:dyDescent="0.3">
      <c r="A24" t="s">
        <v>212</v>
      </c>
    </row>
    <row r="25" spans="1:1" x14ac:dyDescent="0.3">
      <c r="A25" t="s">
        <v>213</v>
      </c>
    </row>
    <row r="26" spans="1:1" x14ac:dyDescent="0.3">
      <c r="A26" t="s">
        <v>214</v>
      </c>
    </row>
    <row r="27" spans="1:1" x14ac:dyDescent="0.3">
      <c r="A27" t="s">
        <v>215</v>
      </c>
    </row>
    <row r="28" spans="1:1" x14ac:dyDescent="0.3">
      <c r="A28" t="s">
        <v>216</v>
      </c>
    </row>
    <row r="29" spans="1:1" x14ac:dyDescent="0.3">
      <c r="A29" t="s">
        <v>217</v>
      </c>
    </row>
    <row r="30" spans="1:1" x14ac:dyDescent="0.3">
      <c r="A30" t="s">
        <v>218</v>
      </c>
    </row>
    <row r="31" spans="1:1" x14ac:dyDescent="0.3">
      <c r="A31" t="s">
        <v>219</v>
      </c>
    </row>
    <row r="32" spans="1:1" x14ac:dyDescent="0.3">
      <c r="A32" t="s">
        <v>220</v>
      </c>
    </row>
    <row r="33" spans="1:1" x14ac:dyDescent="0.3">
      <c r="A33" t="s">
        <v>221</v>
      </c>
    </row>
    <row r="34" spans="1:1" x14ac:dyDescent="0.3">
      <c r="A34" t="s">
        <v>222</v>
      </c>
    </row>
    <row r="35" spans="1:1" x14ac:dyDescent="0.3">
      <c r="A35" t="s">
        <v>223</v>
      </c>
    </row>
    <row r="36" spans="1:1" x14ac:dyDescent="0.3">
      <c r="A36" t="s">
        <v>224</v>
      </c>
    </row>
    <row r="37" spans="1:1" x14ac:dyDescent="0.3">
      <c r="A37" t="s">
        <v>225</v>
      </c>
    </row>
    <row r="38" spans="1:1" x14ac:dyDescent="0.3">
      <c r="A38" t="s">
        <v>226</v>
      </c>
    </row>
    <row r="39" spans="1:1" x14ac:dyDescent="0.3">
      <c r="A39" t="s">
        <v>227</v>
      </c>
    </row>
    <row r="40" spans="1:1" x14ac:dyDescent="0.3">
      <c r="A40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C38" sqref="C38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229</v>
      </c>
    </row>
    <row r="2" spans="1:2" x14ac:dyDescent="0.3">
      <c r="B2" t="s">
        <v>136</v>
      </c>
    </row>
    <row r="3" spans="1:2" x14ac:dyDescent="0.3">
      <c r="A3" t="s">
        <v>230</v>
      </c>
      <c r="B3" s="58"/>
    </row>
    <row r="4" spans="1:2" x14ac:dyDescent="0.3">
      <c r="A4" t="s">
        <v>231</v>
      </c>
    </row>
    <row r="5" spans="1:2" x14ac:dyDescent="0.3">
      <c r="A5" t="s">
        <v>232</v>
      </c>
      <c r="B5" s="58"/>
    </row>
    <row r="6" spans="1:2" x14ac:dyDescent="0.3">
      <c r="A6" t="s">
        <v>233</v>
      </c>
    </row>
    <row r="7" spans="1:2" x14ac:dyDescent="0.3">
      <c r="A7" t="s">
        <v>234</v>
      </c>
      <c r="B7" s="58"/>
    </row>
    <row r="8" spans="1:2" x14ac:dyDescent="0.3">
      <c r="A8" t="s">
        <v>235</v>
      </c>
    </row>
    <row r="9" spans="1:2" x14ac:dyDescent="0.3">
      <c r="A9" t="s">
        <v>236</v>
      </c>
    </row>
    <row r="10" spans="1:2" x14ac:dyDescent="0.3">
      <c r="A10" t="s">
        <v>237</v>
      </c>
    </row>
    <row r="11" spans="1:2" x14ac:dyDescent="0.3">
      <c r="A11" t="s">
        <v>238</v>
      </c>
      <c r="B11" s="58"/>
    </row>
    <row r="12" spans="1:2" x14ac:dyDescent="0.3">
      <c r="A12" t="s">
        <v>239</v>
      </c>
    </row>
    <row r="13" spans="1:2" x14ac:dyDescent="0.3">
      <c r="A13" t="s">
        <v>240</v>
      </c>
      <c r="B13" s="58"/>
    </row>
    <row r="14" spans="1:2" x14ac:dyDescent="0.3">
      <c r="A14" t="s">
        <v>241</v>
      </c>
      <c r="B14" s="58"/>
    </row>
    <row r="15" spans="1:2" x14ac:dyDescent="0.3">
      <c r="A15" t="s">
        <v>242</v>
      </c>
      <c r="B15" s="58"/>
    </row>
    <row r="16" spans="1:2" x14ac:dyDescent="0.3">
      <c r="A16" t="s">
        <v>243</v>
      </c>
    </row>
    <row r="17" spans="1:2" x14ac:dyDescent="0.3">
      <c r="A17" t="s">
        <v>244</v>
      </c>
    </row>
    <row r="19" spans="1:2" x14ac:dyDescent="0.3">
      <c r="A19" t="s">
        <v>245</v>
      </c>
    </row>
    <row r="20" spans="1:2" x14ac:dyDescent="0.3">
      <c r="A20" t="s">
        <v>246</v>
      </c>
      <c r="B20" t="s">
        <v>136</v>
      </c>
    </row>
    <row r="21" spans="1:2" x14ac:dyDescent="0.3">
      <c r="A21" t="s">
        <v>137</v>
      </c>
    </row>
    <row r="22" spans="1:2" x14ac:dyDescent="0.3">
      <c r="A22" t="s">
        <v>247</v>
      </c>
    </row>
    <row r="23" spans="1:2" x14ac:dyDescent="0.3">
      <c r="A23" t="s">
        <v>248</v>
      </c>
    </row>
    <row r="24" spans="1:2" x14ac:dyDescent="0.3">
      <c r="A24" t="s">
        <v>249</v>
      </c>
    </row>
    <row r="25" spans="1:2" x14ac:dyDescent="0.3">
      <c r="A25" t="s">
        <v>250</v>
      </c>
    </row>
    <row r="26" spans="1:2" x14ac:dyDescent="0.3">
      <c r="A26" t="s">
        <v>251</v>
      </c>
    </row>
    <row r="27" spans="1:2" x14ac:dyDescent="0.3">
      <c r="A27" t="s">
        <v>252</v>
      </c>
    </row>
    <row r="28" spans="1:2" x14ac:dyDescent="0.3">
      <c r="A28" t="s">
        <v>253</v>
      </c>
    </row>
    <row r="29" spans="1:2" x14ac:dyDescent="0.3">
      <c r="A29" t="s">
        <v>254</v>
      </c>
    </row>
    <row r="31" spans="1:2" x14ac:dyDescent="0.3">
      <c r="A31" t="s">
        <v>255</v>
      </c>
      <c r="B31" t="s">
        <v>136</v>
      </c>
    </row>
    <row r="32" spans="1:2" x14ac:dyDescent="0.3">
      <c r="A32" t="s">
        <v>256</v>
      </c>
    </row>
    <row r="33" spans="1:2" x14ac:dyDescent="0.3">
      <c r="A33" t="s">
        <v>257</v>
      </c>
    </row>
    <row r="34" spans="1:2" x14ac:dyDescent="0.3">
      <c r="A34" t="s">
        <v>258</v>
      </c>
    </row>
    <row r="35" spans="1:2" x14ac:dyDescent="0.3">
      <c r="A35" t="s">
        <v>259</v>
      </c>
    </row>
    <row r="36" spans="1:2" x14ac:dyDescent="0.3">
      <c r="A36" t="s">
        <v>260</v>
      </c>
    </row>
    <row r="37" spans="1:2" x14ac:dyDescent="0.3">
      <c r="A37" t="s">
        <v>261</v>
      </c>
    </row>
    <row r="38" spans="1:2" x14ac:dyDescent="0.3">
      <c r="A38" t="s">
        <v>262</v>
      </c>
    </row>
    <row r="39" spans="1:2" x14ac:dyDescent="0.3">
      <c r="A39" t="s">
        <v>263</v>
      </c>
    </row>
    <row r="41" spans="1:2" x14ac:dyDescent="0.3">
      <c r="A41" t="s">
        <v>264</v>
      </c>
    </row>
    <row r="42" spans="1:2" x14ac:dyDescent="0.3">
      <c r="B42" t="s">
        <v>265</v>
      </c>
    </row>
    <row r="43" spans="1:2" x14ac:dyDescent="0.3">
      <c r="A43" t="s">
        <v>266</v>
      </c>
    </row>
    <row r="44" spans="1:2" x14ac:dyDescent="0.3">
      <c r="A44" t="s">
        <v>267</v>
      </c>
    </row>
    <row r="45" spans="1:2" x14ac:dyDescent="0.3">
      <c r="A45" t="s">
        <v>268</v>
      </c>
    </row>
    <row r="46" spans="1:2" x14ac:dyDescent="0.3">
      <c r="A46" t="s">
        <v>269</v>
      </c>
    </row>
    <row r="47" spans="1:2" x14ac:dyDescent="0.3">
      <c r="A47" t="s">
        <v>270</v>
      </c>
    </row>
    <row r="48" spans="1:2" x14ac:dyDescent="0.3">
      <c r="A48" t="s">
        <v>271</v>
      </c>
    </row>
    <row r="49" spans="1:1" x14ac:dyDescent="0.3">
      <c r="A49" t="s">
        <v>267</v>
      </c>
    </row>
    <row r="50" spans="1:1" x14ac:dyDescent="0.3">
      <c r="A50" t="s">
        <v>268</v>
      </c>
    </row>
    <row r="51" spans="1:1" x14ac:dyDescent="0.3">
      <c r="A51" t="s">
        <v>269</v>
      </c>
    </row>
    <row r="52" spans="1:1" x14ac:dyDescent="0.3">
      <c r="A52" t="s">
        <v>270</v>
      </c>
    </row>
    <row r="53" spans="1:1" x14ac:dyDescent="0.3">
      <c r="A53" t="s">
        <v>272</v>
      </c>
    </row>
    <row r="54" spans="1:1" x14ac:dyDescent="0.3">
      <c r="A54" t="s">
        <v>267</v>
      </c>
    </row>
    <row r="55" spans="1:1" x14ac:dyDescent="0.3">
      <c r="A55" t="s">
        <v>268</v>
      </c>
    </row>
    <row r="56" spans="1:1" x14ac:dyDescent="0.3">
      <c r="A56" t="s">
        <v>269</v>
      </c>
    </row>
    <row r="57" spans="1:1" x14ac:dyDescent="0.3">
      <c r="A57" t="s">
        <v>270</v>
      </c>
    </row>
    <row r="58" spans="1:1" x14ac:dyDescent="0.3">
      <c r="A58" t="s">
        <v>273</v>
      </c>
    </row>
    <row r="59" spans="1:1" x14ac:dyDescent="0.3">
      <c r="A59" t="s">
        <v>267</v>
      </c>
    </row>
    <row r="60" spans="1:1" x14ac:dyDescent="0.3">
      <c r="A60" t="s">
        <v>268</v>
      </c>
    </row>
    <row r="61" spans="1:1" x14ac:dyDescent="0.3">
      <c r="A61" t="s">
        <v>269</v>
      </c>
    </row>
    <row r="62" spans="1:1" x14ac:dyDescent="0.3">
      <c r="A62" t="s">
        <v>270</v>
      </c>
    </row>
    <row r="64" spans="1:1" x14ac:dyDescent="0.3">
      <c r="A64" t="s">
        <v>274</v>
      </c>
    </row>
    <row r="65" spans="1:2" x14ac:dyDescent="0.3">
      <c r="A65" t="s">
        <v>275</v>
      </c>
      <c r="B65" t="s">
        <v>136</v>
      </c>
    </row>
    <row r="66" spans="1:2" x14ac:dyDescent="0.3">
      <c r="A66" t="s">
        <v>276</v>
      </c>
    </row>
    <row r="67" spans="1:2" x14ac:dyDescent="0.3">
      <c r="A67" t="s">
        <v>277</v>
      </c>
    </row>
    <row r="68" spans="1:2" x14ac:dyDescent="0.3">
      <c r="A68" t="s">
        <v>278</v>
      </c>
    </row>
    <row r="69" spans="1:2" x14ac:dyDescent="0.3">
      <c r="A69" t="s">
        <v>279</v>
      </c>
    </row>
    <row r="70" spans="1:2" x14ac:dyDescent="0.3">
      <c r="A70" t="s">
        <v>280</v>
      </c>
    </row>
    <row r="72" spans="1:2" x14ac:dyDescent="0.3">
      <c r="A72" t="s">
        <v>281</v>
      </c>
    </row>
    <row r="73" spans="1:2" x14ac:dyDescent="0.3">
      <c r="A73" t="s">
        <v>282</v>
      </c>
      <c r="B73" t="s">
        <v>265</v>
      </c>
    </row>
    <row r="74" spans="1:2" x14ac:dyDescent="0.3">
      <c r="A74" t="s">
        <v>283</v>
      </c>
    </row>
    <row r="75" spans="1:2" x14ac:dyDescent="0.3">
      <c r="A75" t="s">
        <v>284</v>
      </c>
    </row>
    <row r="76" spans="1:2" x14ac:dyDescent="0.3">
      <c r="A76" t="s">
        <v>201</v>
      </c>
    </row>
    <row r="77" spans="1:2" x14ac:dyDescent="0.3">
      <c r="A77" t="s">
        <v>285</v>
      </c>
    </row>
    <row r="78" spans="1:2" x14ac:dyDescent="0.3">
      <c r="A78" t="s">
        <v>286</v>
      </c>
    </row>
    <row r="79" spans="1:2" x14ac:dyDescent="0.3">
      <c r="A79" t="s">
        <v>287</v>
      </c>
    </row>
    <row r="80" spans="1:2" x14ac:dyDescent="0.3">
      <c r="A80" t="s">
        <v>288</v>
      </c>
    </row>
    <row r="81" spans="1:2" x14ac:dyDescent="0.3">
      <c r="A81" t="s">
        <v>289</v>
      </c>
    </row>
    <row r="82" spans="1:2" x14ac:dyDescent="0.3">
      <c r="A82" t="s">
        <v>290</v>
      </c>
    </row>
    <row r="83" spans="1:2" x14ac:dyDescent="0.3">
      <c r="A83" t="s">
        <v>291</v>
      </c>
    </row>
    <row r="84" spans="1:2" x14ac:dyDescent="0.3">
      <c r="A84" t="s">
        <v>292</v>
      </c>
    </row>
    <row r="85" spans="1:2" x14ac:dyDescent="0.3">
      <c r="A85" t="s">
        <v>293</v>
      </c>
    </row>
    <row r="86" spans="1:2" x14ac:dyDescent="0.3">
      <c r="A86" t="s">
        <v>294</v>
      </c>
    </row>
    <row r="87" spans="1:2" x14ac:dyDescent="0.3">
      <c r="A87" t="s">
        <v>295</v>
      </c>
    </row>
    <row r="88" spans="1:2" x14ac:dyDescent="0.3">
      <c r="A88" t="s">
        <v>296</v>
      </c>
    </row>
    <row r="89" spans="1:2" x14ac:dyDescent="0.3">
      <c r="A89" t="s">
        <v>16</v>
      </c>
    </row>
    <row r="90" spans="1:2" x14ac:dyDescent="0.3">
      <c r="A90" t="s">
        <v>297</v>
      </c>
    </row>
    <row r="91" spans="1:2" x14ac:dyDescent="0.3">
      <c r="A91" t="s">
        <v>298</v>
      </c>
    </row>
    <row r="92" spans="1:2" x14ac:dyDescent="0.3">
      <c r="A92" t="s">
        <v>299</v>
      </c>
    </row>
    <row r="93" spans="1:2" x14ac:dyDescent="0.3">
      <c r="A93" t="s">
        <v>300</v>
      </c>
    </row>
    <row r="95" spans="1:2" x14ac:dyDescent="0.3">
      <c r="A95" t="s">
        <v>301</v>
      </c>
      <c r="B95" t="s">
        <v>265</v>
      </c>
    </row>
    <row r="96" spans="1:2" x14ac:dyDescent="0.3">
      <c r="A96" t="s">
        <v>302</v>
      </c>
    </row>
    <row r="97" spans="1:2" x14ac:dyDescent="0.3">
      <c r="A97" t="s">
        <v>303</v>
      </c>
    </row>
    <row r="98" spans="1:2" x14ac:dyDescent="0.3">
      <c r="A98" t="s">
        <v>304</v>
      </c>
    </row>
    <row r="99" spans="1:2" x14ac:dyDescent="0.3">
      <c r="A99" t="s">
        <v>305</v>
      </c>
    </row>
    <row r="101" spans="1:2" x14ac:dyDescent="0.3">
      <c r="A101" t="s">
        <v>306</v>
      </c>
    </row>
    <row r="102" spans="1:2" x14ac:dyDescent="0.3">
      <c r="A102" t="s">
        <v>307</v>
      </c>
      <c r="B102" t="s">
        <v>136</v>
      </c>
    </row>
    <row r="103" spans="1:2" x14ac:dyDescent="0.3">
      <c r="A103" t="s">
        <v>308</v>
      </c>
    </row>
    <row r="104" spans="1:2" x14ac:dyDescent="0.3">
      <c r="A104" t="s">
        <v>309</v>
      </c>
    </row>
    <row r="105" spans="1:2" x14ac:dyDescent="0.3">
      <c r="A105" t="s">
        <v>310</v>
      </c>
    </row>
    <row r="106" spans="1:2" x14ac:dyDescent="0.3">
      <c r="A106" t="s">
        <v>311</v>
      </c>
    </row>
    <row r="107" spans="1:2" x14ac:dyDescent="0.3">
      <c r="A107" t="s">
        <v>312</v>
      </c>
    </row>
    <row r="108" spans="1:2" x14ac:dyDescent="0.3">
      <c r="A108" t="s">
        <v>313</v>
      </c>
    </row>
    <row r="109" spans="1:2" x14ac:dyDescent="0.3">
      <c r="A109" t="s">
        <v>314</v>
      </c>
    </row>
    <row r="110" spans="1:2" x14ac:dyDescent="0.3">
      <c r="A110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topLeftCell="A1565" workbookViewId="0">
      <selection activeCell="D27" sqref="D27:D1592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98</v>
      </c>
    </row>
    <row r="2" spans="1:9" x14ac:dyDescent="0.3">
      <c r="A2" s="35" t="s">
        <v>99</v>
      </c>
      <c r="B2" s="35" t="s">
        <v>100</v>
      </c>
      <c r="C2" s="35" t="s">
        <v>101</v>
      </c>
      <c r="D2" s="30" t="s">
        <v>77</v>
      </c>
    </row>
    <row r="3" spans="1:9" x14ac:dyDescent="0.3">
      <c r="A3" s="60"/>
      <c r="B3" s="60"/>
      <c r="C3" s="59"/>
      <c r="D3" s="29">
        <f t="shared" ref="D3:D66" ca="1" si="0">-PV(C3,(A3-YEAR(NOW())),,((A3-YEAR(NOW()))*(B3*C3)))</f>
        <v>0</v>
      </c>
      <c r="H3" t="s">
        <v>102</v>
      </c>
      <c r="I3">
        <f>SUM(B3:B628)</f>
        <v>0</v>
      </c>
    </row>
    <row r="4" spans="1:9" x14ac:dyDescent="0.3">
      <c r="A4" s="60"/>
      <c r="B4" s="60"/>
      <c r="C4" s="59"/>
      <c r="D4" s="29">
        <f t="shared" ca="1" si="0"/>
        <v>0</v>
      </c>
      <c r="H4" t="s">
        <v>103</v>
      </c>
      <c r="I4" t="e">
        <f>SUMPRODUCT(C3:C2166,B3:B2166)/I3</f>
        <v>#DIV/0!</v>
      </c>
    </row>
    <row r="5" spans="1:9" x14ac:dyDescent="0.3">
      <c r="A5" s="60"/>
      <c r="B5" s="60"/>
      <c r="C5" s="59"/>
      <c r="D5" s="29">
        <f t="shared" ca="1" si="0"/>
        <v>0</v>
      </c>
      <c r="H5" t="s">
        <v>104</v>
      </c>
      <c r="I5" t="e">
        <f ca="1">I4(1-DCF!P14)</f>
        <v>#REF!</v>
      </c>
    </row>
    <row r="6" spans="1:9" x14ac:dyDescent="0.3">
      <c r="A6" s="60"/>
      <c r="B6" s="60"/>
      <c r="C6" s="59"/>
      <c r="D6" s="29">
        <f t="shared" ca="1" si="0"/>
        <v>0</v>
      </c>
    </row>
    <row r="7" spans="1:9" x14ac:dyDescent="0.3">
      <c r="A7" s="60"/>
      <c r="B7" s="60"/>
      <c r="C7" s="59"/>
      <c r="D7" s="29">
        <f t="shared" ca="1" si="0"/>
        <v>0</v>
      </c>
    </row>
    <row r="8" spans="1:9" x14ac:dyDescent="0.3">
      <c r="A8" s="60"/>
      <c r="B8" s="60"/>
      <c r="C8" s="59"/>
      <c r="D8" s="29">
        <f t="shared" ca="1" si="0"/>
        <v>0</v>
      </c>
    </row>
    <row r="9" spans="1:9" x14ac:dyDescent="0.3">
      <c r="A9" s="60"/>
      <c r="B9" s="60"/>
      <c r="C9" s="59"/>
      <c r="D9" s="29">
        <f t="shared" ca="1" si="0"/>
        <v>0</v>
      </c>
    </row>
    <row r="10" spans="1:9" x14ac:dyDescent="0.3">
      <c r="A10" s="60"/>
      <c r="B10" s="60"/>
      <c r="C10" s="59"/>
      <c r="D10" s="29">
        <f t="shared" ca="1" si="0"/>
        <v>0</v>
      </c>
    </row>
    <row r="11" spans="1:9" x14ac:dyDescent="0.3">
      <c r="A11" s="60"/>
      <c r="B11" s="60"/>
      <c r="C11" s="59"/>
      <c r="D11" s="29">
        <f t="shared" ca="1" si="0"/>
        <v>0</v>
      </c>
    </row>
    <row r="12" spans="1:9" x14ac:dyDescent="0.3">
      <c r="A12" s="60"/>
      <c r="B12" s="60"/>
      <c r="C12" s="59"/>
      <c r="D12" s="29">
        <f t="shared" ca="1" si="0"/>
        <v>0</v>
      </c>
    </row>
    <row r="13" spans="1:9" x14ac:dyDescent="0.3">
      <c r="A13" s="60"/>
      <c r="B13" s="60"/>
      <c r="C13" s="59"/>
      <c r="D13" s="29">
        <f t="shared" ca="1" si="0"/>
        <v>0</v>
      </c>
    </row>
    <row r="14" spans="1:9" x14ac:dyDescent="0.3">
      <c r="A14" s="60"/>
      <c r="B14" s="60"/>
      <c r="C14" s="59"/>
      <c r="D14" s="29">
        <f t="shared" ca="1" si="0"/>
        <v>0</v>
      </c>
    </row>
    <row r="15" spans="1:9" x14ac:dyDescent="0.3">
      <c r="A15" s="60"/>
      <c r="B15" s="60"/>
      <c r="C15" s="59"/>
      <c r="D15" s="29">
        <f t="shared" ca="1" si="0"/>
        <v>0</v>
      </c>
    </row>
    <row r="16" spans="1:9" x14ac:dyDescent="0.3">
      <c r="A16" s="60"/>
      <c r="B16" s="60"/>
      <c r="C16" s="59"/>
      <c r="D16" s="29">
        <f t="shared" ca="1" si="0"/>
        <v>0</v>
      </c>
    </row>
    <row r="17" spans="1:4" x14ac:dyDescent="0.3">
      <c r="A17" s="60"/>
      <c r="B17" s="60"/>
      <c r="C17" s="59"/>
      <c r="D17" s="29">
        <f t="shared" ca="1" si="0"/>
        <v>0</v>
      </c>
    </row>
    <row r="18" spans="1:4" x14ac:dyDescent="0.3">
      <c r="A18" s="60"/>
      <c r="B18" s="60"/>
      <c r="C18" s="59"/>
      <c r="D18" s="29">
        <f t="shared" ca="1" si="0"/>
        <v>0</v>
      </c>
    </row>
    <row r="19" spans="1:4" x14ac:dyDescent="0.3">
      <c r="A19" s="60"/>
      <c r="B19" s="60"/>
      <c r="C19" s="59"/>
      <c r="D19" s="29">
        <f t="shared" ca="1" si="0"/>
        <v>0</v>
      </c>
    </row>
    <row r="20" spans="1:4" x14ac:dyDescent="0.3">
      <c r="A20" s="60"/>
      <c r="B20" s="60"/>
      <c r="C20" s="59"/>
      <c r="D20" s="29">
        <f t="shared" ca="1" si="0"/>
        <v>0</v>
      </c>
    </row>
    <row r="21" spans="1:4" x14ac:dyDescent="0.3">
      <c r="A21" s="60"/>
      <c r="B21" s="60"/>
      <c r="C21" s="59"/>
      <c r="D21" s="29">
        <f t="shared" ca="1" si="0"/>
        <v>0</v>
      </c>
    </row>
    <row r="22" spans="1:4" x14ac:dyDescent="0.3">
      <c r="A22" s="60"/>
      <c r="B22" s="60"/>
      <c r="C22" s="59"/>
      <c r="D22" s="29">
        <f t="shared" ca="1" si="0"/>
        <v>0</v>
      </c>
    </row>
    <row r="23" spans="1:4" x14ac:dyDescent="0.3">
      <c r="A23" s="60"/>
      <c r="B23" s="60"/>
      <c r="C23" s="59"/>
      <c r="D23" s="29">
        <f t="shared" ca="1" si="0"/>
        <v>0</v>
      </c>
    </row>
    <row r="24" spans="1:4" x14ac:dyDescent="0.3">
      <c r="A24" s="60"/>
      <c r="B24" s="60"/>
      <c r="C24" s="59"/>
      <c r="D24" s="29">
        <f t="shared" ca="1" si="0"/>
        <v>0</v>
      </c>
    </row>
    <row r="25" spans="1:4" x14ac:dyDescent="0.3">
      <c r="A25" s="60"/>
      <c r="B25" s="60"/>
      <c r="C25" s="59"/>
      <c r="D25" s="29">
        <f t="shared" ca="1" si="0"/>
        <v>0</v>
      </c>
    </row>
    <row r="26" spans="1:4" x14ac:dyDescent="0.3">
      <c r="A26" s="60"/>
      <c r="B26" s="60"/>
      <c r="C26" s="59"/>
      <c r="D26" s="29">
        <f t="shared" ca="1" si="0"/>
        <v>0</v>
      </c>
    </row>
    <row r="27" spans="1:4" x14ac:dyDescent="0.3">
      <c r="A27" s="60"/>
      <c r="B27" s="60"/>
      <c r="C27" s="59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2020-03-30T23:08:00Z</dcterms:modified>
</cp:coreProperties>
</file>