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yamPC\Documents\BSIF\"/>
    </mc:Choice>
  </mc:AlternateContent>
  <xr:revisionPtr revIDLastSave="0" documentId="13_ncr:1_{7FE13007-252A-4CEA-A90A-149A730DD547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Inputs" sheetId="1" state="hidden" r:id="rId1"/>
    <sheet name="FCF" sheetId="6" r:id="rId2"/>
    <sheet name="DDM" sheetId="11" r:id="rId3"/>
    <sheet name="Multiples" sheetId="14" r:id="rId4"/>
    <sheet name="FCFF &amp; FCFE" sheetId="13" r:id="rId5"/>
    <sheet name="Debt Analysis" sheetId="15" r:id="rId6"/>
    <sheet name="Long Term Growth Rates" sheetId="10" r:id="rId7"/>
    <sheet name="Working Captital" sheetId="8" r:id="rId8"/>
    <sheet name="Dividend Discount" sheetId="3" state="hidden" r:id="rId9"/>
  </sheet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6" l="1"/>
  <c r="C15" i="8"/>
  <c r="B15" i="8"/>
  <c r="B16" i="8" s="1"/>
  <c r="D16" i="8" s="1"/>
  <c r="D14" i="8"/>
  <c r="D13" i="8"/>
  <c r="D12" i="8"/>
  <c r="D11" i="8"/>
  <c r="C7" i="8"/>
  <c r="C18" i="8" s="1"/>
  <c r="B7" i="8"/>
  <c r="D6" i="8"/>
  <c r="D5" i="8"/>
  <c r="D4" i="8"/>
  <c r="D3" i="8"/>
  <c r="D7" i="8" s="1"/>
  <c r="B18" i="8" l="1"/>
  <c r="B19" i="8"/>
  <c r="D15" i="8"/>
  <c r="B8" i="8"/>
  <c r="B23" i="15" l="1"/>
  <c r="S24" i="6" s="1"/>
  <c r="B21" i="15"/>
  <c r="B22" i="15" s="1"/>
  <c r="S23" i="6" s="1"/>
  <c r="B20" i="15"/>
  <c r="S21" i="6" s="1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4" i="15"/>
  <c r="D3" i="15"/>
  <c r="L12" i="6"/>
  <c r="S22" i="6" l="1"/>
  <c r="P56" i="6"/>
  <c r="N55" i="6"/>
  <c r="O55" i="6" s="1"/>
  <c r="O54" i="6"/>
  <c r="N54" i="6"/>
  <c r="K57" i="6"/>
  <c r="I56" i="6"/>
  <c r="J56" i="6" s="1"/>
  <c r="J54" i="6"/>
  <c r="I54" i="6"/>
  <c r="I57" i="6" l="1"/>
  <c r="J57" i="6" s="1"/>
  <c r="N56" i="6"/>
  <c r="O56" i="6" s="1"/>
  <c r="E26" i="13"/>
  <c r="V12" i="11" l="1"/>
  <c r="V11" i="11"/>
  <c r="V10" i="11"/>
  <c r="V9" i="11"/>
  <c r="V13" i="11" l="1"/>
  <c r="P16" i="10"/>
  <c r="K7" i="10"/>
  <c r="K8" i="10"/>
  <c r="K9" i="10"/>
  <c r="K16" i="10" s="1"/>
  <c r="K10" i="10"/>
  <c r="K14" i="10" l="1"/>
  <c r="K15" i="10"/>
  <c r="D39" i="6"/>
  <c r="B38" i="6"/>
  <c r="C38" i="6" s="1"/>
  <c r="B8" i="10"/>
  <c r="U5" i="6" l="1"/>
  <c r="J10" i="10" l="1"/>
  <c r="J9" i="10"/>
  <c r="J8" i="10"/>
  <c r="J7" i="10"/>
  <c r="I7" i="10"/>
  <c r="J15" i="10" l="1"/>
  <c r="J16" i="10"/>
  <c r="J14" i="10"/>
  <c r="E16" i="13" l="1"/>
  <c r="E13" i="13"/>
  <c r="E14" i="13"/>
  <c r="E21" i="13" l="1"/>
  <c r="E45" i="13"/>
  <c r="E41" i="13"/>
  <c r="E40" i="13"/>
  <c r="E39" i="13"/>
  <c r="B38" i="13"/>
  <c r="B37" i="13"/>
  <c r="E37" i="13" s="1"/>
  <c r="E30" i="13"/>
  <c r="E25" i="13"/>
  <c r="E24" i="13"/>
  <c r="B43" i="13" s="1"/>
  <c r="E43" i="13" s="1"/>
  <c r="E22" i="13"/>
  <c r="B22" i="13"/>
  <c r="B24" i="13"/>
  <c r="E32" i="13"/>
  <c r="E44" i="13" l="1"/>
  <c r="B31" i="13"/>
  <c r="E38" i="13"/>
  <c r="B32" i="13"/>
  <c r="E31" i="13"/>
  <c r="E33" i="13" s="1"/>
  <c r="O14" i="6"/>
  <c r="O6" i="6"/>
  <c r="O9" i="6" s="1"/>
  <c r="A6" i="6"/>
  <c r="B12" i="11"/>
  <c r="L11" i="11"/>
  <c r="B33" i="13" l="1"/>
  <c r="H9" i="13" s="1"/>
  <c r="C12" i="11"/>
  <c r="E28" i="6"/>
  <c r="E29" i="6" s="1"/>
  <c r="E30" i="6" s="1"/>
  <c r="E31" i="6" s="1"/>
  <c r="E32" i="6" s="1"/>
  <c r="A28" i="6"/>
  <c r="A29" i="6" s="1"/>
  <c r="A30" i="6" s="1"/>
  <c r="A31" i="6" s="1"/>
  <c r="A32" i="6" s="1"/>
  <c r="A33" i="6" s="1"/>
  <c r="U9" i="6"/>
  <c r="O11" i="6"/>
  <c r="O19" i="6"/>
  <c r="U19" i="6"/>
  <c r="U18" i="6"/>
  <c r="U17" i="6"/>
  <c r="U16" i="6"/>
  <c r="U15" i="6"/>
  <c r="U14" i="6"/>
  <c r="U13" i="6"/>
  <c r="U12" i="6"/>
  <c r="U11" i="6"/>
  <c r="U10" i="6"/>
  <c r="U8" i="6"/>
  <c r="U7" i="6"/>
  <c r="U6" i="6"/>
  <c r="U4" i="6"/>
  <c r="C7" i="10"/>
  <c r="D7" i="10"/>
  <c r="E7" i="10"/>
  <c r="F7" i="10"/>
  <c r="G7" i="10"/>
  <c r="H7" i="10"/>
  <c r="B7" i="10"/>
  <c r="C8" i="10"/>
  <c r="D8" i="10"/>
  <c r="E8" i="10"/>
  <c r="F8" i="10"/>
  <c r="G8" i="10"/>
  <c r="H8" i="10"/>
  <c r="I8" i="10"/>
  <c r="I15" i="10" s="1"/>
  <c r="B9" i="10"/>
  <c r="C9" i="10"/>
  <c r="D9" i="10"/>
  <c r="E9" i="10"/>
  <c r="F9" i="10"/>
  <c r="G9" i="10"/>
  <c r="H9" i="10"/>
  <c r="I9" i="10"/>
  <c r="B10" i="10"/>
  <c r="C10" i="10"/>
  <c r="D10" i="10"/>
  <c r="E10" i="10"/>
  <c r="F10" i="10"/>
  <c r="G10" i="10"/>
  <c r="H10" i="10"/>
  <c r="I10" i="10"/>
  <c r="I14" i="10" s="1"/>
  <c r="D11" i="3"/>
  <c r="N5" i="3"/>
  <c r="R5" i="3"/>
  <c r="S5" i="3" s="1"/>
  <c r="T5" i="3" s="1"/>
  <c r="F11" i="3"/>
  <c r="E11" i="3"/>
  <c r="I13" i="1"/>
  <c r="I15" i="1" s="1"/>
  <c r="I17" i="1" s="1"/>
  <c r="I18" i="1"/>
  <c r="I22" i="1"/>
  <c r="I20" i="1"/>
  <c r="B12" i="1"/>
  <c r="B13" i="1" s="1"/>
  <c r="E19" i="1"/>
  <c r="B7" i="1"/>
  <c r="E16" i="1"/>
  <c r="E17" i="1" s="1"/>
  <c r="E18" i="1" s="1"/>
  <c r="I23" i="1" l="1"/>
  <c r="O21" i="6"/>
  <c r="B2" i="6"/>
  <c r="B5" i="6" s="1"/>
  <c r="D16" i="10"/>
  <c r="B14" i="10"/>
  <c r="G14" i="10"/>
  <c r="G16" i="10"/>
  <c r="I16" i="10"/>
  <c r="D14" i="10"/>
  <c r="B4" i="11"/>
  <c r="N11" i="11" s="1"/>
  <c r="G15" i="10"/>
  <c r="B8" i="1"/>
  <c r="B10" i="1" s="1"/>
  <c r="I21" i="1"/>
  <c r="B14" i="1"/>
  <c r="I19" i="1"/>
  <c r="F14" i="3"/>
  <c r="F18" i="3" s="1"/>
  <c r="D15" i="10"/>
  <c r="F14" i="10"/>
  <c r="E14" i="10"/>
  <c r="C16" i="10"/>
  <c r="H15" i="10"/>
  <c r="E15" i="10"/>
  <c r="H14" i="10"/>
  <c r="H16" i="10"/>
  <c r="F16" i="10"/>
  <c r="C14" i="10"/>
  <c r="E16" i="10"/>
  <c r="F15" i="10"/>
  <c r="B15" i="10"/>
  <c r="B16" i="10"/>
  <c r="D12" i="11"/>
  <c r="O16" i="6"/>
  <c r="O17" i="6" s="1"/>
  <c r="I24" i="1"/>
  <c r="C15" i="10"/>
  <c r="I25" i="1" l="1"/>
  <c r="C24" i="1" s="1"/>
  <c r="M14" i="10"/>
  <c r="M16" i="10"/>
  <c r="M15" i="10"/>
  <c r="B13" i="6"/>
  <c r="C13" i="6" s="1"/>
  <c r="D13" i="6" s="1"/>
  <c r="E13" i="6" s="1"/>
  <c r="B15" i="1"/>
  <c r="E12" i="11"/>
  <c r="O20" i="6"/>
  <c r="B18" i="13" l="1"/>
  <c r="B23" i="13"/>
  <c r="B25" i="13" s="1"/>
  <c r="E13" i="11"/>
  <c r="D13" i="11"/>
  <c r="B13" i="11"/>
  <c r="C13" i="11"/>
  <c r="L12" i="11"/>
  <c r="L13" i="11" s="1"/>
  <c r="F12" i="11"/>
  <c r="F13" i="11" s="1"/>
  <c r="D14" i="6"/>
  <c r="G12" i="11"/>
  <c r="E14" i="6"/>
  <c r="F13" i="6"/>
  <c r="L13" i="6" s="1"/>
  <c r="L14" i="6" s="1"/>
  <c r="B14" i="6"/>
  <c r="C14" i="6"/>
  <c r="E15" i="13" l="1"/>
  <c r="E23" i="13" s="1"/>
  <c r="G13" i="11"/>
  <c r="H12" i="11"/>
  <c r="F14" i="6"/>
  <c r="G13" i="6"/>
  <c r="E18" i="13" l="1"/>
  <c r="B42" i="13"/>
  <c r="E27" i="13"/>
  <c r="I12" i="11"/>
  <c r="J12" i="11" s="1"/>
  <c r="H13" i="11"/>
  <c r="G14" i="6"/>
  <c r="H13" i="6"/>
  <c r="B44" i="13" l="1"/>
  <c r="E42" i="13"/>
  <c r="E46" i="13" s="1"/>
  <c r="H10" i="13" s="1"/>
  <c r="B1" i="6" s="1"/>
  <c r="K12" i="11"/>
  <c r="J13" i="11"/>
  <c r="I13" i="11"/>
  <c r="H14" i="6"/>
  <c r="I13" i="6"/>
  <c r="K13" i="11" l="1"/>
  <c r="B20" i="11" s="1"/>
  <c r="B37" i="6" s="1"/>
  <c r="C37" i="6" s="1"/>
  <c r="I14" i="6"/>
  <c r="J13" i="6"/>
  <c r="J14" i="6" l="1"/>
  <c r="K13" i="6"/>
  <c r="K14" i="6" l="1"/>
  <c r="B17" i="6" l="1"/>
  <c r="B19" i="6" s="1"/>
  <c r="B21" i="6" l="1"/>
  <c r="B42" i="6" l="1"/>
  <c r="B36" i="6"/>
  <c r="C21" i="6"/>
  <c r="C36" i="6" s="1"/>
  <c r="B25" i="6"/>
  <c r="B39" i="6" l="1"/>
  <c r="C39" i="6" s="1"/>
  <c r="E25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D1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BSIF:
</t>
        </r>
        <r>
          <rPr>
            <sz val="9"/>
            <color indexed="81"/>
            <rFont val="Tahoma"/>
            <family val="2"/>
          </rPr>
          <t>Pre-Tax Cost of Debt</t>
        </r>
      </text>
    </comment>
    <comment ref="D1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BSIF:
</t>
        </r>
        <r>
          <rPr>
            <sz val="9"/>
            <color indexed="81"/>
            <rFont val="Tahoma"/>
            <family val="2"/>
          </rPr>
          <t>After Tax Cost of Debt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Newell</author>
    <author>Microsoft Office User</author>
  </authors>
  <commentList>
    <comment ref="O10" authorId="0" shapeId="0" xr:uid="{00000000-0006-0000-0100-000001000000}">
      <text>
        <r>
          <rPr>
            <b/>
            <sz val="10"/>
            <color rgb="FF000000"/>
            <rFont val="Tahoma"/>
            <family val="2"/>
          </rPr>
          <t>David Newell: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Damodoran 
</t>
        </r>
        <r>
          <rPr>
            <sz val="10"/>
            <color rgb="FF000000"/>
            <rFont val="Calibri"/>
            <family val="2"/>
          </rPr>
          <t>http://pages.stern.nyu.edu/~adamodar/</t>
        </r>
      </text>
    </comment>
    <comment ref="O11" authorId="1" shapeId="0" xr:uid="{00000000-0006-0000-0100-000002000000}">
      <text>
        <r>
          <rPr>
            <b/>
            <sz val="10"/>
            <color rgb="FF000000"/>
            <rFont val="Calibri"/>
            <family val="2"/>
          </rPr>
          <t>Based on the market value of the outstanding debt</t>
        </r>
      </text>
    </comment>
    <comment ref="O18" authorId="1" shapeId="0" xr:uid="{00000000-0006-0000-0100-000003000000}">
      <text>
        <r>
          <rPr>
            <b/>
            <sz val="10"/>
            <color rgb="FF000000"/>
            <rFont val="Calibri"/>
            <family val="2"/>
          </rPr>
          <t>5 year Treasury Bond Rate
https://www.cnbc.com/quotes/?symbol=US5Y</t>
        </r>
      </text>
    </comment>
  </commentList>
</comments>
</file>

<file path=xl/sharedStrings.xml><?xml version="1.0" encoding="utf-8"?>
<sst xmlns="http://schemas.openxmlformats.org/spreadsheetml/2006/main" count="298" uniqueCount="192">
  <si>
    <t>BSIF Valutation Models</t>
  </si>
  <si>
    <t>Inputs</t>
  </si>
  <si>
    <t>RF Rate (20 YR AAA Corp Bond)</t>
  </si>
  <si>
    <t>ERP (January 2015, Damodaran)</t>
  </si>
  <si>
    <t>Marginal Tax Rate (2013 10-k)</t>
  </si>
  <si>
    <t>After Tax Cost of Debt</t>
  </si>
  <si>
    <t>WACC</t>
  </si>
  <si>
    <t xml:space="preserve">Beta </t>
  </si>
  <si>
    <t>Cost of Equity</t>
  </si>
  <si>
    <t>Pre-Tax Cost of Debt</t>
  </si>
  <si>
    <t>Debt Analysis</t>
  </si>
  <si>
    <t>Maturity</t>
  </si>
  <si>
    <t>Value</t>
  </si>
  <si>
    <t>Rate</t>
  </si>
  <si>
    <t>WA Time to MAT:</t>
  </si>
  <si>
    <t>WA Cost of Debt</t>
  </si>
  <si>
    <t>After Tax Cost Debt</t>
  </si>
  <si>
    <t>Market Value of Debt</t>
  </si>
  <si>
    <t>Marked Value of Equity</t>
  </si>
  <si>
    <t>Weight of Debt</t>
  </si>
  <si>
    <t>Weight of Equity</t>
  </si>
  <si>
    <t>Book Value of Debt</t>
  </si>
  <si>
    <t>Years</t>
  </si>
  <si>
    <t>Stock Price</t>
  </si>
  <si>
    <t>Shares Outstanding (in millions)</t>
  </si>
  <si>
    <t>CAGR</t>
  </si>
  <si>
    <t>High Growth Years</t>
  </si>
  <si>
    <t>High Growth Rate</t>
  </si>
  <si>
    <t>Terminal Growth Rate</t>
  </si>
  <si>
    <t>Working Capital</t>
  </si>
  <si>
    <t>Projected Years</t>
  </si>
  <si>
    <t>Projected Growth</t>
  </si>
  <si>
    <t>Years of High Growth</t>
  </si>
  <si>
    <t>Terminal</t>
  </si>
  <si>
    <t>Enterprise Value</t>
  </si>
  <si>
    <t>Net Debt</t>
  </si>
  <si>
    <t>Equity Value</t>
  </si>
  <si>
    <t>Financial Statements</t>
  </si>
  <si>
    <t>Cash</t>
  </si>
  <si>
    <t>Price Per Share</t>
  </si>
  <si>
    <t>Tax Rate</t>
  </si>
  <si>
    <t>Total Liabilities</t>
  </si>
  <si>
    <t>Constant High Growth</t>
  </si>
  <si>
    <t>Retention Rate</t>
  </si>
  <si>
    <t>Profit Margin</t>
  </si>
  <si>
    <t>Asset Turnover</t>
  </si>
  <si>
    <t>Financial Leverage</t>
  </si>
  <si>
    <t>Market Portfolio Dividend Growth Rate</t>
  </si>
  <si>
    <t>Market Portfolio Dividend Yield</t>
  </si>
  <si>
    <t>Expected Rate of Return on Market Portfolio</t>
  </si>
  <si>
    <t>Risk-free rte of return</t>
  </si>
  <si>
    <t>Market Portfolio Risk Premium</t>
  </si>
  <si>
    <t>Beta</t>
  </si>
  <si>
    <t>Expected Rate of Return on Common Stock</t>
  </si>
  <si>
    <t>FV of Equity</t>
  </si>
  <si>
    <t>FV of Debt</t>
  </si>
  <si>
    <t>Required Rate of Return on Debt</t>
  </si>
  <si>
    <t>WACC Calculation 1</t>
  </si>
  <si>
    <t>WACC Calculation 2</t>
  </si>
  <si>
    <t>Which WACC to use?</t>
  </si>
  <si>
    <t>Write "1" or 2" in the box above!</t>
  </si>
  <si>
    <t>ASSUMPTIONS</t>
  </si>
  <si>
    <t>OUTPUT - Valuing Common Stock using a DDM</t>
  </si>
  <si>
    <t>PV of the Dividends</t>
  </si>
  <si>
    <t>PV of the Expected Stock Price</t>
  </si>
  <si>
    <t>PV of the Total Dividend Stream</t>
  </si>
  <si>
    <t>PV of the Expected Price</t>
  </si>
  <si>
    <t>Total Value of Common Stock</t>
  </si>
  <si>
    <t>Dividends / Share</t>
  </si>
  <si>
    <t>Price / Share</t>
  </si>
  <si>
    <t>ROE</t>
  </si>
  <si>
    <t xml:space="preserve">Historical Dividends </t>
  </si>
  <si>
    <t>Future Dividends</t>
  </si>
  <si>
    <t>Growth Rate:</t>
  </si>
  <si>
    <t>Current Stock Price:</t>
  </si>
  <si>
    <t>Return on Equity:</t>
  </si>
  <si>
    <t>PV of Dividends:</t>
  </si>
  <si>
    <t>WACC:</t>
  </si>
  <si>
    <t>WACC Calculations</t>
  </si>
  <si>
    <t>MV Debt</t>
  </si>
  <si>
    <t>Shares Outstanding</t>
  </si>
  <si>
    <t>Share Price</t>
  </si>
  <si>
    <t>Market Cap</t>
  </si>
  <si>
    <t>Percent Equity</t>
  </si>
  <si>
    <t>Percent Debt</t>
  </si>
  <si>
    <t>Rf</t>
  </si>
  <si>
    <t>Cost of Debt</t>
  </si>
  <si>
    <t>Total CA</t>
  </si>
  <si>
    <t>Total Current liabilities</t>
  </si>
  <si>
    <t>Change in WC</t>
  </si>
  <si>
    <t>Non-Cash Working Capital Calculation</t>
  </si>
  <si>
    <t>b</t>
  </si>
  <si>
    <t>ROIC</t>
  </si>
  <si>
    <t>ROA</t>
  </si>
  <si>
    <t>Internal Growth Rate</t>
  </si>
  <si>
    <t>Sustainable Growth Rate</t>
  </si>
  <si>
    <t>Terminal  Growth Rate</t>
  </si>
  <si>
    <t>Average</t>
  </si>
  <si>
    <t>Maturity Year</t>
  </si>
  <si>
    <t>Interest Expense</t>
  </si>
  <si>
    <t>EBIT</t>
  </si>
  <si>
    <t>FCFF</t>
  </si>
  <si>
    <t>Net borrowing</t>
  </si>
  <si>
    <t>FCFE</t>
  </si>
  <si>
    <t>Payout Ratio</t>
  </si>
  <si>
    <t>TTM Dividend</t>
  </si>
  <si>
    <t xml:space="preserve">Cost of Equity </t>
  </si>
  <si>
    <t>Price Per share</t>
  </si>
  <si>
    <t>NI</t>
  </si>
  <si>
    <r>
      <t>Free Cash Flow to Firm</t>
    </r>
    <r>
      <rPr>
        <u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(FCFF)</t>
    </r>
  </si>
  <si>
    <t>Net Income + Depreciation and Amortization – Change in Net working Capital – Capital Expenditures + Interest expense*(1-t)</t>
  </si>
  <si>
    <t xml:space="preserve">Or  </t>
  </si>
  <si>
    <t>EBIT*(1-t) + Depreciation and Amortization - Change in Net working Capital – Capital Expenditures</t>
  </si>
  <si>
    <r>
      <t xml:space="preserve">Free Cash Flow to Equity (FCFE) </t>
    </r>
    <r>
      <rPr>
        <sz val="11"/>
        <color theme="1"/>
        <rFont val="Calibri"/>
        <family val="2"/>
        <scheme val="minor"/>
      </rPr>
      <t>use Google to determine if FCFE is better for an individual firm than FCFF</t>
    </r>
  </si>
  <si>
    <t>Net Income + Depreciation and Amortization - Change in Net working Capital – Capital Expenditures + Net borrowing</t>
  </si>
  <si>
    <t xml:space="preserve">Net borrowing= debt raised – debt retired </t>
  </si>
  <si>
    <t>Depr &amp; Amort</t>
  </si>
  <si>
    <t>Change WC</t>
  </si>
  <si>
    <t>CapEx</t>
  </si>
  <si>
    <t>EBIT*(1-t)</t>
  </si>
  <si>
    <t xml:space="preserve">OCF </t>
  </si>
  <si>
    <t>OCF</t>
  </si>
  <si>
    <t>Interest Expense (1-t)</t>
  </si>
  <si>
    <t>EBIT Revised</t>
  </si>
  <si>
    <t>Stock Compensation</t>
  </si>
  <si>
    <t>Other Non Cash Items</t>
  </si>
  <si>
    <t>Deferred Income Tax</t>
  </si>
  <si>
    <t>http://financials.morningstar.com/cash-flow/cf.html?t=MCD&amp;region=usa&amp;culture=en-US&amp;platform=sal</t>
  </si>
  <si>
    <t xml:space="preserve">Type of Valuation </t>
  </si>
  <si>
    <t>Average Beta</t>
  </si>
  <si>
    <t>FCFF Selected</t>
  </si>
  <si>
    <t>FCFE Selected</t>
  </si>
  <si>
    <t>Initial Amount</t>
  </si>
  <si>
    <t>Sensitivity Table (Growth rate is on the x-axis and discount rate is on the y-axis)</t>
  </si>
  <si>
    <t>2019-2020</t>
  </si>
  <si>
    <t>2020-2021</t>
  </si>
  <si>
    <t>P/B Multiple</t>
  </si>
  <si>
    <t>(P/B*Equity)/Number of Shares Outstanding</t>
  </si>
  <si>
    <t>2019 Forward P/E Multiple</t>
  </si>
  <si>
    <t>P/S Multiple</t>
  </si>
  <si>
    <t xml:space="preserve">EPS </t>
  </si>
  <si>
    <t>(P/S*Revenue)/Number of Shares Outstanding</t>
  </si>
  <si>
    <t xml:space="preserve">EPS*Forward P/E </t>
  </si>
  <si>
    <t>2021-2022</t>
  </si>
  <si>
    <t>Model</t>
  </si>
  <si>
    <t>Intrinsic Value</t>
  </si>
  <si>
    <t>Upside</t>
  </si>
  <si>
    <t>Weight</t>
  </si>
  <si>
    <t>DCF</t>
  </si>
  <si>
    <t>Net Debt = Long-Term Debt - (Cash + Short-Term Investments)</t>
  </si>
  <si>
    <t>DDM</t>
  </si>
  <si>
    <t>Multiples</t>
  </si>
  <si>
    <t>Morningstar Website "Operating Performance"</t>
  </si>
  <si>
    <t>Morningstar Direct</t>
  </si>
  <si>
    <t>Compare to CAGR</t>
  </si>
  <si>
    <t>Accounts Receivable</t>
  </si>
  <si>
    <t>Deferred Revenue</t>
  </si>
  <si>
    <t>Accounts Payable</t>
  </si>
  <si>
    <t>https://corporatefinanceinstitute.com/resources/knowledge/finance/fcff-vs-fcfe-vs-dividends/</t>
  </si>
  <si>
    <t>Which one to use?</t>
  </si>
  <si>
    <t>"Debt" or "Long-Term Maturities" should list all debt out (10-Q)</t>
  </si>
  <si>
    <t>MRP/ERP</t>
  </si>
  <si>
    <t>Average WACC rates</t>
  </si>
  <si>
    <t>http://people.stern.nyu.edu/adamodar/New_Home_Page/datafile/wacc.htm</t>
  </si>
  <si>
    <t>Years of Low/High Growth</t>
  </si>
  <si>
    <t>2022-2023</t>
  </si>
  <si>
    <t>2023-2024</t>
  </si>
  <si>
    <t>2019 Mean USD *Forward P/E</t>
  </si>
  <si>
    <t>2020 Mean USD*Forward P/E</t>
  </si>
  <si>
    <t>2020 Forward P/E Multiple</t>
  </si>
  <si>
    <t>Adjusted Price Per Share</t>
  </si>
  <si>
    <t>Industry Average WACC</t>
  </si>
  <si>
    <t>TTM</t>
  </si>
  <si>
    <t>Compunded Annual Growth Rate</t>
  </si>
  <si>
    <t>5-Yr CAGR</t>
  </si>
  <si>
    <t>4--Yr CAGR</t>
  </si>
  <si>
    <t>3-Yr CAGR</t>
  </si>
  <si>
    <t>Notes</t>
  </si>
  <si>
    <t>50% Payout Ratio generally good to look for but not set in stone</t>
  </si>
  <si>
    <t>More okay to assume more years of high growth b/c generally outlined by management and is more smoothed. Not uncommon to see 5+ years of high growth in DDM</t>
  </si>
  <si>
    <t>Terminal growth stick with 2%</t>
  </si>
  <si>
    <t>CAGR are raised to the power of 1/years in use then -1</t>
  </si>
  <si>
    <t xml:space="preserve">  </t>
  </si>
  <si>
    <t>Weighted Valuation</t>
  </si>
  <si>
    <t>WIP</t>
  </si>
  <si>
    <t>Inventories</t>
  </si>
  <si>
    <t>Prepaid Expenses</t>
  </si>
  <si>
    <t>Other</t>
  </si>
  <si>
    <t>Change in Current Assets</t>
  </si>
  <si>
    <t>Income Taxes Payable</t>
  </si>
  <si>
    <t>Other Current Liabilities</t>
  </si>
  <si>
    <t>Change in Current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</si>
</sst>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&quot;$&quot;#,##0.00"/>
    <numFmt numFmtId="167" formatCode="0.0000%"/>
    <numFmt numFmtId="168" formatCode="0.000%"/>
    <numFmt numFmtId="169" formatCode="_(* #,##0_);_(* \(#,##0\);_(* &quot;-&quot;??_);_(@_)"/>
    <numFmt numFmtId="170" formatCode="#,##0.000"/>
  </numFmts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Times New Roman"/>
      <family val="1"/>
    </font>
    <font>
      <b/>
      <sz val="22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0"/>
      <color theme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DFDFD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4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0" borderId="0"/>
    <xf numFmtId="0" fontId="26" fillId="0" borderId="0" applyNumberFormat="0" applyFill="0" applyBorder="0" applyAlignment="0" applyProtection="0"/>
    <xf numFmtId="0" fontId="2" fillId="0" borderId="0"/>
    <xf numFmtId="43" fontId="10" fillId="0" borderId="0" applyFont="0" applyFill="0" applyBorder="0" applyAlignment="0" applyProtection="0"/>
  </cellStyleXfs>
  <cellXfs count="185">
    <xf numFmtId="0" fontId="0" fillId="0" borderId="0" xfId="0"/>
    <xf numFmtId="10" fontId="4" fillId="0" borderId="0" xfId="2" applyNumberFormat="1" applyFont="1" applyFill="1" applyBorder="1"/>
    <xf numFmtId="10" fontId="4" fillId="0" borderId="0" xfId="0" applyNumberFormat="1" applyFont="1" applyFill="1" applyBorder="1"/>
    <xf numFmtId="0" fontId="3" fillId="0" borderId="0" xfId="0" applyFont="1"/>
    <xf numFmtId="0" fontId="4" fillId="0" borderId="0" xfId="0" applyFont="1" applyFill="1" applyBorder="1"/>
    <xf numFmtId="164" fontId="4" fillId="0" borderId="0" xfId="1" applyNumberFormat="1" applyFont="1" applyFill="1" applyBorder="1"/>
    <xf numFmtId="2" fontId="4" fillId="0" borderId="0" xfId="2" applyNumberFormat="1" applyFont="1" applyFill="1" applyBorder="1"/>
    <xf numFmtId="0" fontId="4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4" fillId="2" borderId="0" xfId="0" applyFont="1" applyFill="1"/>
    <xf numFmtId="10" fontId="4" fillId="2" borderId="0" xfId="0" applyNumberFormat="1" applyFont="1" applyFill="1" applyBorder="1"/>
    <xf numFmtId="0" fontId="4" fillId="2" borderId="0" xfId="0" applyFont="1" applyFill="1" applyBorder="1" applyAlignment="1">
      <alignment horizontal="right" vertical="center"/>
    </xf>
    <xf numFmtId="0" fontId="0" fillId="2" borderId="0" xfId="0" applyFill="1"/>
    <xf numFmtId="0" fontId="8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165" fontId="0" fillId="2" borderId="0" xfId="2" applyNumberFormat="1" applyFont="1" applyFill="1"/>
    <xf numFmtId="44" fontId="0" fillId="0" borderId="0" xfId="1" applyFont="1"/>
    <xf numFmtId="10" fontId="0" fillId="0" borderId="0" xfId="0" applyNumberFormat="1"/>
    <xf numFmtId="9" fontId="4" fillId="2" borderId="0" xfId="2" applyFont="1" applyFill="1"/>
    <xf numFmtId="10" fontId="0" fillId="0" borderId="0" xfId="2" applyNumberFormat="1" applyFont="1"/>
    <xf numFmtId="44" fontId="0" fillId="2" borderId="0" xfId="1" applyFont="1" applyFill="1"/>
    <xf numFmtId="10" fontId="4" fillId="2" borderId="0" xfId="2" applyNumberFormat="1" applyFont="1" applyFill="1"/>
    <xf numFmtId="164" fontId="4" fillId="2" borderId="0" xfId="1" applyNumberFormat="1" applyFont="1" applyFill="1"/>
    <xf numFmtId="164" fontId="4" fillId="2" borderId="0" xfId="1" applyNumberFormat="1" applyFont="1" applyFill="1" applyBorder="1"/>
    <xf numFmtId="164" fontId="0" fillId="2" borderId="0" xfId="1" applyNumberFormat="1" applyFont="1" applyFill="1"/>
    <xf numFmtId="0" fontId="0" fillId="0" borderId="0" xfId="0" applyFill="1"/>
    <xf numFmtId="10" fontId="0" fillId="2" borderId="0" xfId="2" applyNumberFormat="1" applyFont="1" applyFill="1"/>
    <xf numFmtId="164" fontId="0" fillId="0" borderId="0" xfId="0" applyNumberFormat="1"/>
    <xf numFmtId="10" fontId="0" fillId="2" borderId="0" xfId="0" applyNumberFormat="1" applyFill="1"/>
    <xf numFmtId="165" fontId="0" fillId="0" borderId="0" xfId="2" applyNumberFormat="1" applyFont="1" applyFill="1"/>
    <xf numFmtId="10" fontId="3" fillId="0" borderId="0" xfId="0" applyNumberFormat="1" applyFont="1"/>
    <xf numFmtId="10" fontId="5" fillId="0" borderId="0" xfId="2" applyNumberFormat="1" applyFont="1" applyFill="1" applyBorder="1"/>
    <xf numFmtId="0" fontId="0" fillId="0" borderId="0" xfId="0" applyAlignment="1">
      <alignment horizontal="right"/>
    </xf>
    <xf numFmtId="0" fontId="5" fillId="0" borderId="0" xfId="0" applyFont="1" applyFill="1" applyBorder="1" applyAlignment="1">
      <alignment horizontal="right" wrapText="1"/>
    </xf>
    <xf numFmtId="10" fontId="3" fillId="0" borderId="0" xfId="2" applyNumberFormat="1" applyFont="1"/>
    <xf numFmtId="0" fontId="0" fillId="2" borderId="0" xfId="2" applyNumberFormat="1" applyFont="1" applyFill="1"/>
    <xf numFmtId="0" fontId="0" fillId="0" borderId="0" xfId="0" applyBorder="1"/>
    <xf numFmtId="0" fontId="9" fillId="0" borderId="2" xfId="0" applyFont="1" applyBorder="1"/>
    <xf numFmtId="0" fontId="0" fillId="0" borderId="0" xfId="0" applyBorder="1" applyAlignment="1">
      <alignment horizontal="right"/>
    </xf>
    <xf numFmtId="8" fontId="0" fillId="0" borderId="0" xfId="0" applyNumberFormat="1" applyBorder="1"/>
    <xf numFmtId="10" fontId="0" fillId="0" borderId="0" xfId="0" applyNumberFormat="1" applyBorder="1"/>
    <xf numFmtId="9" fontId="0" fillId="0" borderId="0" xfId="0" applyNumberFormat="1" applyFont="1"/>
    <xf numFmtId="166" fontId="2" fillId="0" borderId="0" xfId="1" applyNumberFormat="1" applyFont="1"/>
    <xf numFmtId="166" fontId="0" fillId="0" borderId="0" xfId="0" applyNumberFormat="1" applyBorder="1"/>
    <xf numFmtId="0" fontId="0" fillId="0" borderId="0" xfId="0" applyFill="1" applyBorder="1"/>
    <xf numFmtId="0" fontId="10" fillId="0" borderId="0" xfId="0" applyFont="1" applyFill="1" applyBorder="1" applyAlignment="1">
      <alignment horizontal="center"/>
    </xf>
    <xf numFmtId="44" fontId="0" fillId="2" borderId="0" xfId="1" applyFont="1" applyFill="1" applyBorder="1" applyAlignment="1">
      <alignment horizontal="right"/>
    </xf>
    <xf numFmtId="44" fontId="0" fillId="0" borderId="0" xfId="0" applyNumberFormat="1" applyBorder="1"/>
    <xf numFmtId="0" fontId="0" fillId="0" borderId="0" xfId="0" applyBorder="1" applyAlignment="1">
      <alignment horizontal="center"/>
    </xf>
    <xf numFmtId="0" fontId="3" fillId="0" borderId="0" xfId="0" applyFont="1" applyBorder="1"/>
    <xf numFmtId="0" fontId="0" fillId="2" borderId="0" xfId="0" applyFill="1" applyBorder="1"/>
    <xf numFmtId="0" fontId="11" fillId="0" borderId="0" xfId="0" applyFont="1"/>
    <xf numFmtId="8" fontId="0" fillId="3" borderId="0" xfId="0" applyNumberFormat="1" applyFill="1" applyBorder="1"/>
    <xf numFmtId="3" fontId="11" fillId="2" borderId="0" xfId="0" applyNumberFormat="1" applyFont="1" applyFill="1"/>
    <xf numFmtId="3" fontId="0" fillId="0" borderId="0" xfId="0" applyNumberFormat="1"/>
    <xf numFmtId="165" fontId="0" fillId="0" borderId="0" xfId="2" applyNumberFormat="1" applyFont="1"/>
    <xf numFmtId="0" fontId="11" fillId="0" borderId="0" xfId="0" applyFont="1" applyFill="1"/>
    <xf numFmtId="0" fontId="0" fillId="0" borderId="5" xfId="0" applyBorder="1"/>
    <xf numFmtId="168" fontId="11" fillId="2" borderId="0" xfId="2" applyNumberFormat="1" applyFont="1" applyFill="1"/>
    <xf numFmtId="0" fontId="12" fillId="0" borderId="0" xfId="0" applyFont="1" applyAlignment="1"/>
    <xf numFmtId="3" fontId="0" fillId="2" borderId="0" xfId="0" applyNumberFormat="1" applyFont="1" applyFill="1"/>
    <xf numFmtId="0" fontId="0" fillId="0" borderId="1" xfId="0" applyFont="1" applyBorder="1"/>
    <xf numFmtId="10" fontId="0" fillId="0" borderId="0" xfId="0" applyNumberFormat="1" applyFont="1"/>
    <xf numFmtId="3" fontId="0" fillId="0" borderId="0" xfId="0" applyNumberFormat="1" applyFont="1" applyAlignment="1">
      <alignment vertical="center"/>
    </xf>
    <xf numFmtId="167" fontId="0" fillId="0" borderId="0" xfId="0" applyNumberFormat="1" applyFont="1"/>
    <xf numFmtId="0" fontId="0" fillId="0" borderId="0" xfId="0" applyFont="1" applyAlignment="1">
      <alignment horizontal="center"/>
    </xf>
    <xf numFmtId="0" fontId="3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10" fontId="0" fillId="0" borderId="0" xfId="2" applyNumberFormat="1" applyFont="1" applyFill="1"/>
    <xf numFmtId="9" fontId="0" fillId="0" borderId="0" xfId="2" applyFont="1" applyFill="1"/>
    <xf numFmtId="44" fontId="0" fillId="0" borderId="0" xfId="1" applyFont="1" applyFill="1"/>
    <xf numFmtId="44" fontId="0" fillId="0" borderId="1" xfId="0" applyNumberFormat="1" applyFont="1" applyBorder="1"/>
    <xf numFmtId="0" fontId="0" fillId="0" borderId="0" xfId="0" applyFont="1" applyFill="1" applyAlignment="1">
      <alignment horizontal="center" wrapText="1"/>
    </xf>
    <xf numFmtId="0" fontId="3" fillId="3" borderId="3" xfId="0" applyFont="1" applyFill="1" applyBorder="1"/>
    <xf numFmtId="44" fontId="3" fillId="3" borderId="4" xfId="0" applyNumberFormat="1" applyFont="1" applyFill="1" applyBorder="1"/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69" fontId="0" fillId="0" borderId="0" xfId="3" applyNumberFormat="1" applyFont="1"/>
    <xf numFmtId="165" fontId="0" fillId="4" borderId="0" xfId="2" applyNumberFormat="1" applyFont="1" applyFill="1"/>
    <xf numFmtId="0" fontId="13" fillId="0" borderId="5" xfId="0" applyFont="1" applyBorder="1" applyAlignment="1">
      <alignment horizontal="left" vertical="center"/>
    </xf>
    <xf numFmtId="8" fontId="13" fillId="0" borderId="0" xfId="3" applyNumberFormat="1" applyFont="1" applyFill="1"/>
    <xf numFmtId="10" fontId="13" fillId="0" borderId="0" xfId="2" applyNumberFormat="1" applyFont="1" applyFill="1"/>
    <xf numFmtId="9" fontId="13" fillId="0" borderId="0" xfId="2" applyFont="1" applyFill="1" applyBorder="1"/>
    <xf numFmtId="9" fontId="11" fillId="0" borderId="0" xfId="0" applyNumberFormat="1" applyFont="1"/>
    <xf numFmtId="44" fontId="0" fillId="5" borderId="0" xfId="0" applyNumberFormat="1" applyFont="1" applyFill="1"/>
    <xf numFmtId="10" fontId="2" fillId="6" borderId="0" xfId="2" applyNumberFormat="1" applyFont="1" applyFill="1"/>
    <xf numFmtId="4" fontId="0" fillId="2" borderId="0" xfId="0" applyNumberFormat="1" applyFont="1" applyFill="1"/>
    <xf numFmtId="0" fontId="0" fillId="0" borderId="0" xfId="0" quotePrefix="1" applyFont="1"/>
    <xf numFmtId="0" fontId="15" fillId="0" borderId="0" xfId="6" applyFont="1" applyAlignment="1">
      <alignment vertical="center"/>
    </xf>
    <xf numFmtId="0" fontId="1" fillId="0" borderId="0" xfId="6"/>
    <xf numFmtId="0" fontId="2" fillId="0" borderId="0" xfId="6" applyFont="1" applyAlignment="1">
      <alignment vertical="center"/>
    </xf>
    <xf numFmtId="0" fontId="17" fillId="0" borderId="0" xfId="6" applyFont="1" applyAlignment="1">
      <alignment vertical="center"/>
    </xf>
    <xf numFmtId="0" fontId="3" fillId="0" borderId="0" xfId="6" applyFont="1" applyAlignment="1">
      <alignment vertical="center"/>
    </xf>
    <xf numFmtId="3" fontId="1" fillId="0" borderId="0" xfId="6" applyNumberFormat="1"/>
    <xf numFmtId="0" fontId="18" fillId="0" borderId="7" xfId="6" applyFont="1" applyBorder="1"/>
    <xf numFmtId="169" fontId="14" fillId="0" borderId="7" xfId="3" applyNumberFormat="1" applyFont="1" applyBorder="1"/>
    <xf numFmtId="169" fontId="14" fillId="0" borderId="7" xfId="7" applyNumberFormat="1" applyFont="1" applyBorder="1"/>
    <xf numFmtId="0" fontId="18" fillId="0" borderId="0" xfId="6" applyFont="1" applyBorder="1"/>
    <xf numFmtId="0" fontId="14" fillId="0" borderId="0" xfId="6" applyFont="1" applyBorder="1"/>
    <xf numFmtId="0" fontId="14" fillId="0" borderId="7" xfId="6" applyFont="1" applyBorder="1"/>
    <xf numFmtId="0" fontId="1" fillId="0" borderId="0" xfId="6" applyBorder="1"/>
    <xf numFmtId="169" fontId="18" fillId="0" borderId="7" xfId="3" applyNumberFormat="1" applyFont="1" applyBorder="1"/>
    <xf numFmtId="0" fontId="0" fillId="0" borderId="0" xfId="0" quotePrefix="1" applyFont="1" applyFill="1"/>
    <xf numFmtId="43" fontId="0" fillId="2" borderId="0" xfId="3" applyFont="1" applyFill="1" applyBorder="1" applyAlignment="1">
      <alignment vertical="center"/>
    </xf>
    <xf numFmtId="43" fontId="3" fillId="0" borderId="0" xfId="3" applyFont="1" applyFill="1" applyBorder="1" applyAlignment="1">
      <alignment horizontal="center" vertical="center"/>
    </xf>
    <xf numFmtId="43" fontId="0" fillId="0" borderId="0" xfId="0" applyNumberFormat="1" applyFont="1"/>
    <xf numFmtId="170" fontId="0" fillId="0" borderId="0" xfId="0" applyNumberFormat="1" applyFont="1" applyFill="1"/>
    <xf numFmtId="0" fontId="0" fillId="5" borderId="0" xfId="0" applyFont="1" applyFill="1"/>
    <xf numFmtId="9" fontId="0" fillId="5" borderId="0" xfId="0" applyNumberFormat="1" applyFont="1" applyFill="1"/>
    <xf numFmtId="10" fontId="0" fillId="5" borderId="0" xfId="0" applyNumberFormat="1" applyFont="1" applyFill="1"/>
    <xf numFmtId="0" fontId="14" fillId="0" borderId="0" xfId="6" applyFont="1"/>
    <xf numFmtId="0" fontId="12" fillId="0" borderId="0" xfId="0" applyFont="1" applyFill="1" applyAlignment="1"/>
    <xf numFmtId="0" fontId="0" fillId="0" borderId="0" xfId="0" applyFont="1" applyFill="1" applyBorder="1" applyAlignment="1">
      <alignment vertical="center"/>
    </xf>
    <xf numFmtId="3" fontId="0" fillId="0" borderId="0" xfId="0" applyNumberFormat="1" applyFont="1" applyFill="1"/>
    <xf numFmtId="0" fontId="3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12" fillId="0" borderId="0" xfId="0" applyFont="1" applyFill="1" applyBorder="1" applyAlignment="1"/>
    <xf numFmtId="164" fontId="0" fillId="0" borderId="0" xfId="1" applyNumberFormat="1" applyFont="1" applyFill="1" applyBorder="1"/>
    <xf numFmtId="9" fontId="0" fillId="2" borderId="0" xfId="2" applyFont="1" applyFill="1"/>
    <xf numFmtId="10" fontId="0" fillId="2" borderId="0" xfId="2" applyNumberFormat="1" applyFont="1" applyFill="1" applyBorder="1" applyAlignment="1">
      <alignment vertical="center"/>
    </xf>
    <xf numFmtId="10" fontId="0" fillId="2" borderId="0" xfId="0" applyNumberFormat="1" applyFont="1" applyFill="1"/>
    <xf numFmtId="2" fontId="11" fillId="0" borderId="0" xfId="0" applyNumberFormat="1" applyFont="1"/>
    <xf numFmtId="0" fontId="1" fillId="9" borderId="0" xfId="6" applyFill="1"/>
    <xf numFmtId="3" fontId="1" fillId="9" borderId="0" xfId="6" applyNumberFormat="1" applyFill="1"/>
    <xf numFmtId="49" fontId="0" fillId="2" borderId="0" xfId="0" applyNumberFormat="1" applyFont="1" applyFill="1" applyAlignment="1">
      <alignment horizontal="right"/>
    </xf>
    <xf numFmtId="169" fontId="1" fillId="8" borderId="0" xfId="6" applyNumberFormat="1" applyFill="1"/>
    <xf numFmtId="0" fontId="0" fillId="0" borderId="0" xfId="0" applyNumberFormat="1" applyFont="1"/>
    <xf numFmtId="0" fontId="0" fillId="2" borderId="0" xfId="0" applyNumberFormat="1" applyFont="1" applyFill="1" applyAlignment="1">
      <alignment horizontal="right"/>
    </xf>
    <xf numFmtId="0" fontId="0" fillId="2" borderId="0" xfId="0" applyFont="1" applyFill="1" applyAlignment="1">
      <alignment vertical="center"/>
    </xf>
    <xf numFmtId="166" fontId="0" fillId="5" borderId="0" xfId="0" applyNumberFormat="1" applyFont="1" applyFill="1"/>
    <xf numFmtId="44" fontId="0" fillId="0" borderId="0" xfId="0" applyNumberFormat="1" applyFont="1"/>
    <xf numFmtId="0" fontId="0" fillId="0" borderId="8" xfId="0" applyFont="1" applyBorder="1"/>
    <xf numFmtId="44" fontId="0" fillId="0" borderId="8" xfId="0" applyNumberFormat="1" applyFont="1" applyBorder="1"/>
    <xf numFmtId="165" fontId="0" fillId="0" borderId="8" xfId="0" applyNumberFormat="1" applyFont="1" applyBorder="1"/>
    <xf numFmtId="9" fontId="0" fillId="0" borderId="8" xfId="2" applyFont="1" applyFill="1" applyBorder="1" applyAlignment="1">
      <alignment horizontal="center"/>
    </xf>
    <xf numFmtId="0" fontId="22" fillId="0" borderId="8" xfId="8" applyFill="1" applyBorder="1" applyAlignment="1">
      <alignment horizontal="center"/>
    </xf>
    <xf numFmtId="0" fontId="22" fillId="0" borderId="8" xfId="8" applyBorder="1" applyAlignment="1">
      <alignment horizontal="center"/>
    </xf>
    <xf numFmtId="0" fontId="3" fillId="8" borderId="9" xfId="0" applyFont="1" applyFill="1" applyBorder="1"/>
    <xf numFmtId="44" fontId="3" fillId="10" borderId="9" xfId="0" applyNumberFormat="1" applyFont="1" applyFill="1" applyBorder="1"/>
    <xf numFmtId="10" fontId="3" fillId="4" borderId="9" xfId="0" applyNumberFormat="1" applyFont="1" applyFill="1" applyBorder="1"/>
    <xf numFmtId="9" fontId="3" fillId="11" borderId="9" xfId="2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vertical="center"/>
    </xf>
    <xf numFmtId="0" fontId="0" fillId="12" borderId="0" xfId="0" applyFill="1"/>
    <xf numFmtId="170" fontId="0" fillId="0" borderId="0" xfId="0" applyNumberFormat="1" applyFont="1" applyAlignment="1">
      <alignment vertical="center"/>
    </xf>
    <xf numFmtId="0" fontId="0" fillId="0" borderId="10" xfId="0" applyFont="1" applyBorder="1"/>
    <xf numFmtId="44" fontId="0" fillId="0" borderId="10" xfId="0" applyNumberFormat="1" applyFont="1" applyBorder="1"/>
    <xf numFmtId="165" fontId="0" fillId="0" borderId="10" xfId="0" applyNumberFormat="1" applyFont="1" applyBorder="1"/>
    <xf numFmtId="9" fontId="0" fillId="0" borderId="10" xfId="2" applyFont="1" applyFill="1" applyBorder="1" applyAlignment="1">
      <alignment horizontal="center"/>
    </xf>
    <xf numFmtId="43" fontId="0" fillId="0" borderId="0" xfId="3" applyFont="1"/>
    <xf numFmtId="4" fontId="0" fillId="0" borderId="0" xfId="0" applyNumberFormat="1"/>
    <xf numFmtId="4" fontId="0" fillId="0" borderId="0" xfId="0" applyNumberFormat="1" applyAlignment="1">
      <alignment vertical="center"/>
    </xf>
    <xf numFmtId="0" fontId="23" fillId="0" borderId="0" xfId="9"/>
    <xf numFmtId="10" fontId="0" fillId="2" borderId="0" xfId="3" applyNumberFormat="1" applyFont="1" applyFill="1" applyBorder="1" applyAlignment="1">
      <alignment vertical="center"/>
    </xf>
    <xf numFmtId="0" fontId="3" fillId="3" borderId="3" xfId="0" applyFont="1" applyFill="1" applyBorder="1" applyAlignment="1"/>
    <xf numFmtId="10" fontId="0" fillId="0" borderId="0" xfId="0" applyNumberFormat="1" applyFont="1" applyFill="1" applyAlignment="1">
      <alignment horizontal="center"/>
    </xf>
    <xf numFmtId="44" fontId="3" fillId="3" borderId="4" xfId="1" applyFont="1" applyFill="1" applyBorder="1" applyAlignment="1"/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0" fillId="13" borderId="5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10" fontId="0" fillId="0" borderId="15" xfId="2" applyNumberFormat="1" applyFont="1" applyBorder="1"/>
    <xf numFmtId="0" fontId="0" fillId="0" borderId="14" xfId="0" applyBorder="1" applyAlignment="1">
      <alignment horizontal="right"/>
    </xf>
    <xf numFmtId="0" fontId="0" fillId="0" borderId="18" xfId="0" applyBorder="1"/>
    <xf numFmtId="0" fontId="0" fillId="0" borderId="19" xfId="0" applyBorder="1"/>
    <xf numFmtId="10" fontId="0" fillId="0" borderId="20" xfId="0" applyNumberFormat="1" applyBorder="1"/>
    <xf numFmtId="0" fontId="0" fillId="0" borderId="2" xfId="0" applyBorder="1"/>
    <xf numFmtId="10" fontId="24" fillId="0" borderId="0" xfId="0" applyNumberFormat="1" applyFont="1"/>
    <xf numFmtId="44" fontId="0" fillId="7" borderId="0" xfId="1" applyFont="1" applyFill="1"/>
    <xf numFmtId="0" fontId="0" fillId="7" borderId="0" xfId="0" applyFill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4" fillId="0" borderId="0" xfId="6" applyFont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2" applyNumberFormat="1" applyFont="1" applyFill="1" applyBorder="1"/>
    <xf numFmtId="0" fontId="0" fillId="0" borderId="21" xfId="0" applyBorder="1" applyAlignment="1">
      <alignment wrapText="1"/>
    </xf>
    <xf numFmtId="43" fontId="0" fillId="0" borderId="0" xfId="0" applyNumberFormat="1"/>
  </cellXfs>
  <cellStyles count="14">
    <cellStyle name="Comma" xfId="3" builtinId="3"/>
    <cellStyle name="Comma 2" xfId="7" xr:uid="{00000000-0005-0000-0000-000001000000}"/>
    <cellStyle name="Comma 3" xfId="13" xr:uid="{29D157EF-2786-9F47-8C12-5ED3C6457F1C}"/>
    <cellStyle name="Currency" xfId="1" builtinId="4"/>
    <cellStyle name="Heading 4" xfId="8" builtinId="19"/>
    <cellStyle name="Hyperlink" xfId="9" builtinId="8"/>
    <cellStyle name="Hyperlink 2" xfId="11" xr:uid="{C716D5D3-F10B-7D40-ACF8-5AA6E21C757C}"/>
    <cellStyle name="Normal" xfId="0" builtinId="0"/>
    <cellStyle name="Normal 2" xfId="4" xr:uid="{00000000-0005-0000-0000-000006000000}"/>
    <cellStyle name="Normal 2 2" xfId="10" xr:uid="{B51856CD-CBEF-6040-8400-0238D23D517D}"/>
    <cellStyle name="Normal 3" xfId="6" xr:uid="{00000000-0005-0000-0000-000007000000}"/>
    <cellStyle name="Normal 3 2" xfId="12" xr:uid="{E03729F2-D1A6-AB4E-B81F-6C085D66AE03}"/>
    <cellStyle name="Percent" xfId="2" builtinId="5"/>
    <cellStyle name="Percent 2" xfId="5" xr:uid="{00000000-0005-0000-0000-000009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25400</xdr:colOff>
      <xdr:row>42</xdr:row>
      <xdr:rowOff>12700</xdr:rowOff>
    </xdr:from>
    <xdr:to>
      <xdr:col>8</xdr:col>
      <xdr:colOff>749300</xdr:colOff>
      <xdr:row>43</xdr:row>
      <xdr:rowOff>139699</xdr:rowOff>
    </xdr:to>
    <xdr:pic>
      <xdr:nvPicPr>
        <xdr:cNvPr id="2" name="Picture 1" descr="https://lh4.googleusercontent.com/HG5aAW8l_fdKUoJRfzeM2oyqhqctlKKQgPFqdEAyxxt1OwlgwdOIgCleSkZd_1PKyYL9pHnvu-dElm49lY-v459v0Yq82N2L24WeyEiLuTQ6cFw4-p6ZuxaTEJIKm0dkXY2vpIqWy3U">
          <a:extLst>
            <a:ext uri="{FF2B5EF4-FFF2-40B4-BE49-F238E27FC236}">
              <a16:creationId xmlns:a16="http://schemas.microsoft.com/office/drawing/2014/main" id="{B4E0E91E-EE2A-8D48-8FB3-5A03F5137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4600" y="8737600"/>
          <a:ext cx="47371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12700</xdr:colOff>
      <xdr:row>34</xdr:row>
      <xdr:rowOff>114300</xdr:rowOff>
    </xdr:from>
    <xdr:to>
      <xdr:col>10</xdr:col>
      <xdr:colOff>736601</xdr:colOff>
      <xdr:row>41</xdr:row>
      <xdr:rowOff>4618</xdr:rowOff>
    </xdr:to>
    <xdr:pic>
      <xdr:nvPicPr>
        <xdr:cNvPr id="3" name="Picture 2" descr="https://lh5.googleusercontent.com/22vYlM26HpiOcx1Se_bIC9hvwcn3x2LnJ8FSdy95ipt-A6Mvi2gfyKq8enzoDe-5HUrGj5FPVRWww5QFReDJWO4ao-8JUUqBafXE_k_tQ_4yX1Gk0WqSOCV9d9CbIzm81lnZYc2tjus">
          <a:extLst>
            <a:ext uri="{FF2B5EF4-FFF2-40B4-BE49-F238E27FC236}">
              <a16:creationId xmlns:a16="http://schemas.microsoft.com/office/drawing/2014/main" id="{A6D3F33F-7BBA-864D-A2F5-061033756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1900" y="7315200"/>
          <a:ext cx="6743700" cy="120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people.stern.nyu.edu/adamodar/New_Home_Page/datafile/wacc.htm" TargetMode="External"/><Relationship Id="rId1" Type="http://schemas.openxmlformats.org/officeDocument/2006/relationships/hyperlink" Target="https://corporatefinanceinstitute.com/resources/knowledge/finance/fcff-vs-fcfe-vs-dividends/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B25" sqref="B25"/>
    </sheetView>
  </sheetViews>
  <sheetFormatPr defaultColWidth="8.77734375" defaultRowHeight="14.4" x14ac:dyDescent="0.3"/>
  <cols>
    <col min="1" max="1" width="30" customWidth="1"/>
    <col min="2" max="2" width="16" customWidth="1"/>
    <col min="4" max="4" width="17.44140625" customWidth="1"/>
    <col min="5" max="5" width="11.77734375" customWidth="1"/>
    <col min="6" max="6" width="11.44140625" customWidth="1"/>
    <col min="8" max="8" width="39.44140625" customWidth="1"/>
    <col min="9" max="9" width="11.77734375" customWidth="1"/>
  </cols>
  <sheetData>
    <row r="1" spans="1:9" ht="18" x14ac:dyDescent="0.35">
      <c r="A1" s="13" t="s">
        <v>0</v>
      </c>
    </row>
    <row r="3" spans="1:9" x14ac:dyDescent="0.3">
      <c r="A3" s="3" t="s">
        <v>57</v>
      </c>
      <c r="D3" s="3" t="s">
        <v>10</v>
      </c>
      <c r="H3" s="3" t="s">
        <v>37</v>
      </c>
    </row>
    <row r="4" spans="1:9" x14ac:dyDescent="0.3">
      <c r="A4" s="7" t="s">
        <v>2</v>
      </c>
      <c r="B4" s="1">
        <v>2.4E-2</v>
      </c>
      <c r="D4" t="s">
        <v>11</v>
      </c>
      <c r="E4" t="s">
        <v>12</v>
      </c>
      <c r="F4" t="s">
        <v>13</v>
      </c>
      <c r="H4" t="s">
        <v>41</v>
      </c>
      <c r="I4" s="25">
        <v>19238</v>
      </c>
    </row>
    <row r="5" spans="1:9" x14ac:dyDescent="0.3">
      <c r="A5" s="7" t="s">
        <v>3</v>
      </c>
      <c r="B5" s="1">
        <v>5.7799999999999997E-2</v>
      </c>
      <c r="D5" s="9">
        <v>2016</v>
      </c>
      <c r="E5" s="23">
        <v>1113</v>
      </c>
      <c r="F5" s="22">
        <v>1.6250000000000001E-2</v>
      </c>
      <c r="H5" t="s">
        <v>38</v>
      </c>
      <c r="I5" s="25">
        <v>10128</v>
      </c>
    </row>
    <row r="6" spans="1:9" x14ac:dyDescent="0.3">
      <c r="A6" s="7" t="s">
        <v>7</v>
      </c>
      <c r="B6" s="11">
        <v>0.67</v>
      </c>
      <c r="D6" s="9">
        <v>2016</v>
      </c>
      <c r="E6" s="23">
        <v>699</v>
      </c>
      <c r="F6" s="22">
        <v>3.0499999999999999E-2</v>
      </c>
    </row>
    <row r="7" spans="1:9" x14ac:dyDescent="0.3">
      <c r="A7" s="7" t="s">
        <v>8</v>
      </c>
      <c r="B7" s="2">
        <f>B4+B6*B5</f>
        <v>6.2726000000000004E-2</v>
      </c>
      <c r="D7" s="9">
        <v>2017</v>
      </c>
      <c r="E7" s="23">
        <v>600</v>
      </c>
      <c r="F7" s="22">
        <v>7.4999999999999997E-3</v>
      </c>
    </row>
    <row r="8" spans="1:9" x14ac:dyDescent="0.3">
      <c r="A8" s="7" t="s">
        <v>9</v>
      </c>
      <c r="B8" s="2">
        <f>E18</f>
        <v>2.4308763408265214E-2</v>
      </c>
      <c r="D8" s="9">
        <v>2021</v>
      </c>
      <c r="E8" s="23">
        <v>994</v>
      </c>
      <c r="F8" s="22">
        <v>4.4999999999999998E-2</v>
      </c>
      <c r="H8" s="3" t="s">
        <v>58</v>
      </c>
    </row>
    <row r="9" spans="1:9" x14ac:dyDescent="0.3">
      <c r="A9" s="7" t="s">
        <v>4</v>
      </c>
      <c r="B9" s="10">
        <v>0.26179999999999998</v>
      </c>
      <c r="D9" s="9">
        <v>2041</v>
      </c>
      <c r="E9" s="23">
        <v>998</v>
      </c>
      <c r="F9" s="22">
        <v>5.6500000000000002E-2</v>
      </c>
      <c r="H9" t="s">
        <v>43</v>
      </c>
      <c r="I9" s="12">
        <v>0.65</v>
      </c>
    </row>
    <row r="10" spans="1:9" x14ac:dyDescent="0.3">
      <c r="A10" s="7" t="s">
        <v>5</v>
      </c>
      <c r="B10" s="1">
        <f>B8*(1-B9)</f>
        <v>1.794472914798138E-2</v>
      </c>
      <c r="D10" s="9"/>
      <c r="E10" s="9"/>
      <c r="F10" s="19"/>
      <c r="H10" t="s">
        <v>44</v>
      </c>
      <c r="I10" s="27">
        <v>8.5699999999999998E-2</v>
      </c>
    </row>
    <row r="11" spans="1:9" x14ac:dyDescent="0.3">
      <c r="A11" s="7" t="s">
        <v>17</v>
      </c>
      <c r="B11" s="24">
        <v>10289</v>
      </c>
      <c r="D11" s="9"/>
      <c r="E11" s="9"/>
      <c r="F11" s="19"/>
      <c r="H11" t="s">
        <v>45</v>
      </c>
      <c r="I11" s="12">
        <v>0.88</v>
      </c>
    </row>
    <row r="12" spans="1:9" x14ac:dyDescent="0.3">
      <c r="A12" s="7" t="s">
        <v>18</v>
      </c>
      <c r="B12" s="5">
        <f>B18*B19</f>
        <v>155850</v>
      </c>
      <c r="D12" s="9"/>
      <c r="E12" s="9"/>
      <c r="F12" s="19"/>
      <c r="H12" t="s">
        <v>46</v>
      </c>
      <c r="I12" s="12">
        <v>2.42</v>
      </c>
    </row>
    <row r="13" spans="1:9" x14ac:dyDescent="0.3">
      <c r="A13" s="7" t="s">
        <v>19</v>
      </c>
      <c r="B13" s="1">
        <f>B11/(B12+B11)</f>
        <v>6.1930070603530778E-2</v>
      </c>
      <c r="D13" s="9"/>
      <c r="E13" s="9"/>
      <c r="F13" s="19"/>
      <c r="H13" t="s">
        <v>47</v>
      </c>
      <c r="I13" s="20">
        <f>I9*I10*I11*I12</f>
        <v>0.118629368</v>
      </c>
    </row>
    <row r="14" spans="1:9" x14ac:dyDescent="0.3">
      <c r="A14" s="7" t="s">
        <v>20</v>
      </c>
      <c r="B14" s="1">
        <f>1-B13</f>
        <v>0.93806992939646927</v>
      </c>
      <c r="D14" s="9"/>
      <c r="E14" s="9"/>
      <c r="F14" s="19"/>
      <c r="H14" t="s">
        <v>48</v>
      </c>
      <c r="I14" s="29">
        <v>2.24E-2</v>
      </c>
    </row>
    <row r="15" spans="1:9" x14ac:dyDescent="0.3">
      <c r="A15" s="8" t="s">
        <v>6</v>
      </c>
      <c r="B15" s="32">
        <f>B13*B10+B14*B7</f>
        <v>5.995269273441866E-2</v>
      </c>
      <c r="D15" s="9"/>
      <c r="E15" s="9"/>
      <c r="F15" s="19"/>
      <c r="H15" t="s">
        <v>49</v>
      </c>
      <c r="I15" s="20">
        <f>I13+I14</f>
        <v>0.14102936799999999</v>
      </c>
    </row>
    <row r="16" spans="1:9" x14ac:dyDescent="0.3">
      <c r="D16" s="4" t="s">
        <v>21</v>
      </c>
      <c r="E16" s="5">
        <f>SUM(E5:E15)</f>
        <v>4404</v>
      </c>
      <c r="F16" s="4"/>
      <c r="H16" t="s">
        <v>50</v>
      </c>
      <c r="I16" s="29">
        <v>2.4E-2</v>
      </c>
    </row>
    <row r="17" spans="1:9" x14ac:dyDescent="0.3">
      <c r="A17" s="8" t="s">
        <v>1</v>
      </c>
      <c r="D17" s="4" t="s">
        <v>15</v>
      </c>
      <c r="E17" s="1">
        <f>SUMPRODUCT(E5:E15,F5:F15)/E16</f>
        <v>3.2929779745685742E-2</v>
      </c>
      <c r="F17" s="2"/>
      <c r="H17" t="s">
        <v>51</v>
      </c>
      <c r="I17" s="20">
        <f>I15-I16</f>
        <v>0.11702936799999999</v>
      </c>
    </row>
    <row r="18" spans="1:9" x14ac:dyDescent="0.3">
      <c r="A18" s="7" t="s">
        <v>23</v>
      </c>
      <c r="B18" s="21">
        <v>103.9</v>
      </c>
      <c r="D18" s="4" t="s">
        <v>16</v>
      </c>
      <c r="E18" s="6">
        <f>E17*(1-B9)</f>
        <v>2.4308763408265214E-2</v>
      </c>
      <c r="F18" s="4"/>
      <c r="H18" t="s">
        <v>52</v>
      </c>
      <c r="I18" s="26">
        <f>B6</f>
        <v>0.67</v>
      </c>
    </row>
    <row r="19" spans="1:9" x14ac:dyDescent="0.3">
      <c r="A19" s="7" t="s">
        <v>24</v>
      </c>
      <c r="B19" s="12">
        <v>1500</v>
      </c>
      <c r="D19" s="4" t="s">
        <v>14</v>
      </c>
      <c r="E19" s="6">
        <f ca="1">SUMPRODUCT(D5:D15,E5:E15)/SUM(E5:E15)-YEAR(TODAY())</f>
        <v>2.930063578564841</v>
      </c>
      <c r="F19" s="4" t="s">
        <v>22</v>
      </c>
      <c r="H19" t="s">
        <v>53</v>
      </c>
      <c r="I19" s="20">
        <f>I16+I18*(I15-I16)</f>
        <v>0.10240967656</v>
      </c>
    </row>
    <row r="20" spans="1:9" x14ac:dyDescent="0.3">
      <c r="A20" s="7" t="s">
        <v>26</v>
      </c>
      <c r="B20" s="12">
        <v>5</v>
      </c>
      <c r="H20" t="s">
        <v>54</v>
      </c>
      <c r="I20" s="28">
        <f>B18*B19</f>
        <v>155850</v>
      </c>
    </row>
    <row r="21" spans="1:9" x14ac:dyDescent="0.3">
      <c r="A21" s="7" t="s">
        <v>27</v>
      </c>
      <c r="B21" s="16">
        <v>0.05</v>
      </c>
      <c r="H21" t="s">
        <v>56</v>
      </c>
      <c r="I21" s="18">
        <f>E18</f>
        <v>2.4308763408265214E-2</v>
      </c>
    </row>
    <row r="22" spans="1:9" x14ac:dyDescent="0.3">
      <c r="A22" s="7" t="s">
        <v>28</v>
      </c>
      <c r="B22" s="16">
        <v>0.02</v>
      </c>
      <c r="H22" t="s">
        <v>55</v>
      </c>
      <c r="I22" s="28">
        <f>B11</f>
        <v>10289</v>
      </c>
    </row>
    <row r="23" spans="1:9" x14ac:dyDescent="0.3">
      <c r="A23" s="7"/>
      <c r="B23" s="30"/>
      <c r="H23" t="s">
        <v>20</v>
      </c>
      <c r="I23" s="20">
        <f>I20/(I20+I22)</f>
        <v>0.93806992939646927</v>
      </c>
    </row>
    <row r="24" spans="1:9" x14ac:dyDescent="0.3">
      <c r="A24" s="34" t="s">
        <v>59</v>
      </c>
      <c r="B24" s="36">
        <v>2</v>
      </c>
      <c r="C24" s="35">
        <f>IF(B24=1,B15,I25)</f>
        <v>9.7178756403250174E-2</v>
      </c>
      <c r="H24" t="s">
        <v>19</v>
      </c>
      <c r="I24" s="18">
        <f>1-I23</f>
        <v>6.1930070603530729E-2</v>
      </c>
    </row>
    <row r="25" spans="1:9" x14ac:dyDescent="0.3">
      <c r="B25" s="33" t="s">
        <v>60</v>
      </c>
      <c r="H25" s="3" t="s">
        <v>6</v>
      </c>
      <c r="I25" s="31">
        <f>I23*I19+I24*I21*(1-B9)</f>
        <v>9.7178756403250174E-2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W135"/>
  <sheetViews>
    <sheetView tabSelected="1" topLeftCell="K1" zoomScale="111" zoomScaleNormal="80" zoomScalePageLayoutView="110" workbookViewId="0">
      <selection activeCell="X17" sqref="X17"/>
    </sheetView>
  </sheetViews>
  <sheetFormatPr defaultColWidth="8.77734375" defaultRowHeight="13.8" x14ac:dyDescent="0.25"/>
  <cols>
    <col min="1" max="1" width="24.109375" style="52" customWidth="1"/>
    <col min="2" max="2" width="15.44140625" style="52" customWidth="1"/>
    <col min="3" max="11" width="13.109375" style="52" customWidth="1"/>
    <col min="12" max="12" width="15.109375" style="52" customWidth="1"/>
    <col min="13" max="13" width="10.33203125" style="52" customWidth="1"/>
    <col min="14" max="14" width="18.44140625" style="52" customWidth="1"/>
    <col min="15" max="15" width="19.6640625" style="52" customWidth="1"/>
    <col min="16" max="17" width="8.77734375" style="52"/>
    <col min="18" max="18" width="17.77734375" style="52" bestFit="1" customWidth="1"/>
    <col min="19" max="19" width="8.77734375" style="52"/>
    <col min="20" max="20" width="9.44140625" style="52" bestFit="1" customWidth="1"/>
    <col min="21" max="16384" width="8.77734375" style="52"/>
  </cols>
  <sheetData>
    <row r="1" spans="1:23" ht="13.95" customHeight="1" x14ac:dyDescent="0.55000000000000004">
      <c r="A1" s="80" t="s">
        <v>103</v>
      </c>
      <c r="B1" s="117">
        <f>'FCFF &amp; FCFE'!H10</f>
        <v>0</v>
      </c>
      <c r="C1" s="120"/>
      <c r="D1" s="119"/>
      <c r="E1" s="120"/>
      <c r="F1" s="120"/>
      <c r="G1" s="119"/>
      <c r="H1" s="121"/>
      <c r="I1" s="116"/>
      <c r="J1" s="60"/>
      <c r="L1" s="14"/>
      <c r="M1" s="14"/>
      <c r="N1" s="14"/>
      <c r="O1" s="109" t="s">
        <v>52</v>
      </c>
      <c r="P1" s="14"/>
      <c r="Q1" s="14"/>
      <c r="R1" s="14"/>
    </row>
    <row r="2" spans="1:23" ht="13.95" customHeight="1" thickBot="1" x14ac:dyDescent="0.6">
      <c r="A2" s="80" t="s">
        <v>101</v>
      </c>
      <c r="B2" s="146">
        <f>'FCFF &amp; FCFE'!H9</f>
        <v>0</v>
      </c>
      <c r="C2" s="120"/>
      <c r="D2" s="117"/>
      <c r="E2" s="120"/>
      <c r="F2" s="120"/>
      <c r="G2" s="121"/>
      <c r="H2" s="121"/>
      <c r="I2" s="116"/>
      <c r="J2" s="60"/>
      <c r="L2" s="14"/>
      <c r="M2" s="14"/>
      <c r="N2" s="14"/>
      <c r="O2" s="108"/>
      <c r="P2" s="14"/>
      <c r="Q2" s="14"/>
      <c r="R2" s="77" t="s">
        <v>10</v>
      </c>
      <c r="S2" s="58"/>
      <c r="T2" s="58"/>
      <c r="U2" s="58"/>
    </row>
    <row r="3" spans="1:23" ht="15" customHeight="1" thickBot="1" x14ac:dyDescent="0.6">
      <c r="A3" s="117"/>
      <c r="B3" s="122"/>
      <c r="C3" s="120"/>
      <c r="D3" s="117" t="s">
        <v>159</v>
      </c>
      <c r="E3" s="122"/>
      <c r="F3" s="120"/>
      <c r="G3" s="117"/>
      <c r="H3" s="122"/>
      <c r="I3" s="116"/>
      <c r="J3" s="60"/>
      <c r="K3" s="60"/>
      <c r="L3" s="14"/>
      <c r="M3" s="14"/>
      <c r="N3" s="14"/>
      <c r="O3" s="108"/>
      <c r="P3" s="14"/>
      <c r="Q3" s="14"/>
      <c r="R3" s="78" t="s">
        <v>98</v>
      </c>
      <c r="S3" s="79" t="s">
        <v>12</v>
      </c>
      <c r="T3" s="79" t="s">
        <v>13</v>
      </c>
      <c r="U3" s="84" t="s">
        <v>99</v>
      </c>
    </row>
    <row r="4" spans="1:23" ht="14.4" x14ac:dyDescent="0.3">
      <c r="A4" s="81" t="s">
        <v>128</v>
      </c>
      <c r="B4" s="61" t="s">
        <v>101</v>
      </c>
      <c r="C4" s="14"/>
      <c r="D4" s="156" t="s">
        <v>158</v>
      </c>
      <c r="E4" s="64"/>
      <c r="F4" s="14"/>
      <c r="G4" s="14"/>
      <c r="H4" s="14"/>
      <c r="I4" s="14"/>
      <c r="J4" s="14"/>
      <c r="K4" s="14"/>
      <c r="L4" s="14"/>
      <c r="M4" s="14"/>
      <c r="N4" s="14"/>
      <c r="O4" s="108"/>
      <c r="P4" s="14"/>
      <c r="Q4" s="14"/>
      <c r="R4" s="132"/>
      <c r="S4" s="54"/>
      <c r="T4" s="59"/>
      <c r="U4" s="85">
        <f t="shared" ref="U4:U17" si="0">-PV(T4,(R4-2014),,((R4-2014)*(S4*T4)))</f>
        <v>0</v>
      </c>
      <c r="W4" s="52" t="s">
        <v>160</v>
      </c>
    </row>
    <row r="5" spans="1:23" ht="14.4" x14ac:dyDescent="0.3">
      <c r="A5" s="81" t="s">
        <v>132</v>
      </c>
      <c r="B5" s="118">
        <f>IF(B4="FCFF",B2,B1)</f>
        <v>0</v>
      </c>
      <c r="C5" s="14"/>
      <c r="D5" s="81"/>
      <c r="E5" s="64"/>
      <c r="F5" s="14"/>
      <c r="G5" s="14"/>
      <c r="H5" s="14"/>
      <c r="I5" s="14"/>
      <c r="J5" s="14"/>
      <c r="K5" s="14"/>
      <c r="L5" s="14"/>
      <c r="M5" s="14"/>
      <c r="N5" s="14"/>
      <c r="O5" s="108"/>
      <c r="P5" s="14"/>
      <c r="Q5" s="14"/>
      <c r="R5" s="129"/>
      <c r="S5" s="54"/>
      <c r="T5" s="59"/>
      <c r="U5" s="85">
        <f t="shared" si="0"/>
        <v>0</v>
      </c>
    </row>
    <row r="6" spans="1:23" ht="14.4" x14ac:dyDescent="0.3">
      <c r="A6" s="81" t="str">
        <f>IF(B4="FCFF", "WACC", "Cost of Equity")</f>
        <v>WACC</v>
      </c>
      <c r="B6" s="63" t="e">
        <f>IF(B4="FCFF",O21,O19)</f>
        <v>#DIV/0!</v>
      </c>
      <c r="C6" s="63"/>
      <c r="D6" s="81"/>
      <c r="E6" s="64"/>
      <c r="F6" s="14"/>
      <c r="G6" s="14"/>
      <c r="H6" s="14"/>
      <c r="I6" s="14"/>
      <c r="J6" s="14"/>
      <c r="K6" s="14"/>
      <c r="L6" s="14"/>
      <c r="M6" s="14"/>
      <c r="N6" s="14" t="s">
        <v>129</v>
      </c>
      <c r="O6" s="110" t="e">
        <f>AVERAGE(O2:O4)</f>
        <v>#DIV/0!</v>
      </c>
      <c r="P6" s="14"/>
      <c r="Q6" s="14"/>
      <c r="R6" s="129"/>
      <c r="S6" s="54"/>
      <c r="T6" s="59"/>
      <c r="U6" s="85">
        <f t="shared" si="0"/>
        <v>0</v>
      </c>
    </row>
    <row r="7" spans="1:23" ht="14.4" x14ac:dyDescent="0.3">
      <c r="A7" s="81" t="s">
        <v>164</v>
      </c>
      <c r="B7" s="61"/>
      <c r="C7" s="14"/>
      <c r="D7" s="81"/>
      <c r="E7" s="64"/>
      <c r="F7" s="14"/>
      <c r="G7" s="14"/>
      <c r="H7" s="14"/>
      <c r="I7" s="14"/>
      <c r="J7" s="14"/>
      <c r="K7" s="14"/>
      <c r="L7" s="14"/>
      <c r="M7" s="14"/>
      <c r="P7" s="14"/>
      <c r="Q7" s="14"/>
      <c r="R7" s="129"/>
      <c r="S7" s="54"/>
      <c r="T7" s="59"/>
      <c r="U7" s="85">
        <f t="shared" si="0"/>
        <v>0</v>
      </c>
    </row>
    <row r="8" spans="1:23" ht="14.4" x14ac:dyDescent="0.3">
      <c r="A8" s="81" t="s">
        <v>28</v>
      </c>
      <c r="B8" s="61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81" t="s">
        <v>78</v>
      </c>
      <c r="O8" s="14"/>
      <c r="P8" s="14"/>
      <c r="Q8" s="14"/>
      <c r="R8" s="129"/>
      <c r="S8" s="54"/>
      <c r="T8" s="59"/>
      <c r="U8" s="85">
        <f t="shared" si="0"/>
        <v>0</v>
      </c>
    </row>
    <row r="9" spans="1:23" ht="14.4" x14ac:dyDescent="0.3">
      <c r="A9" s="81"/>
      <c r="B9" s="4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 t="s">
        <v>52</v>
      </c>
      <c r="O9" s="111" t="e">
        <f>O6</f>
        <v>#DIV/0!</v>
      </c>
      <c r="P9" s="14"/>
      <c r="Q9" s="14"/>
      <c r="R9" s="129"/>
      <c r="S9" s="54"/>
      <c r="T9" s="59"/>
      <c r="U9" s="85">
        <f>-PV(T9,(R9-2014),,((R9-2014)*(S9*T9)))</f>
        <v>0</v>
      </c>
    </row>
    <row r="10" spans="1:23" ht="14.4" x14ac:dyDescent="0.3">
      <c r="A10" s="80" t="s">
        <v>42</v>
      </c>
      <c r="B10" s="131" t="s">
        <v>134</v>
      </c>
      <c r="C10" s="14" t="s">
        <v>135</v>
      </c>
      <c r="D10" s="14" t="s">
        <v>143</v>
      </c>
      <c r="E10" s="14" t="s">
        <v>165</v>
      </c>
      <c r="F10" s="14" t="s">
        <v>166</v>
      </c>
      <c r="G10" s="14"/>
      <c r="H10" s="14"/>
      <c r="I10" s="14"/>
      <c r="J10" s="14"/>
      <c r="K10" s="14"/>
      <c r="L10" s="14"/>
      <c r="M10" s="14"/>
      <c r="N10" s="14" t="s">
        <v>161</v>
      </c>
      <c r="O10" s="124"/>
      <c r="P10" s="14"/>
      <c r="Q10" s="14"/>
      <c r="R10" s="129"/>
      <c r="S10" s="54"/>
      <c r="T10" s="59"/>
      <c r="U10" s="85">
        <f t="shared" si="0"/>
        <v>0</v>
      </c>
    </row>
    <row r="11" spans="1:23" ht="14.4" x14ac:dyDescent="0.3">
      <c r="A11" s="81" t="s">
        <v>30</v>
      </c>
      <c r="B11" s="66">
        <v>1</v>
      </c>
      <c r="C11" s="66">
        <v>2</v>
      </c>
      <c r="D11" s="66">
        <v>3</v>
      </c>
      <c r="E11" s="66">
        <v>4</v>
      </c>
      <c r="F11" s="66">
        <v>5</v>
      </c>
      <c r="G11" s="66">
        <v>6</v>
      </c>
      <c r="H11" s="66">
        <v>7</v>
      </c>
      <c r="I11" s="66">
        <v>8</v>
      </c>
      <c r="J11" s="66">
        <v>9</v>
      </c>
      <c r="K11" s="66">
        <v>10</v>
      </c>
      <c r="L11" s="66" t="s">
        <v>33</v>
      </c>
      <c r="M11" s="14"/>
      <c r="N11" s="14" t="s">
        <v>79</v>
      </c>
      <c r="O11" s="82">
        <f>S21</f>
        <v>0</v>
      </c>
      <c r="P11" s="14"/>
      <c r="Q11" s="14"/>
      <c r="R11" s="129"/>
      <c r="S11" s="54"/>
      <c r="T11" s="59"/>
      <c r="U11" s="85">
        <f t="shared" si="0"/>
        <v>0</v>
      </c>
    </row>
    <row r="12" spans="1:23" ht="14.4" x14ac:dyDescent="0.3">
      <c r="A12" s="81" t="s">
        <v>31</v>
      </c>
      <c r="B12" s="16"/>
      <c r="C12" s="16"/>
      <c r="D12" s="16"/>
      <c r="E12" s="16"/>
      <c r="F12" s="16"/>
      <c r="G12" s="123"/>
      <c r="H12" s="123"/>
      <c r="I12" s="123"/>
      <c r="J12" s="123"/>
      <c r="K12" s="123"/>
      <c r="L12" s="20">
        <f>B8</f>
        <v>0</v>
      </c>
      <c r="M12" s="14"/>
      <c r="N12" s="14" t="s">
        <v>80</v>
      </c>
      <c r="O12" s="61"/>
      <c r="P12" s="14"/>
      <c r="Q12" s="14"/>
      <c r="R12" s="129"/>
      <c r="S12" s="54"/>
      <c r="T12" s="59"/>
      <c r="U12" s="85">
        <f t="shared" si="0"/>
        <v>0</v>
      </c>
    </row>
    <row r="13" spans="1:23" ht="14.4" x14ac:dyDescent="0.3">
      <c r="A13" s="14"/>
      <c r="B13" s="17">
        <f>IF(B11&lt;=$B$7,B5*(1+B12),0)</f>
        <v>0</v>
      </c>
      <c r="C13" s="17">
        <f>IF(C11&lt;=$B$7,B13*(1+C12),0)</f>
        <v>0</v>
      </c>
      <c r="D13" s="17">
        <f>IF(D11&lt;=$B$7,C13*(1+D12),0)</f>
        <v>0</v>
      </c>
      <c r="E13" s="17">
        <f>IF(E11&lt;=$B$7,D13*(1+E12),0)</f>
        <v>0</v>
      </c>
      <c r="F13" s="17">
        <f>IF(F11&lt;=$B$7,E13*(1+F12),0)</f>
        <v>0</v>
      </c>
      <c r="G13" s="17">
        <f>IF(G11&lt;=$B$7,F13*(1+G12),0)</f>
        <v>0</v>
      </c>
      <c r="H13" s="17">
        <f>IF(H11&lt;=$B$7,G13*(1+H12),0)</f>
        <v>0</v>
      </c>
      <c r="I13" s="17">
        <f>IF(I11&lt;=$B$7,H13*(1+I12),0)</f>
        <v>0</v>
      </c>
      <c r="J13" s="17">
        <f>IF(J11&lt;=$B$7,I13*(1+J12),0)</f>
        <v>0</v>
      </c>
      <c r="K13" s="17">
        <f>IF(K11&lt;=$B$7,J13*(1+K12),0)</f>
        <v>0</v>
      </c>
      <c r="L13" s="17" t="e">
        <f>(HLOOKUP(B7,B11:K13,3)*(1+L12))/(B6-B8)</f>
        <v>#N/A</v>
      </c>
      <c r="M13" s="14"/>
      <c r="N13" s="14" t="s">
        <v>81</v>
      </c>
      <c r="O13" s="61"/>
      <c r="P13" s="14"/>
      <c r="Q13" s="14"/>
      <c r="R13" s="129"/>
      <c r="S13" s="54"/>
      <c r="T13" s="59"/>
      <c r="U13" s="85">
        <f t="shared" si="0"/>
        <v>0</v>
      </c>
    </row>
    <row r="14" spans="1:23" ht="14.4" x14ac:dyDescent="0.3">
      <c r="A14" s="14"/>
      <c r="B14" s="14" t="e">
        <f t="shared" ref="B14:K14" si="1">B13/(1+$B$6)^B11</f>
        <v>#DIV/0!</v>
      </c>
      <c r="C14" s="14" t="e">
        <f t="shared" si="1"/>
        <v>#DIV/0!</v>
      </c>
      <c r="D14" s="14" t="e">
        <f t="shared" si="1"/>
        <v>#DIV/0!</v>
      </c>
      <c r="E14" s="14" t="e">
        <f t="shared" si="1"/>
        <v>#DIV/0!</v>
      </c>
      <c r="F14" s="14" t="e">
        <f t="shared" si="1"/>
        <v>#DIV/0!</v>
      </c>
      <c r="G14" s="14" t="e">
        <f t="shared" si="1"/>
        <v>#DIV/0!</v>
      </c>
      <c r="H14" s="14" t="e">
        <f t="shared" si="1"/>
        <v>#DIV/0!</v>
      </c>
      <c r="I14" s="14" t="e">
        <f t="shared" si="1"/>
        <v>#DIV/0!</v>
      </c>
      <c r="J14" s="14" t="e">
        <f t="shared" si="1"/>
        <v>#DIV/0!</v>
      </c>
      <c r="K14" s="14" t="e">
        <f t="shared" si="1"/>
        <v>#DIV/0!</v>
      </c>
      <c r="L14" s="14" t="e">
        <f>L13/(1+B6)^D11</f>
        <v>#N/A</v>
      </c>
      <c r="M14" s="14"/>
      <c r="N14" s="14" t="s">
        <v>82</v>
      </c>
      <c r="O14" s="82">
        <f>O12*O13</f>
        <v>0</v>
      </c>
      <c r="P14" s="14"/>
      <c r="Q14" s="14"/>
      <c r="R14" s="129"/>
      <c r="S14" s="54"/>
      <c r="T14" s="59"/>
      <c r="U14" s="85">
        <f t="shared" si="0"/>
        <v>0</v>
      </c>
    </row>
    <row r="15" spans="1:23" ht="14.4" x14ac:dyDescent="0.3">
      <c r="M15" s="14"/>
      <c r="N15" s="81" t="s">
        <v>40</v>
      </c>
      <c r="O15" s="27"/>
      <c r="P15" s="14"/>
      <c r="Q15" s="14"/>
      <c r="R15" s="129"/>
      <c r="S15" s="54"/>
      <c r="T15" s="59"/>
      <c r="U15" s="85">
        <f t="shared" si="0"/>
        <v>0</v>
      </c>
    </row>
    <row r="16" spans="1:23" ht="14.4" x14ac:dyDescent="0.3">
      <c r="M16" s="14"/>
      <c r="N16" s="14" t="s">
        <v>83</v>
      </c>
      <c r="O16" s="20" t="e">
        <f>O14/(O14+O11)</f>
        <v>#DIV/0!</v>
      </c>
      <c r="P16" s="14"/>
      <c r="Q16" s="14"/>
      <c r="R16" s="129"/>
      <c r="S16" s="54"/>
      <c r="T16" s="59"/>
      <c r="U16" s="85">
        <f t="shared" si="0"/>
        <v>0</v>
      </c>
    </row>
    <row r="17" spans="1:21" ht="14.4" x14ac:dyDescent="0.3">
      <c r="A17" s="14" t="s">
        <v>34</v>
      </c>
      <c r="B17" s="17" t="e">
        <f>SUM(B14:L14)</f>
        <v>#DIV/0!</v>
      </c>
      <c r="C17" s="14"/>
      <c r="M17" s="14"/>
      <c r="N17" s="14" t="s">
        <v>84</v>
      </c>
      <c r="O17" s="63" t="e">
        <f>1-O16</f>
        <v>#DIV/0!</v>
      </c>
      <c r="P17" s="14"/>
      <c r="Q17" s="14"/>
      <c r="R17" s="129"/>
      <c r="S17" s="54"/>
      <c r="T17" s="59"/>
      <c r="U17" s="85">
        <f t="shared" si="0"/>
        <v>0</v>
      </c>
    </row>
    <row r="18" spans="1:21" ht="14.4" x14ac:dyDescent="0.3">
      <c r="A18" s="14" t="s">
        <v>35</v>
      </c>
      <c r="B18" s="61"/>
      <c r="C18" s="14"/>
      <c r="K18" s="52" t="s">
        <v>182</v>
      </c>
      <c r="M18" s="66"/>
      <c r="N18" s="14" t="s">
        <v>85</v>
      </c>
      <c r="O18" s="125"/>
      <c r="P18" s="14"/>
      <c r="Q18" s="14"/>
      <c r="R18" s="129"/>
      <c r="S18" s="54"/>
      <c r="T18" s="59"/>
      <c r="U18" s="85">
        <f>-PV(T18,(R18-2014),,((R18-2014)*(S18*T18)))</f>
        <v>0</v>
      </c>
    </row>
    <row r="19" spans="1:21" ht="14.4" x14ac:dyDescent="0.3">
      <c r="A19" s="62" t="s">
        <v>36</v>
      </c>
      <c r="B19" s="73" t="e">
        <f>B17-B18</f>
        <v>#DIV/0!</v>
      </c>
      <c r="C19" s="14"/>
      <c r="F19" s="52" t="s">
        <v>149</v>
      </c>
      <c r="M19" s="20"/>
      <c r="N19" s="14" t="s">
        <v>8</v>
      </c>
      <c r="O19" s="20" t="e">
        <f>O18+(O9*O10)</f>
        <v>#DIV/0!</v>
      </c>
      <c r="P19" s="14"/>
      <c r="Q19" s="14"/>
      <c r="R19" s="129"/>
      <c r="S19" s="54"/>
      <c r="T19" s="59"/>
      <c r="U19" s="86">
        <f>-PV(T19,(R19-2014),,((R19-2014)*(S19*T19)))</f>
        <v>0</v>
      </c>
    </row>
    <row r="20" spans="1:21" ht="15" thickBot="1" x14ac:dyDescent="0.35">
      <c r="A20" s="14"/>
      <c r="B20" s="14"/>
      <c r="C20" s="14"/>
      <c r="M20" s="17"/>
      <c r="N20" s="14" t="s">
        <v>86</v>
      </c>
      <c r="O20" s="65" t="e">
        <f>S22</f>
        <v>#DIV/0!</v>
      </c>
      <c r="P20" s="14"/>
      <c r="Q20" s="14"/>
      <c r="R20" s="129"/>
      <c r="S20" s="54"/>
      <c r="T20" s="59"/>
      <c r="U20" s="87"/>
    </row>
    <row r="21" spans="1:21" ht="15" thickBot="1" x14ac:dyDescent="0.35">
      <c r="A21" s="75" t="s">
        <v>39</v>
      </c>
      <c r="B21" s="76" t="e">
        <f>B19/O12</f>
        <v>#DIV/0!</v>
      </c>
      <c r="C21" s="83" t="e">
        <f>(B21/O13)-1</f>
        <v>#DIV/0!</v>
      </c>
      <c r="M21" s="14"/>
      <c r="N21" s="14" t="s">
        <v>78</v>
      </c>
      <c r="O21" s="20" t="e">
        <f>O14/(O14+O11)*O19+O11/(O11+O14)*S23</f>
        <v>#DIV/0!</v>
      </c>
      <c r="P21" s="14"/>
      <c r="Q21" s="14"/>
      <c r="R21" s="4" t="s">
        <v>21</v>
      </c>
      <c r="S21" s="5">
        <f>'Debt Analysis'!B20</f>
        <v>0</v>
      </c>
      <c r="T21" s="4"/>
      <c r="U21" s="4"/>
    </row>
    <row r="22" spans="1:21" s="57" customFormat="1" ht="14.4" x14ac:dyDescent="0.3">
      <c r="A22" s="67"/>
      <c r="B22" s="107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4" t="s">
        <v>15</v>
      </c>
      <c r="S22" s="1" t="e">
        <f>'Debt Analysis'!B21</f>
        <v>#DIV/0!</v>
      </c>
      <c r="T22" s="2"/>
      <c r="U22" s="2"/>
    </row>
    <row r="23" spans="1:21" s="57" customFormat="1" ht="14.4" x14ac:dyDescent="0.3">
      <c r="A23" s="68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8"/>
      <c r="O23" s="68"/>
      <c r="P23" s="68"/>
      <c r="Q23" s="68"/>
      <c r="R23" s="4" t="s">
        <v>16</v>
      </c>
      <c r="S23" s="1" t="e">
        <f>'Debt Analysis'!B22</f>
        <v>#DIV/0!</v>
      </c>
      <c r="T23" s="4"/>
      <c r="U23" s="4"/>
    </row>
    <row r="24" spans="1:21" s="57" customFormat="1" ht="14.4" x14ac:dyDescent="0.3">
      <c r="A24" s="68"/>
      <c r="B24" s="70"/>
      <c r="C24" s="70"/>
      <c r="D24" s="70"/>
      <c r="E24" s="70"/>
      <c r="F24" s="70"/>
      <c r="G24" s="71" t="s">
        <v>133</v>
      </c>
      <c r="H24" s="71"/>
      <c r="I24" s="71"/>
      <c r="J24" s="71"/>
      <c r="K24" s="71"/>
      <c r="L24" s="70"/>
      <c r="M24" s="70"/>
      <c r="P24" s="68"/>
      <c r="Q24" s="68"/>
      <c r="R24" s="4" t="s">
        <v>14</v>
      </c>
      <c r="S24" s="6" t="e">
        <f ca="1">'Debt Analysis'!B23</f>
        <v>#DIV/0!</v>
      </c>
      <c r="T24" s="4" t="s">
        <v>22</v>
      </c>
      <c r="U24" s="4"/>
    </row>
    <row r="25" spans="1:21" s="57" customFormat="1" ht="14.4" x14ac:dyDescent="0.3">
      <c r="A25" s="112"/>
      <c r="B25" s="89" t="e">
        <f>B21</f>
        <v>#DIV/0!</v>
      </c>
      <c r="C25" s="14"/>
      <c r="D25" s="14"/>
      <c r="E25" s="134" t="e">
        <f>B39</f>
        <v>#DIV/0!</v>
      </c>
      <c r="F25" s="88">
        <v>-0.15</v>
      </c>
      <c r="G25" s="88">
        <v>-0.1</v>
      </c>
      <c r="H25" s="88">
        <v>-0.05</v>
      </c>
      <c r="I25" s="88">
        <v>0</v>
      </c>
      <c r="J25" s="88">
        <v>0.05</v>
      </c>
      <c r="K25" s="88">
        <v>0.1</v>
      </c>
      <c r="L25" s="88">
        <v>0.15</v>
      </c>
      <c r="M25" s="72"/>
      <c r="N25" s="68"/>
      <c r="O25" s="68"/>
      <c r="P25" s="68"/>
      <c r="Q25" s="68"/>
      <c r="R25" s="68"/>
    </row>
    <row r="26" spans="1:21" ht="14.4" x14ac:dyDescent="0.3">
      <c r="A26" s="113">
        <v>0.04</v>
      </c>
      <c r="B26" s="112" t="e">
        <f t="dataTable" ref="B26:B33" dt2D="0" dtr="0" r1="B6" ca="1"/>
        <v>#N/A</v>
      </c>
      <c r="C26" s="14"/>
      <c r="D26" s="14"/>
      <c r="E26" s="63">
        <v>0.06</v>
      </c>
      <c r="F26" s="126" t="e">
        <f t="dataTable" ref="F26:L33" dt2D="1" dtr="1" r1="B12" r2="B6"/>
        <v>#N/A</v>
      </c>
      <c r="G26" s="126" t="e">
        <v>#N/A</v>
      </c>
      <c r="H26" s="126" t="e">
        <v>#N/A</v>
      </c>
      <c r="I26" s="126" t="e">
        <v>#N/A</v>
      </c>
      <c r="J26" s="126" t="e">
        <v>#N/A</v>
      </c>
      <c r="K26" s="126" t="e">
        <v>#N/A</v>
      </c>
      <c r="L26" s="126" t="e">
        <v>#N/A</v>
      </c>
      <c r="M26" s="14"/>
      <c r="N26" s="68" t="s">
        <v>162</v>
      </c>
      <c r="O26" s="156" t="s">
        <v>163</v>
      </c>
      <c r="P26" s="14"/>
      <c r="Q26" s="14"/>
      <c r="R26" s="14"/>
    </row>
    <row r="27" spans="1:21" ht="14.4" x14ac:dyDescent="0.3">
      <c r="A27" s="114">
        <v>4.4999999999999998E-2</v>
      </c>
      <c r="B27" s="112" t="e">
        <v>#N/A</v>
      </c>
      <c r="C27" s="14"/>
      <c r="D27" s="14"/>
      <c r="E27" s="63">
        <v>6.5000000000000002E-2</v>
      </c>
      <c r="F27" s="126" t="e">
        <v>#N/A</v>
      </c>
      <c r="G27" s="126" t="e">
        <v>#N/A</v>
      </c>
      <c r="H27" s="126" t="e">
        <v>#N/A</v>
      </c>
      <c r="I27" s="126" t="e">
        <v>#N/A</v>
      </c>
      <c r="J27" s="126" t="e">
        <v>#N/A</v>
      </c>
      <c r="K27" s="126" t="e">
        <v>#N/A</v>
      </c>
      <c r="L27" s="126" t="e">
        <v>#N/A</v>
      </c>
      <c r="M27" s="14"/>
      <c r="N27" s="14"/>
      <c r="O27" s="14"/>
      <c r="P27" s="14"/>
      <c r="Q27" s="14"/>
      <c r="R27" s="14"/>
    </row>
    <row r="28" spans="1:21" ht="14.4" x14ac:dyDescent="0.3">
      <c r="A28" s="114">
        <f>A27+0.005</f>
        <v>4.9999999999999996E-2</v>
      </c>
      <c r="B28" s="112" t="e">
        <v>#N/A</v>
      </c>
      <c r="C28" s="14"/>
      <c r="D28" s="14"/>
      <c r="E28" s="63">
        <f>E27+0.005</f>
        <v>7.0000000000000007E-2</v>
      </c>
      <c r="F28" s="126" t="e">
        <v>#N/A</v>
      </c>
      <c r="G28" s="126" t="e">
        <v>#N/A</v>
      </c>
      <c r="H28" s="126" t="e">
        <v>#N/A</v>
      </c>
      <c r="I28" s="126" t="e">
        <v>#N/A</v>
      </c>
      <c r="J28" s="126" t="e">
        <v>#N/A</v>
      </c>
      <c r="K28" s="126" t="e">
        <v>#N/A</v>
      </c>
      <c r="L28" s="126" t="e">
        <v>#N/A</v>
      </c>
      <c r="M28" s="14"/>
      <c r="N28" s="14"/>
      <c r="O28" s="14"/>
      <c r="P28" s="14"/>
      <c r="Q28" s="14"/>
      <c r="R28" s="14"/>
    </row>
    <row r="29" spans="1:21" ht="14.4" x14ac:dyDescent="0.3">
      <c r="A29" s="114">
        <f t="shared" ref="A29:A33" si="2">A28+0.005</f>
        <v>5.4999999999999993E-2</v>
      </c>
      <c r="B29" s="112" t="e">
        <v>#N/A</v>
      </c>
      <c r="C29" s="14"/>
      <c r="D29" s="14"/>
      <c r="E29" s="63">
        <f t="shared" ref="E29:E32" si="3">E28+0.005</f>
        <v>7.5000000000000011E-2</v>
      </c>
      <c r="F29" s="126" t="e">
        <v>#N/A</v>
      </c>
      <c r="G29" s="126" t="e">
        <v>#N/A</v>
      </c>
      <c r="H29" s="126" t="e">
        <v>#N/A</v>
      </c>
      <c r="I29" s="126" t="e">
        <v>#N/A</v>
      </c>
      <c r="J29" s="126" t="e">
        <v>#N/A</v>
      </c>
      <c r="K29" s="126" t="e">
        <v>#N/A</v>
      </c>
      <c r="L29" s="126" t="e">
        <v>#N/A</v>
      </c>
      <c r="M29" s="14"/>
    </row>
    <row r="30" spans="1:21" ht="14.4" x14ac:dyDescent="0.3">
      <c r="A30" s="114">
        <f t="shared" si="2"/>
        <v>5.9999999999999991E-2</v>
      </c>
      <c r="B30" s="112" t="e">
        <v>#N/A</v>
      </c>
      <c r="C30" s="14"/>
      <c r="D30" s="14"/>
      <c r="E30" s="63">
        <f t="shared" si="3"/>
        <v>8.0000000000000016E-2</v>
      </c>
      <c r="F30" s="126" t="e">
        <v>#N/A</v>
      </c>
      <c r="G30" s="126" t="e">
        <v>#N/A</v>
      </c>
      <c r="H30" s="126" t="e">
        <v>#N/A</v>
      </c>
      <c r="I30" s="126" t="e">
        <v>#N/A</v>
      </c>
      <c r="J30" s="126" t="e">
        <v>#N/A</v>
      </c>
      <c r="K30" s="126" t="e">
        <v>#N/A</v>
      </c>
      <c r="L30" s="126" t="e">
        <v>#N/A</v>
      </c>
      <c r="M30" s="14"/>
    </row>
    <row r="31" spans="1:21" ht="14.4" x14ac:dyDescent="0.3">
      <c r="A31" s="114">
        <f t="shared" si="2"/>
        <v>6.4999999999999988E-2</v>
      </c>
      <c r="B31" s="112" t="e">
        <v>#N/A</v>
      </c>
      <c r="C31" s="14"/>
      <c r="D31" s="14"/>
      <c r="E31" s="63">
        <f t="shared" si="3"/>
        <v>8.500000000000002E-2</v>
      </c>
      <c r="F31" s="126" t="e">
        <v>#N/A</v>
      </c>
      <c r="G31" s="126" t="e">
        <v>#N/A</v>
      </c>
      <c r="H31" s="126" t="e">
        <v>#N/A</v>
      </c>
      <c r="I31" s="126" t="e">
        <v>#N/A</v>
      </c>
      <c r="J31" s="126" t="e">
        <v>#N/A</v>
      </c>
      <c r="K31" s="126" t="e">
        <v>#N/A</v>
      </c>
      <c r="L31" s="126" t="e">
        <v>#N/A</v>
      </c>
      <c r="M31" s="14"/>
    </row>
    <row r="32" spans="1:21" ht="14.4" x14ac:dyDescent="0.3">
      <c r="A32" s="114">
        <f t="shared" si="2"/>
        <v>6.9999999999999993E-2</v>
      </c>
      <c r="B32" s="112" t="e">
        <v>#N/A</v>
      </c>
      <c r="C32" s="14"/>
      <c r="D32" s="14"/>
      <c r="E32" s="63">
        <f t="shared" si="3"/>
        <v>9.0000000000000024E-2</v>
      </c>
      <c r="F32" s="126" t="e">
        <v>#N/A</v>
      </c>
      <c r="G32" s="126" t="e">
        <v>#N/A</v>
      </c>
      <c r="H32" s="126" t="e">
        <v>#N/A</v>
      </c>
      <c r="I32" s="126" t="e">
        <v>#N/A</v>
      </c>
      <c r="J32" s="126" t="e">
        <v>#N/A</v>
      </c>
      <c r="K32" s="126" t="e">
        <v>#N/A</v>
      </c>
      <c r="L32" s="126" t="e">
        <v>#N/A</v>
      </c>
      <c r="M32" s="14"/>
    </row>
    <row r="33" spans="1:18" ht="14.4" x14ac:dyDescent="0.3">
      <c r="A33" s="114">
        <f t="shared" si="2"/>
        <v>7.4999999999999997E-2</v>
      </c>
      <c r="B33" s="112" t="e">
        <v>#N/A</v>
      </c>
      <c r="C33" s="14"/>
      <c r="D33" s="14"/>
      <c r="E33" s="63">
        <v>9.5000000000000001E-2</v>
      </c>
      <c r="F33" s="126" t="e">
        <v>#N/A</v>
      </c>
      <c r="G33" s="126" t="e">
        <v>#N/A</v>
      </c>
      <c r="H33" s="126" t="e">
        <v>#N/A</v>
      </c>
      <c r="I33" s="126" t="e">
        <v>#N/A</v>
      </c>
      <c r="J33" s="126" t="e">
        <v>#N/A</v>
      </c>
      <c r="K33" s="126" t="e">
        <v>#N/A</v>
      </c>
      <c r="L33" s="126" t="e">
        <v>#N/A</v>
      </c>
      <c r="M33" s="14"/>
    </row>
    <row r="34" spans="1:18" ht="13.95" customHeight="1" x14ac:dyDescent="0.3">
      <c r="A34" s="14"/>
      <c r="B34" s="14"/>
      <c r="C34" s="14"/>
      <c r="D34" s="69"/>
      <c r="E34" s="69"/>
      <c r="F34" s="69"/>
      <c r="G34" s="69"/>
      <c r="H34" s="69"/>
      <c r="I34" s="69"/>
      <c r="J34" s="69"/>
      <c r="K34" s="69"/>
      <c r="L34" s="14"/>
      <c r="M34" s="14"/>
    </row>
    <row r="35" spans="1:18" ht="13.95" customHeight="1" x14ac:dyDescent="0.3">
      <c r="A35" s="141" t="s">
        <v>144</v>
      </c>
      <c r="B35" s="141" t="s">
        <v>145</v>
      </c>
      <c r="C35" s="141" t="s">
        <v>146</v>
      </c>
      <c r="D35" s="140" t="s">
        <v>147</v>
      </c>
      <c r="E35" s="69"/>
      <c r="F35" s="69"/>
      <c r="G35" s="69"/>
      <c r="H35" s="69"/>
      <c r="I35" s="69"/>
      <c r="J35" s="69"/>
      <c r="K35" s="69"/>
      <c r="L35" s="14"/>
      <c r="M35" s="14"/>
    </row>
    <row r="36" spans="1:18" ht="13.95" customHeight="1" x14ac:dyDescent="0.3">
      <c r="A36" s="136" t="s">
        <v>148</v>
      </c>
      <c r="B36" s="137" t="e">
        <f>B21</f>
        <v>#DIV/0!</v>
      </c>
      <c r="C36" s="138" t="e">
        <f>C21</f>
        <v>#DIV/0!</v>
      </c>
      <c r="D36" s="139">
        <v>0.7</v>
      </c>
      <c r="E36" s="69"/>
      <c r="F36" s="69"/>
      <c r="G36" s="69"/>
      <c r="H36" s="69"/>
      <c r="I36" s="69"/>
      <c r="J36" s="69"/>
      <c r="K36" s="69"/>
      <c r="L36" s="14"/>
      <c r="M36" s="14"/>
    </row>
    <row r="37" spans="1:18" ht="13.95" customHeight="1" x14ac:dyDescent="0.3">
      <c r="A37" s="149" t="s">
        <v>150</v>
      </c>
      <c r="B37" s="150" t="e">
        <f>DDM!B20</f>
        <v>#DIV/0!</v>
      </c>
      <c r="C37" s="151" t="e">
        <f>(B37/$O$13)-1</f>
        <v>#DIV/0!</v>
      </c>
      <c r="D37" s="152">
        <v>0</v>
      </c>
      <c r="E37" s="69"/>
      <c r="F37" s="69"/>
      <c r="G37" s="69"/>
      <c r="H37" s="69"/>
      <c r="I37" s="69"/>
      <c r="J37" s="69"/>
      <c r="K37" s="69"/>
      <c r="L37" s="14"/>
      <c r="M37" s="14"/>
    </row>
    <row r="38" spans="1:18" ht="13.95" customHeight="1" x14ac:dyDescent="0.3">
      <c r="A38" s="149" t="s">
        <v>151</v>
      </c>
      <c r="B38" s="150" t="e">
        <f>AVERAGE(Multiples!A1:A5)</f>
        <v>#DIV/0!</v>
      </c>
      <c r="C38" s="151" t="e">
        <f>(B38/$O$13)-1</f>
        <v>#DIV/0!</v>
      </c>
      <c r="D38" s="152">
        <v>0.3</v>
      </c>
      <c r="E38" s="69"/>
      <c r="F38" s="69"/>
      <c r="G38" s="69"/>
      <c r="H38" s="69"/>
      <c r="I38" s="69"/>
      <c r="J38" s="69"/>
      <c r="K38" s="69"/>
      <c r="L38" s="14"/>
      <c r="M38" s="14"/>
    </row>
    <row r="39" spans="1:18" ht="13.95" customHeight="1" thickBot="1" x14ac:dyDescent="0.35">
      <c r="A39" s="142" t="s">
        <v>183</v>
      </c>
      <c r="B39" s="143" t="e">
        <f>(B36*D36)+(B37*D37)+(B38*D38)</f>
        <v>#DIV/0!</v>
      </c>
      <c r="C39" s="144" t="e">
        <f>(B39/O13)-1</f>
        <v>#DIV/0!</v>
      </c>
      <c r="D39" s="145">
        <f>SUM(D36:D38)</f>
        <v>1</v>
      </c>
      <c r="E39" s="69"/>
      <c r="F39" s="69"/>
      <c r="G39" s="69"/>
      <c r="H39" s="69"/>
      <c r="I39" s="69"/>
      <c r="J39" s="69"/>
      <c r="K39" s="69"/>
      <c r="L39" s="14"/>
      <c r="M39" s="14"/>
    </row>
    <row r="40" spans="1:18" ht="15" thickTop="1" x14ac:dyDescent="0.3">
      <c r="A40" s="14"/>
      <c r="B40" s="14"/>
      <c r="C40" s="14"/>
      <c r="D40" s="69"/>
      <c r="E40" s="69"/>
      <c r="F40" s="69"/>
      <c r="G40" s="69"/>
      <c r="H40" s="69"/>
      <c r="I40" s="69"/>
      <c r="J40" s="69"/>
      <c r="K40" s="69"/>
      <c r="L40" s="14"/>
      <c r="M40" s="14"/>
    </row>
    <row r="41" spans="1:18" ht="15" thickBot="1" x14ac:dyDescent="0.35">
      <c r="A41" s="14"/>
      <c r="B41" s="14"/>
      <c r="C41" s="14"/>
      <c r="D41" s="69"/>
      <c r="E41" s="69"/>
      <c r="F41" s="69"/>
      <c r="G41" s="69"/>
      <c r="H41" s="69"/>
      <c r="I41" s="69"/>
      <c r="J41" s="69"/>
      <c r="K41" s="69"/>
      <c r="L41" s="14"/>
      <c r="M41" s="14"/>
      <c r="N41" s="14"/>
      <c r="O41" s="14"/>
      <c r="P41" s="14"/>
      <c r="Q41" s="14"/>
      <c r="R41" s="14"/>
    </row>
    <row r="42" spans="1:18" ht="15" thickBot="1" x14ac:dyDescent="0.35">
      <c r="A42" s="158" t="s">
        <v>170</v>
      </c>
      <c r="B42" s="160" t="e">
        <f>B21*((B6/G42))</f>
        <v>#DIV/0!</v>
      </c>
      <c r="C42" s="14"/>
      <c r="D42" s="69"/>
      <c r="E42" s="69" t="s">
        <v>171</v>
      </c>
      <c r="F42" s="69"/>
      <c r="G42" s="159">
        <v>8.2699999999999996E-2</v>
      </c>
      <c r="H42" s="69"/>
      <c r="I42" s="69"/>
      <c r="J42" s="69"/>
      <c r="K42" s="69"/>
      <c r="L42" s="14"/>
      <c r="M42" s="14"/>
      <c r="N42" s="14"/>
      <c r="O42" s="14"/>
      <c r="P42" s="14"/>
      <c r="Q42" s="14"/>
      <c r="R42" s="14"/>
    </row>
    <row r="43" spans="1:18" ht="14.4" x14ac:dyDescent="0.3">
      <c r="A43" s="14"/>
      <c r="B43" s="14"/>
      <c r="C43" s="14"/>
      <c r="D43" s="69"/>
      <c r="E43" s="69"/>
      <c r="F43" s="69"/>
      <c r="G43" s="69"/>
      <c r="H43" s="69"/>
      <c r="I43" s="69"/>
      <c r="J43" s="69"/>
      <c r="K43" s="69"/>
      <c r="L43" s="14"/>
      <c r="M43" s="14"/>
      <c r="N43" s="14"/>
      <c r="O43" s="14"/>
      <c r="P43" s="14"/>
      <c r="Q43" s="14"/>
      <c r="R43" s="14"/>
    </row>
    <row r="44" spans="1:18" ht="14.4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1:18" ht="14.4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spans="1:18" ht="14.4" x14ac:dyDescent="0.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spans="1:18" ht="14.4" x14ac:dyDescent="0.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spans="1:18" ht="14.4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8" ht="14.4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spans="1:18" ht="14.4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</row>
    <row r="51" spans="1:18" ht="14.4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spans="1:18" ht="14.4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spans="1:18" ht="14.4" x14ac:dyDescent="0.3">
      <c r="A53" s="14"/>
      <c r="B53" s="14"/>
      <c r="C53" s="14"/>
      <c r="D53" s="14"/>
      <c r="E53" s="14"/>
      <c r="F53" s="14"/>
      <c r="G53" s="14"/>
      <c r="H53" s="141" t="s">
        <v>144</v>
      </c>
      <c r="I53" s="141" t="s">
        <v>145</v>
      </c>
      <c r="J53" s="141" t="s">
        <v>146</v>
      </c>
      <c r="K53" s="140" t="s">
        <v>147</v>
      </c>
      <c r="L53" s="14"/>
      <c r="M53" s="141" t="s">
        <v>144</v>
      </c>
      <c r="N53" s="141" t="s">
        <v>145</v>
      </c>
      <c r="O53" s="141" t="s">
        <v>146</v>
      </c>
      <c r="P53" s="140" t="s">
        <v>147</v>
      </c>
      <c r="Q53" s="14"/>
      <c r="R53" s="14"/>
    </row>
    <row r="54" spans="1:18" ht="14.4" x14ac:dyDescent="0.3">
      <c r="A54" s="14"/>
      <c r="B54" s="14"/>
      <c r="C54" s="14"/>
      <c r="D54" s="14"/>
      <c r="E54" s="14"/>
      <c r="F54" s="14"/>
      <c r="G54" s="14"/>
      <c r="H54" s="136" t="s">
        <v>148</v>
      </c>
      <c r="I54" s="137">
        <f>I39</f>
        <v>0</v>
      </c>
      <c r="J54" s="138">
        <f>J39</f>
        <v>0</v>
      </c>
      <c r="K54" s="139">
        <v>0.35</v>
      </c>
      <c r="L54" s="14"/>
      <c r="M54" s="136" t="s">
        <v>148</v>
      </c>
      <c r="N54" s="137">
        <f>N39</f>
        <v>0</v>
      </c>
      <c r="O54" s="138">
        <f>O39</f>
        <v>0</v>
      </c>
      <c r="P54" s="139">
        <v>0.35</v>
      </c>
      <c r="Q54" s="14"/>
      <c r="R54" s="14"/>
    </row>
    <row r="55" spans="1:18" ht="14.4" x14ac:dyDescent="0.3">
      <c r="A55" s="14"/>
      <c r="B55" s="14"/>
      <c r="C55" s="14"/>
      <c r="D55" s="14"/>
      <c r="E55" s="14"/>
      <c r="F55" s="14"/>
      <c r="G55" s="14"/>
      <c r="H55" s="149"/>
      <c r="I55" s="150"/>
      <c r="J55" s="151"/>
      <c r="K55" s="152"/>
      <c r="L55" s="14"/>
      <c r="M55" s="149" t="s">
        <v>151</v>
      </c>
      <c r="N55" s="150" t="e">
        <f>AVERAGE(Multiples!M18:M22)</f>
        <v>#DIV/0!</v>
      </c>
      <c r="O55" s="151" t="e">
        <f>(N55/$O$13)-1</f>
        <v>#DIV/0!</v>
      </c>
      <c r="P55" s="152">
        <v>0.65</v>
      </c>
      <c r="Q55" s="14"/>
      <c r="R55" s="14"/>
    </row>
    <row r="56" spans="1:18" ht="15" thickBot="1" x14ac:dyDescent="0.35">
      <c r="A56" s="14"/>
      <c r="B56" s="14"/>
      <c r="C56" s="14"/>
      <c r="D56" s="14"/>
      <c r="E56" s="14"/>
      <c r="F56" s="14"/>
      <c r="G56" s="14"/>
      <c r="H56" s="149" t="s">
        <v>151</v>
      </c>
      <c r="I56" s="150" t="e">
        <f>AVERAGE(Multiples!H19:H23)</f>
        <v>#DIV/0!</v>
      </c>
      <c r="J56" s="151" t="e">
        <f>(I56/$O$13)-1</f>
        <v>#DIV/0!</v>
      </c>
      <c r="K56" s="152">
        <v>0.65</v>
      </c>
      <c r="L56" s="14"/>
      <c r="M56" s="142" t="s">
        <v>183</v>
      </c>
      <c r="N56" s="143" t="e">
        <f>(N53*P53)+(N54*P54)+(N55*P55)</f>
        <v>#VALUE!</v>
      </c>
      <c r="O56" s="144" t="e">
        <f>(N56/AA30)-1</f>
        <v>#VALUE!</v>
      </c>
      <c r="P56" s="145">
        <f>SUM(P53:P55)</f>
        <v>1</v>
      </c>
      <c r="Q56" s="14"/>
      <c r="R56" s="14"/>
    </row>
    <row r="57" spans="1:18" ht="15.6" thickTop="1" thickBot="1" x14ac:dyDescent="0.35">
      <c r="A57" s="14"/>
      <c r="B57" s="14"/>
      <c r="C57" s="14"/>
      <c r="D57" s="14"/>
      <c r="E57" s="14"/>
      <c r="F57" s="14"/>
      <c r="G57" s="14"/>
      <c r="H57" s="142" t="s">
        <v>183</v>
      </c>
      <c r="I57" s="143" t="e">
        <f>(I54*K54)+(I55*K55)+(I56*K56)</f>
        <v>#DIV/0!</v>
      </c>
      <c r="J57" s="144" t="e">
        <f>(I57/V31)-1</f>
        <v>#DIV/0!</v>
      </c>
      <c r="K57" s="145">
        <f>SUM(K54:K56)</f>
        <v>1</v>
      </c>
      <c r="L57" s="14"/>
      <c r="M57" s="14"/>
      <c r="N57" s="14"/>
      <c r="O57" s="14"/>
      <c r="P57" s="14"/>
      <c r="Q57" s="14"/>
      <c r="R57" s="14"/>
    </row>
    <row r="58" spans="1:18" ht="15" thickTop="1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</row>
    <row r="59" spans="1:18" ht="14.4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</row>
    <row r="60" spans="1:18" ht="14.4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</row>
    <row r="61" spans="1:18" ht="14.4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</row>
    <row r="62" spans="1:18" ht="14.4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</row>
    <row r="63" spans="1:18" ht="14.4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 spans="1:18" ht="14.4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spans="1:18" ht="14.4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</row>
    <row r="66" spans="1:18" ht="14.4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</row>
    <row r="67" spans="1:18" ht="14.4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</row>
    <row r="68" spans="1:18" ht="14.4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 ht="14.4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spans="1:18" ht="14.4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spans="1:18" ht="14.4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</row>
    <row r="72" spans="1:18" ht="14.4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</row>
    <row r="73" spans="1:18" ht="14.4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 spans="1:18" ht="14.4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</row>
    <row r="75" spans="1:18" ht="14.4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</row>
    <row r="76" spans="1:18" ht="14.4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</row>
    <row r="77" spans="1:18" ht="14.4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</row>
    <row r="78" spans="1:18" ht="14.4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</row>
    <row r="79" spans="1:18" ht="14.4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 ht="14.4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</row>
    <row r="81" spans="1:18" ht="14.4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spans="1:18" ht="14.4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spans="1:18" ht="14.4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</row>
    <row r="84" spans="1:18" ht="14.4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</row>
    <row r="85" spans="1:18" ht="14.4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</row>
    <row r="86" spans="1:18" ht="14.4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</row>
    <row r="87" spans="1:18" ht="14.4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</row>
    <row r="88" spans="1:18" ht="14.4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</row>
    <row r="89" spans="1:18" ht="14.4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</row>
    <row r="90" spans="1:18" ht="14.4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</row>
    <row r="91" spans="1:18" ht="14.4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spans="1:18" ht="14.4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spans="1:18" ht="14.4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</row>
    <row r="94" spans="1:18" ht="14.4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</row>
    <row r="95" spans="1:18" ht="14.4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</row>
    <row r="96" spans="1:18" ht="14.4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spans="1:18" ht="14.4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</row>
    <row r="98" spans="1:18" ht="14.4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</row>
    <row r="99" spans="1:18" ht="14.4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</row>
    <row r="100" spans="1:18" ht="14.4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</row>
    <row r="101" spans="1:18" ht="14.4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</row>
    <row r="102" spans="1:18" ht="14.4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</row>
    <row r="103" spans="1:18" ht="14.4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spans="1:18" ht="14.4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</row>
    <row r="105" spans="1:18" ht="14.4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</row>
    <row r="106" spans="1:18" ht="14.4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</row>
    <row r="107" spans="1:18" ht="14.4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</row>
    <row r="108" spans="1:18" ht="14.4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</row>
    <row r="109" spans="1:18" ht="14.4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</row>
    <row r="110" spans="1:18" ht="14.4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spans="1:18" ht="14.4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spans="1:18" ht="14.4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</row>
    <row r="113" spans="1:18" ht="14.4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spans="1:18" ht="14.4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</row>
    <row r="115" spans="1:18" ht="14.4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</row>
    <row r="116" spans="1:18" ht="14.4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</row>
    <row r="117" spans="1:18" ht="14.4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</row>
    <row r="118" spans="1:18" ht="14.4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</row>
    <row r="119" spans="1:18" ht="14.4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</row>
    <row r="120" spans="1:18" ht="14.4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</row>
    <row r="121" spans="1:18" ht="14.4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</row>
    <row r="122" spans="1:18" ht="14.4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</row>
    <row r="123" spans="1:18" ht="14.4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</row>
    <row r="124" spans="1:18" ht="14.4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spans="1:18" ht="14.4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</row>
    <row r="126" spans="1:18" ht="14.4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</row>
    <row r="127" spans="1:18" ht="14.4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</row>
    <row r="128" spans="1:18" ht="14.4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</row>
    <row r="129" spans="1:18" ht="14.4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</row>
    <row r="130" spans="1:18" ht="14.4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</row>
    <row r="131" spans="1:18" ht="14.4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spans="1:18" ht="14.4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</row>
    <row r="133" spans="1:18" ht="14.4" x14ac:dyDescent="0.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spans="1:18" ht="14.4" x14ac:dyDescent="0.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</row>
    <row r="135" spans="1:18" ht="14.4" x14ac:dyDescent="0.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</row>
  </sheetData>
  <conditionalFormatting sqref="F26:L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B4" xr:uid="{00000000-0002-0000-0100-000000000000}">
      <formula1>$A$1:$A$2</formula1>
    </dataValidation>
  </dataValidations>
  <hyperlinks>
    <hyperlink ref="D4" r:id="rId1" xr:uid="{00000000-0004-0000-0100-000000000000}"/>
    <hyperlink ref="O26" r:id="rId2" xr:uid="{00000000-0004-0000-0100-000001000000}"/>
  </hyperlink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I132"/>
  <sheetViews>
    <sheetView zoomScale="61" zoomScaleNormal="110" zoomScalePageLayoutView="110" workbookViewId="0">
      <selection activeCell="F11" sqref="F11:J11"/>
    </sheetView>
  </sheetViews>
  <sheetFormatPr defaultColWidth="8.77734375" defaultRowHeight="14.4" x14ac:dyDescent="0.3"/>
  <cols>
    <col min="1" max="1" width="24.109375" style="52" customWidth="1"/>
    <col min="2" max="2" width="14" style="52" customWidth="1"/>
    <col min="3" max="11" width="13.109375" style="52" customWidth="1"/>
    <col min="12" max="12" width="15.109375" style="52" customWidth="1"/>
    <col min="13" max="13" width="18.44140625" style="52" customWidth="1"/>
    <col min="14" max="14" width="19.6640625" style="14" customWidth="1"/>
    <col min="15" max="16" width="8.77734375" style="14"/>
    <col min="17" max="17" width="22.33203125" style="52" bestFit="1" customWidth="1"/>
    <col min="18" max="18" width="10.6640625" style="52" customWidth="1"/>
    <col min="19" max="19" width="8.77734375" style="52"/>
    <col min="20" max="20" width="12.109375" style="52" bestFit="1" customWidth="1"/>
    <col min="21" max="21" width="13.33203125" style="52" bestFit="1" customWidth="1"/>
    <col min="22" max="23" width="12.109375" style="52" bestFit="1" customWidth="1"/>
    <col min="24" max="16384" width="8.77734375" style="52"/>
  </cols>
  <sheetData>
    <row r="1" spans="1:35" ht="13.95" customHeight="1" x14ac:dyDescent="0.55000000000000004">
      <c r="A1" s="14"/>
      <c r="B1" s="14"/>
      <c r="C1" s="14"/>
      <c r="D1" s="14"/>
      <c r="E1" s="14"/>
      <c r="F1" s="14"/>
      <c r="G1" s="14"/>
      <c r="H1" s="14"/>
      <c r="I1" s="14"/>
      <c r="J1" s="60"/>
      <c r="K1" s="60"/>
      <c r="L1" s="14"/>
      <c r="M1" s="14"/>
      <c r="Q1" s="14"/>
      <c r="R1" s="14"/>
      <c r="S1" s="14"/>
      <c r="T1" s="14"/>
      <c r="U1" s="14"/>
      <c r="V1" s="14"/>
    </row>
    <row r="2" spans="1:35" ht="13.95" customHeight="1" x14ac:dyDescent="0.55000000000000004">
      <c r="A2" s="14"/>
      <c r="B2" s="14"/>
      <c r="C2" s="14"/>
      <c r="D2" s="14"/>
      <c r="E2" s="14"/>
      <c r="F2" s="14"/>
      <c r="G2" s="14"/>
      <c r="H2" s="14"/>
      <c r="J2" s="60"/>
      <c r="K2" s="60"/>
      <c r="L2" s="14"/>
      <c r="M2" s="14"/>
      <c r="Q2" s="14"/>
      <c r="R2" s="14"/>
      <c r="S2" s="14"/>
      <c r="T2" s="14"/>
      <c r="U2" s="14"/>
      <c r="V2" s="14"/>
    </row>
    <row r="3" spans="1:35" ht="15" customHeight="1" x14ac:dyDescent="0.3">
      <c r="A3" s="81" t="s">
        <v>105</v>
      </c>
      <c r="B3" s="133"/>
      <c r="D3" s="81"/>
      <c r="E3" s="64"/>
      <c r="F3" s="14"/>
      <c r="G3" s="14"/>
      <c r="H3" s="14"/>
      <c r="I3" s="14"/>
      <c r="J3" s="14"/>
      <c r="K3" s="14"/>
      <c r="L3" s="14"/>
      <c r="M3" s="14"/>
      <c r="Q3" s="14"/>
      <c r="R3" s="14"/>
      <c r="S3" s="14"/>
      <c r="T3" s="14"/>
      <c r="U3" s="14"/>
      <c r="V3" s="14"/>
    </row>
    <row r="4" spans="1:35" ht="15" thickBot="1" x14ac:dyDescent="0.35">
      <c r="A4" s="81" t="s">
        <v>106</v>
      </c>
      <c r="B4" s="63" t="e">
        <f>FCF!O19</f>
        <v>#DIV/0!</v>
      </c>
      <c r="C4" s="14"/>
      <c r="D4" s="81"/>
      <c r="E4" s="148"/>
      <c r="F4" s="14"/>
      <c r="G4" s="14"/>
      <c r="H4" s="14"/>
      <c r="I4" s="14"/>
      <c r="J4" s="14"/>
      <c r="K4" s="14"/>
      <c r="L4" s="14"/>
      <c r="M4" s="1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x14ac:dyDescent="0.3">
      <c r="A5" s="81" t="s">
        <v>32</v>
      </c>
      <c r="C5" s="14"/>
      <c r="D5" s="81"/>
      <c r="E5" s="64"/>
      <c r="F5" s="14"/>
      <c r="G5" s="14"/>
      <c r="H5" s="14"/>
      <c r="I5" s="14"/>
      <c r="J5" s="14"/>
      <c r="K5" s="14"/>
      <c r="L5" s="14"/>
      <c r="M5" s="14"/>
      <c r="Q5"/>
      <c r="R5"/>
      <c r="S5"/>
      <c r="T5"/>
      <c r="U5" s="161" t="s">
        <v>172</v>
      </c>
      <c r="V5" s="162">
        <v>2018</v>
      </c>
      <c r="W5" s="162">
        <v>2017</v>
      </c>
      <c r="X5" s="162">
        <v>2016</v>
      </c>
      <c r="Y5" s="162">
        <v>2015</v>
      </c>
      <c r="Z5" s="162">
        <v>2014</v>
      </c>
      <c r="AA5" s="162">
        <v>2013</v>
      </c>
      <c r="AB5" s="163">
        <v>2012</v>
      </c>
      <c r="AC5"/>
      <c r="AD5"/>
      <c r="AE5"/>
      <c r="AF5"/>
      <c r="AG5"/>
      <c r="AH5"/>
      <c r="AI5"/>
    </row>
    <row r="6" spans="1:35" ht="15" thickBot="1" x14ac:dyDescent="0.35">
      <c r="A6" s="81" t="s">
        <v>96</v>
      </c>
      <c r="B6" s="108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Q6"/>
      <c r="R6"/>
      <c r="S6"/>
      <c r="T6"/>
      <c r="U6" s="165"/>
      <c r="V6" s="166"/>
      <c r="W6" s="166"/>
      <c r="X6" s="166"/>
      <c r="Y6" s="166"/>
      <c r="Z6" s="166"/>
      <c r="AA6" s="166"/>
      <c r="AB6" s="167"/>
      <c r="AC6"/>
      <c r="AD6"/>
      <c r="AE6"/>
      <c r="AF6"/>
      <c r="AG6"/>
      <c r="AH6"/>
      <c r="AI6"/>
    </row>
    <row r="7" spans="1:35" ht="15" thickBot="1" x14ac:dyDescent="0.35">
      <c r="A7" s="81" t="s">
        <v>27</v>
      </c>
      <c r="B7" s="157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 x14ac:dyDescent="0.3">
      <c r="A8" s="81"/>
      <c r="B8" s="42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Q8"/>
      <c r="R8"/>
      <c r="S8"/>
      <c r="T8" s="177" t="s">
        <v>173</v>
      </c>
      <c r="U8" s="178"/>
      <c r="V8" s="179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 x14ac:dyDescent="0.3">
      <c r="A9" s="80" t="s">
        <v>42</v>
      </c>
      <c r="B9" s="131" t="s">
        <v>134</v>
      </c>
      <c r="C9" s="14" t="s">
        <v>135</v>
      </c>
      <c r="D9" s="14" t="s">
        <v>143</v>
      </c>
      <c r="E9" s="14" t="s">
        <v>165</v>
      </c>
      <c r="F9" s="14" t="s">
        <v>166</v>
      </c>
      <c r="G9" s="14"/>
      <c r="H9" s="14"/>
      <c r="I9" s="14"/>
      <c r="J9" s="14"/>
      <c r="K9" s="14"/>
      <c r="L9" s="14"/>
      <c r="M9" s="14"/>
      <c r="Q9"/>
      <c r="R9"/>
      <c r="S9"/>
      <c r="T9" s="164">
        <v>2018</v>
      </c>
      <c r="U9" t="s">
        <v>174</v>
      </c>
      <c r="V9" s="168" t="e">
        <f>(V6/Z6)^(1/5)-1</f>
        <v>#DIV/0!</v>
      </c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x14ac:dyDescent="0.3">
      <c r="A10" s="81" t="s">
        <v>30</v>
      </c>
      <c r="B10" s="66">
        <v>1</v>
      </c>
      <c r="C10" s="66">
        <v>2</v>
      </c>
      <c r="D10" s="66">
        <v>3</v>
      </c>
      <c r="E10" s="66">
        <v>4</v>
      </c>
      <c r="F10" s="66">
        <v>5</v>
      </c>
      <c r="G10" s="66">
        <v>6</v>
      </c>
      <c r="H10" s="66">
        <v>7</v>
      </c>
      <c r="I10" s="66">
        <v>8</v>
      </c>
      <c r="J10" s="66">
        <v>9</v>
      </c>
      <c r="K10" s="66">
        <v>10</v>
      </c>
      <c r="L10" s="66" t="s">
        <v>33</v>
      </c>
      <c r="M10" s="14"/>
      <c r="Q10"/>
      <c r="R10"/>
      <c r="S10"/>
      <c r="T10" s="169" t="s">
        <v>172</v>
      </c>
      <c r="U10" t="s">
        <v>174</v>
      </c>
      <c r="V10" s="168" t="e">
        <f>(U6/Y6)^(1/5)-1</f>
        <v>#DIV/0!</v>
      </c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35" x14ac:dyDescent="0.3">
      <c r="A11" s="81" t="s">
        <v>31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90">
        <v>0</v>
      </c>
      <c r="L11" s="20" t="e">
        <f>#REF!</f>
        <v>#REF!</v>
      </c>
      <c r="M11" s="14"/>
      <c r="N11" s="63" t="e">
        <f>B4-L11</f>
        <v>#DIV/0!</v>
      </c>
      <c r="Q11"/>
      <c r="R11"/>
      <c r="S11"/>
      <c r="T11" s="164">
        <v>2018</v>
      </c>
      <c r="U11" t="s">
        <v>175</v>
      </c>
      <c r="V11" s="168" t="e">
        <f>(V6/Y6)^(1/4)-1</f>
        <v>#DIV/0!</v>
      </c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35" x14ac:dyDescent="0.3">
      <c r="A12" s="14"/>
      <c r="B12" s="17">
        <f>IF(B10&lt;=$B$6,B3*(1+B11),0)</f>
        <v>0</v>
      </c>
      <c r="C12" s="17">
        <f>IF(C10&lt;=$B$6,B12*(1+C11),0)</f>
        <v>0</v>
      </c>
      <c r="D12" s="17">
        <f>IF(D10&lt;=$B$6,C12*(1+D11),0)</f>
        <v>0</v>
      </c>
      <c r="E12" s="17">
        <f>IF(E10&lt;=$B$6,D12*(1+E11),0)</f>
        <v>0</v>
      </c>
      <c r="F12" s="17">
        <f>IF(F10&lt;=$B$6,E12*(1+F11),0)</f>
        <v>0</v>
      </c>
      <c r="G12" s="17">
        <f>IF(G10&lt;=$B$6,F12*(1+G11),0)</f>
        <v>0</v>
      </c>
      <c r="H12" s="17">
        <f>IF(H10&lt;=$B$6,G12*(1+H11),0)</f>
        <v>0</v>
      </c>
      <c r="I12" s="17">
        <f>IF(I10&lt;=$B$6,H12*(1+I11),0)</f>
        <v>0</v>
      </c>
      <c r="J12" s="17">
        <f>IF(J10&lt;=$B$6,I12*(1+J11),0)</f>
        <v>0</v>
      </c>
      <c r="K12" s="17">
        <f>IF(K10&lt;=$B$6,J12*(1+K11),0)</f>
        <v>0</v>
      </c>
      <c r="L12" s="17" t="e">
        <f>(HLOOKUP(B6,B10:K12,3)*(1+L11))/(B4-#REF!)</f>
        <v>#N/A</v>
      </c>
      <c r="M12" s="14"/>
      <c r="Q12"/>
      <c r="R12"/>
      <c r="S12"/>
      <c r="T12" s="164">
        <v>2018</v>
      </c>
      <c r="U12" t="s">
        <v>176</v>
      </c>
      <c r="V12" s="168" t="e">
        <f>(V6/X6)^(1/3)-1</f>
        <v>#DIV/0!</v>
      </c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ht="15" thickBot="1" x14ac:dyDescent="0.35">
      <c r="A13" s="14"/>
      <c r="B13" s="135" t="e">
        <f>B12/(1+$N$11)^B10</f>
        <v>#DIV/0!</v>
      </c>
      <c r="C13" s="135" t="e">
        <f t="shared" ref="C13:K13" si="0">C12/(1+$N$11)^C10</f>
        <v>#DIV/0!</v>
      </c>
      <c r="D13" s="135" t="e">
        <f>D12/(1+$N$11)^D10</f>
        <v>#DIV/0!</v>
      </c>
      <c r="E13" s="135" t="e">
        <f>E12/(1+$N$11)^E10</f>
        <v>#DIV/0!</v>
      </c>
      <c r="F13" s="135" t="e">
        <f t="shared" si="0"/>
        <v>#DIV/0!</v>
      </c>
      <c r="G13" s="135" t="e">
        <f t="shared" si="0"/>
        <v>#DIV/0!</v>
      </c>
      <c r="H13" s="135" t="e">
        <f t="shared" si="0"/>
        <v>#DIV/0!</v>
      </c>
      <c r="I13" s="135" t="e">
        <f t="shared" si="0"/>
        <v>#DIV/0!</v>
      </c>
      <c r="J13" s="135" t="e">
        <f t="shared" si="0"/>
        <v>#DIV/0!</v>
      </c>
      <c r="K13" s="135" t="e">
        <f t="shared" si="0"/>
        <v>#DIV/0!</v>
      </c>
      <c r="L13" s="135" t="e">
        <f>L12/(1+N11)^E10</f>
        <v>#N/A</v>
      </c>
      <c r="M13" s="14"/>
      <c r="Q13"/>
      <c r="R13"/>
      <c r="S13"/>
      <c r="T13" s="170"/>
      <c r="U13" s="171" t="s">
        <v>97</v>
      </c>
      <c r="V13" s="172" t="e">
        <f>AVERAGE(V9:V12)</f>
        <v>#DIV/0!</v>
      </c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5" x14ac:dyDescent="0.3">
      <c r="A14" s="67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 spans="1:35" x14ac:dyDescent="0.3">
      <c r="A15" s="68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8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pans="1:35" x14ac:dyDescent="0.3">
      <c r="A16" s="68"/>
      <c r="B16" s="70"/>
      <c r="C16" s="70"/>
      <c r="D16" s="70"/>
      <c r="E16" s="70"/>
      <c r="F16" s="70"/>
      <c r="G16" s="71"/>
      <c r="H16" s="71"/>
      <c r="I16" s="71"/>
      <c r="J16" s="71"/>
      <c r="K16" s="71"/>
      <c r="L16" s="70"/>
      <c r="M16" s="68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spans="1:35" x14ac:dyDescent="0.3">
      <c r="A17" s="68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68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 spans="1:35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 spans="1:35" x14ac:dyDescent="0.3">
      <c r="A19" s="14"/>
      <c r="B19" s="17"/>
      <c r="C19" s="14"/>
      <c r="D19" s="69"/>
      <c r="E19" s="69"/>
      <c r="F19" s="69"/>
      <c r="G19" s="69"/>
      <c r="H19" s="69"/>
      <c r="I19" s="69"/>
      <c r="J19" s="14"/>
      <c r="K19" s="69"/>
      <c r="L19" s="14"/>
      <c r="M19" s="14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 spans="1:35" x14ac:dyDescent="0.3">
      <c r="A20" s="14" t="s">
        <v>107</v>
      </c>
      <c r="B20" s="91" t="e">
        <f>SUM(B13:L13)</f>
        <v>#DIV/0!</v>
      </c>
      <c r="C20" s="14"/>
      <c r="D20" s="69"/>
      <c r="E20" s="69"/>
      <c r="F20" s="69"/>
      <c r="G20" s="69"/>
      <c r="H20" s="69"/>
      <c r="I20" s="69"/>
      <c r="J20" s="14"/>
      <c r="K20" s="69"/>
      <c r="L20" s="14"/>
      <c r="M20" s="14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 spans="1:35" x14ac:dyDescent="0.3">
      <c r="B21" s="73"/>
      <c r="C21" s="14"/>
      <c r="D21" s="69"/>
      <c r="L21" s="14"/>
      <c r="M21" s="14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 spans="1:35" s="57" customFormat="1" x14ac:dyDescent="0.3">
      <c r="A22" s="14"/>
      <c r="B22" s="14"/>
      <c r="C22" s="14"/>
      <c r="D22" s="69"/>
      <c r="L22" s="14"/>
      <c r="M22" s="42"/>
      <c r="N22" s="14"/>
      <c r="O22" s="14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r="23" spans="1:35" s="57" customFormat="1" x14ac:dyDescent="0.3">
      <c r="A23" s="69"/>
      <c r="B23" s="69"/>
      <c r="C23" s="69"/>
      <c r="D23" s="69"/>
      <c r="L23" s="14"/>
      <c r="M23" s="63"/>
      <c r="N23" s="14"/>
      <c r="O23" s="14"/>
      <c r="Q23"/>
      <c r="R23" s="173" t="s">
        <v>177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 spans="1:35" s="57" customFormat="1" x14ac:dyDescent="0.3">
      <c r="A24" s="14"/>
      <c r="B24" s="14"/>
      <c r="C24" s="14"/>
      <c r="D24" s="69"/>
      <c r="L24" s="14"/>
      <c r="M24" s="63"/>
      <c r="N24" s="14"/>
      <c r="O24" s="14"/>
      <c r="Q24"/>
      <c r="R24" t="s">
        <v>178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pans="1:35" s="57" customFormat="1" x14ac:dyDescent="0.3">
      <c r="A25" s="14"/>
      <c r="B25" s="14"/>
      <c r="C25" s="14"/>
      <c r="D25" s="69"/>
      <c r="E25" s="69"/>
      <c r="F25" s="69"/>
      <c r="G25" s="69"/>
      <c r="H25" s="69"/>
      <c r="I25" s="69"/>
      <c r="J25" s="74"/>
      <c r="K25" s="69"/>
      <c r="L25" s="14"/>
      <c r="M25" s="174"/>
      <c r="N25" s="14"/>
      <c r="O25" s="14"/>
      <c r="Q25"/>
      <c r="R25" t="s">
        <v>179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r="26" spans="1:35" x14ac:dyDescent="0.3">
      <c r="A26" s="14"/>
      <c r="B26" s="14"/>
      <c r="C26" s="14"/>
      <c r="D26" s="69"/>
      <c r="E26"/>
      <c r="F26"/>
      <c r="G26"/>
      <c r="H26"/>
      <c r="I26" s="69"/>
      <c r="J26" s="69"/>
      <c r="K26" s="69"/>
      <c r="L26" s="14"/>
      <c r="M26" s="63"/>
      <c r="Q26"/>
      <c r="R26" t="s">
        <v>180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x14ac:dyDescent="0.3">
      <c r="A27" s="14"/>
      <c r="B27" s="14"/>
      <c r="C27" s="14"/>
      <c r="D27" s="69"/>
      <c r="E27"/>
      <c r="F27"/>
      <c r="G27"/>
      <c r="H27"/>
      <c r="I27" s="69"/>
      <c r="J27" s="69"/>
      <c r="K27" s="69"/>
      <c r="L27" s="14"/>
      <c r="M27" s="63"/>
      <c r="Q27"/>
      <c r="R27" t="s">
        <v>181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pans="1:35" x14ac:dyDescent="0.3">
      <c r="A28" s="14"/>
      <c r="B28" s="14"/>
      <c r="C28" s="14"/>
      <c r="D28" s="69"/>
      <c r="E28"/>
      <c r="F28"/>
      <c r="G28"/>
      <c r="H28"/>
      <c r="I28" s="69"/>
      <c r="J28" s="69"/>
      <c r="K28" s="69"/>
      <c r="L28" s="14"/>
      <c r="M28" s="63"/>
      <c r="Q28" s="14"/>
      <c r="R28" s="14"/>
      <c r="S28" s="14"/>
      <c r="T28" s="14"/>
      <c r="U28" s="14"/>
    </row>
    <row r="29" spans="1:35" x14ac:dyDescent="0.3">
      <c r="A29" s="14"/>
      <c r="B29" s="14"/>
      <c r="C29" s="14"/>
      <c r="D29" s="69"/>
      <c r="E29"/>
      <c r="F29"/>
      <c r="G29"/>
      <c r="H29"/>
      <c r="I29" s="69"/>
      <c r="J29" s="69"/>
      <c r="K29" s="69"/>
      <c r="L29" s="14"/>
      <c r="M29" s="63"/>
      <c r="Q29" s="14"/>
      <c r="R29" s="14"/>
      <c r="S29" s="14"/>
      <c r="T29" s="14"/>
      <c r="U29" s="14"/>
      <c r="V29" s="88"/>
      <c r="W29" s="88"/>
      <c r="X29" s="88"/>
    </row>
    <row r="30" spans="1:35" x14ac:dyDescent="0.3">
      <c r="A30" s="14"/>
      <c r="B30" s="14"/>
      <c r="C30" s="14"/>
      <c r="D30" s="69"/>
      <c r="E30"/>
      <c r="F30"/>
      <c r="G30"/>
      <c r="H30"/>
      <c r="I30" s="69"/>
      <c r="J30" s="69"/>
      <c r="K30" s="69"/>
      <c r="L30" s="14"/>
      <c r="M30" s="14"/>
      <c r="Q30" s="14"/>
      <c r="R30" s="14"/>
      <c r="S30" s="14"/>
      <c r="T30" s="14"/>
      <c r="U30" s="14"/>
    </row>
    <row r="31" spans="1:35" x14ac:dyDescent="0.3">
      <c r="A31" s="14"/>
      <c r="B31" s="14"/>
      <c r="C31" s="14"/>
      <c r="D31" s="69"/>
      <c r="E31"/>
      <c r="F31"/>
      <c r="G31"/>
      <c r="H31"/>
      <c r="I31" s="69"/>
      <c r="J31" s="69"/>
      <c r="K31" s="69"/>
      <c r="L31" s="14"/>
      <c r="M31" s="14"/>
      <c r="Q31" s="14"/>
      <c r="R31" s="14"/>
      <c r="S31" s="14"/>
      <c r="T31" s="14"/>
      <c r="U31" s="14"/>
    </row>
    <row r="32" spans="1:35" x14ac:dyDescent="0.3">
      <c r="A32" s="14"/>
      <c r="B32" s="14"/>
      <c r="C32" s="14"/>
      <c r="D32" s="69"/>
      <c r="E32"/>
      <c r="F32"/>
      <c r="G32"/>
      <c r="H32"/>
      <c r="I32" s="69"/>
      <c r="J32" s="69"/>
      <c r="K32" s="69"/>
      <c r="L32" s="14"/>
      <c r="M32" s="14"/>
      <c r="Q32" s="14"/>
      <c r="R32" s="14"/>
      <c r="S32" s="14"/>
      <c r="T32" s="14"/>
      <c r="U32" s="14"/>
    </row>
    <row r="33" spans="1:21" x14ac:dyDescent="0.3">
      <c r="A33" s="14"/>
      <c r="B33" s="14"/>
      <c r="C33" s="14"/>
      <c r="D33" s="14"/>
      <c r="E33"/>
      <c r="F33"/>
      <c r="G33"/>
      <c r="H33"/>
      <c r="I33" s="69"/>
      <c r="J33" s="69"/>
      <c r="K33" s="69"/>
      <c r="L33" s="14"/>
      <c r="M33" s="14"/>
      <c r="Q33" s="14"/>
      <c r="R33" s="14"/>
      <c r="S33" s="14"/>
      <c r="T33" s="14"/>
      <c r="U33" s="14"/>
    </row>
    <row r="34" spans="1:21" ht="13.95" customHeight="1" x14ac:dyDescent="0.3">
      <c r="A34" s="14"/>
      <c r="B34" s="14"/>
      <c r="C34" s="14"/>
      <c r="D34" s="14"/>
      <c r="E34"/>
      <c r="F34"/>
      <c r="G34"/>
      <c r="H34"/>
      <c r="I34" s="69"/>
      <c r="J34" s="69"/>
      <c r="K34" s="69"/>
      <c r="L34" s="14"/>
      <c r="M34" s="14"/>
      <c r="Q34" s="14"/>
      <c r="R34" s="14"/>
      <c r="S34" s="14"/>
      <c r="T34" s="14"/>
      <c r="U34" s="14"/>
    </row>
    <row r="35" spans="1:21" ht="13.95" customHeight="1" x14ac:dyDescent="0.3">
      <c r="A35" s="14"/>
      <c r="B35" s="14"/>
      <c r="C35" s="14"/>
      <c r="D35" s="14"/>
      <c r="E35" s="69"/>
      <c r="F35" s="69"/>
      <c r="G35" s="69"/>
      <c r="H35" s="69"/>
      <c r="I35" s="69"/>
      <c r="J35" s="69"/>
      <c r="K35" s="69"/>
      <c r="L35" s="14"/>
      <c r="M35" s="14"/>
      <c r="Q35" s="63"/>
    </row>
    <row r="36" spans="1:21" ht="13.95" customHeight="1" x14ac:dyDescent="0.3">
      <c r="A36" s="14"/>
      <c r="B36" s="14"/>
      <c r="C36" s="14"/>
      <c r="D36" s="14"/>
      <c r="E36" s="69"/>
      <c r="F36" s="69"/>
      <c r="G36" s="69"/>
      <c r="H36" s="69"/>
      <c r="I36" s="69"/>
      <c r="J36" s="69"/>
      <c r="K36" s="69"/>
      <c r="L36" s="14"/>
      <c r="M36" s="14"/>
      <c r="Q36" s="63"/>
    </row>
    <row r="37" spans="1:21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Q37" s="63"/>
    </row>
    <row r="38" spans="1:21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Q38" s="14"/>
    </row>
    <row r="39" spans="1:21" x14ac:dyDescent="0.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Q39" s="14"/>
    </row>
    <row r="40" spans="1:21" x14ac:dyDescent="0.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Q40" s="14"/>
    </row>
    <row r="41" spans="1:21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Q41" s="14"/>
    </row>
    <row r="42" spans="1:21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Q42" s="14"/>
    </row>
    <row r="43" spans="1:21" x14ac:dyDescent="0.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Q43" s="14"/>
    </row>
    <row r="44" spans="1:21" x14ac:dyDescent="0.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Q44" s="14"/>
    </row>
    <row r="45" spans="1:21" x14ac:dyDescent="0.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Q45" s="14"/>
    </row>
    <row r="46" spans="1:21" x14ac:dyDescent="0.3">
      <c r="A46" s="14"/>
      <c r="B46" s="14"/>
      <c r="C46" s="14"/>
      <c r="D46" s="14"/>
      <c r="E46" s="14"/>
      <c r="F46" s="14"/>
      <c r="G46" s="18"/>
      <c r="H46" s="14"/>
      <c r="I46" s="14"/>
      <c r="J46" s="14"/>
      <c r="K46" s="14"/>
      <c r="L46" s="14"/>
      <c r="M46" s="14"/>
      <c r="Q46" s="14"/>
    </row>
    <row r="47" spans="1:21" x14ac:dyDescent="0.3">
      <c r="A47" s="14"/>
      <c r="B47" s="14"/>
      <c r="C47" s="14"/>
      <c r="D47" s="14"/>
      <c r="E47" s="14"/>
      <c r="F47" s="14"/>
      <c r="G47" s="63"/>
      <c r="H47" s="14"/>
      <c r="I47" s="14"/>
      <c r="J47" s="14"/>
      <c r="K47" s="14"/>
      <c r="L47" s="14"/>
      <c r="M47" s="14"/>
      <c r="Q47" s="14"/>
    </row>
    <row r="48" spans="1:21" x14ac:dyDescent="0.3">
      <c r="A48" s="14"/>
      <c r="B48" s="14"/>
      <c r="C48" s="14"/>
      <c r="D48" s="14"/>
      <c r="E48" s="14"/>
      <c r="F48" s="14"/>
      <c r="G48" s="63"/>
      <c r="H48" s="14"/>
      <c r="I48" s="14"/>
      <c r="J48" s="14"/>
      <c r="K48" s="14"/>
      <c r="L48" s="14"/>
      <c r="M48" s="14"/>
      <c r="Q48" s="14"/>
    </row>
    <row r="49" spans="1:17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Q49" s="14"/>
    </row>
    <row r="50" spans="1:17" x14ac:dyDescent="0.3">
      <c r="A50" s="14"/>
      <c r="B50" s="14"/>
      <c r="C50" s="14"/>
      <c r="D50" s="14"/>
      <c r="E50" s="14"/>
      <c r="F50" s="14"/>
      <c r="G50" s="92"/>
      <c r="H50" s="14"/>
      <c r="I50" s="14"/>
      <c r="J50" s="14"/>
      <c r="K50" s="14"/>
      <c r="L50" s="14"/>
      <c r="M50" s="14"/>
      <c r="Q50" s="14"/>
    </row>
    <row r="51" spans="1:17" x14ac:dyDescent="0.3">
      <c r="E51" s="14"/>
      <c r="F51" s="14"/>
      <c r="G51" s="14"/>
      <c r="H51" s="14"/>
      <c r="I51" s="14"/>
      <c r="J51" s="14"/>
      <c r="K51" s="14"/>
      <c r="Q51" s="14"/>
    </row>
    <row r="52" spans="1:17" x14ac:dyDescent="0.3">
      <c r="E52" s="14"/>
      <c r="G52" s="14"/>
      <c r="H52" s="14"/>
      <c r="I52" s="14"/>
      <c r="J52" s="14"/>
      <c r="K52" s="14"/>
      <c r="Q52" s="14"/>
    </row>
    <row r="53" spans="1:17" x14ac:dyDescent="0.3">
      <c r="E53" s="14"/>
      <c r="F53" s="14"/>
      <c r="G53" s="14"/>
      <c r="H53" s="14"/>
      <c r="I53" s="14"/>
      <c r="J53" s="14"/>
      <c r="K53" s="14"/>
      <c r="Q53" s="14"/>
    </row>
    <row r="54" spans="1:17" x14ac:dyDescent="0.3">
      <c r="E54" s="14"/>
      <c r="F54" s="20"/>
      <c r="G54" s="14"/>
      <c r="H54" s="14"/>
      <c r="I54" s="14"/>
      <c r="J54" s="14"/>
      <c r="K54" s="14"/>
      <c r="Q54" s="14"/>
    </row>
    <row r="55" spans="1:17" x14ac:dyDescent="0.3">
      <c r="Q55" s="14"/>
    </row>
    <row r="56" spans="1:17" x14ac:dyDescent="0.3">
      <c r="Q56" s="14"/>
    </row>
    <row r="57" spans="1:17" x14ac:dyDescent="0.3">
      <c r="Q57" s="14"/>
    </row>
    <row r="58" spans="1:17" x14ac:dyDescent="0.3">
      <c r="Q58" s="14"/>
    </row>
    <row r="59" spans="1:17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Q59" s="14"/>
    </row>
    <row r="60" spans="1:17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Q60" s="14"/>
    </row>
    <row r="61" spans="1:17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Q61" s="14"/>
    </row>
    <row r="62" spans="1:17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Q62" s="14"/>
    </row>
    <row r="63" spans="1:17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Q63" s="14"/>
    </row>
    <row r="64" spans="1:17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Q64" s="14"/>
    </row>
    <row r="65" spans="1:17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Q65" s="14"/>
    </row>
    <row r="66" spans="1:17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Q66" s="14"/>
    </row>
    <row r="67" spans="1:17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Q67" s="14"/>
    </row>
    <row r="68" spans="1:17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Q68" s="14"/>
    </row>
    <row r="69" spans="1:17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Q69" s="14"/>
    </row>
    <row r="70" spans="1:17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Q70" s="14"/>
    </row>
    <row r="71" spans="1:17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Q71" s="14"/>
    </row>
    <row r="72" spans="1:17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Q72" s="14"/>
    </row>
    <row r="73" spans="1:17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Q73" s="14"/>
    </row>
    <row r="74" spans="1:17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Q74" s="14"/>
    </row>
    <row r="75" spans="1:17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Q75" s="14"/>
    </row>
    <row r="76" spans="1:17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Q76" s="14"/>
    </row>
    <row r="77" spans="1:17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Q77" s="14"/>
    </row>
    <row r="78" spans="1:17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Q78" s="14"/>
    </row>
    <row r="79" spans="1:17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Q79" s="14"/>
    </row>
    <row r="80" spans="1:17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Q80" s="14"/>
    </row>
    <row r="81" spans="1:17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Q81" s="14"/>
    </row>
    <row r="82" spans="1:17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Q82" s="14"/>
    </row>
    <row r="83" spans="1:17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Q83" s="14"/>
    </row>
    <row r="84" spans="1:17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Q84" s="14"/>
    </row>
    <row r="85" spans="1:17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Q85" s="14"/>
    </row>
    <row r="86" spans="1:17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Q86" s="14"/>
    </row>
    <row r="87" spans="1:17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Q87" s="14"/>
    </row>
    <row r="88" spans="1:17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Q88" s="14"/>
    </row>
    <row r="89" spans="1:17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Q89" s="14"/>
    </row>
    <row r="90" spans="1:17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Q90" s="14"/>
    </row>
    <row r="91" spans="1:17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Q91" s="14"/>
    </row>
    <row r="92" spans="1:17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Q92" s="14"/>
    </row>
    <row r="93" spans="1:17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Q93" s="14"/>
    </row>
    <row r="94" spans="1:17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Q94" s="14"/>
    </row>
    <row r="95" spans="1:17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Q95" s="14"/>
    </row>
    <row r="96" spans="1:17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Q96" s="14"/>
    </row>
    <row r="97" spans="1:17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Q97" s="14"/>
    </row>
    <row r="98" spans="1:17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Q98" s="14"/>
    </row>
    <row r="99" spans="1:17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Q99" s="14"/>
    </row>
    <row r="100" spans="1:17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Q100" s="14"/>
    </row>
    <row r="101" spans="1:17" x14ac:dyDescent="0.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Q101" s="14"/>
    </row>
    <row r="102" spans="1:17" x14ac:dyDescent="0.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Q102" s="14"/>
    </row>
    <row r="103" spans="1:17" x14ac:dyDescent="0.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Q103" s="14"/>
    </row>
    <row r="104" spans="1:17" x14ac:dyDescent="0.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Q104" s="14"/>
    </row>
    <row r="105" spans="1:17" x14ac:dyDescent="0.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Q105" s="14"/>
    </row>
    <row r="106" spans="1:17" x14ac:dyDescent="0.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Q106" s="14"/>
    </row>
    <row r="107" spans="1:17" x14ac:dyDescent="0.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Q107" s="14"/>
    </row>
    <row r="108" spans="1:17" x14ac:dyDescent="0.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Q108" s="14"/>
    </row>
    <row r="109" spans="1:17" x14ac:dyDescent="0.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Q109" s="14"/>
    </row>
    <row r="110" spans="1:17" x14ac:dyDescent="0.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Q110" s="14"/>
    </row>
    <row r="111" spans="1:17" x14ac:dyDescent="0.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Q111" s="14"/>
    </row>
    <row r="112" spans="1:17" x14ac:dyDescent="0.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Q112" s="14"/>
    </row>
    <row r="113" spans="1:17" x14ac:dyDescent="0.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Q113" s="14"/>
    </row>
    <row r="114" spans="1:17" x14ac:dyDescent="0.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Q114" s="14"/>
    </row>
    <row r="115" spans="1:17" x14ac:dyDescent="0.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Q115" s="14"/>
    </row>
    <row r="116" spans="1:17" x14ac:dyDescent="0.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Q116" s="14"/>
    </row>
    <row r="117" spans="1:17" x14ac:dyDescent="0.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Q117" s="14"/>
    </row>
    <row r="118" spans="1:17" x14ac:dyDescent="0.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Q118" s="14"/>
    </row>
    <row r="119" spans="1:17" x14ac:dyDescent="0.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Q119" s="14"/>
    </row>
    <row r="120" spans="1:17" x14ac:dyDescent="0.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Q120" s="14"/>
    </row>
    <row r="121" spans="1:17" x14ac:dyDescent="0.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Q121" s="14"/>
    </row>
    <row r="122" spans="1:17" x14ac:dyDescent="0.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Q122" s="14"/>
    </row>
    <row r="123" spans="1:17" x14ac:dyDescent="0.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Q123" s="14"/>
    </row>
    <row r="124" spans="1:17" x14ac:dyDescent="0.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Q124" s="14"/>
    </row>
    <row r="125" spans="1:17" x14ac:dyDescent="0.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Q125" s="14"/>
    </row>
    <row r="126" spans="1:17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Q126" s="14"/>
    </row>
    <row r="127" spans="1:17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Q127" s="14"/>
    </row>
    <row r="128" spans="1:17" x14ac:dyDescent="0.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Q128" s="14"/>
    </row>
    <row r="129" spans="1:17" x14ac:dyDescent="0.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Q129" s="14"/>
    </row>
    <row r="130" spans="1:17" x14ac:dyDescent="0.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Q130" s="14"/>
    </row>
    <row r="131" spans="1:17" x14ac:dyDescent="0.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Q131" s="14"/>
    </row>
    <row r="132" spans="1:17" x14ac:dyDescent="0.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Q132" s="14"/>
    </row>
  </sheetData>
  <mergeCells count="1">
    <mergeCell ref="T8:V8"/>
  </mergeCells>
  <conditionalFormatting sqref="R35:X37 S30:X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D5"/>
  <sheetViews>
    <sheetView workbookViewId="0">
      <selection activeCell="I7" sqref="I7"/>
    </sheetView>
  </sheetViews>
  <sheetFormatPr defaultColWidth="8.77734375" defaultRowHeight="14.4" x14ac:dyDescent="0.3"/>
  <cols>
    <col min="1" max="1" width="10.44140625" bestFit="1" customWidth="1"/>
    <col min="3" max="3" width="24.44140625" hidden="1" customWidth="1"/>
    <col min="4" max="4" width="41.109375" hidden="1" customWidth="1"/>
  </cols>
  <sheetData>
    <row r="1" spans="1:4" x14ac:dyDescent="0.3">
      <c r="A1" s="17" t="s">
        <v>184</v>
      </c>
      <c r="C1" t="s">
        <v>140</v>
      </c>
      <c r="D1" t="s">
        <v>142</v>
      </c>
    </row>
    <row r="2" spans="1:4" x14ac:dyDescent="0.3">
      <c r="A2" s="175"/>
      <c r="B2" s="176"/>
      <c r="C2" s="176" t="s">
        <v>138</v>
      </c>
      <c r="D2" s="176" t="s">
        <v>167</v>
      </c>
    </row>
    <row r="3" spans="1:4" x14ac:dyDescent="0.3">
      <c r="A3" s="175"/>
      <c r="B3" s="176"/>
      <c r="C3" s="176" t="s">
        <v>169</v>
      </c>
      <c r="D3" s="176" t="s">
        <v>168</v>
      </c>
    </row>
    <row r="4" spans="1:4" x14ac:dyDescent="0.3">
      <c r="A4" s="17"/>
      <c r="C4" t="s">
        <v>136</v>
      </c>
      <c r="D4" t="s">
        <v>137</v>
      </c>
    </row>
    <row r="5" spans="1:4" x14ac:dyDescent="0.3">
      <c r="A5" s="17"/>
      <c r="C5" t="s">
        <v>139</v>
      </c>
      <c r="D5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0"/>
  <sheetViews>
    <sheetView topLeftCell="A2" workbookViewId="0">
      <pane ySplit="9" topLeftCell="A11" activePane="bottomLeft" state="frozen"/>
      <selection activeCell="A2" sqref="A2"/>
      <selection pane="bottomLeft" activeCell="J8" sqref="J8"/>
    </sheetView>
  </sheetViews>
  <sheetFormatPr defaultColWidth="10.77734375" defaultRowHeight="15.6" x14ac:dyDescent="0.3"/>
  <cols>
    <col min="1" max="1" width="19.6640625" style="94" customWidth="1"/>
    <col min="2" max="3" width="10.77734375" style="94"/>
    <col min="4" max="4" width="21.77734375" style="94" bestFit="1" customWidth="1"/>
    <col min="5" max="6" width="10.77734375" style="94"/>
    <col min="7" max="7" width="14.33203125" style="94" bestFit="1" customWidth="1"/>
    <col min="8" max="16384" width="10.77734375" style="94"/>
  </cols>
  <sheetData>
    <row r="1" spans="1:16" x14ac:dyDescent="0.3">
      <c r="A1" s="93" t="s">
        <v>109</v>
      </c>
    </row>
    <row r="2" spans="1:16" x14ac:dyDescent="0.3">
      <c r="A2" s="95" t="s">
        <v>110</v>
      </c>
    </row>
    <row r="3" spans="1:16" x14ac:dyDescent="0.3">
      <c r="A3" s="96" t="s">
        <v>111</v>
      </c>
    </row>
    <row r="4" spans="1:16" x14ac:dyDescent="0.3">
      <c r="A4" s="95" t="s">
        <v>112</v>
      </c>
    </row>
    <row r="5" spans="1:16" x14ac:dyDescent="0.3">
      <c r="A5" s="97"/>
      <c r="P5" s="98"/>
    </row>
    <row r="6" spans="1:16" x14ac:dyDescent="0.3">
      <c r="A6" s="93" t="s">
        <v>113</v>
      </c>
    </row>
    <row r="7" spans="1:16" x14ac:dyDescent="0.3">
      <c r="A7" s="95" t="s">
        <v>114</v>
      </c>
    </row>
    <row r="8" spans="1:16" x14ac:dyDescent="0.3">
      <c r="A8" s="95" t="s">
        <v>115</v>
      </c>
    </row>
    <row r="9" spans="1:16" x14ac:dyDescent="0.3">
      <c r="G9" s="115" t="s">
        <v>130</v>
      </c>
      <c r="H9" s="130">
        <f>MIN(B18,B25,B33,B44)</f>
        <v>0</v>
      </c>
    </row>
    <row r="10" spans="1:16" x14ac:dyDescent="0.3">
      <c r="A10" s="180" t="s">
        <v>101</v>
      </c>
      <c r="B10" s="180"/>
      <c r="D10" s="180" t="s">
        <v>103</v>
      </c>
      <c r="E10" s="180"/>
      <c r="G10" s="115" t="s">
        <v>131</v>
      </c>
      <c r="H10" s="130">
        <f>MIN(E18,E27,E33,E46)</f>
        <v>0</v>
      </c>
    </row>
    <row r="12" spans="1:16" x14ac:dyDescent="0.3">
      <c r="A12" s="180" t="s">
        <v>108</v>
      </c>
      <c r="B12" s="180"/>
      <c r="D12" s="180" t="s">
        <v>108</v>
      </c>
      <c r="E12" s="180"/>
    </row>
    <row r="13" spans="1:16" x14ac:dyDescent="0.3">
      <c r="A13" s="94" t="s">
        <v>108</v>
      </c>
      <c r="B13" s="127"/>
      <c r="D13" s="94" t="s">
        <v>108</v>
      </c>
      <c r="E13" s="94">
        <f>B13</f>
        <v>0</v>
      </c>
    </row>
    <row r="14" spans="1:16" x14ac:dyDescent="0.3">
      <c r="A14" s="94" t="s">
        <v>116</v>
      </c>
      <c r="B14" s="127"/>
      <c r="D14" s="94" t="s">
        <v>116</v>
      </c>
      <c r="E14" s="94">
        <f>B14</f>
        <v>0</v>
      </c>
    </row>
    <row r="15" spans="1:16" x14ac:dyDescent="0.3">
      <c r="A15" s="94" t="s">
        <v>117</v>
      </c>
      <c r="B15" s="128"/>
      <c r="D15" s="94" t="s">
        <v>117</v>
      </c>
      <c r="E15" s="94">
        <f>B15</f>
        <v>0</v>
      </c>
    </row>
    <row r="16" spans="1:16" x14ac:dyDescent="0.3">
      <c r="A16" s="94" t="s">
        <v>118</v>
      </c>
      <c r="B16" s="127"/>
      <c r="D16" s="94" t="s">
        <v>118</v>
      </c>
      <c r="E16" s="94">
        <f>B16</f>
        <v>0</v>
      </c>
    </row>
    <row r="17" spans="1:11" x14ac:dyDescent="0.3">
      <c r="A17" s="94" t="s">
        <v>99</v>
      </c>
      <c r="B17" s="127"/>
      <c r="D17" s="94" t="s">
        <v>102</v>
      </c>
      <c r="E17" s="127"/>
    </row>
    <row r="18" spans="1:11" ht="16.2" thickBot="1" x14ac:dyDescent="0.35">
      <c r="A18" s="99" t="s">
        <v>101</v>
      </c>
      <c r="B18" s="100">
        <f>SUM(B13:B17)</f>
        <v>0</v>
      </c>
      <c r="D18" s="99" t="s">
        <v>103</v>
      </c>
      <c r="E18" s="101">
        <f>SUM(E13:E17)</f>
        <v>0</v>
      </c>
    </row>
    <row r="19" spans="1:11" ht="16.2" thickTop="1" x14ac:dyDescent="0.3"/>
    <row r="20" spans="1:11" x14ac:dyDescent="0.3">
      <c r="A20" s="180" t="s">
        <v>100</v>
      </c>
      <c r="B20" s="180"/>
      <c r="D20" s="180" t="s">
        <v>100</v>
      </c>
      <c r="E20" s="180"/>
    </row>
    <row r="21" spans="1:11" x14ac:dyDescent="0.3">
      <c r="A21" s="94" t="s">
        <v>119</v>
      </c>
      <c r="B21" s="127"/>
      <c r="D21" s="94" t="s">
        <v>119</v>
      </c>
      <c r="E21" s="94">
        <f>B21</f>
        <v>0</v>
      </c>
    </row>
    <row r="22" spans="1:11" x14ac:dyDescent="0.3">
      <c r="A22" s="94" t="s">
        <v>116</v>
      </c>
      <c r="B22" s="94">
        <f>B14</f>
        <v>0</v>
      </c>
      <c r="D22" s="94" t="s">
        <v>116</v>
      </c>
      <c r="E22" s="94">
        <f>E14</f>
        <v>0</v>
      </c>
    </row>
    <row r="23" spans="1:11" x14ac:dyDescent="0.3">
      <c r="A23" s="94" t="s">
        <v>117</v>
      </c>
      <c r="B23" s="94">
        <f>B15</f>
        <v>0</v>
      </c>
      <c r="D23" s="94" t="s">
        <v>117</v>
      </c>
      <c r="E23" s="94">
        <f>E15</f>
        <v>0</v>
      </c>
    </row>
    <row r="24" spans="1:11" x14ac:dyDescent="0.3">
      <c r="A24" s="94" t="s">
        <v>118</v>
      </c>
      <c r="B24" s="94">
        <f>B16</f>
        <v>0</v>
      </c>
      <c r="D24" s="94" t="s">
        <v>118</v>
      </c>
      <c r="E24" s="94">
        <f>E16</f>
        <v>0</v>
      </c>
    </row>
    <row r="25" spans="1:11" ht="16.2" thickBot="1" x14ac:dyDescent="0.35">
      <c r="A25" s="99" t="s">
        <v>101</v>
      </c>
      <c r="B25" s="100">
        <f>SUM(B21:B24)</f>
        <v>0</v>
      </c>
      <c r="D25" s="94" t="s">
        <v>99</v>
      </c>
      <c r="E25" s="94">
        <f>B17</f>
        <v>0</v>
      </c>
    </row>
    <row r="26" spans="1:11" ht="16.2" thickTop="1" x14ac:dyDescent="0.3">
      <c r="A26" s="102"/>
      <c r="B26" s="103"/>
      <c r="D26" s="94" t="s">
        <v>102</v>
      </c>
      <c r="E26" s="94">
        <f>E17</f>
        <v>0</v>
      </c>
      <c r="J26" s="98"/>
    </row>
    <row r="27" spans="1:11" ht="16.2" thickBot="1" x14ac:dyDescent="0.35">
      <c r="A27" s="102"/>
      <c r="B27" s="103"/>
      <c r="D27" s="104" t="s">
        <v>103</v>
      </c>
      <c r="E27" s="100">
        <f>SUM(E21:E26)</f>
        <v>0</v>
      </c>
      <c r="J27" s="98"/>
    </row>
    <row r="28" spans="1:11" ht="16.2" thickTop="1" x14ac:dyDescent="0.3">
      <c r="B28" s="105"/>
      <c r="J28" s="98"/>
    </row>
    <row r="29" spans="1:11" x14ac:dyDescent="0.3">
      <c r="A29" s="180" t="s">
        <v>120</v>
      </c>
      <c r="B29" s="180"/>
      <c r="D29" s="180" t="s">
        <v>120</v>
      </c>
      <c r="E29" s="180"/>
      <c r="J29" s="98"/>
    </row>
    <row r="30" spans="1:11" x14ac:dyDescent="0.3">
      <c r="A30" s="94" t="s">
        <v>121</v>
      </c>
      <c r="B30" s="127"/>
      <c r="D30" s="94" t="s">
        <v>121</v>
      </c>
      <c r="E30" s="94">
        <f>B30</f>
        <v>0</v>
      </c>
    </row>
    <row r="31" spans="1:11" x14ac:dyDescent="0.3">
      <c r="A31" s="94" t="s">
        <v>122</v>
      </c>
      <c r="B31" s="94">
        <f>E25*(1-K8)</f>
        <v>0</v>
      </c>
      <c r="D31" s="94" t="s">
        <v>118</v>
      </c>
      <c r="E31" s="94">
        <f>E24</f>
        <v>0</v>
      </c>
      <c r="K31" s="98"/>
    </row>
    <row r="32" spans="1:11" x14ac:dyDescent="0.3">
      <c r="A32" s="94" t="s">
        <v>118</v>
      </c>
      <c r="B32" s="94">
        <f>E24</f>
        <v>0</v>
      </c>
      <c r="D32" s="94" t="s">
        <v>102</v>
      </c>
      <c r="E32" s="94">
        <f>E26</f>
        <v>0</v>
      </c>
      <c r="J32" s="98"/>
      <c r="K32" s="98"/>
    </row>
    <row r="33" spans="1:11" ht="16.2" thickBot="1" x14ac:dyDescent="0.35">
      <c r="A33" s="99" t="s">
        <v>101</v>
      </c>
      <c r="B33" s="106">
        <f>SUM(B30:B32)</f>
        <v>0</v>
      </c>
      <c r="D33" s="99" t="s">
        <v>103</v>
      </c>
      <c r="E33" s="101">
        <f>SUM(E30:E32)</f>
        <v>0</v>
      </c>
      <c r="J33" s="98"/>
      <c r="K33" s="98"/>
    </row>
    <row r="34" spans="1:11" ht="16.2" thickTop="1" x14ac:dyDescent="0.3">
      <c r="B34" s="98"/>
      <c r="J34" s="98"/>
    </row>
    <row r="35" spans="1:11" x14ac:dyDescent="0.3">
      <c r="B35" s="98"/>
      <c r="J35" s="98"/>
    </row>
    <row r="36" spans="1:11" x14ac:dyDescent="0.3">
      <c r="A36" s="180" t="s">
        <v>123</v>
      </c>
      <c r="B36" s="180"/>
      <c r="D36" s="180" t="s">
        <v>123</v>
      </c>
      <c r="E36" s="180"/>
    </row>
    <row r="37" spans="1:11" x14ac:dyDescent="0.3">
      <c r="A37" s="94" t="s">
        <v>119</v>
      </c>
      <c r="B37" s="94">
        <f>B21</f>
        <v>0</v>
      </c>
      <c r="D37" s="94" t="s">
        <v>119</v>
      </c>
      <c r="E37" s="94">
        <f t="shared" ref="E37:E43" si="0">B37</f>
        <v>0</v>
      </c>
    </row>
    <row r="38" spans="1:11" x14ac:dyDescent="0.3">
      <c r="A38" s="94" t="s">
        <v>116</v>
      </c>
      <c r="B38" s="94">
        <f>B14</f>
        <v>0</v>
      </c>
      <c r="D38" s="94" t="s">
        <v>116</v>
      </c>
      <c r="E38" s="94">
        <f t="shared" si="0"/>
        <v>0</v>
      </c>
    </row>
    <row r="39" spans="1:11" x14ac:dyDescent="0.3">
      <c r="A39" s="94" t="s">
        <v>124</v>
      </c>
      <c r="B39" s="127"/>
      <c r="D39" s="94" t="s">
        <v>124</v>
      </c>
      <c r="E39" s="94">
        <f t="shared" si="0"/>
        <v>0</v>
      </c>
    </row>
    <row r="40" spans="1:11" x14ac:dyDescent="0.3">
      <c r="A40" s="94" t="s">
        <v>125</v>
      </c>
      <c r="B40" s="128"/>
      <c r="D40" s="94" t="s">
        <v>125</v>
      </c>
      <c r="E40" s="98">
        <f t="shared" si="0"/>
        <v>0</v>
      </c>
    </row>
    <row r="41" spans="1:11" x14ac:dyDescent="0.3">
      <c r="A41" s="94" t="s">
        <v>126</v>
      </c>
      <c r="B41" s="127"/>
      <c r="D41" s="94" t="s">
        <v>126</v>
      </c>
      <c r="E41" s="94">
        <f t="shared" si="0"/>
        <v>0</v>
      </c>
    </row>
    <row r="42" spans="1:11" x14ac:dyDescent="0.3">
      <c r="A42" s="94" t="s">
        <v>117</v>
      </c>
      <c r="B42" s="94">
        <f>E23</f>
        <v>0</v>
      </c>
      <c r="D42" s="94" t="s">
        <v>117</v>
      </c>
      <c r="E42" s="94">
        <f t="shared" si="0"/>
        <v>0</v>
      </c>
    </row>
    <row r="43" spans="1:11" x14ac:dyDescent="0.3">
      <c r="A43" s="94" t="s">
        <v>118</v>
      </c>
      <c r="B43" s="94">
        <f>E24</f>
        <v>0</v>
      </c>
      <c r="D43" s="94" t="s">
        <v>118</v>
      </c>
      <c r="E43" s="94">
        <f t="shared" si="0"/>
        <v>0</v>
      </c>
    </row>
    <row r="44" spans="1:11" ht="16.2" thickBot="1" x14ac:dyDescent="0.35">
      <c r="A44" s="99" t="s">
        <v>101</v>
      </c>
      <c r="B44" s="106">
        <f>SUM(B37:B43)</f>
        <v>0</v>
      </c>
      <c r="D44" s="94" t="s">
        <v>99</v>
      </c>
      <c r="E44" s="94">
        <f>E25*(1-K8)</f>
        <v>0</v>
      </c>
    </row>
    <row r="45" spans="1:11" ht="16.2" thickTop="1" x14ac:dyDescent="0.3">
      <c r="D45" s="94" t="s">
        <v>102</v>
      </c>
      <c r="E45" s="94">
        <f>E17</f>
        <v>0</v>
      </c>
    </row>
    <row r="46" spans="1:11" ht="16.2" thickBot="1" x14ac:dyDescent="0.35">
      <c r="D46" s="104" t="s">
        <v>103</v>
      </c>
      <c r="E46" s="100">
        <f>SUM(E37:E45)</f>
        <v>0</v>
      </c>
    </row>
    <row r="47" spans="1:11" ht="16.2" thickTop="1" x14ac:dyDescent="0.3"/>
    <row r="50" spans="2:2" x14ac:dyDescent="0.3">
      <c r="B50" s="94" t="s">
        <v>127</v>
      </c>
    </row>
  </sheetData>
  <mergeCells count="10">
    <mergeCell ref="A29:B29"/>
    <mergeCell ref="D29:E29"/>
    <mergeCell ref="A36:B36"/>
    <mergeCell ref="D36:E36"/>
    <mergeCell ref="A10:B10"/>
    <mergeCell ref="D10:E10"/>
    <mergeCell ref="A12:B12"/>
    <mergeCell ref="D12:E12"/>
    <mergeCell ref="A20:B20"/>
    <mergeCell ref="D20:E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6711-A094-49F0-887C-B05F78C0C619}">
  <dimension ref="A1:K23"/>
  <sheetViews>
    <sheetView workbookViewId="0">
      <selection activeCell="D3" sqref="D3"/>
    </sheetView>
  </sheetViews>
  <sheetFormatPr defaultRowHeight="14.4" x14ac:dyDescent="0.3"/>
  <sheetData>
    <row r="1" spans="1:11" ht="15" thickBot="1" x14ac:dyDescent="0.35">
      <c r="A1" s="77" t="s">
        <v>10</v>
      </c>
      <c r="B1" s="58"/>
      <c r="C1" s="58"/>
      <c r="D1" s="58"/>
      <c r="E1" s="52"/>
      <c r="F1" s="52"/>
      <c r="G1" s="52"/>
      <c r="H1" s="52"/>
      <c r="I1" s="52"/>
      <c r="J1" s="52"/>
      <c r="K1" s="52"/>
    </row>
    <row r="2" spans="1:11" ht="15" thickBot="1" x14ac:dyDescent="0.35">
      <c r="A2" s="78" t="s">
        <v>98</v>
      </c>
      <c r="B2" s="79" t="s">
        <v>12</v>
      </c>
      <c r="C2" s="79" t="s">
        <v>13</v>
      </c>
      <c r="D2" s="84" t="s">
        <v>99</v>
      </c>
      <c r="E2" s="52"/>
      <c r="F2" s="52"/>
      <c r="G2" s="52"/>
      <c r="H2" s="52"/>
      <c r="I2" s="52"/>
      <c r="J2" s="52"/>
      <c r="K2" s="52"/>
    </row>
    <row r="3" spans="1:11" x14ac:dyDescent="0.3">
      <c r="A3" s="132"/>
      <c r="B3" s="54"/>
      <c r="C3" s="59"/>
      <c r="D3" s="85">
        <f t="shared" ref="D3:D16" si="0">-PV(C3,(A3-2014),,((A3-2014)*(B3*C3)))</f>
        <v>0</v>
      </c>
      <c r="E3" s="52"/>
      <c r="F3" s="52" t="s">
        <v>160</v>
      </c>
      <c r="G3" s="52"/>
      <c r="H3" s="52"/>
      <c r="I3" s="52"/>
      <c r="J3" s="52"/>
      <c r="K3" s="52"/>
    </row>
    <row r="4" spans="1:11" x14ac:dyDescent="0.3">
      <c r="A4" s="129"/>
      <c r="B4" s="54"/>
      <c r="C4" s="59"/>
      <c r="D4" s="85">
        <f t="shared" si="0"/>
        <v>0</v>
      </c>
      <c r="E4" s="52"/>
      <c r="F4" s="52"/>
      <c r="G4" s="52"/>
      <c r="H4" s="52"/>
      <c r="I4" s="52"/>
      <c r="J4" s="52"/>
      <c r="K4" s="52"/>
    </row>
    <row r="5" spans="1:11" x14ac:dyDescent="0.3">
      <c r="A5" s="129"/>
      <c r="B5" s="54"/>
      <c r="C5" s="59"/>
      <c r="D5" s="85">
        <f t="shared" si="0"/>
        <v>0</v>
      </c>
      <c r="E5" s="52"/>
      <c r="F5" s="52"/>
      <c r="G5" s="52"/>
      <c r="H5" s="52"/>
      <c r="I5" s="52"/>
      <c r="J5" s="52"/>
      <c r="K5" s="52"/>
    </row>
    <row r="6" spans="1:11" x14ac:dyDescent="0.3">
      <c r="A6" s="129"/>
      <c r="B6" s="54"/>
      <c r="C6" s="59"/>
      <c r="D6" s="85">
        <f t="shared" si="0"/>
        <v>0</v>
      </c>
      <c r="E6" s="52"/>
      <c r="F6" s="52"/>
      <c r="G6" s="52"/>
      <c r="H6" s="52"/>
      <c r="I6" s="52"/>
      <c r="J6" s="52"/>
      <c r="K6" s="52"/>
    </row>
    <row r="7" spans="1:11" x14ac:dyDescent="0.3">
      <c r="A7" s="129"/>
      <c r="B7" s="54"/>
      <c r="C7" s="59"/>
      <c r="D7" s="85">
        <f t="shared" si="0"/>
        <v>0</v>
      </c>
      <c r="E7" s="52"/>
      <c r="F7" s="52"/>
      <c r="G7" s="52"/>
      <c r="H7" s="52"/>
      <c r="I7" s="52"/>
      <c r="J7" s="52"/>
      <c r="K7" s="52"/>
    </row>
    <row r="8" spans="1:11" x14ac:dyDescent="0.3">
      <c r="A8" s="129"/>
      <c r="B8" s="54"/>
      <c r="C8" s="59"/>
      <c r="D8" s="85">
        <f>-PV(C8,(A8-2014),,((A8-2014)*(B8*C8)))</f>
        <v>0</v>
      </c>
      <c r="E8" s="52"/>
      <c r="F8" s="52"/>
      <c r="G8" s="52"/>
      <c r="H8" s="52"/>
      <c r="I8" s="52"/>
      <c r="J8" s="52"/>
      <c r="K8" s="52"/>
    </row>
    <row r="9" spans="1:11" x14ac:dyDescent="0.3">
      <c r="A9" s="129"/>
      <c r="B9" s="54"/>
      <c r="C9" s="59"/>
      <c r="D9" s="85">
        <f t="shared" si="0"/>
        <v>0</v>
      </c>
      <c r="E9" s="52"/>
      <c r="F9" s="52"/>
      <c r="G9" s="52"/>
      <c r="H9" s="52"/>
      <c r="I9" s="52"/>
      <c r="J9" s="52"/>
      <c r="K9" s="52"/>
    </row>
    <row r="10" spans="1:11" x14ac:dyDescent="0.3">
      <c r="A10" s="129"/>
      <c r="B10" s="54"/>
      <c r="C10" s="59"/>
      <c r="D10" s="85">
        <f t="shared" si="0"/>
        <v>0</v>
      </c>
      <c r="E10" s="52"/>
      <c r="F10" s="52"/>
      <c r="G10" s="52"/>
      <c r="H10" s="52"/>
      <c r="I10" s="52"/>
      <c r="J10" s="52"/>
      <c r="K10" s="52"/>
    </row>
    <row r="11" spans="1:11" x14ac:dyDescent="0.3">
      <c r="A11" s="129"/>
      <c r="B11" s="54"/>
      <c r="C11" s="59"/>
      <c r="D11" s="85">
        <f t="shared" si="0"/>
        <v>0</v>
      </c>
      <c r="E11" s="52"/>
      <c r="F11" s="52"/>
      <c r="G11" s="52"/>
      <c r="H11" s="52"/>
      <c r="I11" s="52"/>
      <c r="J11" s="52"/>
      <c r="K11" s="52"/>
    </row>
    <row r="12" spans="1:11" x14ac:dyDescent="0.3">
      <c r="A12" s="129"/>
      <c r="B12" s="54"/>
      <c r="C12" s="59"/>
      <c r="D12" s="85">
        <f t="shared" si="0"/>
        <v>0</v>
      </c>
      <c r="E12" s="52"/>
      <c r="F12" s="52"/>
      <c r="G12" s="52"/>
      <c r="H12" s="52"/>
      <c r="I12" s="52"/>
      <c r="J12" s="52"/>
      <c r="K12" s="52"/>
    </row>
    <row r="13" spans="1:11" x14ac:dyDescent="0.3">
      <c r="A13" s="129"/>
      <c r="B13" s="54"/>
      <c r="C13" s="59"/>
      <c r="D13" s="85">
        <f t="shared" si="0"/>
        <v>0</v>
      </c>
      <c r="E13" s="52"/>
      <c r="F13" s="52"/>
      <c r="G13" s="52"/>
      <c r="H13" s="52"/>
      <c r="I13" s="52"/>
      <c r="J13" s="52"/>
      <c r="K13" s="52"/>
    </row>
    <row r="14" spans="1:11" x14ac:dyDescent="0.3">
      <c r="A14" s="129"/>
      <c r="B14" s="54"/>
      <c r="C14" s="59"/>
      <c r="D14" s="85">
        <f t="shared" si="0"/>
        <v>0</v>
      </c>
      <c r="E14" s="52"/>
      <c r="F14" s="52"/>
      <c r="G14" s="52"/>
      <c r="H14" s="52"/>
      <c r="I14" s="52"/>
      <c r="J14" s="52"/>
      <c r="K14" s="52"/>
    </row>
    <row r="15" spans="1:11" x14ac:dyDescent="0.3">
      <c r="A15" s="129"/>
      <c r="B15" s="54"/>
      <c r="C15" s="59"/>
      <c r="D15" s="85">
        <f t="shared" si="0"/>
        <v>0</v>
      </c>
      <c r="E15" s="52"/>
      <c r="F15" s="52"/>
      <c r="G15" s="52"/>
      <c r="H15" s="52"/>
      <c r="I15" s="52"/>
      <c r="J15" s="52"/>
      <c r="K15" s="52"/>
    </row>
    <row r="16" spans="1:11" x14ac:dyDescent="0.3">
      <c r="A16" s="129"/>
      <c r="B16" s="54"/>
      <c r="C16" s="59"/>
      <c r="D16" s="85">
        <f t="shared" si="0"/>
        <v>0</v>
      </c>
      <c r="E16" s="52"/>
      <c r="F16" s="52"/>
      <c r="G16" s="52"/>
      <c r="H16" s="52"/>
      <c r="I16" s="52"/>
      <c r="J16" s="52"/>
      <c r="K16" s="52"/>
    </row>
    <row r="17" spans="1:11" x14ac:dyDescent="0.3">
      <c r="A17" s="129"/>
      <c r="B17" s="54"/>
      <c r="C17" s="59"/>
      <c r="D17" s="85">
        <f>-PV(C17,(A17-2014),,((A17-2014)*(B17*C17)))</f>
        <v>0</v>
      </c>
      <c r="E17" s="52"/>
      <c r="F17" s="52"/>
      <c r="G17" s="52"/>
      <c r="H17" s="52"/>
      <c r="I17" s="52"/>
      <c r="J17" s="52"/>
      <c r="K17" s="52"/>
    </row>
    <row r="18" spans="1:11" x14ac:dyDescent="0.3">
      <c r="A18" s="129"/>
      <c r="B18" s="54"/>
      <c r="C18" s="59"/>
      <c r="D18" s="86">
        <f>-PV(C18,(A18-2014),,((A18-2014)*(B18*C18)))</f>
        <v>0</v>
      </c>
      <c r="E18" s="52"/>
      <c r="F18" s="52"/>
      <c r="G18" s="52"/>
      <c r="H18" s="52"/>
      <c r="I18" s="52"/>
      <c r="J18" s="52"/>
      <c r="K18" s="52"/>
    </row>
    <row r="19" spans="1:11" x14ac:dyDescent="0.3">
      <c r="A19" s="129"/>
      <c r="B19" s="54"/>
      <c r="C19" s="59"/>
      <c r="D19" s="87"/>
      <c r="E19" s="52"/>
      <c r="F19" s="52"/>
      <c r="G19" s="52"/>
      <c r="H19" s="52"/>
      <c r="I19" s="52"/>
      <c r="J19" s="52"/>
      <c r="K19" s="52"/>
    </row>
    <row r="20" spans="1:11" x14ac:dyDescent="0.3">
      <c r="A20" s="4" t="s">
        <v>21</v>
      </c>
      <c r="B20" s="5">
        <f>SUM(B3:B19)</f>
        <v>0</v>
      </c>
      <c r="C20" s="4"/>
      <c r="D20" s="4"/>
      <c r="E20" s="52"/>
      <c r="F20" s="52"/>
      <c r="G20" s="52"/>
      <c r="H20" s="52"/>
      <c r="I20" s="52"/>
      <c r="J20" s="52"/>
      <c r="K20" s="52"/>
    </row>
    <row r="21" spans="1:11" x14ac:dyDescent="0.3">
      <c r="A21" s="4" t="s">
        <v>15</v>
      </c>
      <c r="B21" s="1" t="e">
        <f>SUMPRODUCT(B3:B19,C3:C19)/B20</f>
        <v>#DIV/0!</v>
      </c>
      <c r="C21" s="2"/>
      <c r="D21" s="2"/>
      <c r="E21" s="57"/>
      <c r="F21" s="57"/>
      <c r="G21" s="57"/>
      <c r="H21" s="57"/>
      <c r="I21" s="57"/>
      <c r="J21" s="57"/>
      <c r="K21" s="57"/>
    </row>
    <row r="22" spans="1:11" x14ac:dyDescent="0.3">
      <c r="A22" s="4" t="s">
        <v>16</v>
      </c>
      <c r="B22" s="182" t="e">
        <f>B21*(1-FCF!O15)</f>
        <v>#DIV/0!</v>
      </c>
      <c r="C22" s="4"/>
      <c r="D22" s="4"/>
      <c r="E22" s="57"/>
      <c r="F22" s="57"/>
      <c r="G22" s="57"/>
      <c r="H22" s="57"/>
      <c r="I22" s="57"/>
      <c r="J22" s="57"/>
      <c r="K22" s="57"/>
    </row>
    <row r="23" spans="1:11" x14ac:dyDescent="0.3">
      <c r="A23" s="4" t="s">
        <v>14</v>
      </c>
      <c r="B23" s="6" t="e">
        <f ca="1">SUMPRODUCT(A3:A19,B3:B19)/SUM(B3:B19)-YEAR(TODAY())</f>
        <v>#DIV/0!</v>
      </c>
      <c r="C23" s="4" t="s">
        <v>22</v>
      </c>
      <c r="D23" s="4"/>
      <c r="E23" s="57"/>
      <c r="F23" s="57"/>
      <c r="G23" s="57"/>
      <c r="H23" s="57"/>
      <c r="I23" s="57"/>
      <c r="J23" s="57"/>
      <c r="K23" s="5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zoomScale="120" zoomScaleNormal="120" zoomScalePageLayoutView="120" workbookViewId="0">
      <selection activeCell="B13" sqref="B13:K13"/>
    </sheetView>
  </sheetViews>
  <sheetFormatPr defaultColWidth="8.77734375" defaultRowHeight="14.4" x14ac:dyDescent="0.3"/>
  <cols>
    <col min="1" max="1" width="23.109375" bestFit="1" customWidth="1"/>
  </cols>
  <sheetData>
    <row r="1" spans="1:16" x14ac:dyDescent="0.3">
      <c r="A1" t="s">
        <v>104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t="s">
        <v>153</v>
      </c>
    </row>
    <row r="2" spans="1:16" x14ac:dyDescent="0.3">
      <c r="A2" t="s">
        <v>70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81" t="s">
        <v>152</v>
      </c>
    </row>
    <row r="3" spans="1:16" x14ac:dyDescent="0.3">
      <c r="A3" t="s">
        <v>92</v>
      </c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81"/>
    </row>
    <row r="4" spans="1:16" x14ac:dyDescent="0.3">
      <c r="A4" t="s">
        <v>93</v>
      </c>
      <c r="B4" s="147"/>
      <c r="C4" s="147"/>
      <c r="D4" s="147"/>
      <c r="E4" s="147"/>
      <c r="F4" s="147"/>
      <c r="G4" s="147"/>
      <c r="H4" s="147"/>
      <c r="I4" s="147"/>
      <c r="J4" s="147"/>
      <c r="K4" s="147"/>
      <c r="L4" s="181"/>
    </row>
    <row r="6" spans="1:16" x14ac:dyDescent="0.3">
      <c r="B6">
        <v>2019</v>
      </c>
      <c r="C6">
        <v>2018</v>
      </c>
      <c r="D6">
        <v>2017</v>
      </c>
      <c r="E6">
        <v>2016</v>
      </c>
      <c r="F6">
        <v>2015</v>
      </c>
      <c r="G6">
        <v>2014</v>
      </c>
      <c r="H6">
        <v>2013</v>
      </c>
      <c r="I6">
        <v>2012</v>
      </c>
      <c r="J6">
        <v>2011</v>
      </c>
      <c r="K6">
        <v>2010</v>
      </c>
    </row>
    <row r="7" spans="1:16" x14ac:dyDescent="0.3">
      <c r="A7" t="s">
        <v>91</v>
      </c>
      <c r="B7">
        <f>1-(B1/100)</f>
        <v>1</v>
      </c>
      <c r="C7">
        <f t="shared" ref="C7:H7" si="0">1-(C1/100)</f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>1-(I1/100)</f>
        <v>1</v>
      </c>
      <c r="J7">
        <f>1-(J1/100)</f>
        <v>1</v>
      </c>
      <c r="K7">
        <f>1-(K1/100)</f>
        <v>1</v>
      </c>
    </row>
    <row r="8" spans="1:16" x14ac:dyDescent="0.3">
      <c r="A8" t="s">
        <v>70</v>
      </c>
      <c r="B8">
        <f>B2/100</f>
        <v>0</v>
      </c>
      <c r="C8">
        <f t="shared" ref="C8:J8" si="1">C2/100</f>
        <v>0</v>
      </c>
      <c r="D8">
        <f t="shared" si="1"/>
        <v>0</v>
      </c>
      <c r="E8">
        <f t="shared" si="1"/>
        <v>0</v>
      </c>
      <c r="F8">
        <f t="shared" si="1"/>
        <v>0</v>
      </c>
      <c r="G8">
        <f t="shared" si="1"/>
        <v>0</v>
      </c>
      <c r="H8">
        <f t="shared" si="1"/>
        <v>0</v>
      </c>
      <c r="I8">
        <f t="shared" si="1"/>
        <v>0</v>
      </c>
      <c r="J8">
        <f t="shared" si="1"/>
        <v>0</v>
      </c>
      <c r="K8">
        <f t="shared" ref="K8" si="2">K2/100</f>
        <v>0</v>
      </c>
    </row>
    <row r="9" spans="1:16" x14ac:dyDescent="0.3">
      <c r="A9" t="s">
        <v>92</v>
      </c>
      <c r="B9">
        <f t="shared" ref="B9:J9" si="3">B3/100</f>
        <v>0</v>
      </c>
      <c r="C9">
        <f t="shared" si="3"/>
        <v>0</v>
      </c>
      <c r="D9">
        <f t="shared" si="3"/>
        <v>0</v>
      </c>
      <c r="E9">
        <f t="shared" si="3"/>
        <v>0</v>
      </c>
      <c r="F9">
        <f t="shared" si="3"/>
        <v>0</v>
      </c>
      <c r="G9">
        <f t="shared" si="3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ref="K9" si="4">K3/100</f>
        <v>0</v>
      </c>
    </row>
    <row r="10" spans="1:16" x14ac:dyDescent="0.3">
      <c r="A10" t="s">
        <v>93</v>
      </c>
      <c r="B10">
        <f t="shared" ref="B10:I10" si="5">B4/100</f>
        <v>0</v>
      </c>
      <c r="C10">
        <f t="shared" si="5"/>
        <v>0</v>
      </c>
      <c r="D10">
        <f t="shared" si="5"/>
        <v>0</v>
      </c>
      <c r="E10">
        <f t="shared" si="5"/>
        <v>0</v>
      </c>
      <c r="F10">
        <f t="shared" si="5"/>
        <v>0</v>
      </c>
      <c r="G10">
        <f t="shared" si="5"/>
        <v>0</v>
      </c>
      <c r="H10">
        <f t="shared" si="5"/>
        <v>0</v>
      </c>
      <c r="I10">
        <f t="shared" si="5"/>
        <v>0</v>
      </c>
      <c r="J10">
        <f>J4/100</f>
        <v>0</v>
      </c>
      <c r="K10">
        <f>K4/100</f>
        <v>0</v>
      </c>
    </row>
    <row r="13" spans="1:16" x14ac:dyDescent="0.3">
      <c r="B13">
        <v>2019</v>
      </c>
      <c r="C13">
        <v>2018</v>
      </c>
      <c r="D13">
        <v>2017</v>
      </c>
      <c r="E13">
        <v>2016</v>
      </c>
      <c r="F13">
        <v>2015</v>
      </c>
      <c r="G13">
        <v>2014</v>
      </c>
      <c r="H13">
        <v>2013</v>
      </c>
      <c r="I13">
        <v>2012</v>
      </c>
      <c r="J13">
        <v>2011</v>
      </c>
      <c r="K13">
        <v>2010</v>
      </c>
      <c r="M13" t="s">
        <v>97</v>
      </c>
    </row>
    <row r="14" spans="1:16" x14ac:dyDescent="0.3">
      <c r="A14" t="s">
        <v>94</v>
      </c>
      <c r="B14" s="20">
        <f>(B10*B7)/(1-(B7*B10))</f>
        <v>0</v>
      </c>
      <c r="C14" s="20">
        <f t="shared" ref="C14:H14" si="6">(C10*C7)/(1-(C7*C10))</f>
        <v>0</v>
      </c>
      <c r="D14" s="20">
        <f t="shared" si="6"/>
        <v>0</v>
      </c>
      <c r="E14" s="20">
        <f t="shared" si="6"/>
        <v>0</v>
      </c>
      <c r="F14" s="20">
        <f t="shared" si="6"/>
        <v>0</v>
      </c>
      <c r="G14" s="20">
        <f t="shared" si="6"/>
        <v>0</v>
      </c>
      <c r="H14" s="20">
        <f t="shared" si="6"/>
        <v>0</v>
      </c>
      <c r="I14" s="20">
        <f>(I10*I7)/(1-(I7*I10))</f>
        <v>0</v>
      </c>
      <c r="J14" s="20">
        <f>(J10*J7)/(1-(J7*J10))</f>
        <v>0</v>
      </c>
      <c r="K14" s="20">
        <f>(K10*K7)/(1-(K7*K10))</f>
        <v>0</v>
      </c>
      <c r="M14" s="18">
        <f>AVERAGE(B14:K14)</f>
        <v>0</v>
      </c>
      <c r="O14" s="181" t="s">
        <v>154</v>
      </c>
    </row>
    <row r="15" spans="1:16" x14ac:dyDescent="0.3">
      <c r="A15" t="s">
        <v>95</v>
      </c>
      <c r="B15" s="20">
        <f>(B8*B7)/(1-(B7*B8))</f>
        <v>0</v>
      </c>
      <c r="C15" s="20">
        <f t="shared" ref="C15:J15" si="7">(C8*C7)/(1-(C7*C8))</f>
        <v>0</v>
      </c>
      <c r="D15" s="20">
        <f t="shared" si="7"/>
        <v>0</v>
      </c>
      <c r="E15" s="20">
        <f t="shared" si="7"/>
        <v>0</v>
      </c>
      <c r="F15" s="20">
        <f t="shared" si="7"/>
        <v>0</v>
      </c>
      <c r="G15" s="20">
        <f t="shared" si="7"/>
        <v>0</v>
      </c>
      <c r="H15" s="20">
        <f t="shared" si="7"/>
        <v>0</v>
      </c>
      <c r="I15" s="20">
        <f>(I8*I7)/(1-(I7*I8))</f>
        <v>0</v>
      </c>
      <c r="J15" s="20">
        <f t="shared" si="7"/>
        <v>0</v>
      </c>
      <c r="K15" s="20">
        <f t="shared" ref="K15" si="8">(K8*K7)/(1-(K7*K8))</f>
        <v>0</v>
      </c>
      <c r="M15" s="18">
        <f t="shared" ref="M15:M16" si="9">AVERAGE(B15:K15)</f>
        <v>0</v>
      </c>
      <c r="O15" s="181"/>
    </row>
    <row r="16" spans="1:16" x14ac:dyDescent="0.3">
      <c r="A16" t="s">
        <v>92</v>
      </c>
      <c r="B16" s="56">
        <f>B9*B7</f>
        <v>0</v>
      </c>
      <c r="C16" s="56">
        <f t="shared" ref="C16:J16" si="10">C9*C7</f>
        <v>0</v>
      </c>
      <c r="D16" s="56">
        <f t="shared" si="10"/>
        <v>0</v>
      </c>
      <c r="E16" s="56">
        <f t="shared" si="10"/>
        <v>0</v>
      </c>
      <c r="F16" s="56">
        <f t="shared" si="10"/>
        <v>0</v>
      </c>
      <c r="G16" s="56">
        <f t="shared" si="10"/>
        <v>0</v>
      </c>
      <c r="H16" s="56">
        <f t="shared" si="10"/>
        <v>0</v>
      </c>
      <c r="I16" s="56">
        <f t="shared" si="10"/>
        <v>0</v>
      </c>
      <c r="J16" s="56">
        <f t="shared" si="10"/>
        <v>0</v>
      </c>
      <c r="K16" s="56">
        <f t="shared" ref="K16" si="11">K9*K7</f>
        <v>0</v>
      </c>
      <c r="M16" s="18">
        <f t="shared" si="9"/>
        <v>0</v>
      </c>
      <c r="O16" s="181"/>
      <c r="P16" s="20">
        <f>(1069/570)^(1/10)-1</f>
        <v>6.4903574854475066E-2</v>
      </c>
    </row>
  </sheetData>
  <mergeCells count="2">
    <mergeCell ref="L2:L4"/>
    <mergeCell ref="O14:O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1"/>
  <sheetViews>
    <sheetView zoomScale="130" zoomScaleNormal="130" zoomScalePageLayoutView="130" workbookViewId="0">
      <selection activeCell="D4" sqref="D4"/>
    </sheetView>
  </sheetViews>
  <sheetFormatPr defaultColWidth="8.77734375" defaultRowHeight="14.4" x14ac:dyDescent="0.3"/>
  <cols>
    <col min="1" max="1" width="43.33203125" bestFit="1" customWidth="1"/>
    <col min="2" max="2" width="10.33203125" bestFit="1" customWidth="1"/>
    <col min="3" max="3" width="11.33203125" bestFit="1" customWidth="1"/>
  </cols>
  <sheetData>
    <row r="1" spans="1:4" ht="15" thickBot="1" x14ac:dyDescent="0.35">
      <c r="A1" s="183" t="s">
        <v>90</v>
      </c>
    </row>
    <row r="2" spans="1:4" ht="15" thickBot="1" x14ac:dyDescent="0.35">
      <c r="A2" s="183"/>
      <c r="B2">
        <v>2019</v>
      </c>
      <c r="C2">
        <v>2018</v>
      </c>
    </row>
    <row r="3" spans="1:4" ht="15" thickBot="1" x14ac:dyDescent="0.35">
      <c r="A3" s="183" t="s">
        <v>155</v>
      </c>
      <c r="B3" s="154"/>
      <c r="C3" s="154"/>
      <c r="D3" s="154">
        <f>C3-B3</f>
        <v>0</v>
      </c>
    </row>
    <row r="4" spans="1:4" ht="15" thickBot="1" x14ac:dyDescent="0.35">
      <c r="A4" s="183" t="s">
        <v>185</v>
      </c>
      <c r="B4" s="154"/>
      <c r="C4" s="154"/>
      <c r="D4" s="154">
        <f>C4-B4</f>
        <v>0</v>
      </c>
    </row>
    <row r="5" spans="1:4" ht="15" thickBot="1" x14ac:dyDescent="0.35">
      <c r="A5" s="183" t="s">
        <v>186</v>
      </c>
      <c r="B5" s="155"/>
      <c r="C5" s="154"/>
      <c r="D5" s="154">
        <f>C5-B5</f>
        <v>0</v>
      </c>
    </row>
    <row r="6" spans="1:4" ht="15" thickBot="1" x14ac:dyDescent="0.35">
      <c r="A6" s="183" t="s">
        <v>187</v>
      </c>
      <c r="B6" s="155"/>
      <c r="C6" s="154"/>
      <c r="D6" s="154">
        <f>C6-B6</f>
        <v>0</v>
      </c>
    </row>
    <row r="7" spans="1:4" ht="15" thickBot="1" x14ac:dyDescent="0.35">
      <c r="A7" s="183" t="s">
        <v>87</v>
      </c>
      <c r="B7" s="154">
        <f>SUM(B3:B6)</f>
        <v>0</v>
      </c>
      <c r="C7" s="154">
        <f>SUM(C3:C6)</f>
        <v>0</v>
      </c>
      <c r="D7" s="154">
        <f>SUM(D3:D6)</f>
        <v>0</v>
      </c>
    </row>
    <row r="8" spans="1:4" ht="15" thickBot="1" x14ac:dyDescent="0.35">
      <c r="A8" s="183" t="s">
        <v>188</v>
      </c>
      <c r="B8" s="154">
        <f>B7-C7</f>
        <v>0</v>
      </c>
    </row>
    <row r="9" spans="1:4" ht="15" thickBot="1" x14ac:dyDescent="0.35">
      <c r="A9" s="183"/>
      <c r="B9" s="154"/>
    </row>
    <row r="10" spans="1:4" ht="15" thickBot="1" x14ac:dyDescent="0.35">
      <c r="A10" s="183"/>
      <c r="B10">
        <v>2019</v>
      </c>
      <c r="C10">
        <v>2018</v>
      </c>
    </row>
    <row r="11" spans="1:4" ht="15" thickBot="1" x14ac:dyDescent="0.35">
      <c r="A11" s="183" t="s">
        <v>157</v>
      </c>
      <c r="B11" s="153"/>
      <c r="C11" s="153"/>
      <c r="D11" s="184">
        <f>B11-C11</f>
        <v>0</v>
      </c>
    </row>
    <row r="12" spans="1:4" ht="15" thickBot="1" x14ac:dyDescent="0.35">
      <c r="A12" s="183" t="s">
        <v>156</v>
      </c>
      <c r="B12" s="153"/>
      <c r="C12" s="153"/>
      <c r="D12" s="184">
        <f t="shared" ref="D12:D16" si="0">B12-C12</f>
        <v>0</v>
      </c>
    </row>
    <row r="13" spans="1:4" ht="15" thickBot="1" x14ac:dyDescent="0.35">
      <c r="A13" s="183" t="s">
        <v>189</v>
      </c>
      <c r="B13" s="153"/>
      <c r="C13" s="153"/>
      <c r="D13" s="184">
        <f t="shared" si="0"/>
        <v>0</v>
      </c>
    </row>
    <row r="14" spans="1:4" ht="15" thickBot="1" x14ac:dyDescent="0.35">
      <c r="A14" s="183" t="s">
        <v>190</v>
      </c>
      <c r="B14" s="153"/>
      <c r="C14" s="153"/>
      <c r="D14" s="184">
        <f t="shared" si="0"/>
        <v>0</v>
      </c>
    </row>
    <row r="15" spans="1:4" ht="15" thickBot="1" x14ac:dyDescent="0.35">
      <c r="A15" s="183" t="s">
        <v>88</v>
      </c>
      <c r="B15" s="153">
        <f>SUM(B11:B14)</f>
        <v>0</v>
      </c>
      <c r="C15" s="153">
        <f>SUM(C11:C14)</f>
        <v>0</v>
      </c>
      <c r="D15" s="184">
        <f t="shared" si="0"/>
        <v>0</v>
      </c>
    </row>
    <row r="16" spans="1:4" ht="15" thickBot="1" x14ac:dyDescent="0.35">
      <c r="A16" s="183" t="s">
        <v>191</v>
      </c>
      <c r="B16" s="184">
        <f>B15-C15</f>
        <v>0</v>
      </c>
      <c r="D16" s="184">
        <f t="shared" si="0"/>
        <v>0</v>
      </c>
    </row>
    <row r="17" spans="1:3" ht="15" thickBot="1" x14ac:dyDescent="0.35">
      <c r="A17" s="183"/>
    </row>
    <row r="18" spans="1:3" ht="15" customHeight="1" thickBot="1" x14ac:dyDescent="0.35">
      <c r="A18" s="183" t="s">
        <v>29</v>
      </c>
      <c r="B18" s="55">
        <f>B7-B15</f>
        <v>0</v>
      </c>
      <c r="C18" s="55">
        <f>C7-C15</f>
        <v>0</v>
      </c>
    </row>
    <row r="19" spans="1:3" ht="15" customHeight="1" thickBot="1" x14ac:dyDescent="0.35">
      <c r="A19" s="183" t="s">
        <v>89</v>
      </c>
      <c r="B19" s="55">
        <f>D7+D16</f>
        <v>0</v>
      </c>
    </row>
    <row r="20" spans="1:3" ht="15" customHeight="1" x14ac:dyDescent="0.3"/>
    <row r="21" spans="1:3" ht="15" customHeight="1" x14ac:dyDescent="0.3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8"/>
  <sheetViews>
    <sheetView workbookViewId="0">
      <selection activeCell="J11" sqref="J11"/>
    </sheetView>
  </sheetViews>
  <sheetFormatPr defaultColWidth="8.77734375" defaultRowHeight="14.4" x14ac:dyDescent="0.3"/>
  <cols>
    <col min="9" max="9" width="18" customWidth="1"/>
  </cols>
  <sheetData>
    <row r="1" spans="1:20" x14ac:dyDescent="0.3">
      <c r="A1" s="3"/>
    </row>
    <row r="3" spans="1:20" x14ac:dyDescent="0.3">
      <c r="A3" s="3" t="s">
        <v>61</v>
      </c>
      <c r="B3" s="3"/>
      <c r="F3" s="37"/>
      <c r="G3" s="37"/>
      <c r="H3" s="37"/>
      <c r="I3" s="50" t="s">
        <v>71</v>
      </c>
      <c r="J3" s="37"/>
      <c r="K3" s="37"/>
      <c r="L3" s="37"/>
      <c r="P3" s="3" t="s">
        <v>72</v>
      </c>
    </row>
    <row r="4" spans="1:20" x14ac:dyDescent="0.3">
      <c r="A4" s="37"/>
      <c r="B4" s="37"/>
      <c r="C4" s="38">
        <v>0</v>
      </c>
      <c r="D4" s="38">
        <v>1</v>
      </c>
      <c r="E4" s="38">
        <v>2</v>
      </c>
      <c r="F4" s="38">
        <v>3</v>
      </c>
      <c r="I4" s="46">
        <v>2010</v>
      </c>
      <c r="J4" s="46">
        <v>2011</v>
      </c>
      <c r="K4" s="46">
        <v>2012</v>
      </c>
      <c r="L4" s="46">
        <v>2013</v>
      </c>
      <c r="M4" s="46">
        <v>2014</v>
      </c>
      <c r="N4" t="s">
        <v>25</v>
      </c>
      <c r="P4" s="46">
        <v>2015</v>
      </c>
      <c r="Q4" s="46">
        <v>2016</v>
      </c>
      <c r="R4" s="46">
        <v>2017</v>
      </c>
      <c r="S4" s="46">
        <v>2018</v>
      </c>
      <c r="T4" s="46">
        <v>2019</v>
      </c>
    </row>
    <row r="5" spans="1:20" x14ac:dyDescent="0.3">
      <c r="A5" s="37"/>
      <c r="B5" s="39" t="s">
        <v>68</v>
      </c>
      <c r="C5" s="37"/>
      <c r="D5" s="40">
        <v>1.84</v>
      </c>
      <c r="E5" s="40">
        <v>1.86</v>
      </c>
      <c r="F5" s="40">
        <v>1.9</v>
      </c>
      <c r="H5" s="39"/>
      <c r="I5" s="47">
        <v>1.52</v>
      </c>
      <c r="J5" s="21">
        <v>1.56</v>
      </c>
      <c r="K5" s="21">
        <v>1.68</v>
      </c>
      <c r="L5" s="21">
        <v>1.72</v>
      </c>
      <c r="M5" s="21">
        <v>1.84</v>
      </c>
      <c r="N5" s="20">
        <f>(M5/I5)^(1/5)-1</f>
        <v>3.8950477489882784E-2</v>
      </c>
      <c r="P5" s="17">
        <v>1.84</v>
      </c>
      <c r="Q5" s="17">
        <v>1.86</v>
      </c>
      <c r="R5" s="17">
        <f>Q5*(1+$J$7)</f>
        <v>1.9064999999999999</v>
      </c>
      <c r="S5" s="17">
        <f>R5*(1+$J$7)</f>
        <v>1.9541624999999996</v>
      </c>
      <c r="T5" s="17">
        <f>S5*(1+$J$7)</f>
        <v>2.0030165624999996</v>
      </c>
    </row>
    <row r="6" spans="1:20" x14ac:dyDescent="0.3">
      <c r="A6" s="37"/>
      <c r="B6" s="39" t="s">
        <v>69</v>
      </c>
      <c r="C6" s="40"/>
      <c r="D6" s="37"/>
      <c r="E6" s="37"/>
      <c r="F6" s="40">
        <v>49.53</v>
      </c>
      <c r="H6" s="39"/>
      <c r="I6" s="39"/>
    </row>
    <row r="7" spans="1:20" x14ac:dyDescent="0.3">
      <c r="A7" s="37"/>
      <c r="B7" s="39" t="s">
        <v>70</v>
      </c>
      <c r="C7" s="41">
        <v>9.4399999999999998E-2</v>
      </c>
      <c r="D7" s="37"/>
      <c r="E7" s="37"/>
      <c r="H7" s="39"/>
      <c r="I7" s="49" t="s">
        <v>73</v>
      </c>
      <c r="J7" s="27">
        <v>2.5000000000000001E-2</v>
      </c>
    </row>
    <row r="8" spans="1:20" x14ac:dyDescent="0.3">
      <c r="A8" s="37"/>
      <c r="B8" s="37"/>
      <c r="C8" s="37"/>
      <c r="D8" s="37"/>
      <c r="E8" s="39"/>
      <c r="F8" s="37"/>
      <c r="G8" s="37"/>
      <c r="H8" s="37"/>
      <c r="I8" s="15" t="s">
        <v>77</v>
      </c>
      <c r="J8" s="18">
        <v>7.2900000000000006E-2</v>
      </c>
      <c r="K8" s="37"/>
      <c r="L8" s="37"/>
    </row>
    <row r="9" spans="1:20" x14ac:dyDescent="0.3">
      <c r="A9" s="37"/>
      <c r="B9" s="37"/>
      <c r="C9" s="37"/>
      <c r="D9" s="37"/>
      <c r="E9" s="37"/>
      <c r="F9" s="37"/>
      <c r="G9" s="37"/>
      <c r="H9" s="37"/>
      <c r="I9" s="15" t="s">
        <v>76</v>
      </c>
      <c r="K9" s="37"/>
      <c r="L9" s="37"/>
    </row>
    <row r="10" spans="1:20" x14ac:dyDescent="0.3">
      <c r="A10" s="3" t="s">
        <v>62</v>
      </c>
      <c r="B10" s="14"/>
      <c r="C10" s="42"/>
      <c r="D10" s="14"/>
      <c r="E10" s="14"/>
      <c r="F10" s="37"/>
      <c r="G10" s="37"/>
      <c r="H10" s="37"/>
      <c r="I10" s="49" t="s">
        <v>74</v>
      </c>
      <c r="J10" s="48">
        <v>49.53</v>
      </c>
      <c r="K10" s="37"/>
      <c r="L10" s="37"/>
    </row>
    <row r="11" spans="1:20" x14ac:dyDescent="0.3">
      <c r="A11" s="37" t="s">
        <v>63</v>
      </c>
      <c r="B11" s="14"/>
      <c r="C11" s="42"/>
      <c r="D11" s="43">
        <f>D5/(1+$C7)^D4</f>
        <v>1.6812865497076024</v>
      </c>
      <c r="E11" s="43">
        <f>E5/(1+$C7)^E4</f>
        <v>1.5529618087616703</v>
      </c>
      <c r="F11" s="43">
        <f>F5/(1+$C7)^F4</f>
        <v>1.4495237910335184</v>
      </c>
      <c r="G11" s="37"/>
      <c r="H11" s="37"/>
      <c r="I11" s="49" t="s">
        <v>75</v>
      </c>
      <c r="J11" s="51">
        <v>9.44</v>
      </c>
      <c r="K11" s="37"/>
      <c r="L11" s="37"/>
    </row>
    <row r="12" spans="1:20" x14ac:dyDescent="0.3">
      <c r="A12" s="37" t="s">
        <v>64</v>
      </c>
      <c r="B12" s="14"/>
      <c r="C12" s="42"/>
      <c r="D12" s="14"/>
      <c r="E12" s="14"/>
      <c r="F12" s="43">
        <v>49.53</v>
      </c>
      <c r="G12" s="37"/>
      <c r="H12" s="37"/>
      <c r="I12" s="37"/>
      <c r="J12" s="37"/>
      <c r="K12" s="37"/>
      <c r="L12" s="37"/>
    </row>
    <row r="13" spans="1:20" x14ac:dyDescent="0.3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</row>
    <row r="14" spans="1:20" x14ac:dyDescent="0.3">
      <c r="A14" s="37"/>
      <c r="B14" s="37" t="s">
        <v>65</v>
      </c>
      <c r="C14" s="37"/>
      <c r="D14" s="37"/>
      <c r="E14" s="37"/>
      <c r="F14" s="44">
        <f>SUM(D11:F11)</f>
        <v>4.6837721495027917</v>
      </c>
      <c r="G14" s="37"/>
      <c r="H14" s="37"/>
      <c r="I14" s="37"/>
      <c r="J14" s="37"/>
      <c r="K14" s="37"/>
      <c r="L14" s="37"/>
    </row>
    <row r="15" spans="1:20" x14ac:dyDescent="0.3">
      <c r="A15" s="37"/>
      <c r="B15" s="37" t="s">
        <v>66</v>
      </c>
      <c r="C15" s="37"/>
      <c r="D15" s="37"/>
      <c r="E15" s="37"/>
      <c r="F15" s="44">
        <v>58.2</v>
      </c>
      <c r="G15" s="37"/>
      <c r="H15" s="37"/>
      <c r="I15" s="37"/>
      <c r="J15" s="37"/>
      <c r="K15" s="37"/>
      <c r="L15" s="37"/>
    </row>
    <row r="16" spans="1:20" x14ac:dyDescent="0.3">
      <c r="A16" s="37"/>
      <c r="B16" s="37"/>
      <c r="C16" s="37"/>
      <c r="D16" s="37"/>
      <c r="E16" s="37"/>
      <c r="F16" s="44"/>
      <c r="G16" s="37"/>
      <c r="H16" s="37"/>
      <c r="I16" s="37"/>
      <c r="J16" s="37"/>
      <c r="K16" s="37"/>
      <c r="L16" s="37"/>
    </row>
    <row r="17" spans="1:12" x14ac:dyDescent="0.3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</row>
    <row r="18" spans="1:12" x14ac:dyDescent="0.3">
      <c r="A18" s="37"/>
      <c r="B18" s="45" t="s">
        <v>67</v>
      </c>
      <c r="C18" s="37"/>
      <c r="D18" s="37"/>
      <c r="E18" s="37"/>
      <c r="F18" s="53">
        <f>SUM(F14:F15)</f>
        <v>62.883772149502796</v>
      </c>
      <c r="G18" s="37"/>
      <c r="H18" s="37"/>
      <c r="I18" s="37"/>
      <c r="J18" s="37"/>
      <c r="K18" s="37"/>
      <c r="L18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Inputs</vt:lpstr>
      <vt:lpstr>FCF</vt:lpstr>
      <vt:lpstr>DDM</vt:lpstr>
      <vt:lpstr>Multiples</vt:lpstr>
      <vt:lpstr>FCFF &amp; FCFE</vt:lpstr>
      <vt:lpstr>Debt Analysis</vt:lpstr>
      <vt:lpstr>Long Term Growth Rates</vt:lpstr>
      <vt:lpstr>Working Captital</vt:lpstr>
      <vt:lpstr>Dividend Discount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</dc:creator>
  <cp:lastModifiedBy>Shyam Kannan</cp:lastModifiedBy>
  <dcterms:created xsi:type="dcterms:W3CDTF">2015-02-25T14:19:03Z</dcterms:created>
  <dcterms:modified xsi:type="dcterms:W3CDTF">2020-03-21T02:34:30Z</dcterms:modified>
</cp:coreProperties>
</file>