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"/>
    </mc:Choice>
  </mc:AlternateContent>
  <xr:revisionPtr revIDLastSave="0" documentId="13_ncr:1_{D2D38B00-3041-4190-99A5-E50FBE7DC36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Credit Ratings" sheetId="16" r:id="rId12"/>
    <sheet name="Sheet1" sheetId="17" r:id="rId13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B6" i="6"/>
  <c r="H19" i="1"/>
  <c r="B26" i="6" s="1"/>
  <c r="A7" i="1"/>
  <c r="B4" i="4"/>
  <c r="A6" i="1"/>
  <c r="C3" i="3"/>
  <c r="B5" i="5"/>
  <c r="B4" i="5"/>
  <c r="C14" i="5" l="1"/>
  <c r="B14" i="5"/>
  <c r="C10" i="5"/>
  <c r="B10" i="5"/>
  <c r="C6" i="5"/>
  <c r="B6" i="5"/>
  <c r="C5" i="5"/>
  <c r="C4" i="5"/>
  <c r="B25" i="16" l="1"/>
  <c r="B20" i="16"/>
  <c r="B21" i="16" s="1"/>
  <c r="Z11" i="6" s="1"/>
  <c r="B5" i="3"/>
  <c r="Z3" i="6" l="1"/>
  <c r="H3" i="1"/>
  <c r="H5" i="1"/>
  <c r="T8" i="2" l="1"/>
  <c r="S8" i="2"/>
  <c r="R8" i="2"/>
  <c r="Q8" i="2"/>
  <c r="P8" i="2"/>
  <c r="O8" i="2"/>
  <c r="B3" i="2" s="1"/>
  <c r="B1" i="3"/>
  <c r="P7" i="2" s="1"/>
  <c r="N11" i="2" s="1"/>
  <c r="P14" i="2" l="1"/>
  <c r="P11" i="2"/>
  <c r="P15" i="2" s="1"/>
  <c r="P12" i="2"/>
  <c r="P13" i="2"/>
  <c r="N14" i="2"/>
  <c r="N13" i="2"/>
  <c r="B6" i="2" l="1"/>
  <c r="B14" i="2" s="1"/>
  <c r="B7" i="2" l="1"/>
  <c r="H11" i="1"/>
  <c r="A2" i="1" l="1"/>
  <c r="C4" i="3"/>
  <c r="A4" i="1"/>
  <c r="A3" i="1"/>
  <c r="D1" i="3" l="1"/>
  <c r="R7" i="2" s="1"/>
  <c r="E1" i="3"/>
  <c r="F1" i="3"/>
  <c r="T7" i="2" s="1"/>
  <c r="G1" i="3"/>
  <c r="H1" i="3"/>
  <c r="I1" i="3"/>
  <c r="J1" i="3"/>
  <c r="K1" i="3"/>
  <c r="C1" i="3"/>
  <c r="Q7" i="2" s="1"/>
  <c r="K4" i="3"/>
  <c r="J4" i="3"/>
  <c r="I4" i="3"/>
  <c r="H4" i="3"/>
  <c r="G4" i="3"/>
  <c r="F4" i="3"/>
  <c r="E4" i="3"/>
  <c r="D4" i="3"/>
  <c r="K5" i="3"/>
  <c r="J5" i="3"/>
  <c r="I5" i="3"/>
  <c r="H5" i="3"/>
  <c r="G5" i="3"/>
  <c r="F5" i="3"/>
  <c r="E5" i="3"/>
  <c r="D5" i="3"/>
  <c r="C5" i="3"/>
  <c r="B4" i="3"/>
  <c r="S7" i="2" l="1"/>
  <c r="B2" i="3"/>
  <c r="B3" i="3"/>
  <c r="D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A5" i="1" s="1"/>
  <c r="H4" i="1" l="1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I4" i="12"/>
  <c r="T3" i="6"/>
  <c r="P10" i="6" s="1"/>
  <c r="I3" i="12"/>
  <c r="T4" i="6" l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3" i="5"/>
  <c r="B13" i="5"/>
  <c r="B12" i="5"/>
  <c r="C12" i="5" s="1"/>
  <c r="C3" i="5"/>
  <c r="B3" i="5"/>
  <c r="AB6" i="6" l="1"/>
  <c r="Z6" i="6"/>
  <c r="Z7" i="6" s="1"/>
  <c r="Z8" i="6" s="1"/>
  <c r="AC6" i="6"/>
  <c r="AD6" i="6"/>
  <c r="AA6" i="6"/>
  <c r="C12" i="6"/>
  <c r="D12" i="6"/>
  <c r="E12" i="6"/>
  <c r="F12" i="6"/>
  <c r="G12" i="6"/>
  <c r="H12" i="6"/>
  <c r="I12" i="6"/>
  <c r="J12" i="6"/>
  <c r="K12" i="6"/>
  <c r="J4" i="4" l="1"/>
  <c r="J3" i="4"/>
  <c r="B7" i="4"/>
  <c r="B31" i="4"/>
  <c r="B30" i="4"/>
  <c r="B29" i="4"/>
  <c r="B21" i="4"/>
  <c r="B5" i="4"/>
  <c r="B12" i="4" l="1"/>
  <c r="B8" i="4"/>
  <c r="G29" i="6"/>
  <c r="G30" i="6" s="1"/>
  <c r="G31" i="6" s="1"/>
  <c r="G32" i="6" s="1"/>
  <c r="G33" i="6" s="1"/>
  <c r="D28" i="6" l="1"/>
  <c r="C26" i="6"/>
  <c r="L12" i="6"/>
  <c r="G13" i="6"/>
  <c r="H13" i="6"/>
  <c r="I13" i="6"/>
  <c r="J13" i="6"/>
  <c r="K13" i="6"/>
  <c r="P13" i="6"/>
  <c r="P5" i="6"/>
  <c r="P8" i="6" s="1"/>
  <c r="P19" i="6" s="1"/>
  <c r="B4" i="2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B8" i="2"/>
  <c r="B18" i="3" l="1"/>
  <c r="J15" i="2"/>
  <c r="G15" i="2"/>
  <c r="F15" i="2"/>
  <c r="I15" i="2"/>
  <c r="C15" i="2"/>
  <c r="K15" i="2"/>
  <c r="H15" i="2"/>
  <c r="B15" i="2"/>
  <c r="D14" i="2"/>
  <c r="L14" i="2" s="1"/>
  <c r="L15" i="2" s="1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E34" i="4"/>
  <c r="B9" i="4"/>
  <c r="B27" i="4"/>
  <c r="B34" i="4" s="1"/>
  <c r="B22" i="4"/>
  <c r="B24" i="4" s="1"/>
  <c r="E16" i="4"/>
  <c r="E12" i="4"/>
  <c r="E27" i="4"/>
  <c r="E36" i="4" l="1"/>
  <c r="P20" i="6"/>
  <c r="J8" i="4"/>
  <c r="B2" i="6" s="1"/>
  <c r="B5" i="6" s="1"/>
  <c r="E18" i="4"/>
  <c r="J9" i="4" l="1"/>
  <c r="B1" i="6" s="1"/>
  <c r="C14" i="6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<sst xmlns="http://schemas.openxmlformats.org/spreadsheetml/2006/main" count="496" uniqueCount="376">
  <si>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</si>
  <si>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</si>
  <si>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</si>
  <si>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</si>
  <si>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</si>
  <si>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</si>
  <si>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</si>
  <si>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</si>
  <si>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</si>
  <si>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</si>
  <si>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</si>
  <si>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</si>
  <si>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</si>
  <si>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</si>
  <si>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</si>
  <si>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</si>
  <si>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</si>
  <si>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</si>
  <si>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</si>
  <si>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</si>
  <si>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</si>
  <si>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</si>
  <si>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</si>
  <si>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</si>
  <si>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</si>
  <si>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</si>
  <si>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</si>
  <si>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</si>
  <si>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</si>
  <si>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</si>
  <si>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</si>
  <si>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</si>
  <si>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</si>
  <si>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</si>
  <si>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</si>
  <si>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</si>
  <si>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</si>
  <si>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</si>
  <si>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</si>
  <si>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</si>
  <si>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</si>
  <si>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</si>
  <si>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</si>
  <si>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</si>
  <si>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</si>
  <si>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</si>
  <si>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</si>
  <si>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</si>
  <si>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</si>
  <si>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</si>
  <si>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</si>
  <si>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</si>
  <si>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</si>
  <si>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</si>
  <si>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</si>
  <si>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</si>
  <si>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</si>
  <si>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</si>
  <si>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</si>
  <si>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</si>
  <si>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</si>
  <si>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</si>
  <si>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</si>
  <si>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</si>
  <si>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</si>
  <si>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</si>
  <si>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</si>
  <si>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</si>
  <si>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</si>
  <si>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</si>
  <si>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</si>
  <si>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</si>
  <si>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</si>
  <si>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</si>
  <si>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</si>
  <si>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</si>
  <si>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</si>
  <si>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</si>
  <si>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</si>
  <si>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</si>
  <si>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</si>
  <si>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</si>
  <si>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</si>
  <si>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</si>
  <si>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</si>
  <si>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</si>
  <si>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</si>
  <si>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</si>
  <si>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</si>
  <si>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</si>
  <si>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</si>
  <si>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</si>
  <si>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</si>
  <si>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</si>
  <si>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</si>
  <si>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</si>
  <si>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</si>
  <si>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</si>
  <si>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</si>
  <si>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</si>
  <si>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</si>
  <si>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</si>
  <si>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</si>
  <si>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</si>
  <si>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</si>
  <si>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</si>
  <si>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</si>
  <si>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</si>
  <si>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</si>
  <si>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</si>
  <si>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</si>
  <si>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</si>
  <si>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</si>
  <si>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</si>
  <si>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</si>
  <si>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</si>
  <si>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</si>
  <si>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</si>
  <si>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</si>
  <si>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</si>
  <si>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</si>
  <si>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</si>
  <si>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</si>
  <si>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</si>
  <si>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</si>
  <si>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</si>
  <si>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</si>
  <si>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</si>
  <si>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</si>
  <si>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</si>
  <si>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</si>
  <si>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</si>
  <si>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</si>
  <si>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</si>
  <si>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</si>
  <si>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</si>
  <si>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</si>
  <si>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</si>
  <si>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</si>
  <si>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</si>
  <si>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</si>
  <si>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</si>
  <si>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</si>
  <si>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</si>
  <si>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</si>
  <si>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</si>
  <si>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</si>
  <si>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</si>
  <si>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</si>
  <si>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</si>
  <si>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</si>
  <si>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</si>
  <si>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</si>
  <si>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</si>
  <si>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</si>
  <si>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</si>
  <si>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</si>
  <si>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</si>
  <si>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</si>
  <si>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</si>
  <si>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</si>
  <si>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</si>
  <si>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</si>
  <si>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</si>
  <si>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</si>
  <si>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</si>
  <si>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</si>
  <si>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</si>
  <si>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</si>
  <si>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</si>
  <si>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</si>
  <si>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</si>
  <si>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</si>
  <si>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</si>
  <si>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</si>
  <si>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</si>
  <si>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</si>
  <si>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</si>
  <si>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</si>
  <si>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</si>
  <si>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</si>
  <si>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</si>
  <si>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</si>
  <si>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</si>
  <si>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</si>
  <si>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</si>
  <si>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</si>
  <si>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</si>
  <si>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</si>
  <si>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</si>
  <si>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</si>
  <si>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</si>
  <si>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</si>
  <si>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</si>
  <si>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</si>
  <si>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</si>
  <si>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</si>
  <si>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</si>
  <si>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</si>
  <si>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</si>
  <si>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</si>
  <si>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</si>
  <si>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</si>
  <si>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</si>
  <si>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</si>
  <si>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</si>
  <si>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</si>
  <si>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</si>
  <si>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</si>
  <si>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</si>
  <si>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</si>
  <si>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</si>
  <si>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</si>
  <si>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</si>
  <si>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</si>
  <si>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</si>
  <si>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</si>
  <si>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</si>
  <si>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</si>
  <si>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</si>
  <si>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</si>
  <si>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</si>
  <si>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</si>
  <si>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</si>
  <si>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</si>
  <si>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</si>
  <si>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</si>
  <si>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</si>
  <si>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</si>
  <si>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</si>
  <si>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</si>
  <si>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</si>
  <si>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</si>
  <si>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</si>
  <si>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</si>
  <si>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</si>
  <si>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</si>
  <si>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</si>
  <si>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</si>
  <si>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</si>
  <si>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</si>
  <si>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</si>
  <si>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</si>
  <si>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</si>
  <si>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</si>
  <si>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</si>
  <si>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</si>
  <si>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</si>
  <si>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</si>
  <si>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</si>
  <si>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</si>
  <si>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</si>
  <si>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</si>
  <si>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</si>
  <si>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</si>
  <si>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</si>
  <si>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</si>
  <si>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</si>
  <si>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</si>
  <si>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</si>
  <si>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</si>
  <si>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</si>
  <si>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</si>
  <si>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</si>
  <si>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</si>
  <si>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</si>
  <si>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</si>
  <si>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</si>
  <si>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</si>
  <si>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</si>
  <si>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</si>
  <si>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</si>
  <si>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</si>
  <si>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</si>
  <si>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</si>
  <si>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</si>
  <si>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</si>
  <si>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</si>
  <si>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</si>
  <si>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</si>
  <si>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</si>
  <si>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</si>
  <si>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</si>
  <si>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</si>
  <si>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</si>
  <si>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</si>
  <si>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</si>
  <si>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</si>
  <si>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</si>
  <si>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</si>
  <si>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</si>
  <si>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</si>
  <si>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</si>
  <si>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</si>
  <si>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</si>
  <si>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</si>
  <si>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</si>
  <si>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</si>
  <si>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</si>
  <si>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</si>
  <si>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</si>
  <si>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</si>
  <si>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</si>
  <si>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</si>
  <si>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</si>
  <si>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</si>
  <si>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</si>
  <si>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</si>
  <si>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</si>
  <si>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</si>
  <si>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</si>
  <si>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</si>
  <si>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</si>
  <si>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</si>
  <si>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</si>
  <si>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</si>
  <si>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</si>
  <si>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</si>
  <si>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Compunded Annual Growth Rate</t>
  </si>
  <si>
    <t>5-Yr CAGR</t>
  </si>
  <si>
    <t>4--Yr CAGR</t>
  </si>
  <si>
    <t>3-Yr CAGR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</si>
  <si>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</si>
  <si>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</si>
  <si>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</si>
  <si>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</si>
  <si>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</si>
  <si>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</si>
  <si>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</si>
  <si>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</si>
  <si>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</si>
  <si>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</si>
  <si>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</si>
  <si>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</si>
  <si>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</si>
  <si>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</si>
  <si>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</si>
  <si>
    <t>Rating</t>
  </si>
  <si>
    <t>Spread</t>
  </si>
  <si>
    <t>As of January 2020</t>
  </si>
  <si>
    <t>http://pages.stern.nyu.edu/~adamodar/New_Home_Page/datafile/ratings.htm</t>
  </si>
  <si>
    <t>AAA</t>
  </si>
  <si>
    <t>Aaa</t>
  </si>
  <si>
    <t>AA</t>
  </si>
  <si>
    <t>Aa2</t>
  </si>
  <si>
    <t>A+</t>
  </si>
  <si>
    <t>A1</t>
  </si>
  <si>
    <t>A</t>
  </si>
  <si>
    <t>A2</t>
  </si>
  <si>
    <t>A-</t>
  </si>
  <si>
    <t>A3</t>
  </si>
  <si>
    <t>BBB</t>
  </si>
  <si>
    <t>Baa2</t>
  </si>
  <si>
    <t>BB+</t>
  </si>
  <si>
    <t>Ba1</t>
  </si>
  <si>
    <t>BB</t>
  </si>
  <si>
    <t>Ba2</t>
  </si>
  <si>
    <t>B1</t>
  </si>
  <si>
    <t>B+</t>
  </si>
  <si>
    <t>B</t>
  </si>
  <si>
    <t>B2</t>
  </si>
  <si>
    <t>B-</t>
  </si>
  <si>
    <t>B3</t>
  </si>
  <si>
    <t>Caa</t>
  </si>
  <si>
    <t>CCC</t>
  </si>
  <si>
    <t>CC</t>
  </si>
  <si>
    <t>Ca2</t>
  </si>
  <si>
    <t>C2</t>
  </si>
  <si>
    <t>C</t>
  </si>
  <si>
    <t>D</t>
  </si>
  <si>
    <t>D2</t>
  </si>
  <si>
    <t>&gt;</t>
  </si>
  <si>
    <t>≤ to</t>
  </si>
  <si>
    <t>IC ratio</t>
  </si>
  <si>
    <t>EV/EBITDA</t>
  </si>
  <si>
    <t>Still need to automate: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</si>
</sst>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  <numFmt numFmtId="169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  <xf numFmtId="0" fontId="11" fillId="12" borderId="0" applyNumberFormat="0" applyBorder="0" applyAlignment="0" applyProtection="0"/>
  </cellStyleXfs>
  <cellXfs count="98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  <xf numFmtId="0" fontId="11" fillId="12" borderId="0" xfId="7"/>
    <xf numFmtId="0" fontId="0" fillId="0" borderId="0" xfId="0"/>
    <xf numFmtId="10" fontId="0" fillId="0" borderId="0" xfId="0" applyNumberFormat="1"/>
    <xf numFmtId="169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1" applyNumberFormat="1" applyFon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20% - Accent1" xfId="5" builtinId="30"/>
    <cellStyle name="Currency" xfId="1" builtinId="4"/>
    <cellStyle name="Heading 4" xfId="4" builtinId="19"/>
    <cellStyle name="Hyperlink" xfId="3" builtinId="8"/>
    <cellStyle name="Neutral" xfId="7" builtinId="2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ges.stern.nyu.edu/~adamodar/New_Home_Page/datafile/rat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workbookViewId="0">
      <selection activeCell="B27" sqref="B27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7" t="s">
        <v>92</v>
      </c>
      <c r="T3" s="4">
        <f>SUM('Debt Template'!B3:B628)</f>
        <v>0</v>
      </c>
      <c r="Y3" s="64" t="s">
        <v>310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7" t="s">
        <v>93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7" t="s">
        <v>94</v>
      </c>
      <c r="T5" s="66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65" t="e">
        <f>Z7*(1-Z11)</f>
        <v>#DIV/0!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  <c r="Y11" t="s">
        <v>106</v>
      </c>
      <c r="Z11" s="87">
        <f>'Credit Ratings'!B21+DCF!P17</f>
        <v>0.1512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92" t="s">
        <v>124</v>
      </c>
      <c r="I24" s="92"/>
      <c r="J24" s="92"/>
      <c r="K24" s="92"/>
      <c r="L24" s="92"/>
      <c r="M24" s="92"/>
      <c r="N24" s="92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91" t="s">
        <v>122</v>
      </c>
      <c r="I25" s="91"/>
      <c r="J25" s="91"/>
      <c r="K25" s="91"/>
      <c r="L25" s="91"/>
      <c r="M25" s="91"/>
      <c r="N25" s="91"/>
    </row>
    <row r="26" spans="1:16" ht="15" customHeight="1" x14ac:dyDescent="0.3">
      <c r="A26" s="33" t="s">
        <v>119</v>
      </c>
      <c r="B26" s="43" t="e">
        <f>Multiples!H19</f>
        <v>#DIV/0!</v>
      </c>
      <c r="C26" s="45" t="e">
        <f>B26/P12-1</f>
        <v>#DIV/0!</v>
      </c>
      <c r="D26" s="46">
        <v>0.2</v>
      </c>
      <c r="F26" s="93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93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93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93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93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93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93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93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93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24"/>
  <sheetViews>
    <sheetView tabSelected="1" workbookViewId="0">
      <selection activeCell="H15" sqref="H15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0</f>
        <v>0</v>
      </c>
      <c r="C3" t="s">
        <v>7</v>
      </c>
      <c r="D3" t="s">
        <v>8</v>
      </c>
      <c r="G3" t="s">
        <v>16</v>
      </c>
      <c r="H3" s="4">
        <f>_xlfn.IFNA(VLOOKUP("Long-term debt", 'Balance Sheet (Annual)'!A1:BH299, 2, FALSE),0)</f>
        <v>0</v>
      </c>
    </row>
    <row r="4" spans="1:8" x14ac:dyDescent="0.3">
      <c r="A4" s="1">
        <f>2.66 * 0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 t="e">
        <f>(H13* VLOOKUP("Stockholders' equity",'Balance Sheet (Annual)'!1:1048576,2,FALSE))/DCF!P11</f>
        <v>#DIV/0!</v>
      </c>
      <c r="C5" t="s">
        <v>9</v>
      </c>
      <c r="D5" t="s">
        <v>10</v>
      </c>
      <c r="G5" t="s">
        <v>18</v>
      </c>
      <c r="H5" s="4">
        <f>-_xlfn.IFNA(VLOOKUP("Short-Term Investments", 'Balance Sheet (Annual)'!A1:DJ60, 2,FALSE),0)</f>
        <v>0</v>
      </c>
    </row>
    <row r="6" spans="1:8" x14ac:dyDescent="0.3">
      <c r="A6" s="1" t="e">
        <f>(H14*VLOOKUP("Revenue USD Mil",'Key Ratios'!$1:$1048576,4,FALSE))/DCF!P11</f>
        <v>#DIV/0!</v>
      </c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90" t="e">
        <f>((H15*VLOOKUP("EBITDA",'Income Statement'!A2:AE36,2,FALSE))-H6)/DCF!P11</f>
        <v>#DIV/0!</v>
      </c>
      <c r="B7" s="6"/>
      <c r="C7" t="s">
        <v>13</v>
      </c>
      <c r="D7" t="s">
        <v>14</v>
      </c>
    </row>
    <row r="10" spans="1:8" x14ac:dyDescent="0.3">
      <c r="G10" s="70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374</v>
      </c>
    </row>
    <row r="19" spans="1:8" x14ac:dyDescent="0.3">
      <c r="G19" t="s">
        <v>48</v>
      </c>
      <c r="H19" s="40" t="e">
        <f>AVERAGE(A2:A7)</f>
        <v>#DIV/0!</v>
      </c>
    </row>
    <row r="23" spans="1:8" x14ac:dyDescent="0.3">
      <c r="C23" t="s">
        <v>375</v>
      </c>
    </row>
    <row r="24" spans="1:8" x14ac:dyDescent="0.3">
      <c r="A24" s="1"/>
      <c r="B24" s="6"/>
      <c r="C24" t="s">
        <v>19</v>
      </c>
      <c r="D24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1"/>
      <c r="R5" s="71"/>
      <c r="S5" s="71"/>
      <c r="T5" s="71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2" t="s">
        <v>126</v>
      </c>
      <c r="P7" s="73">
        <f ca="1">'Growth Rates'!B1</f>
        <v>2019</v>
      </c>
      <c r="Q7" s="73">
        <f ca="1">'Growth Rates'!C1</f>
        <v>2018</v>
      </c>
      <c r="R7" s="73">
        <f ca="1">'Growth Rates'!D1</f>
        <v>2017</v>
      </c>
      <c r="S7" s="73">
        <f ca="1">'Growth Rates'!E1</f>
        <v>2016</v>
      </c>
      <c r="T7" s="74">
        <f ca="1">'Growth Rates'!F1</f>
        <v>2015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83">
        <f>VLOOKUP("Dividends USD",'Key Ratios'!$1:$1048576,2,FALSE)</f>
        <v>0</v>
      </c>
      <c r="P8" s="75">
        <f>VLOOKUP("Dividends USD",'Key Ratios'!$1:$1048576,3,FALSE)</f>
        <v>0</v>
      </c>
      <c r="Q8" s="75">
        <f>VLOOKUP("Dividends USD",'Key Ratios'!$1:$1048576,4,FALSE)</f>
        <v>0</v>
      </c>
      <c r="R8" s="75">
        <f>VLOOKUP("Dividends USD",'Key Ratios'!$1:$1048576,5,FALSE)</f>
        <v>0</v>
      </c>
      <c r="S8" s="75">
        <f>VLOOKUP("Dividends USD",'Key Ratios'!$1:$1048576,6,FALSE)</f>
        <v>0</v>
      </c>
      <c r="T8" s="76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94" t="s">
        <v>318</v>
      </c>
      <c r="O10" s="95"/>
      <c r="P10" s="96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77">
        <f ca="1">P7</f>
        <v>2019</v>
      </c>
      <c r="O11" t="s">
        <v>319</v>
      </c>
      <c r="P11" s="78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79" t="s">
        <v>126</v>
      </c>
      <c r="O12" t="s">
        <v>319</v>
      </c>
      <c r="P12" s="78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77">
        <f ca="1">P7</f>
        <v>2019</v>
      </c>
      <c r="O13" t="s">
        <v>320</v>
      </c>
      <c r="P13" s="78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77">
        <f ca="1">P7</f>
        <v>2019</v>
      </c>
      <c r="O14" t="s">
        <v>321</v>
      </c>
      <c r="P14" s="78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80"/>
      <c r="O15" s="81" t="s">
        <v>48</v>
      </c>
      <c r="P15" s="82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B5" sqref="B5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97" t="s">
        <v>53</v>
      </c>
      <c r="B1" s="97"/>
      <c r="D1" s="97" t="s">
        <v>54</v>
      </c>
      <c r="E1" s="97"/>
      <c r="I1" t="s">
        <v>61</v>
      </c>
      <c r="J1" s="23">
        <f>VLOOKUP("Tax Rate %", 'Key Ratios'!1:1048576,2,FALSE)/100</f>
        <v>0</v>
      </c>
    </row>
    <row r="3" spans="1:10" x14ac:dyDescent="0.3">
      <c r="A3" s="97" t="s">
        <v>55</v>
      </c>
      <c r="B3" s="97"/>
      <c r="D3" s="97" t="s">
        <v>55</v>
      </c>
      <c r="E3" s="97"/>
      <c r="I3" t="s">
        <v>63</v>
      </c>
      <c r="J3" s="12">
        <f>VLOOKUP("Debt Issued",'Cash Flow Statement'!1:1048576,2,FALSE)</f>
        <v>0</v>
      </c>
    </row>
    <row r="4" spans="1:10" x14ac:dyDescent="0.3">
      <c r="A4" t="s">
        <v>56</v>
      </c>
      <c r="B4" s="22">
        <f>VLOOKUP("Net income available to common shareholders",'Income Statement'!A2:AE36,2,FALSE)</f>
        <v>0</v>
      </c>
      <c r="D4" t="s">
        <v>56</v>
      </c>
      <c r="E4">
        <f>B4</f>
        <v>0</v>
      </c>
      <c r="I4" t="s">
        <v>64</v>
      </c>
      <c r="J4" s="12">
        <f>VLOOKUP("Debt Repayment",'Cash Flow Statement'!1:1048576,2,FALSE)</f>
        <v>0</v>
      </c>
    </row>
    <row r="5" spans="1:10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0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0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0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62">
        <f>MIN(B9,B16,B24,B34)</f>
        <v>0</v>
      </c>
    </row>
    <row r="9" spans="1:10" ht="16.2" thickBot="1" x14ac:dyDescent="0.35">
      <c r="A9" s="24" t="s">
        <v>53</v>
      </c>
      <c r="B9" s="25">
        <f>SUM(B4:B8)</f>
        <v>0</v>
      </c>
      <c r="D9" s="24" t="s">
        <v>54</v>
      </c>
      <c r="E9" s="24">
        <f>SUM(E4:E8)</f>
        <v>0</v>
      </c>
      <c r="I9" s="61" t="s">
        <v>308</v>
      </c>
      <c r="J9" s="62">
        <f>MIN(E9,E18,E24,E36)</f>
        <v>0</v>
      </c>
    </row>
    <row r="10" spans="1:10" ht="15" thickTop="1" x14ac:dyDescent="0.3"/>
    <row r="11" spans="1:10" x14ac:dyDescent="0.3">
      <c r="A11" s="97" t="s">
        <v>65</v>
      </c>
      <c r="B11" s="97"/>
      <c r="D11" s="97" t="s">
        <v>65</v>
      </c>
      <c r="E11" s="97"/>
    </row>
    <row r="12" spans="1:10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0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0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0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0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97" t="s">
        <v>68</v>
      </c>
      <c r="B20" s="97"/>
      <c r="D20" s="97" t="s">
        <v>68</v>
      </c>
      <c r="E20" s="97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97" t="s">
        <v>69</v>
      </c>
      <c r="B26" s="97"/>
      <c r="D26" s="97" t="s">
        <v>69</v>
      </c>
      <c r="E26" s="97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C4" sqref="C4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B6" sqref="B6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_xlfn.IFNA(VLOOKUP(A4,'Balance Sheet (Annual)'!1:1048576,2,FALSE),0)</f>
        <v>0</v>
      </c>
      <c r="C4" s="12">
        <f>_xlfn.IFNA(VLOOKUP(A4,'Balance Sheet (Annual)'!1:1048576,3,FALSE),0)</f>
        <v>0</v>
      </c>
    </row>
    <row r="5" spans="1:3" x14ac:dyDescent="0.3">
      <c r="A5" t="s">
        <v>76</v>
      </c>
      <c r="B5" s="12">
        <f>_xlfn.IFNA(VLOOKUP(A5,'Balance Sheet (Annual)'!1:1048576,2,FALSE),0)</f>
        <v>0</v>
      </c>
      <c r="C5" s="12">
        <f>_xlfn.IFNA(VLOOKUP(A5,'Balance Sheet (Annual)'!1:1048576,3,FALSE),0)</f>
        <v>0</v>
      </c>
    </row>
    <row r="6" spans="1:3" x14ac:dyDescent="0.3">
      <c r="A6" t="s">
        <v>77</v>
      </c>
      <c r="B6" s="12">
        <f>_xlfn.IFNA(VLOOKUP(A6,'Balance Sheet (Annual)'!1:1048576,2,FALSE),0)</f>
        <v>0</v>
      </c>
      <c r="C6" s="12">
        <f>_xlfn.IFNA(VLOOKUP(A6,'Balance Sheet (Annual)'!1:1048576,3,FALSE),0)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_xlfn.IFNA(VLOOKUP(A10,'Balance Sheet (Annual)'!1:1048576,2,FALSE),0)</f>
        <v>0</v>
      </c>
      <c r="C10" s="12">
        <f>_xlfn.IFNA(VLOOKUP(A10,'Balance Sheet (Annual)'!1:1048576,3,FALSE),0)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_xlfn.IFNA(VLOOKUP(A14,'Balance Sheet (Annual)'!1:1048576,2,FALSE),0)</f>
        <v>0</v>
      </c>
      <c r="C14" s="12">
        <f>_xlfn.IFNA(VLOOKUP(A14,'Balance Sheet (Annual)'!1:1048576,3,FALSE),0)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19" workbookViewId="0">
      <selection activeCell="A43" sqref="A43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A4" sqref="A4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5" sqref="I5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2:AD32"/>
  <sheetViews>
    <sheetView workbookViewId="0">
      <selection activeCell="F15" sqref="F15"/>
    </sheetView>
  </sheetViews>
  <sheetFormatPr defaultRowHeight="14.4" x14ac:dyDescent="0.3"/>
  <cols>
    <col min="1" max="1" width="9.21875" bestFit="1" customWidth="1"/>
    <col min="5" max="5" width="8.88671875" style="88"/>
    <col min="6" max="6" width="66.77734375" bestFit="1" customWidth="1"/>
  </cols>
  <sheetData>
    <row r="2" spans="1:30" x14ac:dyDescent="0.3">
      <c r="A2" s="84" t="s">
        <v>371</v>
      </c>
      <c r="B2" s="84" t="s">
        <v>372</v>
      </c>
      <c r="C2" s="84" t="s">
        <v>337</v>
      </c>
      <c r="D2" s="84" t="s">
        <v>338</v>
      </c>
      <c r="F2" t="s">
        <v>339</v>
      </c>
      <c r="M2" s="84" t="s">
        <v>337</v>
      </c>
      <c r="N2" s="84" t="s">
        <v>338</v>
      </c>
    </row>
    <row r="3" spans="1:30" x14ac:dyDescent="0.3">
      <c r="A3" s="88">
        <v>-100000</v>
      </c>
      <c r="B3" s="88">
        <v>0.19999900000000001</v>
      </c>
      <c r="C3" s="88" t="s">
        <v>336</v>
      </c>
      <c r="D3" s="89">
        <v>0.1512</v>
      </c>
      <c r="F3" s="9" t="s">
        <v>340</v>
      </c>
      <c r="H3" s="88"/>
      <c r="I3" s="88"/>
      <c r="J3" s="88"/>
      <c r="K3" s="88"/>
      <c r="M3" s="85" t="s">
        <v>342</v>
      </c>
      <c r="N3" s="86">
        <v>6.3E-3</v>
      </c>
    </row>
    <row r="4" spans="1:30" s="85" customFormat="1" x14ac:dyDescent="0.3">
      <c r="A4" s="88">
        <v>0.2</v>
      </c>
      <c r="B4" s="88">
        <v>0.64999899999999999</v>
      </c>
      <c r="C4" s="88" t="s">
        <v>335</v>
      </c>
      <c r="D4" s="89">
        <v>0.1134</v>
      </c>
      <c r="E4" s="88"/>
      <c r="F4" s="9"/>
      <c r="H4" s="88"/>
      <c r="I4" s="88"/>
      <c r="J4" s="88"/>
      <c r="K4" s="89"/>
      <c r="M4" s="85" t="s">
        <v>341</v>
      </c>
      <c r="N4" s="86">
        <v>6.3E-3</v>
      </c>
    </row>
    <row r="5" spans="1:30" x14ac:dyDescent="0.3">
      <c r="A5" s="88">
        <v>0.65</v>
      </c>
      <c r="B5" s="88">
        <v>0.79999900000000002</v>
      </c>
      <c r="C5" s="88" t="s">
        <v>334</v>
      </c>
      <c r="D5" s="89">
        <v>8.6400000000000005E-2</v>
      </c>
      <c r="H5" s="88"/>
      <c r="I5" s="88"/>
      <c r="J5" s="88"/>
      <c r="K5" s="89"/>
      <c r="M5" s="85" t="s">
        <v>344</v>
      </c>
      <c r="N5" s="86">
        <v>7.7999999999999996E-3</v>
      </c>
      <c r="P5" s="88">
        <v>8.5</v>
      </c>
      <c r="Q5" s="88">
        <v>6.5</v>
      </c>
      <c r="R5" s="88">
        <v>5.5</v>
      </c>
      <c r="S5" s="88">
        <v>4.25</v>
      </c>
      <c r="T5" s="88">
        <v>3</v>
      </c>
      <c r="U5" s="88">
        <v>2.5</v>
      </c>
      <c r="V5" s="88">
        <v>2.25</v>
      </c>
      <c r="W5" s="88">
        <v>2</v>
      </c>
      <c r="X5" s="88">
        <v>1.75</v>
      </c>
      <c r="Y5" s="88">
        <v>1.5</v>
      </c>
      <c r="Z5" s="88">
        <v>1.25</v>
      </c>
      <c r="AA5" s="88">
        <v>0.8</v>
      </c>
      <c r="AB5" s="88">
        <v>0.65</v>
      </c>
      <c r="AC5" s="88">
        <v>0.2</v>
      </c>
      <c r="AD5" s="88">
        <v>-100000</v>
      </c>
    </row>
    <row r="6" spans="1:30" s="85" customFormat="1" x14ac:dyDescent="0.3">
      <c r="A6" s="88">
        <v>0.8</v>
      </c>
      <c r="B6" s="88">
        <v>1.2499990000000001</v>
      </c>
      <c r="C6" s="88" t="s">
        <v>333</v>
      </c>
      <c r="D6" s="89">
        <v>8.2000000000000003E-2</v>
      </c>
      <c r="E6" s="88"/>
      <c r="H6" s="88"/>
      <c r="I6" s="88"/>
      <c r="J6" s="88"/>
      <c r="K6" s="89"/>
      <c r="M6" s="85" t="s">
        <v>343</v>
      </c>
      <c r="N6" s="86">
        <v>7.7999999999999996E-3</v>
      </c>
    </row>
    <row r="7" spans="1:30" x14ac:dyDescent="0.3">
      <c r="A7" s="88">
        <v>1.25</v>
      </c>
      <c r="B7" s="88">
        <v>1.4999990000000001</v>
      </c>
      <c r="C7" s="88" t="s">
        <v>332</v>
      </c>
      <c r="D7" s="89">
        <v>5.1499999999999997E-2</v>
      </c>
      <c r="H7" s="88"/>
      <c r="I7" s="88"/>
      <c r="J7" s="88"/>
      <c r="K7" s="89"/>
      <c r="M7" s="85" t="s">
        <v>346</v>
      </c>
      <c r="N7" s="86">
        <v>9.7999999999999997E-3</v>
      </c>
    </row>
    <row r="8" spans="1:30" s="85" customFormat="1" x14ac:dyDescent="0.3">
      <c r="A8" s="88">
        <v>1.5</v>
      </c>
      <c r="B8" s="88">
        <v>1.7499990000000001</v>
      </c>
      <c r="C8" s="88" t="s">
        <v>331</v>
      </c>
      <c r="D8" s="89">
        <v>4.2099999999999999E-2</v>
      </c>
      <c r="E8" s="88"/>
      <c r="H8" s="88"/>
      <c r="I8" s="88"/>
      <c r="J8" s="88"/>
      <c r="K8" s="89"/>
      <c r="M8" s="85" t="s">
        <v>345</v>
      </c>
      <c r="N8" s="86">
        <v>9.7999999999999997E-3</v>
      </c>
    </row>
    <row r="9" spans="1:30" x14ac:dyDescent="0.3">
      <c r="A9" s="88">
        <v>1.75</v>
      </c>
      <c r="B9" s="88">
        <v>1.9999990000000001</v>
      </c>
      <c r="C9" s="88" t="s">
        <v>330</v>
      </c>
      <c r="D9" s="89">
        <v>3.5099999999999999E-2</v>
      </c>
      <c r="H9" s="88"/>
      <c r="I9" s="88"/>
      <c r="J9" s="88"/>
      <c r="K9" s="89"/>
      <c r="M9" s="85" t="s">
        <v>348</v>
      </c>
      <c r="N9" s="86">
        <v>1.0800000000000001E-2</v>
      </c>
    </row>
    <row r="10" spans="1:30" s="85" customFormat="1" x14ac:dyDescent="0.3">
      <c r="A10" s="88">
        <v>2</v>
      </c>
      <c r="B10" s="88">
        <v>2.2499999000000002</v>
      </c>
      <c r="C10" s="88" t="s">
        <v>329</v>
      </c>
      <c r="D10" s="89">
        <v>2.4E-2</v>
      </c>
      <c r="E10" s="88"/>
      <c r="H10" s="88"/>
      <c r="I10" s="88"/>
      <c r="J10" s="88"/>
      <c r="K10" s="89"/>
      <c r="M10" s="85" t="s">
        <v>347</v>
      </c>
      <c r="N10" s="86">
        <v>1.0800000000000001E-2</v>
      </c>
    </row>
    <row r="11" spans="1:30" x14ac:dyDescent="0.3">
      <c r="A11" s="88">
        <v>2.25</v>
      </c>
      <c r="B11" s="88">
        <v>2.2499989999999999</v>
      </c>
      <c r="C11" s="88" t="s">
        <v>328</v>
      </c>
      <c r="D11" s="89">
        <v>0.02</v>
      </c>
      <c r="H11" s="88"/>
      <c r="I11" s="88"/>
      <c r="J11" s="88"/>
      <c r="K11" s="89"/>
      <c r="M11" s="85" t="s">
        <v>350</v>
      </c>
      <c r="N11" s="86">
        <v>1.2200000000000001E-2</v>
      </c>
    </row>
    <row r="12" spans="1:30" s="85" customFormat="1" x14ac:dyDescent="0.3">
      <c r="A12" s="88">
        <v>2.5</v>
      </c>
      <c r="B12" s="88">
        <v>2.9999989999999999</v>
      </c>
      <c r="C12" s="88" t="s">
        <v>327</v>
      </c>
      <c r="D12" s="89">
        <v>1.5599999999999999E-2</v>
      </c>
      <c r="E12" s="88"/>
      <c r="H12" s="88"/>
      <c r="I12" s="88"/>
      <c r="J12" s="88"/>
      <c r="K12" s="89"/>
      <c r="M12" s="85" t="s">
        <v>349</v>
      </c>
      <c r="N12" s="86">
        <v>1.2200000000000001E-2</v>
      </c>
    </row>
    <row r="13" spans="1:30" x14ac:dyDescent="0.3">
      <c r="A13" s="88">
        <v>3</v>
      </c>
      <c r="B13" s="88">
        <v>4.2499989999999999</v>
      </c>
      <c r="C13" s="88" t="s">
        <v>326</v>
      </c>
      <c r="D13" s="89">
        <v>1.2200000000000001E-2</v>
      </c>
      <c r="H13" s="88"/>
      <c r="I13" s="88"/>
      <c r="J13" s="88"/>
      <c r="K13" s="89"/>
      <c r="M13" s="85" t="s">
        <v>352</v>
      </c>
      <c r="N13" s="86">
        <v>1.5599999999999999E-2</v>
      </c>
    </row>
    <row r="14" spans="1:30" s="85" customFormat="1" x14ac:dyDescent="0.3">
      <c r="A14" s="88">
        <v>4.25</v>
      </c>
      <c r="B14" s="88">
        <v>5.4999989999999999</v>
      </c>
      <c r="C14" s="88" t="s">
        <v>325</v>
      </c>
      <c r="D14" s="89">
        <v>1.0800000000000001E-2</v>
      </c>
      <c r="E14" s="88"/>
      <c r="H14" s="88"/>
      <c r="I14" s="88"/>
      <c r="J14" s="88"/>
      <c r="K14" s="89"/>
      <c r="M14" s="85" t="s">
        <v>351</v>
      </c>
      <c r="N14" s="86">
        <v>1.5599999999999999E-2</v>
      </c>
    </row>
    <row r="15" spans="1:30" x14ac:dyDescent="0.3">
      <c r="A15" s="88">
        <v>5.5</v>
      </c>
      <c r="B15" s="88">
        <v>6.4999989999999999</v>
      </c>
      <c r="C15" s="88" t="s">
        <v>324</v>
      </c>
      <c r="D15" s="89">
        <v>9.7999999999999997E-3</v>
      </c>
      <c r="H15" s="88"/>
      <c r="I15" s="88"/>
      <c r="J15" s="88"/>
      <c r="K15" s="89"/>
      <c r="M15" s="85" t="s">
        <v>354</v>
      </c>
      <c r="N15" s="86">
        <v>0.02</v>
      </c>
    </row>
    <row r="16" spans="1:30" s="85" customFormat="1" x14ac:dyDescent="0.3">
      <c r="A16" s="88">
        <v>6.5</v>
      </c>
      <c r="B16" s="88">
        <v>8.4999990000000007</v>
      </c>
      <c r="C16" s="88" t="s">
        <v>323</v>
      </c>
      <c r="D16" s="89">
        <v>7.7999999999999996E-3</v>
      </c>
      <c r="E16" s="88"/>
      <c r="H16" s="88"/>
      <c r="I16" s="88"/>
      <c r="J16" s="88"/>
      <c r="K16" s="89"/>
      <c r="M16" s="85" t="s">
        <v>353</v>
      </c>
      <c r="N16" s="86">
        <v>0.02</v>
      </c>
    </row>
    <row r="17" spans="1:14" x14ac:dyDescent="0.3">
      <c r="A17" s="88">
        <v>8.5</v>
      </c>
      <c r="B17" s="88">
        <v>100000</v>
      </c>
      <c r="C17" s="88" t="s">
        <v>322</v>
      </c>
      <c r="D17" s="89">
        <v>6.3E-3</v>
      </c>
      <c r="H17" s="88"/>
      <c r="I17" s="88"/>
      <c r="J17" s="88"/>
      <c r="K17" s="89"/>
      <c r="M17" s="85" t="s">
        <v>356</v>
      </c>
      <c r="N17" s="86">
        <v>2.4E-2</v>
      </c>
    </row>
    <row r="18" spans="1:14" s="85" customFormat="1" x14ac:dyDescent="0.3">
      <c r="E18" s="88"/>
      <c r="H18" s="88"/>
      <c r="I18" s="88"/>
      <c r="J18" s="88"/>
      <c r="K18" s="89"/>
      <c r="M18" s="85" t="s">
        <v>355</v>
      </c>
      <c r="N18" s="86">
        <v>2.4E-2</v>
      </c>
    </row>
    <row r="19" spans="1:14" x14ac:dyDescent="0.3">
      <c r="M19" s="85" t="s">
        <v>357</v>
      </c>
      <c r="N19" s="86">
        <v>3.5099999999999999E-2</v>
      </c>
    </row>
    <row r="20" spans="1:14" s="85" customFormat="1" x14ac:dyDescent="0.3">
      <c r="A20" s="85" t="s">
        <v>373</v>
      </c>
      <c r="B20" s="88">
        <f>VLOOKUP("Interest Coverage",'Key Ratios'!$1:$1048576,3,FALSE)</f>
        <v>0</v>
      </c>
      <c r="E20" s="88"/>
      <c r="M20" s="85" t="s">
        <v>358</v>
      </c>
      <c r="N20" s="86">
        <v>3.5099999999999999E-2</v>
      </c>
    </row>
    <row r="21" spans="1:14" x14ac:dyDescent="0.3">
      <c r="A21" t="s">
        <v>338</v>
      </c>
      <c r="B21" s="66">
        <f>LOOKUP(B20,A3:A17,D3:D17)</f>
        <v>0.1512</v>
      </c>
      <c r="M21" s="85" t="s">
        <v>360</v>
      </c>
      <c r="N21" s="86">
        <v>4.2099999999999999E-2</v>
      </c>
    </row>
    <row r="22" spans="1:14" s="85" customFormat="1" x14ac:dyDescent="0.3">
      <c r="E22" s="88"/>
      <c r="M22" s="85" t="s">
        <v>359</v>
      </c>
      <c r="N22" s="86">
        <v>4.2099999999999999E-2</v>
      </c>
    </row>
    <row r="23" spans="1:14" x14ac:dyDescent="0.3">
      <c r="M23" s="85" t="s">
        <v>362</v>
      </c>
      <c r="N23" s="86">
        <v>5.1499999999999997E-2</v>
      </c>
    </row>
    <row r="24" spans="1:14" s="85" customFormat="1" x14ac:dyDescent="0.3">
      <c r="E24" s="88"/>
      <c r="M24" s="85" t="s">
        <v>361</v>
      </c>
      <c r="N24" s="86">
        <v>5.1499999999999997E-2</v>
      </c>
    </row>
    <row r="25" spans="1:14" x14ac:dyDescent="0.3">
      <c r="B25" s="88">
        <f>VLOOKUP("Interest Coverage",'Key Ratios'!$1:$1048576,3,FALSE)</f>
        <v>0</v>
      </c>
      <c r="M25" s="85" t="s">
        <v>363</v>
      </c>
      <c r="N25" s="86">
        <v>8.2000000000000003E-2</v>
      </c>
    </row>
    <row r="26" spans="1:14" s="85" customFormat="1" x14ac:dyDescent="0.3">
      <c r="E26" s="88"/>
      <c r="M26" s="85" t="s">
        <v>364</v>
      </c>
      <c r="N26" s="86">
        <v>8.2000000000000003E-2</v>
      </c>
    </row>
    <row r="27" spans="1:14" x14ac:dyDescent="0.3">
      <c r="M27" s="85" t="s">
        <v>366</v>
      </c>
      <c r="N27" s="86">
        <v>8.6400000000000005E-2</v>
      </c>
    </row>
    <row r="28" spans="1:14" s="85" customFormat="1" x14ac:dyDescent="0.3">
      <c r="E28" s="88"/>
      <c r="M28" s="85" t="s">
        <v>365</v>
      </c>
      <c r="N28" s="86">
        <v>8.6400000000000005E-2</v>
      </c>
    </row>
    <row r="29" spans="1:14" x14ac:dyDescent="0.3">
      <c r="M29" s="85" t="s">
        <v>367</v>
      </c>
      <c r="N29" s="86">
        <v>0.1134</v>
      </c>
    </row>
    <row r="30" spans="1:14" s="85" customFormat="1" x14ac:dyDescent="0.3">
      <c r="E30" s="88"/>
      <c r="M30" s="85" t="s">
        <v>368</v>
      </c>
      <c r="N30" s="86">
        <v>0.1134</v>
      </c>
    </row>
    <row r="31" spans="1:14" x14ac:dyDescent="0.3">
      <c r="M31" s="85" t="s">
        <v>370</v>
      </c>
      <c r="N31" s="86">
        <v>0.1512</v>
      </c>
    </row>
    <row r="32" spans="1:14" x14ac:dyDescent="0.3">
      <c r="M32" t="s">
        <v>369</v>
      </c>
      <c r="N32" s="86">
        <v>0.1512</v>
      </c>
    </row>
  </sheetData>
  <sortState xmlns:xlrd2="http://schemas.microsoft.com/office/spreadsheetml/2017/richdata2" ref="A3:D17">
    <sortCondition ref="A3"/>
  </sortState>
  <hyperlinks>
    <hyperlink ref="F3" r:id="rId1" xr:uid="{16845EF1-6CF4-48BC-A44A-9BBAC714EA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E5D5-AD98-46DC-9A22-EE562AAAE8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Credit Ratings</vt:lpstr>
      <vt:lpstr>Sheet1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Kannan</cp:lastModifiedBy>
  <dcterms:created xsi:type="dcterms:W3CDTF">2020-02-13T02:26:08Z</dcterms:created>
  <dcterms:modified xsi:type="dcterms:W3CDTF">2020-08-09T21:49:23Z</dcterms:modified>
</cp:coreProperties>
</file>