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DCF" sheetId="1" state="visible" r:id="rId1"/>
    <sheet name="Multiples" sheetId="2" state="visible" r:id="rId2"/>
    <sheet name="DDM" sheetId="3" state="visible" r:id="rId3"/>
    <sheet name="FCFF &amp; FCFE" sheetId="4" state="visible" r:id="rId4"/>
    <sheet name="Growth Rates" sheetId="5" state="visible" r:id="rId5"/>
    <sheet name="Change WC" sheetId="6" state="visible" r:id="rId6"/>
    <sheet name="Income Statement" sheetId="7" state="visible" r:id="rId7"/>
    <sheet name="Balance Sheet (Annual)" sheetId="8" state="visible" r:id="rId8"/>
    <sheet name="Balance Sheet (Quarterly)" sheetId="9" state="visible" r:id="rId9"/>
    <sheet name="Cash Flow Statement" sheetId="10" state="visible" r:id="rId10"/>
    <sheet name="Key Ratios" sheetId="11" state="visible" r:id="rId11"/>
    <sheet name="Debt Input" sheetId="12" state="visible" r:id="rId12"/>
  </sheets>
  <definedNames>
    <definedName name="ExternalData_1" localSheetId="11">'Debt Input'!$A$1:$C$21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00%"/>
    <numFmt numFmtId="167" formatCode="0.0%"/>
    <numFmt numFmtId="168" formatCode="mm/dd/yy;@"/>
    <numFmt numFmtId="169" formatCode="&quot;$&quot;#,##0.00_);[Red]\(&quot;$&quot;#,##0.00\)"/>
    <numFmt numFmtId="170" formatCode="&quot;$&quot;#,##0.00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3"/>
      <sz val="11"/>
      <scheme val="minor"/>
    </font>
    <font>
      <name val="Times New Roman"/>
      <family val="1"/>
      <color theme="1"/>
      <sz val="11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b val="1"/>
    </font>
  </fonts>
  <fills count="11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3" tint="0.7999816888943144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  <diagonal/>
    </border>
  </borders>
  <cellStyleXfs count="7">
    <xf numFmtId="0" fontId="1" fillId="0" borderId="0"/>
    <xf numFmtId="44" fontId="1" fillId="0" borderId="0"/>
    <xf numFmtId="9" fontId="1" fillId="0" borderId="0"/>
    <xf numFmtId="0" fontId="3" fillId="0" borderId="0"/>
    <xf numFmtId="0" fontId="4" fillId="0" borderId="0"/>
    <xf numFmtId="0" fontId="1" fillId="9" borderId="0"/>
    <xf numFmtId="0" fontId="6" fillId="0" borderId="0"/>
  </cellStyleXfs>
  <cellXfs count="88">
    <xf numFmtId="0" fontId="0" fillId="0" borderId="0" pivotButton="0" quotePrefix="0" xfId="0"/>
    <xf numFmtId="164" fontId="0" fillId="0" borderId="0" pivotButton="0" quotePrefix="0" xfId="1"/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165" fontId="0" fillId="0" borderId="0" pivotButton="0" quotePrefix="0" xfId="1"/>
    <xf numFmtId="165" fontId="0" fillId="0" borderId="1" pivotButton="0" quotePrefix="0" xfId="0"/>
    <xf numFmtId="2" fontId="0" fillId="0" borderId="0" pivotButton="0" quotePrefix="0" xfId="0"/>
    <xf numFmtId="164" fontId="0" fillId="2" borderId="0" pivotButton="0" quotePrefix="0" xfId="1"/>
    <xf numFmtId="10" fontId="0" fillId="0" borderId="0" pivotButton="0" quotePrefix="0" xfId="0"/>
    <xf numFmtId="0" fontId="3" fillId="0" borderId="0" pivotButton="0" quotePrefix="0" xfId="3"/>
    <xf numFmtId="166" fontId="0" fillId="0" borderId="0" pivotButton="0" quotePrefix="0" xfId="0"/>
    <xf numFmtId="10" fontId="0" fillId="0" borderId="0" pivotButton="0" quotePrefix="0" xfId="2"/>
    <xf numFmtId="0" fontId="0" fillId="2" borderId="0" pivotButton="0" quotePrefix="0" xfId="0"/>
    <xf numFmtId="10" fontId="0" fillId="2" borderId="0" pivotButton="0" quotePrefix="0" xfId="0"/>
    <xf numFmtId="164" fontId="2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10" fontId="0" fillId="0" borderId="2" applyAlignment="1" pivotButton="0" quotePrefix="0" xfId="0">
      <alignment horizontal="center"/>
    </xf>
    <xf numFmtId="10" fontId="0" fillId="2" borderId="2" applyAlignment="1" pivotButton="0" quotePrefix="0" xfId="2">
      <alignment horizontal="center"/>
    </xf>
    <xf numFmtId="10" fontId="0" fillId="0" borderId="0" applyAlignment="1" pivotButton="0" quotePrefix="0" xfId="2">
      <alignment horizontal="center"/>
    </xf>
    <xf numFmtId="1" fontId="0" fillId="0" borderId="0" pivotButton="0" quotePrefix="0" xfId="0"/>
    <xf numFmtId="1" fontId="0" fillId="2" borderId="0" pivotButton="0" quotePrefix="0" xfId="0"/>
    <xf numFmtId="167" fontId="0" fillId="2" borderId="0" pivotButton="0" quotePrefix="0" xfId="0"/>
    <xf numFmtId="0" fontId="2" fillId="0" borderId="3" pivotButton="0" quotePrefix="0" xfId="0"/>
    <xf numFmtId="1" fontId="2" fillId="0" borderId="3" pivotButton="0" quotePrefix="0" xfId="0"/>
    <xf numFmtId="0" fontId="0" fillId="0" borderId="3" pivotButton="0" quotePrefix="0" xfId="0"/>
    <xf numFmtId="168" fontId="2" fillId="0" borderId="0" pivotButton="0" quotePrefix="0" xfId="0"/>
    <xf numFmtId="0" fontId="0" fillId="0" borderId="4" pivotButton="0" quotePrefix="0" xfId="0"/>
    <xf numFmtId="169" fontId="0" fillId="0" borderId="0" pivotButton="0" quotePrefix="0" xfId="0"/>
    <xf numFmtId="0" fontId="0" fillId="0" borderId="5" pivotButton="0" quotePrefix="0" xfId="0"/>
    <xf numFmtId="0" fontId="0" fillId="0" borderId="0" applyAlignment="1" pivotButton="0" quotePrefix="0" xfId="0">
      <alignment wrapText="1"/>
    </xf>
    <xf numFmtId="0" fontId="2" fillId="6" borderId="6" pivotButton="0" quotePrefix="0" xfId="0"/>
    <xf numFmtId="0" fontId="4" fillId="0" borderId="2" applyAlignment="1" pivotButton="0" quotePrefix="0" xfId="4">
      <alignment horizontal="center"/>
    </xf>
    <xf numFmtId="0" fontId="0" fillId="0" borderId="2" pivotButton="0" quotePrefix="0" xfId="0"/>
    <xf numFmtId="0" fontId="2" fillId="0" borderId="8" pivotButton="0" quotePrefix="0" xfId="0"/>
    <xf numFmtId="0" fontId="2" fillId="0" borderId="5" pivotButton="0" quotePrefix="0" xfId="0"/>
    <xf numFmtId="2" fontId="0" fillId="2" borderId="0" pivotButton="0" quotePrefix="0" xfId="0"/>
    <xf numFmtId="0" fontId="2" fillId="0" borderId="4" pivotButton="0" quotePrefix="0" xfId="0"/>
    <xf numFmtId="165" fontId="0" fillId="0" borderId="0" pivotButton="0" quotePrefix="0" xfId="0"/>
    <xf numFmtId="167" fontId="0" fillId="2" borderId="0" pivotButton="0" quotePrefix="0" xfId="2"/>
    <xf numFmtId="164" fontId="0" fillId="0" borderId="0" pivotButton="0" quotePrefix="0" xfId="0"/>
    <xf numFmtId="164" fontId="2" fillId="6" borderId="7" pivotButton="0" quotePrefix="0" xfId="0"/>
    <xf numFmtId="10" fontId="0" fillId="4" borderId="0" pivotButton="0" quotePrefix="0" xfId="2"/>
    <xf numFmtId="164" fontId="0" fillId="0" borderId="2" pivotButton="0" quotePrefix="0" xfId="0"/>
    <xf numFmtId="10" fontId="0" fillId="0" borderId="2" pivotButton="0" quotePrefix="0" xfId="0"/>
    <xf numFmtId="10" fontId="0" fillId="0" borderId="2" pivotButton="0" quotePrefix="0" xfId="2"/>
    <xf numFmtId="9" fontId="0" fillId="0" borderId="2" applyAlignment="1" pivotButton="0" quotePrefix="0" xfId="0">
      <alignment horizontal="center"/>
    </xf>
    <xf numFmtId="9" fontId="2" fillId="3" borderId="8" applyAlignment="1" pivotButton="0" quotePrefix="0" xfId="0">
      <alignment horizontal="center"/>
    </xf>
    <xf numFmtId="164" fontId="2" fillId="5" borderId="8" pivotButton="0" quotePrefix="0" xfId="0"/>
    <xf numFmtId="10" fontId="2" fillId="4" borderId="8" pivotButton="0" quotePrefix="0" xfId="2"/>
    <xf numFmtId="10" fontId="0" fillId="0" borderId="0" pivotButton="0" quotePrefix="0" xfId="2"/>
    <xf numFmtId="170" fontId="0" fillId="7" borderId="0" pivotButton="0" quotePrefix="0" xfId="0"/>
    <xf numFmtId="0" fontId="2" fillId="0" borderId="0" applyAlignment="1" pivotButton="0" quotePrefix="0" xfId="0">
      <alignment horizontal="center"/>
    </xf>
    <xf numFmtId="167" fontId="5" fillId="0" borderId="0" pivotButton="0" quotePrefix="0" xfId="0"/>
    <xf numFmtId="2" fontId="5" fillId="0" borderId="0" pivotButton="0" quotePrefix="0" xfId="1"/>
    <xf numFmtId="0" fontId="2" fillId="0" borderId="4" applyAlignment="1" pivotButton="0" quotePrefix="0" xfId="0">
      <alignment horizontal="center"/>
    </xf>
    <xf numFmtId="10" fontId="2" fillId="0" borderId="0" pivotButton="0" quotePrefix="0" xfId="0"/>
    <xf numFmtId="2" fontId="2" fillId="0" borderId="1" pivotButton="0" quotePrefix="0" xfId="0"/>
    <xf numFmtId="3" fontId="0" fillId="0" borderId="0" pivotButton="0" quotePrefix="0" xfId="0"/>
    <xf numFmtId="10" fontId="0" fillId="8" borderId="0" pivotButton="0" quotePrefix="0" xfId="0"/>
    <xf numFmtId="0" fontId="0" fillId="8" borderId="0" pivotButton="0" quotePrefix="0" xfId="0"/>
    <xf numFmtId="10" fontId="1" fillId="9" borderId="0" pivotButton="0" quotePrefix="0" xfId="5"/>
    <xf numFmtId="0" fontId="7" fillId="0" borderId="0" pivotButton="0" quotePrefix="0" xfId="6"/>
    <xf numFmtId="0" fontId="6" fillId="10" borderId="0" pivotButton="0" quotePrefix="0" xfId="6"/>
    <xf numFmtId="0" fontId="0" fillId="0" borderId="4" applyAlignment="1" pivotButton="0" quotePrefix="0" xfId="0">
      <alignment horizontal="center"/>
    </xf>
    <xf numFmtId="9" fontId="2" fillId="0" borderId="0" applyAlignment="1" pivotButton="0" quotePrefix="0" xfId="2">
      <alignment horizontal="center"/>
    </xf>
    <xf numFmtId="0" fontId="0" fillId="0" borderId="9" applyAlignment="1" pivotButton="0" quotePrefix="0" xfId="0">
      <alignment horizontal="right" vertical="center" textRotation="90"/>
    </xf>
    <xf numFmtId="0" fontId="2" fillId="0" borderId="0" applyAlignment="1" pivotButton="0" quotePrefix="0" xfId="0">
      <alignment horizontal="center"/>
    </xf>
    <xf numFmtId="165" fontId="0" fillId="0" borderId="0" pivotButton="0" quotePrefix="0" xfId="1"/>
    <xf numFmtId="169" fontId="0" fillId="0" borderId="0" pivotButton="0" quotePrefix="0" xfId="0"/>
    <xf numFmtId="165" fontId="0" fillId="0" borderId="0" pivotButton="0" quotePrefix="0" xfId="0"/>
    <xf numFmtId="164" fontId="0" fillId="2" borderId="0" pivotButton="0" quotePrefix="0" xfId="1"/>
    <xf numFmtId="164" fontId="0" fillId="0" borderId="0" pivotButton="0" quotePrefix="0" xfId="1"/>
    <xf numFmtId="164" fontId="0" fillId="0" borderId="0" pivotButton="0" quotePrefix="0" xfId="0"/>
    <xf numFmtId="167" fontId="0" fillId="2" borderId="0" pivotButton="0" quotePrefix="0" xfId="2"/>
    <xf numFmtId="165" fontId="0" fillId="0" borderId="1" pivotButton="0" quotePrefix="0" xfId="0"/>
    <xf numFmtId="164" fontId="2" fillId="6" borderId="7" pivotButton="0" quotePrefix="0" xfId="0"/>
    <xf numFmtId="164" fontId="0" fillId="0" borderId="2" pivotButton="0" quotePrefix="0" xfId="0"/>
    <xf numFmtId="170" fontId="0" fillId="7" borderId="0" pivotButton="0" quotePrefix="0" xfId="0"/>
    <xf numFmtId="167" fontId="5" fillId="0" borderId="0" pivotButton="0" quotePrefix="0" xfId="0"/>
    <xf numFmtId="0" fontId="0" fillId="0" borderId="9" pivotButton="0" quotePrefix="0" xfId="0"/>
    <xf numFmtId="164" fontId="2" fillId="5" borderId="8" pivotButton="0" quotePrefix="0" xfId="0"/>
    <xf numFmtId="166" fontId="0" fillId="0" borderId="0" pivotButton="0" quotePrefix="0" xfId="0"/>
    <xf numFmtId="164" fontId="2" fillId="0" borderId="0" pivotButton="0" quotePrefix="0" xfId="0"/>
    <xf numFmtId="167" fontId="0" fillId="2" borderId="0" pivotButton="0" quotePrefix="0" xfId="0"/>
    <xf numFmtId="168" fontId="2" fillId="0" borderId="0" pivotButton="0" quotePrefix="0" xfId="0"/>
    <xf numFmtId="0" fontId="8" fillId="0" borderId="10" applyAlignment="1" pivotButton="0" quotePrefix="0" xfId="0">
      <alignment horizontal="center" vertical="top"/>
    </xf>
  </cellXfs>
  <cellStyles count="7">
    <cellStyle name="Normal" xfId="0" builtinId="0"/>
    <cellStyle name="Currency" xfId="1" builtinId="4"/>
    <cellStyle name="Percent" xfId="2" builtinId="5"/>
    <cellStyle name="Hyperlink" xfId="3" builtinId="8"/>
    <cellStyle name="Heading 4" xfId="4" builtinId="19"/>
    <cellStyle name="20% - Accent1" xfId="5" builtinId="30"/>
    <cellStyle name="Normal 3" xfId="6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finance.yahoo.com/quote/UNP/" TargetMode="External" Id="rId1" /><Relationship Type="http://schemas.openxmlformats.org/officeDocument/2006/relationships/hyperlink" Target="http://pages.stern.nyu.edu/~adamodar/" TargetMode="External" Id="rId2" /><Relationship Type="http://schemas.openxmlformats.org/officeDocument/2006/relationships/hyperlink" Target="https://www.cnbc.com/quotes/?symbol=US10Y" TargetMode="External" Id="rId3" /></Relationships>
</file>

<file path=xl/worksheets/sheet1.xml><?xml version="1.0" encoding="utf-8"?>
<worksheet xmlns="http://schemas.openxmlformats.org/spreadsheetml/2006/main">
  <sheetPr codeName="Sheet1">
    <tabColor rgb="FF92D050"/>
    <outlinePr summaryBelow="1" summaryRight="1"/>
    <pageSetUpPr/>
  </sheetPr>
  <dimension ref="A1:V34"/>
  <sheetViews>
    <sheetView tabSelected="1" workbookViewId="0">
      <selection activeCell="C21" sqref="C21"/>
    </sheetView>
  </sheetViews>
  <sheetFormatPr baseColWidth="8" defaultRowHeight="14.4"/>
  <cols>
    <col width="26" customWidth="1" min="1" max="1"/>
    <col width="13.33203125" customWidth="1" min="2" max="11"/>
    <col width="13.44140625" customWidth="1" min="12" max="14"/>
    <col width="27" customWidth="1" min="15" max="15"/>
    <col width="13.5546875" customWidth="1" min="16" max="16"/>
    <col width="13.109375" customWidth="1" min="18" max="19"/>
    <col width="10" customWidth="1" min="20" max="20"/>
    <col width="10.109375" customWidth="1" min="21" max="21"/>
    <col width="16" customWidth="1" min="22" max="22"/>
  </cols>
  <sheetData>
    <row r="1">
      <c r="A1" s="2" t="inlineStr">
        <is>
          <t>FCFE</t>
        </is>
      </c>
      <c r="B1" s="69">
        <f>'FCFF &amp; FCFE'!J9</f>
        <v/>
      </c>
      <c r="O1" s="56" t="inlineStr">
        <is>
          <t>Beta</t>
        </is>
      </c>
    </row>
    <row r="2">
      <c r="A2" s="2" t="inlineStr">
        <is>
          <t>FCFF</t>
        </is>
      </c>
      <c r="B2" s="69">
        <f>'FCFF &amp; FCFE'!J8</f>
        <v/>
      </c>
      <c r="P2" s="37" t="n"/>
      <c r="S2" s="2" t="inlineStr">
        <is>
          <t>Debt Analysis</t>
        </is>
      </c>
    </row>
    <row r="3">
      <c r="F3" s="8" t="n"/>
      <c r="G3" s="70" t="n"/>
      <c r="P3" s="37" t="n"/>
      <c r="S3" s="36" t="inlineStr">
        <is>
          <t>Maturity Year</t>
        </is>
      </c>
      <c r="T3" s="36" t="inlineStr">
        <is>
          <t>Value</t>
        </is>
      </c>
      <c r="U3" s="36" t="inlineStr">
        <is>
          <t>Rate</t>
        </is>
      </c>
      <c r="V3" s="30" t="inlineStr">
        <is>
          <t>Interest Expense</t>
        </is>
      </c>
    </row>
    <row r="4">
      <c r="A4" t="inlineStr">
        <is>
          <t>Type of Valuation</t>
        </is>
      </c>
      <c r="B4" s="12" t="inlineStr">
        <is>
          <t>FCFF</t>
        </is>
      </c>
      <c r="P4" s="37" t="n"/>
      <c r="S4" s="61" t="n"/>
      <c r="T4" s="61" t="n"/>
      <c r="U4" s="60" t="n"/>
      <c r="V4" s="70">
        <f>-PV(U4,(S4-YEAR(NOW())),,((S4-YEAR(NOW()))*(T4*U4)))</f>
        <v/>
      </c>
    </row>
    <row r="5" ht="28.8" customHeight="1">
      <c r="A5" t="inlineStr">
        <is>
          <t>Initial Amount</t>
        </is>
      </c>
      <c r="B5" s="69">
        <f>IF(B4="FCFF",B2,B1)</f>
        <v/>
      </c>
      <c r="O5" s="2" t="inlineStr">
        <is>
          <t>Average Beta</t>
        </is>
      </c>
      <c r="P5" s="58">
        <f>AVERAGE(P2:P4)</f>
        <v/>
      </c>
      <c r="S5" s="31" t="inlineStr">
        <is>
          <t>Book Value of Debt</t>
        </is>
      </c>
      <c r="T5" s="69">
        <f>SUM(#REF!)</f>
        <v/>
      </c>
    </row>
    <row r="6" ht="43.2" customHeight="1">
      <c r="A6">
        <f>IF(B4="FCFF", "WACC", "Cost of Equity")</f>
        <v/>
      </c>
      <c r="B6" s="51">
        <f>IF(B4="FCFF",P20,P19)</f>
        <v/>
      </c>
      <c r="C6" s="8" t="n"/>
      <c r="S6" s="31" t="inlineStr">
        <is>
          <t>Weighted-Average Cost of Debt</t>
        </is>
      </c>
      <c r="T6" s="51">
        <f>SUMPRODUCT(#REF!,#REF!)/T5</f>
        <v/>
      </c>
    </row>
    <row r="7" ht="28.8" customHeight="1">
      <c r="A7" t="inlineStr">
        <is>
          <t>Years of High/Low Growth</t>
        </is>
      </c>
      <c r="B7" s="12" t="n"/>
      <c r="O7" s="38" t="inlineStr">
        <is>
          <t>WACC Calculations</t>
        </is>
      </c>
      <c r="S7" s="31" t="inlineStr">
        <is>
          <t>After-Tax Cost of Debt</t>
        </is>
      </c>
      <c r="T7" s="51">
        <f>T6*(1-P14)</f>
        <v/>
      </c>
    </row>
    <row r="8">
      <c r="A8" t="inlineStr">
        <is>
          <t>Terminal Growth Rate</t>
        </is>
      </c>
      <c r="B8" s="62" t="n"/>
      <c r="O8" t="inlineStr">
        <is>
          <t>Beta</t>
        </is>
      </c>
      <c r="P8" s="6">
        <f>P5</f>
        <v/>
      </c>
    </row>
    <row r="9">
      <c r="O9" t="inlineStr">
        <is>
          <t>MRP or ERP</t>
        </is>
      </c>
      <c r="P9" s="13" t="n"/>
    </row>
    <row r="10">
      <c r="A10" t="inlineStr">
        <is>
          <t>Years</t>
        </is>
      </c>
      <c r="B10" s="15" t="n">
        <v>2020</v>
      </c>
      <c r="C10" s="15" t="n">
        <v>2021</v>
      </c>
      <c r="D10" s="15" t="n">
        <v>2022</v>
      </c>
      <c r="E10" s="15" t="n">
        <v>2023</v>
      </c>
      <c r="F10" s="15" t="n">
        <v>2024</v>
      </c>
      <c r="G10" s="15" t="n">
        <v>2025</v>
      </c>
      <c r="H10" s="15" t="n">
        <v>2026</v>
      </c>
      <c r="I10" s="15" t="n">
        <v>2027</v>
      </c>
      <c r="J10" s="15" t="n">
        <v>2028</v>
      </c>
      <c r="K10" s="15" t="n">
        <v>2029</v>
      </c>
      <c r="O10" t="inlineStr">
        <is>
          <t>MV of Debt</t>
        </is>
      </c>
      <c r="P10" s="71">
        <f>T5</f>
        <v/>
      </c>
    </row>
    <row r="11">
      <c r="A11" t="inlineStr">
        <is>
          <t>Projected Years</t>
        </is>
      </c>
      <c r="B11" s="15" t="n">
        <v>1</v>
      </c>
      <c r="C11" s="15" t="n">
        <v>2</v>
      </c>
      <c r="D11" s="15" t="n">
        <v>3</v>
      </c>
      <c r="E11" s="15" t="n">
        <v>4</v>
      </c>
      <c r="F11" s="15" t="n">
        <v>5</v>
      </c>
      <c r="G11" s="15" t="n">
        <v>6</v>
      </c>
      <c r="H11" s="15" t="n">
        <v>7</v>
      </c>
      <c r="I11" s="15" t="n">
        <v>8</v>
      </c>
      <c r="J11" s="15" t="n">
        <v>9</v>
      </c>
      <c r="K11" s="15" t="n">
        <v>10</v>
      </c>
      <c r="L11" t="inlineStr">
        <is>
          <t>Terminal</t>
        </is>
      </c>
      <c r="O11" t="inlineStr">
        <is>
          <t>Shares Outstanding</t>
        </is>
      </c>
      <c r="P11" s="22" t="n"/>
    </row>
    <row r="12">
      <c r="A12" t="inlineStr">
        <is>
          <t>Projected Growth</t>
        </is>
      </c>
      <c r="B12" s="13">
        <f>IF(B11&lt;=$B$7,'Growth Rates'!$B$18,$B$8)</f>
        <v/>
      </c>
      <c r="C12" s="13">
        <f>IF(C11&lt;=$B$7,'Growth Rates'!$B$18,$B$8)</f>
        <v/>
      </c>
      <c r="D12" s="13">
        <f>IF(D11&lt;=$B$7,'Growth Rates'!$B$18,$B$8)</f>
        <v/>
      </c>
      <c r="E12" s="13">
        <f>IF(E11&lt;=$B$7,'Growth Rates'!$B$18,$B$8)</f>
        <v/>
      </c>
      <c r="F12" s="13">
        <f>IF(F11&lt;=$B$7,'Growth Rates'!$B$18,$B$8)</f>
        <v/>
      </c>
      <c r="G12" s="13">
        <f>IF(G11&lt;=$B$7,'Growth Rates'!$B$18,$B$8)</f>
        <v/>
      </c>
      <c r="H12" s="13">
        <f>IF(H11&lt;=$B$7,'Growth Rates'!$B$18,$B$8)</f>
        <v/>
      </c>
      <c r="I12" s="13">
        <f>IF(I11&lt;=$B$7,'Growth Rates'!$B$18,$B$8)</f>
        <v/>
      </c>
      <c r="J12" s="13">
        <f>IF(J11&lt;=$B$7,'Growth Rates'!$B$18,$B$8)</f>
        <v/>
      </c>
      <c r="K12" s="13">
        <f>IF(K11&lt;=$B$7,'Growth Rates'!$B$18,$B$8)</f>
        <v/>
      </c>
      <c r="L12" s="8">
        <f>B8</f>
        <v/>
      </c>
      <c r="O12" t="inlineStr">
        <is>
          <t>Share Price</t>
        </is>
      </c>
      <c r="P12" s="72" t="n"/>
    </row>
    <row r="13">
      <c r="A13" t="inlineStr">
        <is>
          <t>Projected FCF</t>
        </is>
      </c>
      <c r="B13" s="69">
        <f>IF(B11&lt;=$B$7,B5*(1+B12),0)</f>
        <v/>
      </c>
      <c r="C13" s="69">
        <f>IF(C11&lt;=$B$7,B13*(1+C12),0)</f>
        <v/>
      </c>
      <c r="D13" s="69">
        <f>IF(D11&lt;=$B$7,C13*(1+D12),0)</f>
        <v/>
      </c>
      <c r="E13" s="69">
        <f>IF(E11&lt;=$B$7,D13*(1+E12),0)</f>
        <v/>
      </c>
      <c r="F13" s="69">
        <f>IF(F11&lt;=$B$7,E13*(1+F12),0)</f>
        <v/>
      </c>
      <c r="G13" s="73">
        <f>IF(G11&lt;=$B$7,F13*(1+G12),0)</f>
        <v/>
      </c>
      <c r="H13" s="73">
        <f>IF(H11&lt;=$B$7,G13*(1+H12),0)</f>
        <v/>
      </c>
      <c r="I13" s="73">
        <f>IF(I11&lt;=$B$7,H13*(1+I12),0)</f>
        <v/>
      </c>
      <c r="J13" s="73">
        <f>IF(J11&lt;=$B$7,I13*(1+J12),0)</f>
        <v/>
      </c>
      <c r="K13" s="73">
        <f>IF(K11&lt;=$B$7,J13*(1+K12),0)</f>
        <v/>
      </c>
      <c r="L13" s="69">
        <f>(HLOOKUP(B7,B11:K13,3)*(1+L12))/(B6-B8)</f>
        <v/>
      </c>
      <c r="O13" t="inlineStr">
        <is>
          <t>Market Cap</t>
        </is>
      </c>
      <c r="P13" s="69">
        <f>P11*P12</f>
        <v/>
      </c>
    </row>
    <row r="14">
      <c r="A14" t="inlineStr">
        <is>
          <t>Discounted FCF</t>
        </is>
      </c>
      <c r="B14" s="71">
        <f>B13/(1+$B$6)^B11</f>
        <v/>
      </c>
      <c r="C14" s="71">
        <f>C13/(1+$B$6)^C11</f>
        <v/>
      </c>
      <c r="D14" s="71">
        <f>D13/(1+$B$6)^D11</f>
        <v/>
      </c>
      <c r="E14" s="71">
        <f>E13/(1+$B$6)^E11</f>
        <v/>
      </c>
      <c r="F14" s="71">
        <f>F13/(1+$B$6)^F11</f>
        <v/>
      </c>
      <c r="G14" s="74">
        <f>G13/(1+$B$6)^G11</f>
        <v/>
      </c>
      <c r="H14" s="74">
        <f>H13/(1+$B$6)^H11</f>
        <v/>
      </c>
      <c r="I14" s="74">
        <f>I13/(1+$B$6)^I11</f>
        <v/>
      </c>
      <c r="J14" s="74">
        <f>J13/(1+$B$6)^J11</f>
        <v/>
      </c>
      <c r="K14" s="74">
        <f>K13/(1+$B$6)^K11</f>
        <v/>
      </c>
      <c r="L14" s="71">
        <f>L13/(1+B6)^HLOOKUP(B7,B11:K13,1)</f>
        <v/>
      </c>
      <c r="O14" t="inlineStr">
        <is>
          <t>Tax Rate</t>
        </is>
      </c>
      <c r="P14" s="75">
        <f>'FCFF &amp; FCFE'!J1</f>
        <v/>
      </c>
    </row>
    <row r="15">
      <c r="O15" t="inlineStr">
        <is>
          <t>Percent Debt</t>
        </is>
      </c>
      <c r="P15" s="51">
        <f>P10/(P10+P13)</f>
        <v/>
      </c>
    </row>
    <row r="16">
      <c r="O16" t="inlineStr">
        <is>
          <t>Percent Equity</t>
        </is>
      </c>
      <c r="P16" s="8">
        <f>1-P15</f>
        <v/>
      </c>
    </row>
    <row r="17">
      <c r="A17" t="inlineStr">
        <is>
          <t>Enterprise Value</t>
        </is>
      </c>
      <c r="B17" s="71">
        <f>SUM(B14:L14)</f>
        <v/>
      </c>
      <c r="O17" t="inlineStr">
        <is>
          <t>Risk-Free Rate</t>
        </is>
      </c>
      <c r="P17" s="13" t="n"/>
    </row>
    <row r="18">
      <c r="A18" t="inlineStr">
        <is>
          <t>Net Debt</t>
        </is>
      </c>
      <c r="B18" s="69">
        <f>Multiples!H6</f>
        <v/>
      </c>
      <c r="O18" t="inlineStr">
        <is>
          <t>Cost of Debt</t>
        </is>
      </c>
      <c r="P18" s="8">
        <f>T7</f>
        <v/>
      </c>
    </row>
    <row r="19">
      <c r="A19" t="inlineStr">
        <is>
          <t>Equity Value</t>
        </is>
      </c>
      <c r="B19" s="76">
        <f>B17-B18</f>
        <v/>
      </c>
      <c r="O19" t="inlineStr">
        <is>
          <t>Cost of Equity</t>
        </is>
      </c>
      <c r="P19" s="8">
        <f>P17+(P8*P9)</f>
        <v/>
      </c>
    </row>
    <row r="20" ht="15" customHeight="1" thickBot="1">
      <c r="O20" s="2" t="inlineStr">
        <is>
          <t xml:space="preserve">WACC </t>
        </is>
      </c>
      <c r="P20" s="57">
        <f>(P18*P15)+(P19*P16)</f>
        <v/>
      </c>
    </row>
    <row r="21" ht="15" customHeight="1" thickBot="1">
      <c r="A21" s="32" t="inlineStr">
        <is>
          <t>Price Per Share</t>
        </is>
      </c>
      <c r="B21" s="77">
        <f>B19/P11</f>
        <v/>
      </c>
      <c r="C21" s="43">
        <f>B21/P12-1</f>
        <v/>
      </c>
    </row>
    <row r="24">
      <c r="A24" s="33" t="inlineStr">
        <is>
          <t>Model</t>
        </is>
      </c>
      <c r="B24" s="33" t="inlineStr">
        <is>
          <t>Intrinsic Value</t>
        </is>
      </c>
      <c r="C24" s="33" t="inlineStr">
        <is>
          <t>Upside</t>
        </is>
      </c>
      <c r="D24" s="33" t="inlineStr">
        <is>
          <t>Weight</t>
        </is>
      </c>
      <c r="G24" s="51" t="n"/>
      <c r="H24" s="66" t="inlineStr">
        <is>
          <t>Sensitivity Table</t>
        </is>
      </c>
    </row>
    <row r="25">
      <c r="A25" s="34" t="inlineStr">
        <is>
          <t>DCF</t>
        </is>
      </c>
      <c r="B25" s="78">
        <f>B21</f>
        <v/>
      </c>
      <c r="C25" s="45">
        <f>C21</f>
        <v/>
      </c>
      <c r="D25" s="47" t="n">
        <v>0.8</v>
      </c>
      <c r="H25" s="65" t="inlineStr">
        <is>
          <t>Growth Rate</t>
        </is>
      </c>
      <c r="I25" s="28" t="n"/>
      <c r="J25" s="28" t="n"/>
      <c r="K25" s="28" t="n"/>
      <c r="L25" s="28" t="n"/>
      <c r="M25" s="28" t="n"/>
      <c r="N25" s="28" t="n"/>
    </row>
    <row r="26" ht="15" customHeight="1">
      <c r="A26" s="34" t="inlineStr">
        <is>
          <t>Multiples</t>
        </is>
      </c>
      <c r="B26" s="78">
        <f>Multiples!A8</f>
        <v/>
      </c>
      <c r="C26" s="46">
        <f>B26/P12-1</f>
        <v/>
      </c>
      <c r="D26" s="47" t="n">
        <v>0.2</v>
      </c>
      <c r="F26" s="67" t="inlineStr">
        <is>
          <t>Discount Rate</t>
        </is>
      </c>
      <c r="G26" s="79">
        <f>B28</f>
        <v/>
      </c>
      <c r="H26" s="80" t="n">
        <v>-0.09</v>
      </c>
      <c r="I26" s="80" t="n">
        <v>-0.06</v>
      </c>
      <c r="J26" s="80" t="n">
        <v>-0.03</v>
      </c>
      <c r="K26" s="80" t="n">
        <v>0</v>
      </c>
      <c r="L26" s="80" t="n">
        <v>0.03</v>
      </c>
      <c r="M26" s="80" t="n">
        <v>0.06</v>
      </c>
      <c r="N26" s="80" t="n">
        <v>0.09</v>
      </c>
    </row>
    <row r="27" ht="15" customHeight="1">
      <c r="A27" s="34" t="inlineStr">
        <is>
          <t>DDM</t>
        </is>
      </c>
      <c r="B27" s="78">
        <f>DDM!B18</f>
        <v/>
      </c>
      <c r="C27" s="46">
        <f>B27/P12-1</f>
        <v/>
      </c>
      <c r="D27" s="47" t="n">
        <v>0</v>
      </c>
      <c r="F27" s="81" t="n"/>
      <c r="G27" s="8" t="n">
        <v>0.055</v>
      </c>
      <c r="H27" s="55">
        <f/>
        <v/>
      </c>
      <c r="I27" s="55" t="e">
        <v>#N/A</v>
      </c>
      <c r="J27" s="55" t="e">
        <v>#N/A</v>
      </c>
      <c r="K27" s="55" t="e">
        <v>#N/A</v>
      </c>
      <c r="L27" s="55" t="e">
        <v>#N/A</v>
      </c>
      <c r="M27" s="55" t="e">
        <v>#N/A</v>
      </c>
      <c r="N27" s="55" t="e">
        <v>#N/A</v>
      </c>
    </row>
    <row r="28" ht="15" customHeight="1" thickBot="1">
      <c r="A28" s="35" t="inlineStr">
        <is>
          <t>Price Target</t>
        </is>
      </c>
      <c r="B28" s="82">
        <f>(B25*D25)+(B26*D26)+(B27*D27)</f>
        <v/>
      </c>
      <c r="C28" s="50">
        <f>B28/P12-1</f>
        <v/>
      </c>
      <c r="D28" s="48">
        <f>SUM(D25:D27)</f>
        <v/>
      </c>
      <c r="F28" s="81" t="n"/>
      <c r="G28" s="8" t="n">
        <v>0.06</v>
      </c>
      <c r="H28" s="55" t="e">
        <v>#N/A</v>
      </c>
      <c r="I28" s="55" t="e">
        <v>#N/A</v>
      </c>
      <c r="J28" s="55" t="e">
        <v>#N/A</v>
      </c>
      <c r="K28" s="55" t="e">
        <v>#N/A</v>
      </c>
      <c r="L28" s="55" t="e">
        <v>#N/A</v>
      </c>
      <c r="M28" s="55" t="e">
        <v>#N/A</v>
      </c>
      <c r="N28" s="55" t="e">
        <v>#N/A</v>
      </c>
    </row>
    <row r="29" ht="15" customHeight="1" thickTop="1">
      <c r="F29" s="81" t="n"/>
      <c r="G29" s="8">
        <f>G28+0.005</f>
        <v/>
      </c>
      <c r="H29" s="55" t="e">
        <v>#N/A</v>
      </c>
      <c r="I29" s="55" t="e">
        <v>#N/A</v>
      </c>
      <c r="J29" s="55" t="e">
        <v>#N/A</v>
      </c>
      <c r="K29" s="55" t="e">
        <v>#N/A</v>
      </c>
      <c r="L29" s="55" t="e">
        <v>#N/A</v>
      </c>
      <c r="M29" s="55" t="e">
        <v>#N/A</v>
      </c>
      <c r="N29" s="55" t="e">
        <v>#N/A</v>
      </c>
    </row>
    <row r="30">
      <c r="F30" s="81" t="n"/>
      <c r="G30" s="8">
        <f>G29+0.005</f>
        <v/>
      </c>
      <c r="H30" s="55" t="e">
        <v>#N/A</v>
      </c>
      <c r="I30" s="55" t="e">
        <v>#N/A</v>
      </c>
      <c r="J30" s="55" t="e">
        <v>#N/A</v>
      </c>
      <c r="K30" s="55" t="e">
        <v>#N/A</v>
      </c>
      <c r="L30" s="55" t="e">
        <v>#N/A</v>
      </c>
      <c r="M30" s="55" t="e">
        <v>#N/A</v>
      </c>
      <c r="N30" s="55" t="e">
        <v>#N/A</v>
      </c>
    </row>
    <row r="31">
      <c r="F31" s="81" t="n"/>
      <c r="G31" s="8">
        <f>G30+0.005</f>
        <v/>
      </c>
      <c r="H31" s="55" t="e">
        <v>#N/A</v>
      </c>
      <c r="I31" s="55" t="e">
        <v>#N/A</v>
      </c>
      <c r="J31" s="55" t="e">
        <v>#N/A</v>
      </c>
      <c r="K31" s="55" t="e">
        <v>#N/A</v>
      </c>
      <c r="L31" s="55" t="e">
        <v>#N/A</v>
      </c>
      <c r="M31" s="55" t="e">
        <v>#N/A</v>
      </c>
      <c r="N31" s="55" t="e">
        <v>#N/A</v>
      </c>
    </row>
    <row r="32">
      <c r="F32" s="81" t="n"/>
      <c r="G32" s="8">
        <f>G31+0.005</f>
        <v/>
      </c>
      <c r="H32" s="55" t="e">
        <v>#N/A</v>
      </c>
      <c r="I32" s="55" t="e">
        <v>#N/A</v>
      </c>
      <c r="J32" s="55" t="e">
        <v>#N/A</v>
      </c>
      <c r="K32" s="55" t="e">
        <v>#N/A</v>
      </c>
      <c r="L32" s="55" t="e">
        <v>#N/A</v>
      </c>
      <c r="M32" s="55" t="e">
        <v>#N/A</v>
      </c>
      <c r="N32" s="55" t="e">
        <v>#N/A</v>
      </c>
    </row>
    <row r="33">
      <c r="F33" s="81" t="n"/>
      <c r="G33" s="8">
        <f>G32+0.005</f>
        <v/>
      </c>
      <c r="H33" s="55" t="e">
        <v>#N/A</v>
      </c>
      <c r="I33" s="55" t="e">
        <v>#N/A</v>
      </c>
      <c r="J33" s="55" t="e">
        <v>#N/A</v>
      </c>
      <c r="K33" s="55" t="e">
        <v>#N/A</v>
      </c>
      <c r="L33" s="55" t="e">
        <v>#N/A</v>
      </c>
      <c r="M33" s="55" t="e">
        <v>#N/A</v>
      </c>
      <c r="N33" s="55" t="e">
        <v>#N/A</v>
      </c>
    </row>
    <row r="34">
      <c r="F34" s="81" t="n"/>
      <c r="G34" s="8" t="n">
        <v>0.09</v>
      </c>
      <c r="H34" s="55" t="e">
        <v>#N/A</v>
      </c>
      <c r="I34" s="55" t="e">
        <v>#N/A</v>
      </c>
      <c r="J34" s="55" t="e">
        <v>#N/A</v>
      </c>
      <c r="K34" s="55" t="e">
        <v>#N/A</v>
      </c>
      <c r="L34" s="55" t="e">
        <v>#N/A</v>
      </c>
      <c r="M34" s="55" t="e">
        <v>#N/A</v>
      </c>
      <c r="N34" s="55" t="e">
        <v>#N/A</v>
      </c>
    </row>
  </sheetData>
  <mergeCells count="3">
    <mergeCell ref="H25:N25"/>
    <mergeCell ref="H24:N24"/>
    <mergeCell ref="F26:F34"/>
  </mergeCells>
  <conditionalFormatting sqref="H27:N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B4" showErrorMessage="1" showInputMessage="1" allowBlank="0" type="list">
      <formula1>$A$1:$A$2</formula1>
    </dataValidation>
  </dataValidations>
  <pageMargins left="0.7" right="0.7" top="0.75" bottom="0.75" header="0.3" footer="0.3"/>
  <pageSetup orientation="portrait" horizontalDpi="300" verticalDpi="300"/>
</worksheet>
</file>

<file path=xl/worksheets/sheet10.xml><?xml version="1.0" encoding="utf-8"?>
<worksheet xmlns="http://schemas.openxmlformats.org/spreadsheetml/2006/main">
  <sheetPr codeName="Sheet10">
    <tabColor rgb="FF00B0F0"/>
    <outlinePr summaryBelow="1" summaryRight="1"/>
    <pageSetUpPr/>
  </sheetPr>
  <dimension ref="A2:B40"/>
  <sheetViews>
    <sheetView topLeftCell="A11" workbookViewId="0">
      <selection activeCell="A27" sqref="A27"/>
    </sheetView>
  </sheetViews>
  <sheetFormatPr baseColWidth="8" defaultRowHeight="14.4"/>
  <cols>
    <col width="52.33203125" bestFit="1" customWidth="1" min="1" max="1"/>
  </cols>
  <sheetData>
    <row r="2">
      <c r="A2" t="inlineStr">
        <is>
          <t>Fiscal year ends in June. USD in millions except per share data.</t>
        </is>
      </c>
      <c r="B2" t="inlineStr">
        <is>
          <t>TTM</t>
        </is>
      </c>
    </row>
    <row r="3">
      <c r="A3" t="inlineStr">
        <is>
          <t>Cash Flows From Operating Activities</t>
        </is>
      </c>
    </row>
    <row r="4">
      <c r="A4" t="inlineStr">
        <is>
          <t>Net income</t>
        </is>
      </c>
    </row>
    <row r="5">
      <c r="A5" t="inlineStr">
        <is>
          <t>Depreciation &amp; amortization</t>
        </is>
      </c>
    </row>
    <row r="6">
      <c r="A6" t="inlineStr">
        <is>
          <t>Investment/asset impairment charges</t>
        </is>
      </c>
    </row>
    <row r="7">
      <c r="A7" t="inlineStr">
        <is>
          <t>Investments losses (gains)</t>
        </is>
      </c>
    </row>
    <row r="8">
      <c r="A8" t="inlineStr">
        <is>
          <t>Deferred income taxes</t>
        </is>
      </c>
    </row>
    <row r="9">
      <c r="A9" t="inlineStr">
        <is>
          <t>Stock based compensation</t>
        </is>
      </c>
    </row>
    <row r="10">
      <c r="A10" t="inlineStr">
        <is>
          <t>Change in working capital</t>
        </is>
      </c>
    </row>
    <row r="11">
      <c r="A11" t="inlineStr">
        <is>
          <t>Accounts receivable</t>
        </is>
      </c>
    </row>
    <row r="12">
      <c r="A12" t="inlineStr">
        <is>
          <t>Inventory</t>
        </is>
      </c>
    </row>
    <row r="13">
      <c r="A13" t="inlineStr">
        <is>
          <t>Accounts payable</t>
        </is>
      </c>
    </row>
    <row r="14">
      <c r="A14" t="inlineStr">
        <is>
          <t>Other working capital</t>
        </is>
      </c>
    </row>
    <row r="15">
      <c r="A15" t="inlineStr">
        <is>
          <t>Other non-cash items</t>
        </is>
      </c>
    </row>
    <row r="16">
      <c r="A16" t="inlineStr">
        <is>
          <t>Net cash provided by operating activities</t>
        </is>
      </c>
    </row>
    <row r="17">
      <c r="A17" t="inlineStr">
        <is>
          <t>Cash Flows From Investing Activities</t>
        </is>
      </c>
    </row>
    <row r="18">
      <c r="A18" t="inlineStr">
        <is>
          <t>Investments in property, plant, and equipment</t>
        </is>
      </c>
    </row>
    <row r="19">
      <c r="A19" t="inlineStr">
        <is>
          <t>Acquisitions, net</t>
        </is>
      </c>
    </row>
    <row r="20">
      <c r="A20" t="inlineStr">
        <is>
          <t>Purchases of investments</t>
        </is>
      </c>
    </row>
    <row r="21">
      <c r="A21" t="inlineStr">
        <is>
          <t>Sales/Maturities of investments</t>
        </is>
      </c>
    </row>
    <row r="22">
      <c r="A22" t="inlineStr">
        <is>
          <t>Other investing activities</t>
        </is>
      </c>
    </row>
    <row r="23">
      <c r="A23" t="inlineStr">
        <is>
          <t>Net cash used for investing activities</t>
        </is>
      </c>
    </row>
    <row r="24">
      <c r="A24" t="inlineStr">
        <is>
          <t>Cash Flows From Financing Activities</t>
        </is>
      </c>
    </row>
    <row r="25">
      <c r="A25" t="inlineStr">
        <is>
          <t>Debt issued</t>
        </is>
      </c>
    </row>
    <row r="26">
      <c r="A26" t="inlineStr">
        <is>
          <t>Debt repayment</t>
        </is>
      </c>
    </row>
    <row r="27">
      <c r="A27" t="inlineStr">
        <is>
          <t>Common stock issued</t>
        </is>
      </c>
    </row>
    <row r="28">
      <c r="A28" t="inlineStr">
        <is>
          <t>Common stock repurchased</t>
        </is>
      </c>
    </row>
    <row r="29">
      <c r="A29" t="inlineStr">
        <is>
          <t>Excess tax benefit from stock based compensation</t>
        </is>
      </c>
    </row>
    <row r="30">
      <c r="A30" t="inlineStr">
        <is>
          <t>Dividend paid</t>
        </is>
      </c>
    </row>
    <row r="31">
      <c r="A31" t="inlineStr">
        <is>
          <t>Other financing activities</t>
        </is>
      </c>
    </row>
    <row r="32">
      <c r="A32" t="inlineStr">
        <is>
          <t>Net cash provided by (used for) financing activities</t>
        </is>
      </c>
    </row>
    <row r="33">
      <c r="A33" t="inlineStr">
        <is>
          <t>Effect of exchange rate changes</t>
        </is>
      </c>
    </row>
    <row r="34">
      <c r="A34" t="inlineStr">
        <is>
          <t>Net change in cash</t>
        </is>
      </c>
    </row>
    <row r="35">
      <c r="A35" t="inlineStr">
        <is>
          <t>Cash at beginning of period</t>
        </is>
      </c>
    </row>
    <row r="36">
      <c r="A36" t="inlineStr">
        <is>
          <t>Cash at end of period</t>
        </is>
      </c>
    </row>
    <row r="37">
      <c r="A37" t="inlineStr">
        <is>
          <t>Free Cash Flow</t>
        </is>
      </c>
    </row>
    <row r="38">
      <c r="A38" t="inlineStr">
        <is>
          <t>Operating cash flow</t>
        </is>
      </c>
    </row>
    <row r="39">
      <c r="A39" t="inlineStr">
        <is>
          <t>Capital expenditure</t>
        </is>
      </c>
    </row>
    <row r="40">
      <c r="A40" t="inlineStr">
        <is>
          <t>Free cash flow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 codeName="Sheet11">
    <tabColor rgb="FF00B0F0"/>
    <outlinePr summaryBelow="1" summaryRight="1"/>
    <pageSetUpPr/>
  </sheetPr>
  <dimension ref="A1:B110"/>
  <sheetViews>
    <sheetView topLeftCell="A18" workbookViewId="0">
      <selection activeCell="C38" sqref="C38"/>
    </sheetView>
  </sheetViews>
  <sheetFormatPr baseColWidth="8" defaultRowHeight="14.4"/>
  <cols>
    <col width="30.44140625" bestFit="1" customWidth="1" min="1" max="1"/>
  </cols>
  <sheetData>
    <row r="1">
      <c r="A1" t="inlineStr">
        <is>
          <t>Financials</t>
        </is>
      </c>
    </row>
    <row r="2">
      <c r="B2" t="inlineStr">
        <is>
          <t>TTM</t>
        </is>
      </c>
    </row>
    <row r="3">
      <c r="A3" t="inlineStr">
        <is>
          <t>Revenue USD Mil</t>
        </is>
      </c>
      <c r="B3" s="59" t="n"/>
    </row>
    <row r="4">
      <c r="A4" t="inlineStr">
        <is>
          <t>Gross Margin %</t>
        </is>
      </c>
    </row>
    <row r="5">
      <c r="A5" t="inlineStr">
        <is>
          <t>Operating Income USD Mil</t>
        </is>
      </c>
      <c r="B5" s="59" t="n"/>
    </row>
    <row r="6">
      <c r="A6" t="inlineStr">
        <is>
          <t>Operating Margin %</t>
        </is>
      </c>
    </row>
    <row r="7">
      <c r="A7" t="inlineStr">
        <is>
          <t>Net Income USD Mil</t>
        </is>
      </c>
      <c r="B7" s="59" t="n"/>
    </row>
    <row r="8">
      <c r="A8" t="inlineStr">
        <is>
          <t>Earnings Per Share USD</t>
        </is>
      </c>
    </row>
    <row r="9">
      <c r="A9" t="inlineStr">
        <is>
          <t>Dividends USD</t>
        </is>
      </c>
    </row>
    <row r="10">
      <c r="A10" t="inlineStr">
        <is>
          <t>Payout Ratio % *</t>
        </is>
      </c>
    </row>
    <row r="11">
      <c r="A11" t="inlineStr">
        <is>
          <t>Shares Mil</t>
        </is>
      </c>
      <c r="B11" s="59" t="n"/>
    </row>
    <row r="12">
      <c r="A12" t="inlineStr">
        <is>
          <t>Book Value Per Share * USD</t>
        </is>
      </c>
    </row>
    <row r="13">
      <c r="A13" t="inlineStr">
        <is>
          <t>Operating Cash Flow USD Mil</t>
        </is>
      </c>
      <c r="B13" s="59" t="n"/>
    </row>
    <row r="14">
      <c r="A14" t="inlineStr">
        <is>
          <t>Cap Spending USD Mil</t>
        </is>
      </c>
      <c r="B14" s="59" t="n"/>
    </row>
    <row r="15">
      <c r="A15" t="inlineStr">
        <is>
          <t>Free Cash Flow USD Mil</t>
        </is>
      </c>
      <c r="B15" s="59" t="n"/>
    </row>
    <row r="16">
      <c r="A16" t="inlineStr">
        <is>
          <t>Free Cash Flow Per Share * USD</t>
        </is>
      </c>
    </row>
    <row r="17">
      <c r="A17" t="inlineStr">
        <is>
          <t>Working Capital USD Mil</t>
        </is>
      </c>
    </row>
    <row r="19">
      <c r="A19" t="inlineStr">
        <is>
          <t>Key Ratios -&gt; Profitability</t>
        </is>
      </c>
    </row>
    <row r="20">
      <c r="A20" t="inlineStr">
        <is>
          <t>Margins % of Sales</t>
        </is>
      </c>
      <c r="B20" t="inlineStr">
        <is>
          <t>TTM</t>
        </is>
      </c>
    </row>
    <row r="21">
      <c r="A21" t="inlineStr">
        <is>
          <t>Revenue</t>
        </is>
      </c>
    </row>
    <row r="22">
      <c r="A22" t="inlineStr">
        <is>
          <t>COGS</t>
        </is>
      </c>
    </row>
    <row r="23">
      <c r="A23" t="inlineStr">
        <is>
          <t>Gross Margin</t>
        </is>
      </c>
    </row>
    <row r="24">
      <c r="A24" t="inlineStr">
        <is>
          <t>SG&amp;A</t>
        </is>
      </c>
    </row>
    <row r="25">
      <c r="A25" t="inlineStr">
        <is>
          <t>R&amp;D</t>
        </is>
      </c>
    </row>
    <row r="26">
      <c r="A26" t="inlineStr">
        <is>
          <t>Other</t>
        </is>
      </c>
    </row>
    <row r="27">
      <c r="A27" t="inlineStr">
        <is>
          <t>Operating Margin</t>
        </is>
      </c>
    </row>
    <row r="28">
      <c r="A28" t="inlineStr">
        <is>
          <t>Net Int Inc &amp; Other</t>
        </is>
      </c>
    </row>
    <row r="29">
      <c r="A29" t="inlineStr">
        <is>
          <t>EBT Margin</t>
        </is>
      </c>
    </row>
    <row r="31">
      <c r="A31" t="inlineStr">
        <is>
          <t>Profitability</t>
        </is>
      </c>
      <c r="B31" t="inlineStr">
        <is>
          <t>TTM</t>
        </is>
      </c>
    </row>
    <row r="32">
      <c r="A32" t="inlineStr">
        <is>
          <t>Tax Rate %</t>
        </is>
      </c>
    </row>
    <row r="33">
      <c r="A33" t="inlineStr">
        <is>
          <t>Net Margin %</t>
        </is>
      </c>
    </row>
    <row r="34">
      <c r="A34" t="inlineStr">
        <is>
          <t>Asset Turnover (Average)</t>
        </is>
      </c>
    </row>
    <row r="35">
      <c r="A35" t="inlineStr">
        <is>
          <t>Return on Assets %</t>
        </is>
      </c>
    </row>
    <row r="36">
      <c r="A36" t="inlineStr">
        <is>
          <t>Financial Leverage (Average)</t>
        </is>
      </c>
    </row>
    <row r="37">
      <c r="A37" t="inlineStr">
        <is>
          <t>Return on Equity %</t>
        </is>
      </c>
    </row>
    <row r="38">
      <c r="A38" t="inlineStr">
        <is>
          <t>Return on Invested Capital %</t>
        </is>
      </c>
    </row>
    <row r="39">
      <c r="A39" t="inlineStr">
        <is>
          <t>Interest Coverage</t>
        </is>
      </c>
    </row>
    <row r="41">
      <c r="A41" t="inlineStr">
        <is>
          <t>Key Ratios -&gt; Growth</t>
        </is>
      </c>
    </row>
    <row r="42">
      <c r="B42" t="inlineStr">
        <is>
          <t>Latest Qtr</t>
        </is>
      </c>
    </row>
    <row r="43">
      <c r="A43" t="inlineStr">
        <is>
          <t>Revenue %</t>
        </is>
      </c>
    </row>
    <row r="44">
      <c r="A44" t="inlineStr">
        <is>
          <t>Year over Year</t>
        </is>
      </c>
    </row>
    <row r="45">
      <c r="A45" t="inlineStr">
        <is>
          <t>3-Year Average</t>
        </is>
      </c>
    </row>
    <row r="46">
      <c r="A46" t="inlineStr">
        <is>
          <t>5-Year Average</t>
        </is>
      </c>
    </row>
    <row r="47">
      <c r="A47" t="inlineStr">
        <is>
          <t>10-Year Average</t>
        </is>
      </c>
    </row>
    <row r="48">
      <c r="A48" t="inlineStr">
        <is>
          <t>Operating Income %</t>
        </is>
      </c>
    </row>
    <row r="49">
      <c r="A49" t="inlineStr">
        <is>
          <t>Year over Year</t>
        </is>
      </c>
    </row>
    <row r="50">
      <c r="A50" t="inlineStr">
        <is>
          <t>3-Year Average</t>
        </is>
      </c>
    </row>
    <row r="51">
      <c r="A51" t="inlineStr">
        <is>
          <t>5-Year Average</t>
        </is>
      </c>
    </row>
    <row r="52">
      <c r="A52" t="inlineStr">
        <is>
          <t>10-Year Average</t>
        </is>
      </c>
    </row>
    <row r="53">
      <c r="A53" t="inlineStr">
        <is>
          <t>Net Income %</t>
        </is>
      </c>
    </row>
    <row r="54">
      <c r="A54" t="inlineStr">
        <is>
          <t>Year over Year</t>
        </is>
      </c>
    </row>
    <row r="55">
      <c r="A55" t="inlineStr">
        <is>
          <t>3-Year Average</t>
        </is>
      </c>
    </row>
    <row r="56">
      <c r="A56" t="inlineStr">
        <is>
          <t>5-Year Average</t>
        </is>
      </c>
    </row>
    <row r="57">
      <c r="A57" t="inlineStr">
        <is>
          <t>10-Year Average</t>
        </is>
      </c>
    </row>
    <row r="58">
      <c r="A58" t="inlineStr">
        <is>
          <t>EPS %</t>
        </is>
      </c>
    </row>
    <row r="59">
      <c r="A59" t="inlineStr">
        <is>
          <t>Year over Year</t>
        </is>
      </c>
    </row>
    <row r="60">
      <c r="A60" t="inlineStr">
        <is>
          <t>3-Year Average</t>
        </is>
      </c>
    </row>
    <row r="61">
      <c r="A61" t="inlineStr">
        <is>
          <t>5-Year Average</t>
        </is>
      </c>
    </row>
    <row r="62">
      <c r="A62" t="inlineStr">
        <is>
          <t>10-Year Average</t>
        </is>
      </c>
    </row>
    <row r="64">
      <c r="A64" t="inlineStr">
        <is>
          <t>Key Ratios -&gt; Cash Flow</t>
        </is>
      </c>
    </row>
    <row r="65">
      <c r="A65" t="inlineStr">
        <is>
          <t>Cash Flow Ratios</t>
        </is>
      </c>
      <c r="B65" t="inlineStr">
        <is>
          <t>TTM</t>
        </is>
      </c>
    </row>
    <row r="66">
      <c r="A66" t="inlineStr">
        <is>
          <t>Operating Cash Flow Growth % YOY</t>
        </is>
      </c>
    </row>
    <row r="67">
      <c r="A67" t="inlineStr">
        <is>
          <t>Free Cash Flow Growth % YOY</t>
        </is>
      </c>
    </row>
    <row r="68">
      <c r="A68" t="inlineStr">
        <is>
          <t>Cap Ex as a % of Sales</t>
        </is>
      </c>
    </row>
    <row r="69">
      <c r="A69" t="inlineStr">
        <is>
          <t>Free Cash Flow/Sales %</t>
        </is>
      </c>
    </row>
    <row r="70">
      <c r="A70" t="inlineStr">
        <is>
          <t>Free Cash Flow/Net Income</t>
        </is>
      </c>
    </row>
    <row r="72">
      <c r="A72" t="inlineStr">
        <is>
          <t>Key Ratios -&gt; Financial Health</t>
        </is>
      </c>
    </row>
    <row r="73">
      <c r="A73" t="inlineStr">
        <is>
          <t>Balance Sheet Items (in %)</t>
        </is>
      </c>
      <c r="B73" t="inlineStr">
        <is>
          <t>Latest Qtr</t>
        </is>
      </c>
    </row>
    <row r="74">
      <c r="A74" t="inlineStr">
        <is>
          <t>Cash &amp; Short-Term Investments</t>
        </is>
      </c>
    </row>
    <row r="75">
      <c r="A75" t="inlineStr">
        <is>
          <t>Accounts Receivable</t>
        </is>
      </c>
    </row>
    <row r="76">
      <c r="A76" t="inlineStr">
        <is>
          <t>Inventory</t>
        </is>
      </c>
    </row>
    <row r="77">
      <c r="A77" t="inlineStr">
        <is>
          <t>Other Current Assets</t>
        </is>
      </c>
    </row>
    <row r="78">
      <c r="A78" t="inlineStr">
        <is>
          <t>Total Current Assets</t>
        </is>
      </c>
    </row>
    <row r="79">
      <c r="A79" t="inlineStr">
        <is>
          <t>Net PP&amp;E</t>
        </is>
      </c>
    </row>
    <row r="80">
      <c r="A80" t="inlineStr">
        <is>
          <t>Intangibles</t>
        </is>
      </c>
    </row>
    <row r="81">
      <c r="A81" t="inlineStr">
        <is>
          <t>Other Long-Term Assets</t>
        </is>
      </c>
    </row>
    <row r="82">
      <c r="A82" t="inlineStr">
        <is>
          <t>Total Assets</t>
        </is>
      </c>
    </row>
    <row r="83">
      <c r="A83" t="inlineStr">
        <is>
          <t>Accounts Payable</t>
        </is>
      </c>
    </row>
    <row r="84">
      <c r="A84" t="inlineStr">
        <is>
          <t>Short-Term Debt</t>
        </is>
      </c>
    </row>
    <row r="85">
      <c r="A85" t="inlineStr">
        <is>
          <t>Taxes Payable</t>
        </is>
      </c>
    </row>
    <row r="86">
      <c r="A86" t="inlineStr">
        <is>
          <t>Accrued Liabilities</t>
        </is>
      </c>
    </row>
    <row r="87">
      <c r="A87" t="inlineStr">
        <is>
          <t>Other Short-Term Liabilities</t>
        </is>
      </c>
    </row>
    <row r="88">
      <c r="A88" t="inlineStr">
        <is>
          <t>Total Current Liabilities</t>
        </is>
      </c>
    </row>
    <row r="89">
      <c r="A89" t="inlineStr">
        <is>
          <t>Long-Term Debt</t>
        </is>
      </c>
    </row>
    <row r="90">
      <c r="A90" t="inlineStr">
        <is>
          <t>Other Long-Term Liabilities</t>
        </is>
      </c>
    </row>
    <row r="91">
      <c r="A91" t="inlineStr">
        <is>
          <t>Total Liabilities</t>
        </is>
      </c>
    </row>
    <row r="92">
      <c r="A92" t="inlineStr">
        <is>
          <t>Total Stockholders' Equity</t>
        </is>
      </c>
    </row>
    <row r="93">
      <c r="A93" t="inlineStr">
        <is>
          <t>Total Liabilities &amp; Equity</t>
        </is>
      </c>
    </row>
    <row r="95">
      <c r="A95" t="inlineStr">
        <is>
          <t>Liquidity/Financial Health</t>
        </is>
      </c>
      <c r="B95" t="inlineStr">
        <is>
          <t>Latest Qtr</t>
        </is>
      </c>
    </row>
    <row r="96">
      <c r="A96" t="inlineStr">
        <is>
          <t>Current Ratio</t>
        </is>
      </c>
    </row>
    <row r="97">
      <c r="A97" t="inlineStr">
        <is>
          <t>Quick Ratio</t>
        </is>
      </c>
    </row>
    <row r="98">
      <c r="A98" t="inlineStr">
        <is>
          <t>Financial Leverage</t>
        </is>
      </c>
    </row>
    <row r="99">
      <c r="A99" t="inlineStr">
        <is>
          <t>Debt/Equity</t>
        </is>
      </c>
    </row>
    <row r="101">
      <c r="A101" t="inlineStr">
        <is>
          <t>Key Ratios -&gt; Efficiency Ratios</t>
        </is>
      </c>
    </row>
    <row r="102">
      <c r="A102" t="inlineStr">
        <is>
          <t>Efficiency</t>
        </is>
      </c>
      <c r="B102" t="inlineStr">
        <is>
          <t>TTM</t>
        </is>
      </c>
    </row>
    <row r="103">
      <c r="A103" t="inlineStr">
        <is>
          <t>Days Sales Outstanding</t>
        </is>
      </c>
    </row>
    <row r="104">
      <c r="A104" t="inlineStr">
        <is>
          <t>Days Inventory</t>
        </is>
      </c>
    </row>
    <row r="105">
      <c r="A105" t="inlineStr">
        <is>
          <t>Payables Period</t>
        </is>
      </c>
    </row>
    <row r="106">
      <c r="A106" t="inlineStr">
        <is>
          <t>Cash Conversion Cycle</t>
        </is>
      </c>
    </row>
    <row r="107">
      <c r="A107" t="inlineStr">
        <is>
          <t>Receivables Turnover</t>
        </is>
      </c>
    </row>
    <row r="108">
      <c r="A108" t="inlineStr">
        <is>
          <t>Inventory Turnover</t>
        </is>
      </c>
    </row>
    <row r="109">
      <c r="A109" t="inlineStr">
        <is>
          <t>Fixed Assets Turnover</t>
        </is>
      </c>
    </row>
    <row r="110">
      <c r="A110" t="inlineStr">
        <is>
          <t>Asset Turnover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12">
    <tabColor rgb="FF00B0F0"/>
    <outlinePr summaryBelow="1" summaryRight="1"/>
    <pageSetUpPr/>
  </sheetPr>
  <dimension ref="A1:C1"/>
  <sheetViews>
    <sheetView workbookViewId="0">
      <selection activeCell="M617" sqref="M617"/>
    </sheetView>
  </sheetViews>
  <sheetFormatPr baseColWidth="8" defaultRowHeight="14.4"/>
  <cols>
    <col width="12.77734375" bestFit="1" customWidth="1" min="2" max="2"/>
  </cols>
  <sheetData>
    <row r="1">
      <c r="A1" t="inlineStr">
        <is>
          <t xml:space="preserve">Coupon </t>
        </is>
      </c>
      <c r="B1" t="inlineStr">
        <is>
          <t xml:space="preserve">Maturity Date </t>
        </is>
      </c>
      <c r="C1" t="inlineStr">
        <is>
          <t>Price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tabColor rgb="FF92D050"/>
    <outlinePr summaryBelow="1" summaryRight="1"/>
    <pageSetUpPr/>
  </sheetPr>
  <dimension ref="A1:H8"/>
  <sheetViews>
    <sheetView workbookViewId="0">
      <selection activeCell="H3" sqref="H3"/>
    </sheetView>
  </sheetViews>
  <sheetFormatPr baseColWidth="8" defaultRowHeight="14.4"/>
  <cols>
    <col width="11.44140625" bestFit="1" customWidth="1" min="1" max="1"/>
    <col width="24.5546875" bestFit="1" customWidth="1" min="3" max="3"/>
    <col width="59" bestFit="1" customWidth="1" min="4" max="4"/>
    <col width="25.5546875" bestFit="1" customWidth="1" min="7" max="7"/>
    <col width="13.44140625" bestFit="1" customWidth="1" min="8" max="8"/>
  </cols>
  <sheetData>
    <row r="1">
      <c r="A1" s="3" t="inlineStr">
        <is>
          <t>Price Target</t>
        </is>
      </c>
      <c r="B1" s="3" t="n"/>
      <c r="C1" s="3" t="inlineStr">
        <is>
          <t>Multiple</t>
        </is>
      </c>
      <c r="D1" s="3" t="inlineStr">
        <is>
          <t>Formula</t>
        </is>
      </c>
    </row>
    <row r="2">
      <c r="A2" s="73" t="n"/>
      <c r="C2" t="inlineStr">
        <is>
          <t>EPS</t>
        </is>
      </c>
      <c r="D2" t="inlineStr">
        <is>
          <t>EPS*Forward P/E</t>
        </is>
      </c>
      <c r="G2" s="2" t="inlineStr">
        <is>
          <t>Net Debt</t>
        </is>
      </c>
    </row>
    <row r="3">
      <c r="A3" s="73" t="n"/>
      <c r="C3" t="inlineStr">
        <is>
          <t>2019 Forward P/E Multiple</t>
        </is>
      </c>
      <c r="D3" t="inlineStr">
        <is>
          <t>2019 Mean USD*Forward P/E</t>
        </is>
      </c>
      <c r="G3" t="inlineStr">
        <is>
          <t>Long-Term Debt</t>
        </is>
      </c>
      <c r="H3" s="69">
        <f>VLOOKUP("Long-term debt", 'Balance Sheet (Annual)'!A1:BH299, 2, FALSE)</f>
        <v/>
      </c>
    </row>
    <row r="4">
      <c r="A4" s="73" t="n"/>
      <c r="C4" t="inlineStr">
        <is>
          <t>2020 Forward P/E Multiple</t>
        </is>
      </c>
      <c r="D4" t="inlineStr">
        <is>
          <t>2020 Mean USD*Forward P/E</t>
        </is>
      </c>
      <c r="G4" t="inlineStr">
        <is>
          <t>(-) Cash</t>
        </is>
      </c>
      <c r="H4" s="69">
        <f>-VLOOKUP("Cash", 'Balance Sheet (Annual)'!A1:DJ60, 2,FALSE)</f>
        <v/>
      </c>
    </row>
    <row r="5">
      <c r="A5" s="73" t="n"/>
      <c r="C5" t="inlineStr">
        <is>
          <t>P/B Multiple</t>
        </is>
      </c>
      <c r="D5" t="inlineStr">
        <is>
          <t>(P/B*Total Stockholder's Equity)/Number of Shares Outstanding</t>
        </is>
      </c>
      <c r="G5" t="inlineStr">
        <is>
          <t>(-) Short-Term Investments</t>
        </is>
      </c>
      <c r="H5" s="69">
        <f>-VLOOKUP("Short-Term Investments", 'Balance Sheet (Annual)'!A1:DJ60, 2,FALSE)</f>
        <v/>
      </c>
    </row>
    <row r="6">
      <c r="A6" s="73" t="n"/>
      <c r="C6" t="inlineStr">
        <is>
          <t>P/S Multiple</t>
        </is>
      </c>
      <c r="D6" t="inlineStr">
        <is>
          <t>(P/S*Revenue)/Number of Shares Outstanding</t>
        </is>
      </c>
      <c r="G6" t="inlineStr">
        <is>
          <t>Net Debt</t>
        </is>
      </c>
      <c r="H6" s="76">
        <f>SUM(H3:H5)</f>
        <v/>
      </c>
    </row>
    <row r="7">
      <c r="A7" s="73" t="n"/>
      <c r="B7" s="6" t="n"/>
      <c r="C7" t="inlineStr">
        <is>
          <t>EV/EBITDA Multiple</t>
        </is>
      </c>
      <c r="D7" t="inlineStr">
        <is>
          <t>((EV/EBITDA*EBITDA)-Net Debt)/Number of Shares Outstanding</t>
        </is>
      </c>
    </row>
    <row r="8">
      <c r="A8" s="73" t="n"/>
      <c r="B8" s="6" t="n"/>
      <c r="C8" t="inlineStr">
        <is>
          <t>EV/FCF Multiple</t>
        </is>
      </c>
      <c r="D8" t="inlineStr">
        <is>
          <t>((EV/FCF*FCF)-Net Debt)/Number of Shares Outstanding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tabColor rgb="FF92D050"/>
    <outlinePr summaryBelow="1" summaryRight="1"/>
    <pageSetUpPr/>
  </sheetPr>
  <dimension ref="A1:L18"/>
  <sheetViews>
    <sheetView workbookViewId="0">
      <selection activeCell="B8" sqref="B8"/>
    </sheetView>
  </sheetViews>
  <sheetFormatPr baseColWidth="8" defaultRowHeight="14.4"/>
  <cols>
    <col width="30.33203125" bestFit="1" customWidth="1" min="1" max="1"/>
    <col width="11.44140625" customWidth="1" min="2" max="12"/>
  </cols>
  <sheetData>
    <row r="1">
      <c r="A1" s="2" t="inlineStr">
        <is>
          <t>Dividend Discount Model</t>
        </is>
      </c>
      <c r="E1" t="inlineStr">
        <is>
          <t>Ke</t>
        </is>
      </c>
      <c r="H1" t="inlineStr">
        <is>
          <t>Sources</t>
        </is>
      </c>
    </row>
    <row r="2">
      <c r="E2" t="inlineStr">
        <is>
          <t>Beta</t>
        </is>
      </c>
      <c r="F2" t="n">
        <v>1.11</v>
      </c>
      <c r="H2" s="9" t="inlineStr">
        <is>
          <t>https://finance.yahoo.com/quote/UNP/</t>
        </is>
      </c>
    </row>
    <row r="3">
      <c r="A3" t="inlineStr">
        <is>
          <t>TTM Dividend</t>
        </is>
      </c>
      <c r="B3" s="72" t="n"/>
      <c r="E3" t="inlineStr">
        <is>
          <t>Equity Risk Premium (ERP)</t>
        </is>
      </c>
      <c r="F3" s="8" t="n">
        <v>0.0522</v>
      </c>
      <c r="H3" s="9" t="inlineStr">
        <is>
          <t>http://pages.stern.nyu.edu/~adamodar/</t>
        </is>
      </c>
    </row>
    <row r="4">
      <c r="A4" t="inlineStr">
        <is>
          <t>Cost of Equity</t>
        </is>
      </c>
      <c r="B4" s="51">
        <f>F4+(F2*F3)</f>
        <v/>
      </c>
      <c r="E4" t="inlineStr">
        <is>
          <t>Risk-Free Rate (Rf)</t>
        </is>
      </c>
      <c r="F4" s="83" t="n">
        <v>0.01563</v>
      </c>
      <c r="H4" s="9" t="inlineStr">
        <is>
          <t>https://www.cnbc.com/quotes/?symbol=US10Y</t>
        </is>
      </c>
    </row>
    <row r="5">
      <c r="A5" t="inlineStr">
        <is>
          <t>Years of High Growth</t>
        </is>
      </c>
      <c r="B5" s="12" t="n"/>
    </row>
    <row r="6">
      <c r="A6" t="inlineStr">
        <is>
          <t>High Growth Rate</t>
        </is>
      </c>
      <c r="B6" s="13" t="n"/>
      <c r="E6" t="inlineStr">
        <is>
          <t>Historical Dividend Raises</t>
        </is>
      </c>
      <c r="F6" s="51" t="n"/>
    </row>
    <row r="7">
      <c r="A7" t="inlineStr">
        <is>
          <t>Terminal Growth Rate</t>
        </is>
      </c>
      <c r="B7" s="8" t="n">
        <v>0</v>
      </c>
      <c r="E7" t="inlineStr">
        <is>
          <t>2018 Hike</t>
        </is>
      </c>
      <c r="F7" s="51">
        <f>0.73/0.665-1</f>
        <v/>
      </c>
      <c r="G7" s="51">
        <f>0.8/0.73-1</f>
        <v/>
      </c>
      <c r="H7" s="51">
        <f>(F7+G7)/2</f>
        <v/>
      </c>
    </row>
    <row r="8">
      <c r="A8" t="inlineStr">
        <is>
          <t>Cost of Equity - Terminal Growth</t>
        </is>
      </c>
      <c r="B8" s="8">
        <f>B4-B7</f>
        <v/>
      </c>
      <c r="E8" t="inlineStr">
        <is>
          <t>2019 Hike</t>
        </is>
      </c>
      <c r="F8" s="51">
        <f>0.88/0.8-1</f>
        <v/>
      </c>
      <c r="G8" s="51">
        <f>0.97/0.88-1</f>
        <v/>
      </c>
      <c r="H8" s="51">
        <f>(F8+G8)/2</f>
        <v/>
      </c>
    </row>
    <row r="9">
      <c r="H9" s="51">
        <f>(H7+H8)/2</f>
        <v/>
      </c>
    </row>
    <row r="11">
      <c r="A11" s="2" t="inlineStr">
        <is>
          <t>Constant High Growth</t>
        </is>
      </c>
      <c r="B11" t="inlineStr">
        <is>
          <t>2019-2020</t>
        </is>
      </c>
      <c r="C11" t="inlineStr">
        <is>
          <t>2020-2021</t>
        </is>
      </c>
      <c r="D11" t="inlineStr">
        <is>
          <t>2021-2022</t>
        </is>
      </c>
    </row>
    <row r="12">
      <c r="A12" t="inlineStr">
        <is>
          <t>Projected Years</t>
        </is>
      </c>
      <c r="B12" t="n">
        <v>1</v>
      </c>
      <c r="C12" t="n">
        <v>2</v>
      </c>
      <c r="D12" t="n">
        <v>3</v>
      </c>
      <c r="E12" t="n">
        <v>4</v>
      </c>
      <c r="F12" t="n">
        <v>5</v>
      </c>
      <c r="G12" t="n">
        <v>6</v>
      </c>
      <c r="H12" t="n">
        <v>7</v>
      </c>
      <c r="I12" t="n">
        <v>8</v>
      </c>
      <c r="J12" t="n">
        <v>9</v>
      </c>
      <c r="K12" t="n">
        <v>10</v>
      </c>
      <c r="L12" t="inlineStr">
        <is>
          <t>Terminal</t>
        </is>
      </c>
    </row>
    <row r="13">
      <c r="A13" t="inlineStr">
        <is>
          <t>Projected Growth</t>
        </is>
      </c>
      <c r="B13" s="8">
        <f>IF(B12&lt;=$B$5,$B$6,$B$7)</f>
        <v/>
      </c>
      <c r="C13" s="8">
        <f>IF(C12&lt;=$B$5,$B$6,$B$7)</f>
        <v/>
      </c>
      <c r="D13" s="8">
        <f>IF(D12&lt;=$B$5,$B$6,$B$7)</f>
        <v/>
      </c>
      <c r="E13" s="8">
        <f>IF(E12&lt;=$B$5,$B$6,$B$7)</f>
        <v/>
      </c>
      <c r="F13" s="8">
        <f>IF(F12&lt;=$B$5,$B$6,$B$7)</f>
        <v/>
      </c>
      <c r="G13" s="8">
        <f>IF(G12&lt;=$B$5,$B$6,$B$7)</f>
        <v/>
      </c>
      <c r="H13" s="8">
        <f>IF(H12&lt;=$B$5,$B$6,$B$7)</f>
        <v/>
      </c>
      <c r="I13" s="8">
        <f>IF(I12&lt;=$B$5,$B$6,$B$7)</f>
        <v/>
      </c>
      <c r="J13" s="8">
        <f>IF(J12&lt;=$B$5,$B$6,$B$7)</f>
        <v/>
      </c>
      <c r="K13" s="8">
        <f>IF(K12&lt;=$B$5,$B$6,$B$7)</f>
        <v/>
      </c>
      <c r="L13" s="8">
        <f>B7</f>
        <v/>
      </c>
    </row>
    <row r="14">
      <c r="A14" t="inlineStr">
        <is>
          <t>Projected Dividends</t>
        </is>
      </c>
      <c r="B14" s="73">
        <f>IF(B12&lt;=$B$5,$B$3*(1+$B$6),0)</f>
        <v/>
      </c>
      <c r="C14" s="73">
        <f>IF(C12&lt;=$B$5,B14*(1+$B$6),0)</f>
        <v/>
      </c>
      <c r="D14" s="73">
        <f>IF(D12&lt;=$B$5,C14*(1+$B$6),0)</f>
        <v/>
      </c>
      <c r="E14" s="73">
        <f>IF(E12&lt;=$B$5,D14*(1+$B$6),0)</f>
        <v/>
      </c>
      <c r="F14" s="73">
        <f>IF(F12&lt;=$B$5,E14*(1+$B$6),0)</f>
        <v/>
      </c>
      <c r="G14" s="73">
        <f>IF(G12&lt;=$B$5,F14*(1+$B$6),0)</f>
        <v/>
      </c>
      <c r="H14" s="73">
        <f>IF(H12&lt;=$B$5,G14*(1+$B$6),0)</f>
        <v/>
      </c>
      <c r="I14" s="73">
        <f>IF(I12&lt;=$B$5,H14*(1+$B$6),0)</f>
        <v/>
      </c>
      <c r="J14" s="73">
        <f>IF(J12&lt;=$B$5,I14*(1+$B$6),0)</f>
        <v/>
      </c>
      <c r="K14" s="73">
        <f>IF(K12&lt;=$B$5,J14*(1+$B$6),0)</f>
        <v/>
      </c>
      <c r="L14" s="73">
        <f>(HLOOKUP(B5,B12:K14,3)*(1+L13))/(B8)</f>
        <v/>
      </c>
    </row>
    <row r="15">
      <c r="A15" t="inlineStr">
        <is>
          <t>Discounted Dividends</t>
        </is>
      </c>
      <c r="B15" s="73">
        <f>B14/(1+$B$4)^B12</f>
        <v/>
      </c>
      <c r="C15" s="73">
        <f>C14/(1+$B$4)^C12</f>
        <v/>
      </c>
      <c r="D15" s="73">
        <f>D14/(1+$B$4)^D12</f>
        <v/>
      </c>
      <c r="E15" s="73">
        <f>E14/(1+$B$4)^E12</f>
        <v/>
      </c>
      <c r="F15" s="73">
        <f>F14/(1+$B$4)^F12</f>
        <v/>
      </c>
      <c r="G15" s="73">
        <f>G14/(1+$B$4)^G12</f>
        <v/>
      </c>
      <c r="H15" s="73">
        <f>H14/(1+$B$4)^H12</f>
        <v/>
      </c>
      <c r="I15" s="73">
        <f>I14/(1+$B$4)^I12</f>
        <v/>
      </c>
      <c r="J15" s="73">
        <f>J14/(1+$B$4)^J12</f>
        <v/>
      </c>
      <c r="K15" s="73">
        <f>K14/(1+$B$4)^K12</f>
        <v/>
      </c>
      <c r="L15" s="73">
        <f>L14/(1+B8)^B5</f>
        <v/>
      </c>
    </row>
    <row r="18">
      <c r="A18" s="2" t="inlineStr">
        <is>
          <t>Price Per Share</t>
        </is>
      </c>
      <c r="B18" s="84">
        <f>SUM(B15:L15)</f>
        <v/>
      </c>
    </row>
  </sheetData>
  <hyperlinks>
    <hyperlink ref="H2" r:id="rId1"/>
    <hyperlink ref="H3" r:id="rId2"/>
    <hyperlink ref="H4" r:id="rId3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4">
    <tabColor rgb="FFFFFF00"/>
    <outlinePr summaryBelow="1" summaryRight="1"/>
    <pageSetUpPr/>
  </sheetPr>
  <dimension ref="A1:J36"/>
  <sheetViews>
    <sheetView topLeftCell="A4" workbookViewId="0">
      <selection activeCell="J8" sqref="J8"/>
    </sheetView>
  </sheetViews>
  <sheetFormatPr baseColWidth="8" defaultRowHeight="14.4"/>
  <cols>
    <col width="23" bestFit="1" customWidth="1" min="1" max="1"/>
    <col width="10.5546875" bestFit="1" customWidth="1" min="2" max="2"/>
    <col width="23" bestFit="1" customWidth="1" min="4" max="4"/>
    <col width="17.5546875" bestFit="1" customWidth="1" min="9" max="9"/>
  </cols>
  <sheetData>
    <row r="1">
      <c r="A1" s="68" t="inlineStr">
        <is>
          <t>FCFF</t>
        </is>
      </c>
      <c r="D1" s="68" t="inlineStr">
        <is>
          <t>FCFE</t>
        </is>
      </c>
      <c r="I1" t="inlineStr">
        <is>
          <t>Taxes</t>
        </is>
      </c>
      <c r="J1" s="85">
        <f>VLOOKUP("Tax Rate %", 'Key Ratios'!1:1048576,2,FALSE)</f>
        <v/>
      </c>
    </row>
    <row r="3">
      <c r="A3" s="68" t="inlineStr">
        <is>
          <t>NI</t>
        </is>
      </c>
      <c r="D3" s="68" t="inlineStr">
        <is>
          <t>NI</t>
        </is>
      </c>
      <c r="I3" t="inlineStr">
        <is>
          <t>Debt Issued</t>
        </is>
      </c>
      <c r="J3" s="12">
        <f>VLOOKUP("Debt Issued",'Cash Flow Statement'!1:1048576,2,FALSE)</f>
        <v/>
      </c>
    </row>
    <row r="4">
      <c r="A4" t="inlineStr">
        <is>
          <t>Net Income</t>
        </is>
      </c>
      <c r="B4" s="22">
        <f>VLOOKUP("Net income available to common shareholders",'Income Statement'!A2:AE36,2,FALSE)</f>
        <v/>
      </c>
      <c r="D4" t="inlineStr">
        <is>
          <t>Net Income</t>
        </is>
      </c>
      <c r="E4">
        <f>B4</f>
        <v/>
      </c>
      <c r="I4" t="inlineStr">
        <is>
          <t>(Debt Repayment)</t>
        </is>
      </c>
      <c r="J4" s="12">
        <f>VLOOKUP("Debt Repayment",'Cash Flow Statement'!1:1048576,2,FALSE)</f>
        <v/>
      </c>
    </row>
    <row r="5" ht="15" customHeight="1" thickBot="1">
      <c r="A5" t="inlineStr">
        <is>
          <t>Depr &amp; Amort</t>
        </is>
      </c>
      <c r="B5" s="22">
        <f>VLOOKUP("Depreciation &amp; amortization",'Cash Flow Statement'!1:1048576,2,FALSE)</f>
        <v/>
      </c>
      <c r="D5" t="inlineStr">
        <is>
          <t>Depr &amp; Amort</t>
        </is>
      </c>
      <c r="E5">
        <f>B5</f>
        <v/>
      </c>
      <c r="I5" s="24" t="inlineStr">
        <is>
          <t>Net Borrowing</t>
        </is>
      </c>
      <c r="J5" s="24">
        <f>SUM(J3:J4)</f>
        <v/>
      </c>
    </row>
    <row r="6" ht="15" customHeight="1" thickTop="1">
      <c r="A6" t="inlineStr">
        <is>
          <t>Change WC</t>
        </is>
      </c>
      <c r="B6" s="22">
        <f>-'Change WC'!B18</f>
        <v/>
      </c>
      <c r="D6" t="inlineStr">
        <is>
          <t>Change WC</t>
        </is>
      </c>
      <c r="E6">
        <f>B6</f>
        <v/>
      </c>
    </row>
    <row r="7">
      <c r="A7" t="inlineStr">
        <is>
          <t>CapEx</t>
        </is>
      </c>
      <c r="B7" s="22">
        <f>VLOOKUP("Capital expenditure",'Cash Flow Statement'!1:1048576,2,FALSE)</f>
        <v/>
      </c>
      <c r="D7" t="inlineStr">
        <is>
          <t>CapEx</t>
        </is>
      </c>
      <c r="E7">
        <f>B7</f>
        <v/>
      </c>
    </row>
    <row r="8" ht="15.6" customHeight="1">
      <c r="A8" t="inlineStr">
        <is>
          <t>Interest Expense (1-t)</t>
        </is>
      </c>
      <c r="B8" s="22">
        <f>VLOOKUP("Interest Expense",'Income Statement'!A2:AE36,2,FALSE) * (1-J1)</f>
        <v/>
      </c>
      <c r="D8" t="inlineStr">
        <is>
          <t>Net Borrowing</t>
        </is>
      </c>
      <c r="E8" s="12">
        <f>J5</f>
        <v/>
      </c>
      <c r="I8" s="63" t="inlineStr">
        <is>
          <t>FCFF Selected</t>
        </is>
      </c>
      <c r="J8" s="64">
        <f>MIN(B9,B16,B24,B34)</f>
        <v/>
      </c>
    </row>
    <row r="9" ht="16.2" customHeight="1" thickBot="1">
      <c r="A9" s="24" t="inlineStr">
        <is>
          <t>FCFF</t>
        </is>
      </c>
      <c r="B9" s="25">
        <f>SUM(B4:B8)</f>
        <v/>
      </c>
      <c r="D9" s="24" t="inlineStr">
        <is>
          <t>FCFE</t>
        </is>
      </c>
      <c r="E9" s="24">
        <f>SUM(E4:E8)</f>
        <v/>
      </c>
      <c r="I9" s="63" t="inlineStr">
        <is>
          <t>FCFE Selected</t>
        </is>
      </c>
      <c r="J9" s="64">
        <f>MIN(E9,E18,E24,E36)</f>
        <v/>
      </c>
    </row>
    <row r="10" ht="15" customHeight="1" thickTop="1"/>
    <row r="11">
      <c r="A11" s="68" t="inlineStr">
        <is>
          <t>EBIT</t>
        </is>
      </c>
      <c r="D11" s="68" t="inlineStr">
        <is>
          <t>EBIT</t>
        </is>
      </c>
    </row>
    <row r="12">
      <c r="A12" t="inlineStr">
        <is>
          <t>Operating Income (1-t)</t>
        </is>
      </c>
      <c r="B12" s="22">
        <f>VLOOKUP("Operating Income",'Income Statement'!1:1048576,2,FALSE)*(1-J1)</f>
        <v/>
      </c>
      <c r="D12" t="inlineStr">
        <is>
          <t>Operating Income (1-t)</t>
        </is>
      </c>
      <c r="E12" s="21">
        <f>B12</f>
        <v/>
      </c>
    </row>
    <row r="13">
      <c r="A13" t="inlineStr">
        <is>
          <t>Depr &amp; Amort</t>
        </is>
      </c>
      <c r="B13">
        <f>B5</f>
        <v/>
      </c>
      <c r="D13" t="inlineStr">
        <is>
          <t>Depr &amp; Amort</t>
        </is>
      </c>
      <c r="E13">
        <f>B5</f>
        <v/>
      </c>
    </row>
    <row r="14">
      <c r="A14" t="inlineStr">
        <is>
          <t>Change in WC</t>
        </is>
      </c>
      <c r="B14">
        <f>B6</f>
        <v/>
      </c>
      <c r="D14" t="inlineStr">
        <is>
          <t>Change WC</t>
        </is>
      </c>
      <c r="E14">
        <f>B6</f>
        <v/>
      </c>
    </row>
    <row r="15">
      <c r="A15" t="inlineStr">
        <is>
          <t>CapEx</t>
        </is>
      </c>
      <c r="B15">
        <f>B7</f>
        <v/>
      </c>
      <c r="D15" t="inlineStr">
        <is>
          <t>CapEx</t>
        </is>
      </c>
      <c r="E15">
        <f>B7</f>
        <v/>
      </c>
    </row>
    <row r="16" ht="15" customHeight="1" thickBot="1">
      <c r="A16" s="24" t="inlineStr">
        <is>
          <t>FCFF</t>
        </is>
      </c>
      <c r="B16" s="25">
        <f>SUM(B12:B15)</f>
        <v/>
      </c>
      <c r="D16" t="inlineStr">
        <is>
          <t>Interest Expense (1-t)</t>
        </is>
      </c>
      <c r="E16">
        <f>B8</f>
        <v/>
      </c>
    </row>
    <row r="17" ht="15" customHeight="1" thickTop="1">
      <c r="D17" t="inlineStr">
        <is>
          <t>Net Borrowing</t>
        </is>
      </c>
      <c r="E17">
        <f>E8</f>
        <v/>
      </c>
    </row>
    <row r="18" ht="15" customHeight="1" thickBot="1">
      <c r="D18" s="24" t="inlineStr">
        <is>
          <t>FCFE</t>
        </is>
      </c>
      <c r="E18" s="25">
        <f>SUM(E12:E17)</f>
        <v/>
      </c>
    </row>
    <row r="19" ht="15" customHeight="1" thickTop="1"/>
    <row r="20">
      <c r="A20" s="68" t="inlineStr">
        <is>
          <t>OCF</t>
        </is>
      </c>
      <c r="D20" s="68" t="inlineStr">
        <is>
          <t>OCF</t>
        </is>
      </c>
    </row>
    <row r="21">
      <c r="A21" t="inlineStr">
        <is>
          <t>OCF</t>
        </is>
      </c>
      <c r="B21" s="22">
        <f>VLOOKUP("Operating cash flow",'Cash Flow Statement'!1:1048576,2,FALSE)</f>
        <v/>
      </c>
      <c r="D21" t="inlineStr">
        <is>
          <t>OCF</t>
        </is>
      </c>
      <c r="E21">
        <f>B21</f>
        <v/>
      </c>
    </row>
    <row r="22">
      <c r="A22" t="inlineStr">
        <is>
          <t>Interest Expense (1-t)</t>
        </is>
      </c>
      <c r="B22" s="21">
        <f>B8</f>
        <v/>
      </c>
      <c r="D22" t="inlineStr">
        <is>
          <t>CapEx</t>
        </is>
      </c>
      <c r="E22">
        <f>B7</f>
        <v/>
      </c>
    </row>
    <row r="23">
      <c r="A23" t="inlineStr">
        <is>
          <t>CapEx</t>
        </is>
      </c>
      <c r="B23" s="21">
        <f>B7</f>
        <v/>
      </c>
      <c r="D23" t="inlineStr">
        <is>
          <t>Net Borrowing</t>
        </is>
      </c>
      <c r="E23">
        <f>E8</f>
        <v/>
      </c>
    </row>
    <row r="24" ht="15" customHeight="1" thickBot="1">
      <c r="A24" s="24" t="inlineStr">
        <is>
          <t>FCFF</t>
        </is>
      </c>
      <c r="B24" s="25">
        <f>SUM(B21:B23)</f>
        <v/>
      </c>
      <c r="D24" s="24" t="inlineStr">
        <is>
          <t>FCFE</t>
        </is>
      </c>
      <c r="E24" s="24">
        <f>SUM(E21:E23)</f>
        <v/>
      </c>
    </row>
    <row r="25" ht="15" customHeight="1" thickTop="1"/>
    <row r="26">
      <c r="A26" s="68" t="inlineStr">
        <is>
          <t>EBIT Revised</t>
        </is>
      </c>
      <c r="D26" s="68" t="inlineStr">
        <is>
          <t>EBIT Revised</t>
        </is>
      </c>
    </row>
    <row r="27">
      <c r="A27" t="inlineStr">
        <is>
          <t>Operating Income (1-t)</t>
        </is>
      </c>
      <c r="B27" s="21">
        <f>B12</f>
        <v/>
      </c>
      <c r="D27" t="inlineStr">
        <is>
          <t>Operating Income (1-t)</t>
        </is>
      </c>
      <c r="E27" s="21">
        <f>B12</f>
        <v/>
      </c>
    </row>
    <row r="28">
      <c r="A28" t="inlineStr">
        <is>
          <t>Depr &amp; Amort</t>
        </is>
      </c>
      <c r="B28">
        <f>B5</f>
        <v/>
      </c>
      <c r="D28" t="inlineStr">
        <is>
          <t>Depr &amp; Amort</t>
        </is>
      </c>
      <c r="E28">
        <f>B5</f>
        <v/>
      </c>
    </row>
    <row r="29">
      <c r="A29" t="inlineStr">
        <is>
          <t>Stock Compensation</t>
        </is>
      </c>
      <c r="B29" s="12">
        <f>_xlfn.IFNA(VLOOKUP("Stock Compensation",'Cash Flow Statement'!1:1048576,2,FALSE),0)</f>
        <v/>
      </c>
      <c r="D29" t="inlineStr">
        <is>
          <t>Stock Compensation</t>
        </is>
      </c>
      <c r="E29">
        <f>B29</f>
        <v/>
      </c>
    </row>
    <row r="30">
      <c r="A30" t="inlineStr">
        <is>
          <t>Other Non-Cash Items</t>
        </is>
      </c>
      <c r="B30" s="12">
        <f>_xlfn.IFNA(VLOOKUP(A30,'Cash Flow Statement'!1:1048576,2,FALSE),0)</f>
        <v/>
      </c>
      <c r="D30" t="inlineStr">
        <is>
          <t>Other Non-Cash Items</t>
        </is>
      </c>
      <c r="E30">
        <f>B30</f>
        <v/>
      </c>
    </row>
    <row r="31">
      <c r="A31" t="inlineStr">
        <is>
          <t>Deferred Income Tax</t>
        </is>
      </c>
      <c r="B31" s="12">
        <f>_xlfn.IFNA(VLOOKUP("Deferred Income Taxes",'Cash Flow Statement'!1:1048576,2,FALSE),0)</f>
        <v/>
      </c>
      <c r="D31" t="inlineStr">
        <is>
          <t>Deferred Income Tax</t>
        </is>
      </c>
      <c r="E31">
        <f>B31</f>
        <v/>
      </c>
    </row>
    <row r="32">
      <c r="A32" t="inlineStr">
        <is>
          <t>Change WC</t>
        </is>
      </c>
      <c r="B32">
        <f>B6</f>
        <v/>
      </c>
      <c r="D32" t="inlineStr">
        <is>
          <t>Change WC</t>
        </is>
      </c>
      <c r="E32">
        <f>B6</f>
        <v/>
      </c>
    </row>
    <row r="33">
      <c r="A33" t="inlineStr">
        <is>
          <t>CapEx</t>
        </is>
      </c>
      <c r="B33">
        <f>B7</f>
        <v/>
      </c>
      <c r="D33" t="inlineStr">
        <is>
          <t>CapEx</t>
        </is>
      </c>
      <c r="E33">
        <f>B7</f>
        <v/>
      </c>
    </row>
    <row r="34" ht="15" customHeight="1" thickBot="1">
      <c r="A34" s="24" t="inlineStr">
        <is>
          <t>FCFF</t>
        </is>
      </c>
      <c r="B34" s="25">
        <f>SUM(B27:B33)</f>
        <v/>
      </c>
      <c r="D34" t="inlineStr">
        <is>
          <t>Interest Expense (1-t)</t>
        </is>
      </c>
      <c r="E34">
        <f>B8</f>
        <v/>
      </c>
    </row>
    <row r="35" ht="15" customHeight="1" thickTop="1">
      <c r="D35" t="inlineStr">
        <is>
          <t>Net Borrowing</t>
        </is>
      </c>
      <c r="E35">
        <f>E8</f>
        <v/>
      </c>
    </row>
    <row r="36" ht="15" customHeight="1" thickBot="1">
      <c r="D36" s="24" t="inlineStr">
        <is>
          <t>FCFE</t>
        </is>
      </c>
      <c r="E36" s="25">
        <f>SUM(E27:E35)</f>
        <v/>
      </c>
    </row>
    <row r="37" ht="15" customHeight="1" thickTop="1"/>
  </sheetData>
  <mergeCells count="10">
    <mergeCell ref="A20:B20"/>
    <mergeCell ref="D20:E20"/>
    <mergeCell ref="A26:B26"/>
    <mergeCell ref="D26:E26"/>
    <mergeCell ref="A1:B1"/>
    <mergeCell ref="D1:E1"/>
    <mergeCell ref="A3:B3"/>
    <mergeCell ref="D3:E3"/>
    <mergeCell ref="A11:B11"/>
    <mergeCell ref="D11:E11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 codeName="Sheet5">
    <tabColor rgb="FFFFFF00"/>
    <outlinePr summaryBelow="1" summaryRight="1"/>
    <pageSetUpPr/>
  </sheetPr>
  <dimension ref="A1:O18"/>
  <sheetViews>
    <sheetView workbookViewId="0">
      <selection activeCell="B19" sqref="B19"/>
    </sheetView>
  </sheetViews>
  <sheetFormatPr baseColWidth="8" defaultRowHeight="14.4"/>
  <cols>
    <col width="29.44140625" bestFit="1" customWidth="1" min="1" max="1"/>
  </cols>
  <sheetData>
    <row r="1">
      <c r="A1" s="68" t="inlineStr">
        <is>
          <t>Years</t>
        </is>
      </c>
      <c r="B1" s="68">
        <f>'Key Ratios'!C2</f>
        <v/>
      </c>
      <c r="C1" s="68">
        <f>'Key Ratios'!D2</f>
        <v/>
      </c>
      <c r="D1" s="68">
        <f>'Key Ratios'!E2</f>
        <v/>
      </c>
      <c r="E1" s="68">
        <f>'Key Ratios'!F2</f>
        <v/>
      </c>
      <c r="F1" s="68">
        <f>'Key Ratios'!G2</f>
        <v/>
      </c>
      <c r="G1" s="68">
        <f>'Key Ratios'!H2</f>
        <v/>
      </c>
      <c r="H1" s="68">
        <f>'Key Ratios'!I2</f>
        <v/>
      </c>
      <c r="I1" s="68">
        <f>'Key Ratios'!J2</f>
        <v/>
      </c>
      <c r="J1" s="68">
        <f>'Key Ratios'!K2</f>
        <v/>
      </c>
      <c r="K1" s="68">
        <f>'Key Ratios'!L2</f>
        <v/>
      </c>
    </row>
    <row r="2">
      <c r="A2" t="inlineStr">
        <is>
          <t>Payout Ratio</t>
        </is>
      </c>
      <c r="B2" s="12">
        <f>'Key Ratios'!C10</f>
        <v/>
      </c>
      <c r="C2" s="12">
        <f>'Key Ratios'!D10</f>
        <v/>
      </c>
      <c r="D2" s="12">
        <f>'Key Ratios'!E10</f>
        <v/>
      </c>
      <c r="E2" s="12">
        <f>'Key Ratios'!F10</f>
        <v/>
      </c>
      <c r="F2" s="12">
        <f>'Key Ratios'!G10</f>
        <v/>
      </c>
      <c r="G2" s="12">
        <f>'Key Ratios'!H10</f>
        <v/>
      </c>
      <c r="H2" s="12">
        <f>'Key Ratios'!I10</f>
        <v/>
      </c>
      <c r="I2" s="12">
        <f>'Key Ratios'!J10</f>
        <v/>
      </c>
      <c r="J2" s="12">
        <f>'Key Ratios'!K10</f>
        <v/>
      </c>
      <c r="K2" s="12">
        <f>'Key Ratios'!L10</f>
        <v/>
      </c>
      <c r="O2" t="inlineStr">
        <is>
          <t>Source: Morningstar Direct (Key Ratios)</t>
        </is>
      </c>
    </row>
    <row r="3">
      <c r="A3" t="inlineStr">
        <is>
          <t>ROA</t>
        </is>
      </c>
      <c r="B3" s="12">
        <f>'Key Ratios'!C35</f>
        <v/>
      </c>
      <c r="C3" s="12">
        <f>'Key Ratios'!D35</f>
        <v/>
      </c>
      <c r="D3" s="12">
        <f>'Key Ratios'!E35</f>
        <v/>
      </c>
      <c r="E3" s="12">
        <f>'Key Ratios'!F35</f>
        <v/>
      </c>
      <c r="F3" s="12">
        <f>'Key Ratios'!G35</f>
        <v/>
      </c>
      <c r="G3" s="12">
        <f>'Key Ratios'!H35</f>
        <v/>
      </c>
      <c r="H3" s="12">
        <f>'Key Ratios'!I35</f>
        <v/>
      </c>
      <c r="I3" s="12">
        <f>'Key Ratios'!J35</f>
        <v/>
      </c>
      <c r="J3" s="12">
        <f>'Key Ratios'!K35</f>
        <v/>
      </c>
      <c r="K3" s="12">
        <f>'Key Ratios'!L35</f>
        <v/>
      </c>
      <c r="O3" t="inlineStr">
        <is>
          <t>Source: https://www.morningstar.com/stocks/xnys/unp/performance</t>
        </is>
      </c>
    </row>
    <row r="4">
      <c r="A4" t="inlineStr">
        <is>
          <t>ROE</t>
        </is>
      </c>
      <c r="B4" s="12">
        <f>'Key Ratios'!C37</f>
        <v/>
      </c>
      <c r="C4" s="12">
        <f>'Key Ratios'!D37</f>
        <v/>
      </c>
      <c r="D4" s="12">
        <f>'Key Ratios'!E37</f>
        <v/>
      </c>
      <c r="E4" s="12">
        <f>'Key Ratios'!F37</f>
        <v/>
      </c>
      <c r="F4" s="12">
        <f>'Key Ratios'!G37</f>
        <v/>
      </c>
      <c r="G4" s="12">
        <f>'Key Ratios'!H37</f>
        <v/>
      </c>
      <c r="H4" s="12">
        <f>'Key Ratios'!I37</f>
        <v/>
      </c>
      <c r="I4" s="12">
        <f>'Key Ratios'!J37</f>
        <v/>
      </c>
      <c r="J4" s="12">
        <f>'Key Ratios'!K37</f>
        <v/>
      </c>
      <c r="K4" s="12">
        <f>'Key Ratios'!L37</f>
        <v/>
      </c>
    </row>
    <row r="5">
      <c r="A5" t="inlineStr">
        <is>
          <t>ROIC</t>
        </is>
      </c>
      <c r="B5" s="12">
        <f>'Key Ratios'!C38</f>
        <v/>
      </c>
      <c r="C5" s="12">
        <f>'Key Ratios'!D38</f>
        <v/>
      </c>
      <c r="D5" s="12">
        <f>'Key Ratios'!E38</f>
        <v/>
      </c>
      <c r="E5" s="12">
        <f>'Key Ratios'!F38</f>
        <v/>
      </c>
      <c r="F5" s="12">
        <f>'Key Ratios'!G38</f>
        <v/>
      </c>
      <c r="G5" s="12">
        <f>'Key Ratios'!H38</f>
        <v/>
      </c>
      <c r="H5" s="12">
        <f>'Key Ratios'!I38</f>
        <v/>
      </c>
      <c r="I5" s="12">
        <f>'Key Ratios'!J38</f>
        <v/>
      </c>
      <c r="J5" s="12">
        <f>'Key Ratios'!K38</f>
        <v/>
      </c>
      <c r="K5" s="12">
        <f>'Key Ratios'!L38</f>
        <v/>
      </c>
    </row>
    <row r="7">
      <c r="A7" t="inlineStr">
        <is>
          <t>Plowback Ratio</t>
        </is>
      </c>
      <c r="B7" s="15">
        <f>1-(B2/100)</f>
        <v/>
      </c>
      <c r="C7" s="15">
        <f>1-(C2/100)</f>
        <v/>
      </c>
      <c r="D7" s="15">
        <f>1-(D2/100)</f>
        <v/>
      </c>
      <c r="E7" s="15">
        <f>1-(E2/100)</f>
        <v/>
      </c>
      <c r="F7" s="15">
        <f>1-(F2/100)</f>
        <v/>
      </c>
      <c r="G7" s="15">
        <f>1-(G2/100)</f>
        <v/>
      </c>
      <c r="H7" s="15">
        <f>1-(H2/100)</f>
        <v/>
      </c>
      <c r="I7" s="15">
        <f>1-(I2/100)</f>
        <v/>
      </c>
      <c r="J7" s="15">
        <f>1-(J2/100)</f>
        <v/>
      </c>
      <c r="K7" s="15">
        <f>1-(K2/100)</f>
        <v/>
      </c>
    </row>
    <row r="8">
      <c r="A8" t="inlineStr">
        <is>
          <t>ROA</t>
        </is>
      </c>
      <c r="B8" s="15">
        <f>B3/100</f>
        <v/>
      </c>
      <c r="C8" s="15">
        <f>C3/100</f>
        <v/>
      </c>
      <c r="D8" s="15">
        <f>D3/100</f>
        <v/>
      </c>
      <c r="E8" s="15">
        <f>E3/100</f>
        <v/>
      </c>
      <c r="F8" s="15">
        <f>F3/100</f>
        <v/>
      </c>
      <c r="G8" s="15">
        <f>G3/100</f>
        <v/>
      </c>
      <c r="H8" s="15">
        <f>H3/100</f>
        <v/>
      </c>
      <c r="I8" s="15">
        <f>I3/100</f>
        <v/>
      </c>
      <c r="J8" s="15">
        <f>J3/100</f>
        <v/>
      </c>
      <c r="K8" s="15">
        <f>K3/100</f>
        <v/>
      </c>
    </row>
    <row r="9">
      <c r="A9" t="inlineStr">
        <is>
          <t>ROE</t>
        </is>
      </c>
      <c r="B9" s="15">
        <f>B4/100</f>
        <v/>
      </c>
      <c r="C9" s="15">
        <f>C4/100</f>
        <v/>
      </c>
      <c r="D9" s="15">
        <f>D4/100</f>
        <v/>
      </c>
      <c r="E9" s="15">
        <f>E4/100</f>
        <v/>
      </c>
      <c r="F9" s="15">
        <f>F4/100</f>
        <v/>
      </c>
      <c r="G9" s="15">
        <f>G4/100</f>
        <v/>
      </c>
      <c r="H9" s="15">
        <f>H4/100</f>
        <v/>
      </c>
      <c r="I9" s="15">
        <f>I4/100</f>
        <v/>
      </c>
      <c r="J9" s="15">
        <f>J4/100</f>
        <v/>
      </c>
      <c r="K9" s="15">
        <f>K4/100</f>
        <v/>
      </c>
    </row>
    <row r="10">
      <c r="A10" t="inlineStr">
        <is>
          <t>ROIC</t>
        </is>
      </c>
      <c r="B10" s="15">
        <f>B5/100</f>
        <v/>
      </c>
      <c r="C10" s="15">
        <f>C5/100</f>
        <v/>
      </c>
      <c r="D10" s="15">
        <f>D5/100</f>
        <v/>
      </c>
      <c r="E10" s="15">
        <f>E5/100</f>
        <v/>
      </c>
      <c r="F10" s="15">
        <f>F5/100</f>
        <v/>
      </c>
      <c r="G10" s="15">
        <f>G5/100</f>
        <v/>
      </c>
      <c r="H10" s="15">
        <f>H5/100</f>
        <v/>
      </c>
      <c r="I10" s="15">
        <f>I5/100</f>
        <v/>
      </c>
      <c r="J10" s="15">
        <f>J5/100</f>
        <v/>
      </c>
      <c r="K10" s="15">
        <f>K5/100</f>
        <v/>
      </c>
    </row>
    <row r="11">
      <c r="M11" s="17" t="inlineStr">
        <is>
          <t>Average</t>
        </is>
      </c>
    </row>
    <row r="12">
      <c r="A12" t="inlineStr">
        <is>
          <t>Internal Growth Rate</t>
        </is>
      </c>
      <c r="B12" s="20">
        <f>(B8*B7)/(1-(B8*B7))</f>
        <v/>
      </c>
      <c r="C12" s="20">
        <f>(C8*C7)/(1-(C8*C7))</f>
        <v/>
      </c>
      <c r="D12" s="20">
        <f>(D8*D7)/(1-(D8*D7))</f>
        <v/>
      </c>
      <c r="E12" s="20">
        <f>(E8*E7)/(1-(E8*E7))</f>
        <v/>
      </c>
      <c r="F12" s="20">
        <f>(F8*F7)/(1-(F8*F7))</f>
        <v/>
      </c>
      <c r="G12" s="20">
        <f>(G8*G7)/(1-(G8*G7))</f>
        <v/>
      </c>
      <c r="H12" s="20">
        <f>(H8*H7)/(1-(H8*H7))</f>
        <v/>
      </c>
      <c r="I12" s="20">
        <f>(I8*I7)/(1-(I8*I7))</f>
        <v/>
      </c>
      <c r="J12" s="20">
        <f>(J8*J7)/(1-(J8*J7))</f>
        <v/>
      </c>
      <c r="K12" s="20">
        <f>(K8*K7)/(1-(K8*K7))</f>
        <v/>
      </c>
      <c r="M12" s="18">
        <f>AVERAGE(B12:K12)</f>
        <v/>
      </c>
    </row>
    <row r="13">
      <c r="A13" t="inlineStr">
        <is>
          <t>Sustainable Growth Rate</t>
        </is>
      </c>
      <c r="B13" s="20">
        <f>(B9*B7)/(1-(B9*B7))</f>
        <v/>
      </c>
      <c r="C13" s="20">
        <f>(C9*C7)/(1-(C9*C7))</f>
        <v/>
      </c>
      <c r="D13" s="20">
        <f>(D9*D7)/(1-(D9*D7))</f>
        <v/>
      </c>
      <c r="E13" s="20">
        <f>(E9*E7)/(1-(E9*E7))</f>
        <v/>
      </c>
      <c r="F13" s="20">
        <f>(F9*F7)/(1-(F9*F7))</f>
        <v/>
      </c>
      <c r="G13" s="20">
        <f>(G9*G7)/(1-(G9*G7))</f>
        <v/>
      </c>
      <c r="H13" s="20">
        <f>(H9*H7)/(1-(H9*H7))</f>
        <v/>
      </c>
      <c r="I13" s="20">
        <f>(I9*I7)/(1-(I9*I7))</f>
        <v/>
      </c>
      <c r="J13" s="20">
        <f>(J9*J7)/(1-(J9*J7))</f>
        <v/>
      </c>
      <c r="K13" s="20">
        <f>(K9*K7)/(1-(K9*K7))</f>
        <v/>
      </c>
      <c r="M13" s="18">
        <f>AVERAGE(B13:K13)</f>
        <v/>
      </c>
    </row>
    <row r="14">
      <c r="A14" t="inlineStr">
        <is>
          <t>Return on Invested Capital</t>
        </is>
      </c>
      <c r="B14" s="20">
        <f>B10*B7</f>
        <v/>
      </c>
      <c r="C14" s="20">
        <f>C10*C7</f>
        <v/>
      </c>
      <c r="D14" s="20">
        <f>D10*D7</f>
        <v/>
      </c>
      <c r="E14" s="20">
        <f>E10*E7</f>
        <v/>
      </c>
      <c r="F14" s="20">
        <f>F10*F7</f>
        <v/>
      </c>
      <c r="G14" s="20">
        <f>G10*G7</f>
        <v/>
      </c>
      <c r="H14" s="20">
        <f>H10*H7</f>
        <v/>
      </c>
      <c r="I14" s="20">
        <f>I10*I7</f>
        <v/>
      </c>
      <c r="J14" s="20">
        <f>J10*J7</f>
        <v/>
      </c>
      <c r="K14" s="20">
        <f>K10*K7</f>
        <v/>
      </c>
      <c r="M14" s="18">
        <f>AVERAGE(B14:K14)</f>
        <v/>
      </c>
    </row>
    <row r="15">
      <c r="A15" t="inlineStr">
        <is>
          <t>Compound Annual Growth Rate</t>
        </is>
      </c>
      <c r="M15" s="19" t="inlineStr">
        <is>
          <t>=</t>
        </is>
      </c>
      <c r="O15" t="inlineStr">
        <is>
          <t>Source: Morningstar Direct -&gt; Cash Flows -&gt; Free Cash Flow</t>
        </is>
      </c>
    </row>
    <row r="18">
      <c r="A18" t="inlineStr">
        <is>
          <t xml:space="preserve">Chosen Growth Rate: </t>
        </is>
      </c>
      <c r="B18" s="8">
        <f>MIN(M12:M14)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6">
    <tabColor rgb="FFFFFF00"/>
    <outlinePr summaryBelow="1" summaryRight="1"/>
    <pageSetUpPr/>
  </sheetPr>
  <dimension ref="A1:C18"/>
  <sheetViews>
    <sheetView workbookViewId="0">
      <selection activeCell="B18" sqref="B18"/>
    </sheetView>
  </sheetViews>
  <sheetFormatPr baseColWidth="8" defaultRowHeight="14.4"/>
  <cols>
    <col width="37" customWidth="1" min="1" max="1"/>
    <col width="11.44140625" customWidth="1" min="2" max="3"/>
  </cols>
  <sheetData>
    <row r="1">
      <c r="A1" s="2" t="inlineStr">
        <is>
          <t>Non-Cash Working Capital Calculation</t>
        </is>
      </c>
    </row>
    <row r="3">
      <c r="A3" s="68" t="inlineStr">
        <is>
          <t>Current Assets</t>
        </is>
      </c>
      <c r="B3" s="86">
        <f>'Balance Sheet (Quarterly)'!B2</f>
        <v/>
      </c>
      <c r="C3" s="86">
        <f>'Balance Sheet (Quarterly)'!C2</f>
        <v/>
      </c>
    </row>
    <row r="4">
      <c r="A4" t="inlineStr">
        <is>
          <t>Receivables</t>
        </is>
      </c>
      <c r="B4" s="12">
        <f>VLOOKUP(A4,'Balance Sheet (Quarterly)'!1:1048576,2,FALSE)</f>
        <v/>
      </c>
      <c r="C4" s="12">
        <f>VLOOKUP(A4,'Balance Sheet (Quarterly)'!1:1048576,3,FALSE)</f>
        <v/>
      </c>
    </row>
    <row r="5">
      <c r="A5" t="inlineStr">
        <is>
          <t>Inventories</t>
        </is>
      </c>
      <c r="B5" s="12">
        <f>VLOOKUP(A5,'Balance Sheet (Quarterly)'!1:1048576,2,FALSE)</f>
        <v/>
      </c>
      <c r="C5" s="12">
        <f>VLOOKUP(A5,'Balance Sheet (Quarterly)'!1:1048576,3,FALSE)</f>
        <v/>
      </c>
    </row>
    <row r="6">
      <c r="A6" t="inlineStr">
        <is>
          <t>Other current assets</t>
        </is>
      </c>
      <c r="B6" s="12">
        <f>VLOOKUP(A6,'Balance Sheet (Quarterly)'!1:1048576,2,FALSE)</f>
        <v/>
      </c>
      <c r="C6" s="12">
        <f>VLOOKUP(A6,'Balance Sheet (Quarterly)'!1:1048576,3,FALSE)</f>
        <v/>
      </c>
    </row>
    <row r="7" ht="15" customHeight="1" thickBot="1">
      <c r="A7" s="24" t="inlineStr">
        <is>
          <t>Total current assets</t>
        </is>
      </c>
      <c r="B7" s="24">
        <f>SUM(B4:B6)</f>
        <v/>
      </c>
      <c r="C7" s="24">
        <f>SUM(C4:C6)</f>
        <v/>
      </c>
    </row>
    <row r="8" ht="15" customHeight="1" thickTop="1"/>
    <row r="9">
      <c r="A9" s="68" t="inlineStr">
        <is>
          <t>Current Liabilities</t>
        </is>
      </c>
    </row>
    <row r="10">
      <c r="A10" t="inlineStr">
        <is>
          <t>Accounts payable</t>
        </is>
      </c>
      <c r="B10" s="12">
        <f>VLOOKUP(A10,'Balance Sheet (Quarterly)'!1:1048576,2,FALSE)</f>
        <v/>
      </c>
      <c r="C10" s="12">
        <f>VLOOKUP(A10,'Balance Sheet (Quarterly)'!1:1048576,3,FALSE)</f>
        <v/>
      </c>
    </row>
    <row r="11">
      <c r="A11" t="inlineStr">
        <is>
          <t>Taxes payable</t>
        </is>
      </c>
      <c r="B11" s="12">
        <f>VLOOKUP(A11,'Balance Sheet (Quarterly)'!1:1048576,2,FALSE)</f>
        <v/>
      </c>
      <c r="C11" s="12">
        <f>VLOOKUP(A11,'Balance Sheet (Quarterly)'!1:1048576,3,FALSE)</f>
        <v/>
      </c>
    </row>
    <row r="12">
      <c r="A12" t="inlineStr">
        <is>
          <t>Accrued liabilities</t>
        </is>
      </c>
      <c r="B12" s="12">
        <f>_xlfn.IFNA(VLOOKUP(A12,'Balance Sheet (Quarterly)'!1:1048576,2,FALSE),0)</f>
        <v/>
      </c>
      <c r="C12" s="12">
        <f>_xlfn.IFNA(VLOOKUP(A12,'Balance Sheet (Quarterly)'!1:1048576,3,FALSE),0)</f>
        <v/>
      </c>
    </row>
    <row r="13">
      <c r="A13" t="inlineStr">
        <is>
          <t>Deffered Revenue</t>
        </is>
      </c>
      <c r="B13" s="12">
        <f>_xlfn.IFNA(VLOOKUP(A13,'Balance Sheet (Quarterly)'!1:1048576,2,FALSE),0)</f>
        <v/>
      </c>
      <c r="C13" s="12">
        <f>_xlfn.IFNA(VLOOKUP(A13,'Balance Sheet (Quarterly)'!1:1048576,3,FALSE),0)</f>
        <v/>
      </c>
    </row>
    <row r="14">
      <c r="A14" t="inlineStr">
        <is>
          <t>Other current liabilities</t>
        </is>
      </c>
      <c r="B14" s="12">
        <f>VLOOKUP(A14,'Balance Sheet (Quarterly)'!1:1048576,2,FALSE)</f>
        <v/>
      </c>
      <c r="C14" s="12">
        <f>VLOOKUP(A14,'Balance Sheet (Quarterly)'!1:1048576,3,FALSE)</f>
        <v/>
      </c>
    </row>
    <row r="15" ht="15" customHeight="1" thickBot="1">
      <c r="A15" s="24" t="inlineStr">
        <is>
          <t>Total current liabilities</t>
        </is>
      </c>
      <c r="B15" s="24">
        <f>SUM(B10:B14)</f>
        <v/>
      </c>
      <c r="C15" s="24">
        <f>SUM(C10:C14)</f>
        <v/>
      </c>
    </row>
    <row r="16" ht="15" customHeight="1" thickTop="1"/>
    <row r="17">
      <c r="A17" s="2" t="inlineStr">
        <is>
          <t>Working capital</t>
        </is>
      </c>
      <c r="B17" s="28">
        <f>B7-B15</f>
        <v/>
      </c>
      <c r="C17" s="28">
        <f>C7-C15</f>
        <v/>
      </c>
    </row>
    <row r="18" ht="15" customHeight="1" thickBot="1">
      <c r="A18" s="2" t="inlineStr">
        <is>
          <t>Change in working capital</t>
        </is>
      </c>
      <c r="B18" s="26">
        <f>B17-C17</f>
        <v/>
      </c>
    </row>
    <row r="19" ht="15" customHeight="1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7">
    <tabColor rgb="FF00B0F0"/>
    <outlinePr summaryBelow="1" summaryRight="1"/>
    <pageSetUpPr/>
  </sheetPr>
  <dimension ref="A1:G26"/>
  <sheetViews>
    <sheetView workbookViewId="0">
      <selection activeCell="A14" sqref="A14"/>
    </sheetView>
  </sheetViews>
  <sheetFormatPr baseColWidth="8" defaultRowHeight="14.4"/>
  <cols>
    <col width="39.6640625" bestFit="1" customWidth="1" min="1" max="1"/>
  </cols>
  <sheetData>
    <row r="1">
      <c r="G1" s="87" t="inlineStr">
        <is>
          <t>MICROSOFT CORP  (MSFT) CashFlowFlag INCOME STATEMENT</t>
        </is>
      </c>
    </row>
    <row r="2">
      <c r="A2" s="87" t="inlineStr">
        <is>
          <t>Fiscal year ends in June. USD in millions except per share data.</t>
        </is>
      </c>
      <c r="B2" s="87" t="inlineStr">
        <is>
          <t>TTM</t>
        </is>
      </c>
      <c r="C2" s="87" t="inlineStr">
        <is>
          <t>2019-06</t>
        </is>
      </c>
      <c r="D2" s="87" t="inlineStr">
        <is>
          <t>2018-06</t>
        </is>
      </c>
      <c r="E2" s="87" t="inlineStr">
        <is>
          <t>2017-06</t>
        </is>
      </c>
      <c r="F2" s="87" t="inlineStr">
        <is>
          <t>2016-06</t>
        </is>
      </c>
      <c r="G2" t="inlineStr">
        <is>
          <t>2015-06</t>
        </is>
      </c>
    </row>
    <row r="3">
      <c r="A3" s="87" t="inlineStr">
        <is>
          <t>Revenue</t>
        </is>
      </c>
      <c r="B3" s="87" t="inlineStr">
        <is>
          <t>134249</t>
        </is>
      </c>
      <c r="C3" s="87" t="inlineStr">
        <is>
          <t>125843</t>
        </is>
      </c>
      <c r="D3" s="87" t="inlineStr">
        <is>
          <t>110360</t>
        </is>
      </c>
      <c r="E3" s="87" t="inlineStr">
        <is>
          <t>89950</t>
        </is>
      </c>
      <c r="F3" s="87" t="inlineStr">
        <is>
          <t>85320</t>
        </is>
      </c>
      <c r="G3" t="inlineStr">
        <is>
          <t>93580</t>
        </is>
      </c>
    </row>
    <row r="4">
      <c r="A4" s="87" t="inlineStr">
        <is>
          <t>Cost of revenue</t>
        </is>
      </c>
      <c r="B4" s="87" t="inlineStr">
        <is>
          <t>43346</t>
        </is>
      </c>
      <c r="C4" s="87" t="inlineStr">
        <is>
          <t>42910</t>
        </is>
      </c>
      <c r="D4" s="87" t="inlineStr">
        <is>
          <t>38353</t>
        </is>
      </c>
      <c r="E4" s="87" t="inlineStr">
        <is>
          <t>34261</t>
        </is>
      </c>
      <c r="F4" s="87" t="inlineStr">
        <is>
          <t>32780</t>
        </is>
      </c>
      <c r="G4" t="inlineStr">
        <is>
          <t>33038</t>
        </is>
      </c>
    </row>
    <row r="5">
      <c r="A5" s="87" t="inlineStr">
        <is>
          <t>Gross profit</t>
        </is>
      </c>
      <c r="B5" s="87" t="inlineStr">
        <is>
          <t>90903</t>
        </is>
      </c>
      <c r="C5" s="87" t="inlineStr">
        <is>
          <t>82933</t>
        </is>
      </c>
      <c r="D5" s="87" t="inlineStr">
        <is>
          <t>72007</t>
        </is>
      </c>
      <c r="E5" s="87" t="inlineStr">
        <is>
          <t>55689</t>
        </is>
      </c>
      <c r="F5" s="87" t="inlineStr">
        <is>
          <t>52540</t>
        </is>
      </c>
      <c r="G5" t="inlineStr">
        <is>
          <t>60542</t>
        </is>
      </c>
    </row>
    <row r="6">
      <c r="A6" s="87" t="inlineStr">
        <is>
          <t>Operating expenses</t>
        </is>
      </c>
      <c r="B6" s="87" t="inlineStr"/>
      <c r="C6" s="87" t="inlineStr"/>
      <c r="D6" s="87" t="inlineStr"/>
      <c r="E6" s="87" t="inlineStr"/>
      <c r="F6" s="87" t="inlineStr"/>
      <c r="G6" t="inlineStr"/>
    </row>
    <row r="7">
      <c r="A7" s="87" t="inlineStr">
        <is>
          <t>Research and development</t>
        </is>
      </c>
      <c r="B7" s="87" t="inlineStr">
        <is>
          <t>17997</t>
        </is>
      </c>
      <c r="C7" s="87" t="inlineStr">
        <is>
          <t>16876</t>
        </is>
      </c>
      <c r="D7" s="87" t="inlineStr">
        <is>
          <t>14726</t>
        </is>
      </c>
      <c r="E7" s="87" t="inlineStr">
        <is>
          <t>13037</t>
        </is>
      </c>
      <c r="F7" s="87" t="inlineStr">
        <is>
          <t>11988</t>
        </is>
      </c>
      <c r="G7" t="inlineStr">
        <is>
          <t>12046</t>
        </is>
      </c>
    </row>
    <row r="8">
      <c r="A8" s="87" t="inlineStr">
        <is>
          <t>Sales, General and administrative</t>
        </is>
      </c>
      <c r="B8" s="87" t="inlineStr">
        <is>
          <t>23583</t>
        </is>
      </c>
      <c r="C8" s="87" t="inlineStr">
        <is>
          <t>23098</t>
        </is>
      </c>
      <c r="D8" s="87" t="inlineStr">
        <is>
          <t>22223</t>
        </is>
      </c>
      <c r="E8" s="87" t="inlineStr">
        <is>
          <t>20020</t>
        </is>
      </c>
      <c r="F8" s="87" t="inlineStr">
        <is>
          <t>19260</t>
        </is>
      </c>
      <c r="G8" t="inlineStr">
        <is>
          <t>20324</t>
        </is>
      </c>
    </row>
    <row r="9">
      <c r="A9" s="87" t="inlineStr">
        <is>
          <t>Restructuring, merger and acquisition</t>
        </is>
      </c>
      <c r="B9" s="87" t="inlineStr"/>
      <c r="C9" s="87" t="inlineStr"/>
      <c r="D9" s="87" t="inlineStr"/>
      <c r="E9" s="87" t="inlineStr">
        <is>
          <t>306</t>
        </is>
      </c>
      <c r="F9" s="87" t="inlineStr">
        <is>
          <t>1110</t>
        </is>
      </c>
      <c r="G9" t="inlineStr">
        <is>
          <t>10011</t>
        </is>
      </c>
    </row>
    <row r="10">
      <c r="A10" s="87" t="inlineStr">
        <is>
          <t>Other operating expenses</t>
        </is>
      </c>
      <c r="B10" s="87" t="inlineStr"/>
      <c r="C10" s="87" t="inlineStr"/>
      <c r="D10" s="87" t="inlineStr"/>
      <c r="E10" s="87" t="inlineStr">
        <is>
          <t>-306</t>
        </is>
      </c>
      <c r="F10" s="87" t="inlineStr">
        <is>
          <t>-1110</t>
        </is>
      </c>
      <c r="G10" t="inlineStr">
        <is>
          <t>-10011</t>
        </is>
      </c>
    </row>
    <row r="11">
      <c r="A11" s="87" t="inlineStr">
        <is>
          <t>Total operating expenses</t>
        </is>
      </c>
      <c r="B11" s="87" t="inlineStr">
        <is>
          <t>41580</t>
        </is>
      </c>
      <c r="C11" s="87" t="inlineStr">
        <is>
          <t>39974</t>
        </is>
      </c>
      <c r="D11" s="87" t="inlineStr">
        <is>
          <t>36949</t>
        </is>
      </c>
      <c r="E11" s="87" t="inlineStr">
        <is>
          <t>33057</t>
        </is>
      </c>
      <c r="F11" s="87" t="inlineStr">
        <is>
          <t>31248</t>
        </is>
      </c>
      <c r="G11" t="inlineStr">
        <is>
          <t>32370</t>
        </is>
      </c>
    </row>
    <row r="12">
      <c r="A12" s="87" t="inlineStr">
        <is>
          <t>Operating income</t>
        </is>
      </c>
      <c r="B12" s="87" t="inlineStr">
        <is>
          <t>49323</t>
        </is>
      </c>
      <c r="C12" s="87" t="inlineStr">
        <is>
          <t>42959</t>
        </is>
      </c>
      <c r="D12" s="87" t="inlineStr">
        <is>
          <t>35058</t>
        </is>
      </c>
      <c r="E12" s="87" t="inlineStr">
        <is>
          <t>22632</t>
        </is>
      </c>
      <c r="F12" s="87" t="inlineStr">
        <is>
          <t>21292</t>
        </is>
      </c>
      <c r="G12" t="inlineStr">
        <is>
          <t>28172</t>
        </is>
      </c>
    </row>
    <row r="13">
      <c r="A13" s="87" t="inlineStr">
        <is>
          <t>Interest Expense</t>
        </is>
      </c>
      <c r="B13" s="87" t="inlineStr">
        <is>
          <t>2631</t>
        </is>
      </c>
      <c r="C13" s="87" t="inlineStr">
        <is>
          <t>2686</t>
        </is>
      </c>
      <c r="D13" s="87" t="inlineStr">
        <is>
          <t>2733</t>
        </is>
      </c>
      <c r="E13" s="87" t="inlineStr">
        <is>
          <t>2222</t>
        </is>
      </c>
      <c r="F13" s="87" t="inlineStr">
        <is>
          <t>1243</t>
        </is>
      </c>
      <c r="G13" t="inlineStr">
        <is>
          <t>781</t>
        </is>
      </c>
    </row>
    <row r="14">
      <c r="A14" s="87" t="inlineStr">
        <is>
          <t>Other income (expense)</t>
        </is>
      </c>
      <c r="B14" s="87" t="inlineStr">
        <is>
          <t>3161</t>
        </is>
      </c>
      <c r="C14" s="87" t="inlineStr">
        <is>
          <t>3415</t>
        </is>
      </c>
      <c r="D14" s="87" t="inlineStr">
        <is>
          <t>4149</t>
        </is>
      </c>
      <c r="E14" s="87" t="inlineStr">
        <is>
          <t>2739</t>
        </is>
      </c>
      <c r="F14" s="87" t="inlineStr">
        <is>
          <t>-298</t>
        </is>
      </c>
      <c r="G14" t="inlineStr">
        <is>
          <t>-8884</t>
        </is>
      </c>
    </row>
    <row r="15">
      <c r="A15" s="87" t="inlineStr">
        <is>
          <t>Income before taxes</t>
        </is>
      </c>
      <c r="B15" s="87" t="inlineStr">
        <is>
          <t>49853</t>
        </is>
      </c>
      <c r="C15" s="87" t="inlineStr">
        <is>
          <t>43688</t>
        </is>
      </c>
      <c r="D15" s="87" t="inlineStr">
        <is>
          <t>36474</t>
        </is>
      </c>
      <c r="E15" s="87" t="inlineStr">
        <is>
          <t>23149</t>
        </is>
      </c>
      <c r="F15" s="87" t="inlineStr">
        <is>
          <t>19751</t>
        </is>
      </c>
      <c r="G15" t="inlineStr">
        <is>
          <t>18507</t>
        </is>
      </c>
    </row>
    <row r="16">
      <c r="A16" s="87" t="inlineStr">
        <is>
          <t>Provision for income taxes</t>
        </is>
      </c>
      <c r="B16" s="87" t="inlineStr">
        <is>
          <t>5530</t>
        </is>
      </c>
      <c r="C16" s="87" t="inlineStr">
        <is>
          <t>4448</t>
        </is>
      </c>
      <c r="D16" s="87" t="inlineStr">
        <is>
          <t>19903</t>
        </is>
      </c>
      <c r="E16" s="87" t="inlineStr">
        <is>
          <t>1945</t>
        </is>
      </c>
      <c r="F16" s="87" t="inlineStr">
        <is>
          <t>2953</t>
        </is>
      </c>
      <c r="G16" t="inlineStr">
        <is>
          <t>6314</t>
        </is>
      </c>
    </row>
    <row r="17">
      <c r="A17" s="87" t="inlineStr">
        <is>
          <t>Net income from continuing operations</t>
        </is>
      </c>
      <c r="B17" s="87" t="inlineStr">
        <is>
          <t>44323</t>
        </is>
      </c>
      <c r="C17" s="87" t="inlineStr">
        <is>
          <t>39240</t>
        </is>
      </c>
      <c r="D17" s="87" t="inlineStr">
        <is>
          <t>16571</t>
        </is>
      </c>
      <c r="E17" s="87" t="inlineStr">
        <is>
          <t>21204</t>
        </is>
      </c>
      <c r="F17" s="87" t="inlineStr">
        <is>
          <t>16798</t>
        </is>
      </c>
      <c r="G17" t="inlineStr">
        <is>
          <t>12193</t>
        </is>
      </c>
    </row>
    <row r="18">
      <c r="A18" s="87" t="inlineStr">
        <is>
          <t>Net income</t>
        </is>
      </c>
      <c r="B18" s="87" t="inlineStr">
        <is>
          <t>44323</t>
        </is>
      </c>
      <c r="C18" s="87" t="inlineStr">
        <is>
          <t>39240</t>
        </is>
      </c>
      <c r="D18" s="87" t="inlineStr">
        <is>
          <t>16571</t>
        </is>
      </c>
      <c r="E18" s="87" t="inlineStr">
        <is>
          <t>21204</t>
        </is>
      </c>
      <c r="F18" s="87" t="inlineStr">
        <is>
          <t>16798</t>
        </is>
      </c>
      <c r="G18" t="inlineStr">
        <is>
          <t>12193</t>
        </is>
      </c>
    </row>
    <row r="19">
      <c r="A19" s="87" t="inlineStr">
        <is>
          <t>Net income available to common shareholders</t>
        </is>
      </c>
      <c r="B19" s="87" t="inlineStr">
        <is>
          <t>44323</t>
        </is>
      </c>
      <c r="C19" s="87" t="inlineStr">
        <is>
          <t>39240</t>
        </is>
      </c>
      <c r="D19" s="87" t="inlineStr">
        <is>
          <t>16571</t>
        </is>
      </c>
      <c r="E19" s="87" t="inlineStr">
        <is>
          <t>21204</t>
        </is>
      </c>
      <c r="F19" s="87" t="inlineStr">
        <is>
          <t>16798</t>
        </is>
      </c>
      <c r="G19" t="inlineStr">
        <is>
          <t>12193</t>
        </is>
      </c>
    </row>
    <row r="20">
      <c r="A20" s="87" t="inlineStr">
        <is>
          <t>Earnings per share</t>
        </is>
      </c>
      <c r="B20" s="87" t="inlineStr"/>
      <c r="C20" s="87" t="inlineStr"/>
      <c r="D20" s="87" t="inlineStr"/>
      <c r="E20" s="87" t="inlineStr"/>
      <c r="F20" s="87" t="inlineStr"/>
      <c r="G20" t="inlineStr"/>
    </row>
    <row r="21">
      <c r="A21" s="87" t="inlineStr">
        <is>
          <t>Basic</t>
        </is>
      </c>
      <c r="B21" s="87" t="inlineStr">
        <is>
          <t>5.80</t>
        </is>
      </c>
      <c r="C21" s="87" t="inlineStr">
        <is>
          <t>5.11</t>
        </is>
      </c>
      <c r="D21" s="87" t="inlineStr">
        <is>
          <t>2.15</t>
        </is>
      </c>
      <c r="E21" s="87" t="inlineStr">
        <is>
          <t>2.74</t>
        </is>
      </c>
      <c r="F21" s="87" t="inlineStr">
        <is>
          <t>2.12</t>
        </is>
      </c>
      <c r="G21" t="inlineStr">
        <is>
          <t>1.49</t>
        </is>
      </c>
    </row>
    <row r="22">
      <c r="A22" s="87" t="inlineStr">
        <is>
          <t>Diluted</t>
        </is>
      </c>
      <c r="B22" s="87" t="inlineStr">
        <is>
          <t>5.74</t>
        </is>
      </c>
      <c r="C22" s="87" t="inlineStr">
        <is>
          <t>5.06</t>
        </is>
      </c>
      <c r="D22" s="87" t="inlineStr">
        <is>
          <t>2.13</t>
        </is>
      </c>
      <c r="E22" s="87" t="inlineStr">
        <is>
          <t>2.71</t>
        </is>
      </c>
      <c r="F22" s="87" t="inlineStr">
        <is>
          <t>2.10</t>
        </is>
      </c>
      <c r="G22" t="inlineStr">
        <is>
          <t>1.48</t>
        </is>
      </c>
    </row>
    <row r="23">
      <c r="A23" s="87" t="inlineStr">
        <is>
          <t>Weighted average shares outstanding</t>
        </is>
      </c>
      <c r="B23" s="87" t="inlineStr"/>
      <c r="C23" s="87" t="inlineStr"/>
      <c r="D23" s="87" t="inlineStr"/>
      <c r="E23" s="87" t="inlineStr"/>
      <c r="F23" s="87" t="inlineStr"/>
      <c r="G23" t="inlineStr"/>
    </row>
    <row r="24">
      <c r="A24" s="87" t="inlineStr">
        <is>
          <t>Basic</t>
        </is>
      </c>
      <c r="B24" s="87" t="inlineStr">
        <is>
          <t>7646</t>
        </is>
      </c>
      <c r="C24" s="87" t="inlineStr">
        <is>
          <t>7673</t>
        </is>
      </c>
      <c r="D24" s="87" t="inlineStr">
        <is>
          <t>7700</t>
        </is>
      </c>
      <c r="E24" s="87" t="inlineStr">
        <is>
          <t>7746</t>
        </is>
      </c>
      <c r="F24" s="87" t="inlineStr">
        <is>
          <t>7925</t>
        </is>
      </c>
      <c r="G24" t="inlineStr">
        <is>
          <t>8177</t>
        </is>
      </c>
    </row>
    <row r="25">
      <c r="A25" s="87" t="inlineStr">
        <is>
          <t>Diluted</t>
        </is>
      </c>
      <c r="B25" s="87" t="inlineStr">
        <is>
          <t>7720</t>
        </is>
      </c>
      <c r="C25" s="87" t="inlineStr">
        <is>
          <t>7753</t>
        </is>
      </c>
      <c r="D25" s="87" t="inlineStr">
        <is>
          <t>7794</t>
        </is>
      </c>
      <c r="E25" s="87" t="inlineStr">
        <is>
          <t>7832</t>
        </is>
      </c>
      <c r="F25" s="87" t="inlineStr">
        <is>
          <t>8013</t>
        </is>
      </c>
      <c r="G25" t="inlineStr">
        <is>
          <t>8254</t>
        </is>
      </c>
    </row>
    <row r="26">
      <c r="A26" s="87" t="inlineStr">
        <is>
          <t>EBITDA</t>
        </is>
      </c>
      <c r="B26" s="87" t="inlineStr">
        <is>
          <t>64508</t>
        </is>
      </c>
      <c r="C26" s="87" t="inlineStr">
        <is>
          <t>58056</t>
        </is>
      </c>
      <c r="D26" s="87" t="inlineStr">
        <is>
          <t>49468</t>
        </is>
      </c>
      <c r="E26" s="87" t="inlineStr">
        <is>
          <t>34149</t>
        </is>
      </c>
      <c r="F26" s="87" t="inlineStr">
        <is>
          <t>27616</t>
        </is>
      </c>
      <c r="G26" t="inlineStr">
        <is>
          <t>25245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8">
    <tabColor rgb="FF00B0F0"/>
    <outlinePr summaryBelow="1" summaryRight="1"/>
    <pageSetUpPr/>
  </sheetPr>
  <dimension ref="A3:A47"/>
  <sheetViews>
    <sheetView workbookViewId="0">
      <selection activeCell="K22" sqref="K22"/>
    </sheetView>
  </sheetViews>
  <sheetFormatPr baseColWidth="8" defaultRowHeight="14.4"/>
  <cols>
    <col width="36.33203125" bestFit="1" customWidth="1" min="1" max="1"/>
  </cols>
  <sheetData>
    <row r="3">
      <c r="A3" t="inlineStr">
        <is>
          <t>Assets</t>
        </is>
      </c>
    </row>
    <row r="4">
      <c r="A4" t="inlineStr">
        <is>
          <t>Current assets</t>
        </is>
      </c>
    </row>
    <row r="5">
      <c r="A5" t="inlineStr">
        <is>
          <t>Cash</t>
        </is>
      </c>
    </row>
    <row r="6">
      <c r="A6" t="inlineStr">
        <is>
          <t>Cash and cash equivalents</t>
        </is>
      </c>
    </row>
    <row r="7">
      <c r="A7" t="inlineStr">
        <is>
          <t>Short-term investments</t>
        </is>
      </c>
    </row>
    <row r="8">
      <c r="A8" t="inlineStr">
        <is>
          <t>Total cash</t>
        </is>
      </c>
    </row>
    <row r="9">
      <c r="A9" t="inlineStr">
        <is>
          <t>Receivables</t>
        </is>
      </c>
    </row>
    <row r="10">
      <c r="A10" t="inlineStr">
        <is>
          <t>Inventories</t>
        </is>
      </c>
    </row>
    <row r="11">
      <c r="A11" t="inlineStr">
        <is>
          <t>Deferred income taxes</t>
        </is>
      </c>
    </row>
    <row r="12">
      <c r="A12" t="inlineStr">
        <is>
          <t>Other current assets</t>
        </is>
      </c>
    </row>
    <row r="13">
      <c r="A13" t="inlineStr">
        <is>
          <t>Total current assets</t>
        </is>
      </c>
    </row>
    <row r="14">
      <c r="A14" t="inlineStr">
        <is>
          <t>Non-current assets</t>
        </is>
      </c>
    </row>
    <row r="15">
      <c r="A15" t="inlineStr">
        <is>
          <t>Property, plant and equipment</t>
        </is>
      </c>
    </row>
    <row r="16">
      <c r="A16" t="inlineStr">
        <is>
          <t>Gross property, plant and equipment</t>
        </is>
      </c>
    </row>
    <row r="17">
      <c r="A17" t="inlineStr">
        <is>
          <t>Accumulated Depreciation</t>
        </is>
      </c>
    </row>
    <row r="18">
      <c r="A18" t="inlineStr">
        <is>
          <t>Net property, plant and equipment</t>
        </is>
      </c>
    </row>
    <row r="19">
      <c r="A19" t="inlineStr">
        <is>
          <t>Equity and other investments</t>
        </is>
      </c>
    </row>
    <row r="20">
      <c r="A20" t="inlineStr">
        <is>
          <t>Goodwill</t>
        </is>
      </c>
    </row>
    <row r="21">
      <c r="A21" t="inlineStr">
        <is>
          <t>Intangible assets</t>
        </is>
      </c>
    </row>
    <row r="22">
      <c r="A22" t="inlineStr">
        <is>
          <t>Other long-term assets</t>
        </is>
      </c>
    </row>
    <row r="23">
      <c r="A23" t="inlineStr">
        <is>
          <t>Total non-current assets</t>
        </is>
      </c>
    </row>
    <row r="24">
      <c r="A24" t="inlineStr">
        <is>
          <t>Total assets</t>
        </is>
      </c>
    </row>
    <row r="25">
      <c r="A25" t="inlineStr">
        <is>
          <t>Liabilities and stockholders' equity</t>
        </is>
      </c>
    </row>
    <row r="26">
      <c r="A26" t="inlineStr">
        <is>
          <t>Liabilities</t>
        </is>
      </c>
    </row>
    <row r="27">
      <c r="A27" t="inlineStr">
        <is>
          <t>Current liabilities</t>
        </is>
      </c>
    </row>
    <row r="28">
      <c r="A28" t="inlineStr">
        <is>
          <t>Short-term debt</t>
        </is>
      </c>
    </row>
    <row r="29">
      <c r="A29" t="inlineStr">
        <is>
          <t>Accounts payable</t>
        </is>
      </c>
    </row>
    <row r="30">
      <c r="A30" t="inlineStr">
        <is>
          <t>Taxes payable</t>
        </is>
      </c>
    </row>
    <row r="31">
      <c r="A31" t="inlineStr">
        <is>
          <t>Deferred revenues</t>
        </is>
      </c>
    </row>
    <row r="32">
      <c r="A32" t="inlineStr">
        <is>
          <t>Other current liabilities</t>
        </is>
      </c>
    </row>
    <row r="33">
      <c r="A33" t="inlineStr">
        <is>
          <t>Total current liabilities</t>
        </is>
      </c>
    </row>
    <row r="34">
      <c r="A34" t="inlineStr">
        <is>
          <t>Non-current liabilities</t>
        </is>
      </c>
    </row>
    <row r="35">
      <c r="A35" t="inlineStr">
        <is>
          <t>Long-term debt</t>
        </is>
      </c>
    </row>
    <row r="36">
      <c r="A36" t="inlineStr">
        <is>
          <t>Capital leases</t>
        </is>
      </c>
    </row>
    <row r="37">
      <c r="A37" t="inlineStr">
        <is>
          <t>Deferred taxes liabilities</t>
        </is>
      </c>
    </row>
    <row r="38">
      <c r="A38" t="inlineStr">
        <is>
          <t>Deferred revenues</t>
        </is>
      </c>
    </row>
    <row r="39">
      <c r="A39" t="inlineStr">
        <is>
          <t>Other long-term liabilities</t>
        </is>
      </c>
    </row>
    <row r="40">
      <c r="A40" t="inlineStr">
        <is>
          <t>Total non-current liabilities</t>
        </is>
      </c>
    </row>
    <row r="41">
      <c r="A41" t="inlineStr">
        <is>
          <t>Total liabilities</t>
        </is>
      </c>
    </row>
    <row r="42">
      <c r="A42" t="inlineStr">
        <is>
          <t>Stockholders' equity</t>
        </is>
      </c>
    </row>
    <row r="43">
      <c r="A43" t="inlineStr">
        <is>
          <t>Common stock</t>
        </is>
      </c>
    </row>
    <row r="44">
      <c r="A44" t="inlineStr">
        <is>
          <t>Retained earnings</t>
        </is>
      </c>
    </row>
    <row r="45">
      <c r="A45" t="inlineStr">
        <is>
          <t>Accumulated other comprehensive income</t>
        </is>
      </c>
    </row>
    <row r="46">
      <c r="A46" t="inlineStr">
        <is>
          <t>Total stockholders' equity</t>
        </is>
      </c>
    </row>
    <row r="47">
      <c r="A47" t="inlineStr">
        <is>
          <t>Total liabilities and stockholders' equity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9">
    <tabColor rgb="FF0070C0"/>
    <outlinePr summaryBelow="1" summaryRight="1"/>
    <pageSetUpPr/>
  </sheetPr>
  <dimension ref="A2:A46"/>
  <sheetViews>
    <sheetView workbookViewId="0">
      <selection activeCell="A30" sqref="A30"/>
    </sheetView>
  </sheetViews>
  <sheetFormatPr baseColWidth="8" defaultRowHeight="14.4"/>
  <cols>
    <col width="52.77734375" bestFit="1" customWidth="1" min="1" max="1"/>
  </cols>
  <sheetData>
    <row r="2">
      <c r="A2" t="inlineStr">
        <is>
          <t>Fiscal year ends in June. USD in millions except per share data.</t>
        </is>
      </c>
    </row>
    <row r="3">
      <c r="A3" t="inlineStr">
        <is>
          <t>Assets</t>
        </is>
      </c>
    </row>
    <row r="4">
      <c r="A4" t="inlineStr">
        <is>
          <t>Current assets</t>
        </is>
      </c>
    </row>
    <row r="5">
      <c r="A5" t="inlineStr">
        <is>
          <t>Cash</t>
        </is>
      </c>
    </row>
    <row r="6">
      <c r="A6" t="inlineStr">
        <is>
          <t>Cash and cash equivalents</t>
        </is>
      </c>
    </row>
    <row r="7">
      <c r="A7" t="inlineStr">
        <is>
          <t>Short-term investments</t>
        </is>
      </c>
    </row>
    <row r="8">
      <c r="A8" t="inlineStr">
        <is>
          <t>Total cash</t>
        </is>
      </c>
    </row>
    <row r="9">
      <c r="A9" t="inlineStr">
        <is>
          <t>Receivables</t>
        </is>
      </c>
    </row>
    <row r="10">
      <c r="A10" t="inlineStr">
        <is>
          <t>Inventories</t>
        </is>
      </c>
    </row>
    <row r="11">
      <c r="A11" t="inlineStr">
        <is>
          <t>Other current assets</t>
        </is>
      </c>
    </row>
    <row r="12">
      <c r="A12" t="inlineStr">
        <is>
          <t>Total current assets</t>
        </is>
      </c>
    </row>
    <row r="13">
      <c r="A13" t="inlineStr">
        <is>
          <t>Non-current assets</t>
        </is>
      </c>
    </row>
    <row r="14">
      <c r="A14" t="inlineStr">
        <is>
          <t>Property, plant and equipment</t>
        </is>
      </c>
    </row>
    <row r="15">
      <c r="A15" t="inlineStr">
        <is>
          <t>Gross property, plant and equipment</t>
        </is>
      </c>
    </row>
    <row r="16">
      <c r="A16" t="inlineStr">
        <is>
          <t>Accumulated Depreciation</t>
        </is>
      </c>
    </row>
    <row r="17">
      <c r="A17" t="inlineStr">
        <is>
          <t>Net property, plant and equipment</t>
        </is>
      </c>
    </row>
    <row r="18">
      <c r="A18" t="inlineStr">
        <is>
          <t>Equity and other investments</t>
        </is>
      </c>
    </row>
    <row r="19">
      <c r="A19" t="inlineStr">
        <is>
          <t>Goodwill</t>
        </is>
      </c>
    </row>
    <row r="20">
      <c r="A20" t="inlineStr">
        <is>
          <t>Intangible assets</t>
        </is>
      </c>
    </row>
    <row r="21">
      <c r="A21" t="inlineStr">
        <is>
          <t>Other long-term assets</t>
        </is>
      </c>
    </row>
    <row r="22">
      <c r="A22" t="inlineStr">
        <is>
          <t>Total non-current assets</t>
        </is>
      </c>
    </row>
    <row r="23">
      <c r="A23" t="inlineStr">
        <is>
          <t>Total assets</t>
        </is>
      </c>
    </row>
    <row r="24">
      <c r="A24" t="inlineStr">
        <is>
          <t>Liabilities and stockholders' equity</t>
        </is>
      </c>
    </row>
    <row r="25">
      <c r="A25" t="inlineStr">
        <is>
          <t>Liabilities</t>
        </is>
      </c>
    </row>
    <row r="26">
      <c r="A26" t="inlineStr">
        <is>
          <t>Current liabilities</t>
        </is>
      </c>
    </row>
    <row r="27">
      <c r="A27" t="inlineStr">
        <is>
          <t>Short-term debt</t>
        </is>
      </c>
    </row>
    <row r="28">
      <c r="A28" t="inlineStr">
        <is>
          <t>Accounts payable</t>
        </is>
      </c>
    </row>
    <row r="29">
      <c r="A29" t="inlineStr">
        <is>
          <t>Taxes payable</t>
        </is>
      </c>
    </row>
    <row r="30">
      <c r="A30" t="inlineStr">
        <is>
          <t>Deferred revenues</t>
        </is>
      </c>
    </row>
    <row r="31">
      <c r="A31" t="inlineStr">
        <is>
          <t>Other current liabilities</t>
        </is>
      </c>
    </row>
    <row r="32">
      <c r="A32" t="inlineStr">
        <is>
          <t>Total current liabilities</t>
        </is>
      </c>
    </row>
    <row r="33">
      <c r="A33" t="inlineStr">
        <is>
          <t>Non-current liabilities</t>
        </is>
      </c>
    </row>
    <row r="34">
      <c r="A34" t="inlineStr">
        <is>
          <t>Long-term debt</t>
        </is>
      </c>
    </row>
    <row r="35">
      <c r="A35" t="inlineStr">
        <is>
          <t>Capital leases</t>
        </is>
      </c>
    </row>
    <row r="36">
      <c r="A36" t="inlineStr">
        <is>
          <t>Deferred taxes liabilities</t>
        </is>
      </c>
    </row>
    <row r="37">
      <c r="A37" t="inlineStr">
        <is>
          <t>Deferred revenues</t>
        </is>
      </c>
    </row>
    <row r="38">
      <c r="A38" t="inlineStr">
        <is>
          <t>Other long-term liabilities</t>
        </is>
      </c>
    </row>
    <row r="39">
      <c r="A39" t="inlineStr">
        <is>
          <t>Total non-current liabilities</t>
        </is>
      </c>
    </row>
    <row r="40">
      <c r="A40" t="inlineStr">
        <is>
          <t>Total liabilities</t>
        </is>
      </c>
    </row>
    <row r="41">
      <c r="A41" t="inlineStr">
        <is>
          <t>Stockholders' equity</t>
        </is>
      </c>
    </row>
    <row r="42">
      <c r="A42" t="inlineStr">
        <is>
          <t>Common stock</t>
        </is>
      </c>
    </row>
    <row r="43">
      <c r="A43" t="inlineStr">
        <is>
          <t>Retained earnings</t>
        </is>
      </c>
    </row>
    <row r="44">
      <c r="A44" t="inlineStr">
        <is>
          <t>Accumulated other comprehensive income</t>
        </is>
      </c>
    </row>
    <row r="45">
      <c r="A45" t="inlineStr">
        <is>
          <t>Total stockholders' equity</t>
        </is>
      </c>
    </row>
    <row r="46">
      <c r="A46" t="inlineStr">
        <is>
          <t>Total liabilities and stockholders' equity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D.Nagy, Danny</dc:creator>
  <dcterms:created xsi:type="dcterms:W3CDTF">2020-02-13T02:26:08Z</dcterms:created>
  <dcterms:modified xsi:type="dcterms:W3CDTF">2020-03-27T06:23:22Z</dcterms:modified>
  <cp:lastModifiedBy>Shyam Kannan</cp:lastModifiedBy>
</cp:coreProperties>
</file>