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ЭтаКнига"/>
  <bookViews>
    <workbookView xWindow="0" yWindow="0" windowWidth="15600" windowHeight="7755" activeTab="12"/>
  </bookViews>
  <sheets>
    <sheet name="DASHBOARD" sheetId="1" r:id="rId1"/>
    <sheet name="Processing" sheetId="2" state="hidden" r:id="rId2"/>
    <sheet name="Data" sheetId="3" state="hidden" r:id="rId3"/>
    <sheet name="data 1" sheetId="4" state="hidden" r:id="rId4"/>
    <sheet name="cond" sheetId="5" state="hidden" r:id="rId5"/>
    <sheet name="GEO" sheetId="6" state="hidden" r:id="rId6"/>
    <sheet name="Geo 840" sheetId="9" state="hidden" r:id="rId7"/>
    <sheet name="plain" sheetId="7" state="hidden" r:id="rId8"/>
    <sheet name="summary" sheetId="8" state="hidden" r:id="rId9"/>
    <sheet name="interlock &amp; leno" sheetId="10" state="hidden" r:id="rId10"/>
    <sheet name="vent without interlock" sheetId="11" state="hidden" r:id="rId11"/>
    <sheet name="Summary2" sheetId="12" r:id="rId12"/>
    <sheet name="combination" sheetId="13" r:id="rId13"/>
  </sheets>
  <externalReferences>
    <externalReference r:id="rId14"/>
  </externalReferences>
  <definedNames>
    <definedName name="_xlnm._FilterDatabase" localSheetId="12" hidden="1">combination!$A$10:$F$29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7" i="13"/>
  <c r="E142"/>
  <c r="E141"/>
  <c r="E140"/>
  <c r="E139"/>
  <c r="E138"/>
  <c r="E137"/>
  <c r="A142"/>
  <c r="A141"/>
  <c r="A140"/>
  <c r="B140" s="1"/>
  <c r="A139"/>
  <c r="A138"/>
  <c r="B137"/>
  <c r="B142"/>
  <c r="B141"/>
  <c r="B139"/>
  <c r="B138"/>
  <c r="A134"/>
  <c r="A131"/>
  <c r="B131" s="1"/>
  <c r="A135"/>
  <c r="A133"/>
  <c r="A132"/>
  <c r="A130"/>
  <c r="B135"/>
  <c r="B134"/>
  <c r="B133"/>
  <c r="B132"/>
  <c r="E134"/>
  <c r="A128"/>
  <c r="A127"/>
  <c r="A126"/>
  <c r="A125"/>
  <c r="A124"/>
  <c r="A123"/>
  <c r="B128"/>
  <c r="B127"/>
  <c r="B126"/>
  <c r="B125"/>
  <c r="B124"/>
  <c r="E127"/>
  <c r="A117"/>
  <c r="A119"/>
  <c r="A118"/>
  <c r="A121"/>
  <c r="A120"/>
  <c r="A116"/>
  <c r="B121"/>
  <c r="B120"/>
  <c r="B119"/>
  <c r="B118"/>
  <c r="E117"/>
  <c r="B117"/>
  <c r="E116"/>
  <c r="B116"/>
  <c r="E120"/>
  <c r="A114"/>
  <c r="A113"/>
  <c r="A112"/>
  <c r="B112" s="1"/>
  <c r="A111"/>
  <c r="A110"/>
  <c r="A109"/>
  <c r="B114"/>
  <c r="B113"/>
  <c r="B111"/>
  <c r="B110"/>
  <c r="E109"/>
  <c r="B109"/>
  <c r="E113"/>
  <c r="A90"/>
  <c r="A107"/>
  <c r="A106"/>
  <c r="A105"/>
  <c r="A104"/>
  <c r="A103"/>
  <c r="B103" s="1"/>
  <c r="A102"/>
  <c r="B107"/>
  <c r="B106"/>
  <c r="B105"/>
  <c r="E104"/>
  <c r="E102"/>
  <c r="B102"/>
  <c r="E106"/>
  <c r="A100"/>
  <c r="A99"/>
  <c r="A98"/>
  <c r="A97"/>
  <c r="A96"/>
  <c r="A95"/>
  <c r="B100"/>
  <c r="B99"/>
  <c r="B98"/>
  <c r="B97"/>
  <c r="B96"/>
  <c r="E95"/>
  <c r="B95"/>
  <c r="E99"/>
  <c r="A89"/>
  <c r="A93"/>
  <c r="B93"/>
  <c r="A92"/>
  <c r="A91"/>
  <c r="B91" s="1"/>
  <c r="B89"/>
  <c r="A88"/>
  <c r="E93" s="1"/>
  <c r="B92"/>
  <c r="B90"/>
  <c r="E92"/>
  <c r="A85"/>
  <c r="A86"/>
  <c r="A11"/>
  <c r="A12"/>
  <c r="A13"/>
  <c r="A14"/>
  <c r="A15"/>
  <c r="E15"/>
  <c r="A10"/>
  <c r="A17"/>
  <c r="A18"/>
  <c r="A19"/>
  <c r="A20"/>
  <c r="A21"/>
  <c r="A22"/>
  <c r="A84"/>
  <c r="A83"/>
  <c r="A82"/>
  <c r="B82" s="1"/>
  <c r="A81"/>
  <c r="B86"/>
  <c r="B85"/>
  <c r="B84"/>
  <c r="E81"/>
  <c r="B81"/>
  <c r="E85"/>
  <c r="A79"/>
  <c r="A78"/>
  <c r="A77"/>
  <c r="A76"/>
  <c r="A75"/>
  <c r="B75" s="1"/>
  <c r="A74"/>
  <c r="E74" s="1"/>
  <c r="B79"/>
  <c r="B78"/>
  <c r="B77"/>
  <c r="E76"/>
  <c r="A68"/>
  <c r="B68" s="1"/>
  <c r="A72"/>
  <c r="A71"/>
  <c r="B71" s="1"/>
  <c r="A70"/>
  <c r="B70" s="1"/>
  <c r="A69"/>
  <c r="B69" s="1"/>
  <c r="A67"/>
  <c r="B72"/>
  <c r="A62"/>
  <c r="A65"/>
  <c r="A64"/>
  <c r="A63"/>
  <c r="B63" s="1"/>
  <c r="B62"/>
  <c r="A61"/>
  <c r="A60"/>
  <c r="A53"/>
  <c r="B60"/>
  <c r="B65"/>
  <c r="B64"/>
  <c r="B61"/>
  <c r="E64"/>
  <c r="A56"/>
  <c r="B56" s="1"/>
  <c r="A55"/>
  <c r="B55" s="1"/>
  <c r="A54"/>
  <c r="A58"/>
  <c r="B58" s="1"/>
  <c r="A57"/>
  <c r="B57" s="1"/>
  <c r="B54"/>
  <c r="E17"/>
  <c r="E22"/>
  <c r="E21"/>
  <c r="E20"/>
  <c r="E19"/>
  <c r="E18"/>
  <c r="E14"/>
  <c r="E12"/>
  <c r="E10"/>
  <c r="A49"/>
  <c r="B49" s="1"/>
  <c r="A48"/>
  <c r="B48" s="1"/>
  <c r="A47"/>
  <c r="B47" s="1"/>
  <c r="A46"/>
  <c r="A39"/>
  <c r="A40"/>
  <c r="B40" s="1"/>
  <c r="B39"/>
  <c r="A44"/>
  <c r="B44" s="1"/>
  <c r="A43"/>
  <c r="B43" s="1"/>
  <c r="A42"/>
  <c r="B42" s="1"/>
  <c r="A41"/>
  <c r="B41" s="1"/>
  <c r="A33"/>
  <c r="B33" s="1"/>
  <c r="A34"/>
  <c r="B34" s="1"/>
  <c r="A35"/>
  <c r="B35" s="1"/>
  <c r="A36"/>
  <c r="B36" s="1"/>
  <c r="A37"/>
  <c r="B37" s="1"/>
  <c r="A32"/>
  <c r="E36" s="1"/>
  <c r="A51"/>
  <c r="B51" s="1"/>
  <c r="A50"/>
  <c r="B50" s="1"/>
  <c r="A25"/>
  <c r="B25" s="1"/>
  <c r="A26"/>
  <c r="B26" s="1"/>
  <c r="A27"/>
  <c r="B27" s="1"/>
  <c r="A28"/>
  <c r="B28" s="1"/>
  <c r="A29"/>
  <c r="B29" s="1"/>
  <c r="A24"/>
  <c r="E28" s="1"/>
  <c r="B18"/>
  <c r="B19"/>
  <c r="B20"/>
  <c r="B21"/>
  <c r="B22"/>
  <c r="B17"/>
  <c r="B11"/>
  <c r="B12"/>
  <c r="B13"/>
  <c r="B14"/>
  <c r="B15"/>
  <c r="B10"/>
  <c r="D17" i="2"/>
  <c r="A11"/>
  <c r="B11" s="1"/>
  <c r="A10"/>
  <c r="B10" s="1"/>
  <c r="A9"/>
  <c r="B9" s="1"/>
  <c r="A8"/>
  <c r="B8" s="1"/>
  <c r="G20" i="1"/>
  <c r="D20"/>
  <c r="XFD4"/>
  <c r="F6" i="12" s="1"/>
  <c r="K6" s="1"/>
  <c r="XFD2" i="1"/>
  <c r="F3" i="12" s="1"/>
  <c r="K3" s="1"/>
  <c r="XEX8" i="2"/>
  <c r="XFD7" i="1" s="1"/>
  <c r="F8" i="12" s="1"/>
  <c r="XEX7" i="2"/>
  <c r="XFD6" i="1" s="1"/>
  <c r="F5" i="12" s="1"/>
  <c r="L2" i="10"/>
  <c r="L13"/>
  <c r="L16" s="1"/>
  <c r="XEX4" i="2"/>
  <c r="XFD3" i="1" s="1"/>
  <c r="F4" i="12" s="1"/>
  <c r="M8" i="11"/>
  <c r="M9"/>
  <c r="M7"/>
  <c r="D13" i="10"/>
  <c r="J13" i="11"/>
  <c r="I5"/>
  <c r="I13" s="1"/>
  <c r="E11"/>
  <c r="E4"/>
  <c r="E3"/>
  <c r="E10" s="1"/>
  <c r="E12" s="1"/>
  <c r="B11"/>
  <c r="F11" i="4"/>
  <c r="B10" i="11"/>
  <c r="F10" i="4"/>
  <c r="B6" i="11"/>
  <c r="B5"/>
  <c r="B3"/>
  <c r="B12" s="1"/>
  <c r="F22" i="7"/>
  <c r="XEX6" i="2"/>
  <c r="XFD5" i="1" s="1"/>
  <c r="F7" i="12" s="1"/>
  <c r="F94" i="6"/>
  <c r="F104"/>
  <c r="F105" s="1"/>
  <c r="F103"/>
  <c r="F84"/>
  <c r="F95"/>
  <c r="F93"/>
  <c r="F85"/>
  <c r="F83"/>
  <c r="F71"/>
  <c r="F70"/>
  <c r="F72"/>
  <c r="E61"/>
  <c r="E62"/>
  <c r="D77"/>
  <c r="C77"/>
  <c r="D13" i="9"/>
  <c r="D11"/>
  <c r="C137" i="13" l="1"/>
  <c r="B130"/>
  <c r="C130" s="1"/>
  <c r="E130"/>
  <c r="E131"/>
  <c r="E133"/>
  <c r="E135"/>
  <c r="E132"/>
  <c r="B123"/>
  <c r="C123" s="1"/>
  <c r="E123"/>
  <c r="E124"/>
  <c r="E126"/>
  <c r="E128"/>
  <c r="E125"/>
  <c r="C116"/>
  <c r="E119"/>
  <c r="E121"/>
  <c r="E118"/>
  <c r="C109"/>
  <c r="E110"/>
  <c r="E112"/>
  <c r="E114"/>
  <c r="E111"/>
  <c r="E103"/>
  <c r="B104"/>
  <c r="C102" s="1"/>
  <c r="E105"/>
  <c r="E107"/>
  <c r="C95"/>
  <c r="E96"/>
  <c r="E98"/>
  <c r="E100"/>
  <c r="E97"/>
  <c r="E50"/>
  <c r="E57"/>
  <c r="B74"/>
  <c r="E43"/>
  <c r="B46"/>
  <c r="C46" s="1"/>
  <c r="C10"/>
  <c r="C17"/>
  <c r="B24"/>
  <c r="C24" s="1"/>
  <c r="E25"/>
  <c r="E27"/>
  <c r="E29"/>
  <c r="E33"/>
  <c r="E35"/>
  <c r="E37"/>
  <c r="E40"/>
  <c r="E42"/>
  <c r="E44"/>
  <c r="E47"/>
  <c r="E49"/>
  <c r="E51"/>
  <c r="E71"/>
  <c r="E78"/>
  <c r="E83"/>
  <c r="B32"/>
  <c r="C32" s="1"/>
  <c r="E24"/>
  <c r="E26"/>
  <c r="E32"/>
  <c r="E34"/>
  <c r="E39"/>
  <c r="E41"/>
  <c r="E46"/>
  <c r="E48"/>
  <c r="B88"/>
  <c r="C88" s="1"/>
  <c r="E88"/>
  <c r="E89"/>
  <c r="E91"/>
  <c r="E90"/>
  <c r="E11"/>
  <c r="E13"/>
  <c r="F17"/>
  <c r="E82"/>
  <c r="B83"/>
  <c r="C81" s="1"/>
  <c r="E84"/>
  <c r="E86"/>
  <c r="E75"/>
  <c r="B76"/>
  <c r="C74" s="1"/>
  <c r="E77"/>
  <c r="E79"/>
  <c r="E68"/>
  <c r="E70"/>
  <c r="E72"/>
  <c r="B67"/>
  <c r="C67" s="1"/>
  <c r="E67"/>
  <c r="E69"/>
  <c r="E61"/>
  <c r="E63"/>
  <c r="E65"/>
  <c r="C60"/>
  <c r="E60"/>
  <c r="E62"/>
  <c r="E54"/>
  <c r="E56"/>
  <c r="E58"/>
  <c r="B53"/>
  <c r="C53" s="1"/>
  <c r="E53"/>
  <c r="E55"/>
  <c r="C39"/>
  <c r="G3" i="12"/>
  <c r="H6"/>
  <c r="I3"/>
  <c r="J6"/>
  <c r="K7"/>
  <c r="I7"/>
  <c r="G7"/>
  <c r="H7"/>
  <c r="J7"/>
  <c r="K4"/>
  <c r="H4"/>
  <c r="J4"/>
  <c r="G4"/>
  <c r="I4"/>
  <c r="K8"/>
  <c r="H8"/>
  <c r="J8"/>
  <c r="G8"/>
  <c r="I8"/>
  <c r="K5"/>
  <c r="G5"/>
  <c r="H5"/>
  <c r="J5"/>
  <c r="I5"/>
  <c r="J3"/>
  <c r="H3"/>
  <c r="I6"/>
  <c r="G6"/>
  <c r="Q7" i="10"/>
  <c r="Q13"/>
  <c r="F137" i="13" l="1"/>
  <c r="F130"/>
  <c r="F123"/>
  <c r="F116"/>
  <c r="F109"/>
  <c r="F102"/>
  <c r="F95"/>
  <c r="F53"/>
  <c r="F60"/>
  <c r="F67"/>
  <c r="F74"/>
  <c r="F46"/>
  <c r="F39"/>
  <c r="F32"/>
  <c r="F24"/>
  <c r="F10"/>
  <c r="F88"/>
  <c r="F81"/>
  <c r="F27" i="10"/>
  <c r="D27"/>
  <c r="C27"/>
  <c r="L15"/>
  <c r="H15"/>
  <c r="Q15"/>
  <c r="M13"/>
  <c r="I13"/>
  <c r="H7"/>
  <c r="H13" s="1"/>
  <c r="H16" s="1"/>
  <c r="H17" s="1"/>
  <c r="Q11"/>
  <c r="Q16" s="1"/>
  <c r="Q17" s="1"/>
  <c r="R7"/>
  <c r="D5"/>
  <c r="D16" s="1"/>
  <c r="D15"/>
  <c r="E13"/>
  <c r="Q11" i="9"/>
  <c r="P11"/>
  <c r="M11"/>
  <c r="L11"/>
  <c r="I11"/>
  <c r="H11"/>
  <c r="D14" s="1"/>
  <c r="D15" s="1"/>
  <c r="E11"/>
  <c r="E21" i="6"/>
  <c r="E20"/>
  <c r="L17" i="10" l="1"/>
  <c r="D17"/>
  <c r="D18" s="1"/>
  <c r="C27" i="9"/>
  <c r="B38" i="8"/>
  <c r="B35"/>
  <c r="B34"/>
  <c r="B33"/>
  <c r="B32"/>
  <c r="B27"/>
  <c r="B19"/>
  <c r="C32" i="7"/>
  <c r="C27"/>
  <c r="C28" s="1"/>
  <c r="C25"/>
  <c r="C24"/>
  <c r="C23"/>
  <c r="C22"/>
  <c r="C21"/>
  <c r="C19"/>
  <c r="F18"/>
  <c r="C18"/>
  <c r="F17"/>
  <c r="C17"/>
  <c r="C16"/>
  <c r="C15"/>
  <c r="C14"/>
  <c r="O12"/>
  <c r="N12"/>
  <c r="C12"/>
  <c r="O11"/>
  <c r="N11"/>
  <c r="C11"/>
  <c r="N10"/>
  <c r="C10"/>
  <c r="O9"/>
  <c r="N9"/>
  <c r="G9"/>
  <c r="F9"/>
  <c r="C9"/>
  <c r="O8"/>
  <c r="N8"/>
  <c r="K8"/>
  <c r="J8"/>
  <c r="G8"/>
  <c r="F8"/>
  <c r="O7"/>
  <c r="N7"/>
  <c r="K7"/>
  <c r="J7"/>
  <c r="C7"/>
  <c r="S6"/>
  <c r="R6"/>
  <c r="O6"/>
  <c r="N6"/>
  <c r="J6"/>
  <c r="G6"/>
  <c r="F6"/>
  <c r="C6"/>
  <c r="S5"/>
  <c r="R5"/>
  <c r="O5"/>
  <c r="N5"/>
  <c r="K5"/>
  <c r="J5"/>
  <c r="G5"/>
  <c r="F5"/>
  <c r="R4"/>
  <c r="O4"/>
  <c r="N4"/>
  <c r="K4"/>
  <c r="J4"/>
  <c r="G4"/>
  <c r="F4"/>
  <c r="C4"/>
  <c r="S3"/>
  <c r="R3"/>
  <c r="O3"/>
  <c r="N3"/>
  <c r="K3"/>
  <c r="J3"/>
  <c r="G3"/>
  <c r="F3"/>
  <c r="C3"/>
  <c r="S2"/>
  <c r="R2"/>
  <c r="O2"/>
  <c r="O14" s="1"/>
  <c r="O15" s="1"/>
  <c r="N2"/>
  <c r="K2"/>
  <c r="K10" s="1"/>
  <c r="K11" s="1"/>
  <c r="J2"/>
  <c r="G2"/>
  <c r="G11" s="1"/>
  <c r="G12" s="1"/>
  <c r="F2"/>
  <c r="C2"/>
  <c r="S4" s="1"/>
  <c r="E60" i="6"/>
  <c r="E51"/>
  <c r="E50"/>
  <c r="E52" s="1"/>
  <c r="M40"/>
  <c r="M39"/>
  <c r="J39"/>
  <c r="J40" s="1"/>
  <c r="M38"/>
  <c r="J38"/>
  <c r="E38"/>
  <c r="E39" s="1"/>
  <c r="M37"/>
  <c r="E37"/>
  <c r="K31"/>
  <c r="K30"/>
  <c r="K32" s="1"/>
  <c r="E24"/>
  <c r="E23"/>
  <c r="E25" s="1"/>
  <c r="D19"/>
  <c r="B8"/>
  <c r="B6"/>
  <c r="B9" s="1"/>
  <c r="B56" i="5"/>
  <c r="B57" s="1"/>
  <c r="B55"/>
  <c r="B38"/>
  <c r="B39" s="1"/>
  <c r="B37"/>
  <c r="A17"/>
  <c r="D15"/>
  <c r="B9"/>
  <c r="B10" s="1"/>
  <c r="B11" s="1"/>
  <c r="D30" i="4"/>
  <c r="C30"/>
  <c r="E29"/>
  <c r="D29"/>
  <c r="C29"/>
  <c r="D28"/>
  <c r="C28"/>
  <c r="D27"/>
  <c r="C27"/>
  <c r="H23"/>
  <c r="H22"/>
  <c r="H21"/>
  <c r="H20"/>
  <c r="H17"/>
  <c r="G16"/>
  <c r="G17" s="1"/>
  <c r="B14"/>
  <c r="L11"/>
  <c r="I11"/>
  <c r="B11"/>
  <c r="B8"/>
  <c r="I7"/>
  <c r="I6"/>
  <c r="F6"/>
  <c r="B6"/>
  <c r="I5"/>
  <c r="F5"/>
  <c r="B5"/>
  <c r="L4"/>
  <c r="I4"/>
  <c r="B4"/>
  <c r="L3"/>
  <c r="L10" s="1"/>
  <c r="L12" s="1"/>
  <c r="I3"/>
  <c r="I10" s="1"/>
  <c r="I12" s="1"/>
  <c r="F3"/>
  <c r="F12" s="1"/>
  <c r="K15" s="1"/>
  <c r="B3"/>
  <c r="B10" s="1"/>
  <c r="B12" s="1"/>
  <c r="P13" i="1"/>
  <c r="N13"/>
  <c r="J13"/>
  <c r="A4" i="2"/>
  <c r="A5"/>
  <c r="A6"/>
  <c r="A3"/>
  <c r="D13" i="1"/>
  <c r="E5" i="2" l="1"/>
  <c r="D5"/>
  <c r="E4"/>
  <c r="D4"/>
  <c r="E6"/>
  <c r="D6"/>
  <c r="E3"/>
  <c r="D3"/>
  <c r="B3" s="1"/>
  <c r="S8" i="7"/>
  <c r="S9" s="1"/>
  <c r="C26"/>
  <c r="C29" s="1"/>
  <c r="F3" i="2" l="1"/>
  <c r="Y23" i="1" s="1"/>
  <c r="Y25" s="1"/>
  <c r="B5" i="2"/>
  <c r="B6"/>
  <c r="B4"/>
  <c r="I19" i="1" l="1"/>
  <c r="V21" s="1"/>
  <c r="W13"/>
  <c r="J2" i="2"/>
  <c r="J6" s="1"/>
  <c r="B19" i="1"/>
  <c r="H19" s="1"/>
  <c r="W8"/>
  <c r="A26"/>
  <c r="V25" s="1"/>
  <c r="P19"/>
  <c r="V19" s="1"/>
  <c r="O19" l="1"/>
  <c r="J4" i="2"/>
  <c r="J3"/>
  <c r="J5"/>
  <c r="G26" i="1"/>
</calcChain>
</file>

<file path=xl/comments1.xml><?xml version="1.0" encoding="utf-8"?>
<comments xmlns="http://schemas.openxmlformats.org/spreadsheetml/2006/main">
  <authors>
    <author>divyanshu Dwivedi</author>
  </authors>
  <commentList>
    <comment ref="H20" authorId="0">
      <text>
        <r>
          <rPr>
            <b/>
            <sz val="9"/>
            <color indexed="81"/>
            <rFont val="Tahoma"/>
            <family val="2"/>
          </rPr>
          <t>Loom was stop after 31 min due to prod complete.</t>
        </r>
      </text>
    </comment>
  </commentList>
</comments>
</file>

<file path=xl/comments2.xml><?xml version="1.0" encoding="utf-8"?>
<comments xmlns="http://schemas.openxmlformats.org/spreadsheetml/2006/main">
  <authors>
    <author>divyanshu Dwivedi</author>
  </authors>
  <commentList>
    <comment ref="K6" authorId="0">
      <text>
        <r>
          <rPr>
            <b/>
            <sz val="9"/>
            <color indexed="81"/>
            <rFont val="Tahoma"/>
            <charset val="1"/>
          </rPr>
          <t>divyanshu Dwivedi:</t>
        </r>
        <r>
          <rPr>
            <sz val="9"/>
            <color indexed="81"/>
            <rFont val="Tahoma"/>
            <charset val="1"/>
          </rPr>
          <t xml:space="preserve">
By fitter</t>
        </r>
      </text>
    </comment>
    <comment ref="P7" authorId="0">
      <text>
        <r>
          <rPr>
            <b/>
            <sz val="9"/>
            <color indexed="81"/>
            <rFont val="Tahoma"/>
            <charset val="1"/>
          </rPr>
          <t>divyanshu Dwivedi:</t>
        </r>
        <r>
          <rPr>
            <sz val="9"/>
            <color indexed="81"/>
            <rFont val="Tahoma"/>
            <charset val="1"/>
          </rPr>
          <t xml:space="preserve">
By fitter</t>
        </r>
      </text>
    </comment>
  </commentList>
</comments>
</file>

<file path=xl/sharedStrings.xml><?xml version="1.0" encoding="utf-8"?>
<sst xmlns="http://schemas.openxmlformats.org/spreadsheetml/2006/main" count="1096" uniqueCount="267">
  <si>
    <t>A</t>
  </si>
  <si>
    <t>B</t>
  </si>
  <si>
    <t>C</t>
  </si>
  <si>
    <t>D</t>
  </si>
  <si>
    <t>E</t>
  </si>
  <si>
    <t>Liam</t>
  </si>
  <si>
    <t>William</t>
  </si>
  <si>
    <t>James</t>
  </si>
  <si>
    <t>Benjamin</t>
  </si>
  <si>
    <t>Jacob</t>
  </si>
  <si>
    <t>Michael</t>
  </si>
  <si>
    <t>Ethan</t>
  </si>
  <si>
    <t>Helen</t>
  </si>
  <si>
    <t>Jaylene</t>
  </si>
  <si>
    <t>Products A</t>
  </si>
  <si>
    <t>Products B</t>
  </si>
  <si>
    <t>Products C</t>
  </si>
  <si>
    <t>Products D</t>
  </si>
  <si>
    <t>Products E</t>
  </si>
  <si>
    <t>Sales of pieces of Products in 2020</t>
  </si>
  <si>
    <t>Sales in 2019</t>
  </si>
  <si>
    <t>Sales in 2020</t>
  </si>
  <si>
    <t>Margin in 2020</t>
  </si>
  <si>
    <t>Manager:</t>
  </si>
  <si>
    <t>Sales Plans in 2020</t>
  </si>
  <si>
    <t>Loom 2</t>
  </si>
  <si>
    <t>Loom 3</t>
  </si>
  <si>
    <t xml:space="preserve"> </t>
  </si>
  <si>
    <t>Loom  1</t>
  </si>
  <si>
    <t>Loom 4</t>
  </si>
  <si>
    <t>Loom No.s</t>
  </si>
  <si>
    <t>Fabric Type</t>
  </si>
  <si>
    <t>Fabric Type Database</t>
  </si>
  <si>
    <t>Percentage load per Fabric</t>
  </si>
  <si>
    <t>Plain</t>
  </si>
  <si>
    <t>Ventilated without interlock</t>
  </si>
  <si>
    <t>Conductive</t>
  </si>
  <si>
    <t>GEO</t>
  </si>
  <si>
    <t>Fabric</t>
  </si>
  <si>
    <t>Load Percentage</t>
  </si>
  <si>
    <t>Loom efficiency</t>
  </si>
  <si>
    <t>No.s</t>
  </si>
  <si>
    <t>Load</t>
  </si>
  <si>
    <t>Load%</t>
  </si>
  <si>
    <t>Total combined load</t>
  </si>
  <si>
    <t>Total Combined load</t>
  </si>
  <si>
    <t>+</t>
  </si>
  <si>
    <t>Equals =</t>
  </si>
  <si>
    <t xml:space="preserve">Operator Activity </t>
  </si>
  <si>
    <t>Loom No</t>
  </si>
  <si>
    <t>Warp Break</t>
  </si>
  <si>
    <t>Weft End</t>
  </si>
  <si>
    <t>Weft Break</t>
  </si>
  <si>
    <t xml:space="preserve">Prepare Weft Package </t>
  </si>
  <si>
    <t>Weft Clean</t>
  </si>
  <si>
    <t>Fab QC Check</t>
  </si>
  <si>
    <t>Roll Cut</t>
  </si>
  <si>
    <t>Warp Crosing Set</t>
  </si>
  <si>
    <t xml:space="preserve">Beam Defect </t>
  </si>
  <si>
    <t>Electrical Fault</t>
  </si>
  <si>
    <t>Selvedge Set</t>
  </si>
  <si>
    <t>Lunch</t>
  </si>
  <si>
    <t>Loom NO</t>
  </si>
  <si>
    <t>Mesh</t>
  </si>
  <si>
    <t>Size</t>
  </si>
  <si>
    <t>Gsm</t>
  </si>
  <si>
    <t>Warp</t>
  </si>
  <si>
    <t>Weft</t>
  </si>
  <si>
    <t>Type Of Fabric</t>
  </si>
  <si>
    <t>Prod</t>
  </si>
  <si>
    <t>PPM</t>
  </si>
  <si>
    <t>27*22</t>
  </si>
  <si>
    <t>1200 mfy</t>
  </si>
  <si>
    <t>Check Fabric MFY</t>
  </si>
  <si>
    <t>16*12.9</t>
  </si>
  <si>
    <t>1200 D pp</t>
  </si>
  <si>
    <t>1550 Fab</t>
  </si>
  <si>
    <t>Plain/Ventilated</t>
  </si>
  <si>
    <t>14.5*12</t>
  </si>
  <si>
    <t>Plain/Conductive</t>
  </si>
  <si>
    <t>Plain/Ventilated w/o interlock</t>
  </si>
  <si>
    <t>Weft Pacage Empty Time Details</t>
  </si>
  <si>
    <t>Empty Time</t>
  </si>
  <si>
    <t>Activity</t>
  </si>
  <si>
    <t>Duration(Sec)</t>
  </si>
  <si>
    <t>Loom No.</t>
  </si>
  <si>
    <t>turning machine on after cleaning by helperX2</t>
  </si>
  <si>
    <t>weft break</t>
  </si>
  <si>
    <t>weft change and knotting</t>
  </si>
  <si>
    <t>warp break</t>
  </si>
  <si>
    <t>water/washroom</t>
  </si>
  <si>
    <t>Water</t>
  </si>
  <si>
    <t>Total Unit</t>
  </si>
  <si>
    <t>No. of rolls</t>
  </si>
  <si>
    <t>warp</t>
  </si>
  <si>
    <t>weft</t>
  </si>
  <si>
    <t>13.5X11X110X153</t>
  </si>
  <si>
    <t>2-Plain</t>
  </si>
  <si>
    <t>14.5X12X109X177</t>
  </si>
  <si>
    <t>2-cond.</t>
  </si>
  <si>
    <t>13.5X11.9X111X165</t>
  </si>
  <si>
    <t>Beam defect/warp tangled</t>
  </si>
  <si>
    <t>Water/washroom</t>
  </si>
  <si>
    <t>False stop</t>
  </si>
  <si>
    <t>Weft loose</t>
  </si>
  <si>
    <t>weft end</t>
  </si>
  <si>
    <t>Activity- Operator</t>
  </si>
  <si>
    <t>warp end beam defect</t>
  </si>
  <si>
    <t xml:space="preserve">loading weft </t>
  </si>
  <si>
    <t xml:space="preserve">water </t>
  </si>
  <si>
    <t>NA</t>
  </si>
  <si>
    <t>Loom</t>
  </si>
  <si>
    <t>Initial Unit</t>
  </si>
  <si>
    <t>Final Unit</t>
  </si>
  <si>
    <t>25X21.5X144X193</t>
  </si>
  <si>
    <t>Beam defect</t>
  </si>
  <si>
    <t>25X21X144X196</t>
  </si>
  <si>
    <t>extra warp beam defect</t>
  </si>
  <si>
    <t>Avail. Time</t>
  </si>
  <si>
    <t>Load time</t>
  </si>
  <si>
    <t>Load %</t>
  </si>
  <si>
    <t>Joining warp beam defect</t>
  </si>
  <si>
    <t>putting bobbin back</t>
  </si>
  <si>
    <t>Production</t>
  </si>
  <si>
    <t>Loom no.</t>
  </si>
  <si>
    <t>Duration</t>
  </si>
  <si>
    <t>water</t>
  </si>
  <si>
    <t>569-1</t>
  </si>
  <si>
    <t>570-1</t>
  </si>
  <si>
    <t>571-1</t>
  </si>
  <si>
    <t>572-1</t>
  </si>
  <si>
    <t>warp end</t>
  </si>
  <si>
    <t>569-2</t>
  </si>
  <si>
    <t>570-2</t>
  </si>
  <si>
    <t>571-2</t>
  </si>
  <si>
    <t>572-2</t>
  </si>
  <si>
    <t>569-3</t>
  </si>
  <si>
    <t>570-3</t>
  </si>
  <si>
    <t>571-3</t>
  </si>
  <si>
    <t>569-4</t>
  </si>
  <si>
    <t>570-4</t>
  </si>
  <si>
    <t>571-4</t>
  </si>
  <si>
    <t>NA-1</t>
  </si>
  <si>
    <t>Machine Jam/fetching maintenance slip</t>
  </si>
  <si>
    <t>569-5</t>
  </si>
  <si>
    <t>571-5</t>
  </si>
  <si>
    <t>NA-2</t>
  </si>
  <si>
    <t>loading weft and knotting</t>
  </si>
  <si>
    <t>571-6</t>
  </si>
  <si>
    <t>Total Study Duration excluding lunch</t>
  </si>
  <si>
    <t>571-7</t>
  </si>
  <si>
    <t>Total load Duration excluding lunch</t>
  </si>
  <si>
    <t>warp break Crossing</t>
  </si>
  <si>
    <t>571-8</t>
  </si>
  <si>
    <t>Percentage of load</t>
  </si>
  <si>
    <t>False warp stop</t>
  </si>
  <si>
    <t>Fabric Quality</t>
  </si>
  <si>
    <t>12X10.5X114X143</t>
  </si>
  <si>
    <t>Production 569</t>
  </si>
  <si>
    <t>Production 570</t>
  </si>
  <si>
    <t>beam defect went for fetching bobbin</t>
  </si>
  <si>
    <t>Production 571</t>
  </si>
  <si>
    <t>Production 572</t>
  </si>
  <si>
    <t xml:space="preserve">Average load for plain fabric in a loom @ 240 PPM </t>
  </si>
  <si>
    <t>Total Load duration</t>
  </si>
  <si>
    <t>Total Study Duration</t>
  </si>
  <si>
    <t xml:space="preserve">Total Load </t>
  </si>
  <si>
    <t>Weft Exhaust</t>
  </si>
  <si>
    <t>sec</t>
  </si>
  <si>
    <t>12X10.5X114X143/13.5X11X110X153</t>
  </si>
  <si>
    <t>Warp Denier</t>
  </si>
  <si>
    <t>Weft Denier</t>
  </si>
  <si>
    <t>16X12.9X96X181</t>
  </si>
  <si>
    <t>Production 558</t>
  </si>
  <si>
    <t>Production 560</t>
  </si>
  <si>
    <t>14.5X12X91X178</t>
  </si>
  <si>
    <t>Production 559</t>
  </si>
  <si>
    <t>25X21X144X196/25x21x144x196</t>
  </si>
  <si>
    <t>Production 585</t>
  </si>
  <si>
    <t>Production 586</t>
  </si>
  <si>
    <t>Production 587</t>
  </si>
  <si>
    <t>Production 588</t>
  </si>
  <si>
    <t>Target</t>
  </si>
  <si>
    <t>Looms accountablity</t>
  </si>
  <si>
    <t>freq</t>
  </si>
  <si>
    <t>Activity-</t>
  </si>
  <si>
    <t>bobbin preparing for shuttle</t>
  </si>
  <si>
    <t>weft change</t>
  </si>
  <si>
    <t>m/bd</t>
  </si>
  <si>
    <t>cleaning</t>
  </si>
  <si>
    <t>quality</t>
  </si>
  <si>
    <t>beam extra tape remove from loom</t>
  </si>
  <si>
    <t>loom no</t>
  </si>
  <si>
    <t>bobbin high denier problem</t>
  </si>
  <si>
    <t>TOTAL</t>
  </si>
  <si>
    <t>Total Study Duration (SEC)</t>
  </si>
  <si>
    <t>25*20-150-190 Geo</t>
  </si>
  <si>
    <t>Warp denier</t>
  </si>
  <si>
    <t>Weft denier</t>
  </si>
  <si>
    <t>840 TWISTED</t>
  </si>
  <si>
    <t>1000 AIM</t>
  </si>
  <si>
    <t>m/bd(Oil Flow Of Projectile)</t>
  </si>
  <si>
    <t>Inform To Fitter</t>
  </si>
  <si>
    <t>Oiling</t>
  </si>
  <si>
    <t>Ef Sensor</t>
  </si>
  <si>
    <t>m/bd(Let Off Roll Bolt Broken)</t>
  </si>
  <si>
    <t>Cleaning</t>
  </si>
  <si>
    <t>Total Activity Time Excluding Lunch</t>
  </si>
  <si>
    <t xml:space="preserve">Load On Loom </t>
  </si>
  <si>
    <t>Note</t>
  </si>
  <si>
    <t xml:space="preserve">566 No LOOM Run With One Extra Oprator Due To Leno </t>
  </si>
  <si>
    <t>Efficiency</t>
  </si>
  <si>
    <t>13.5*10.7*97*3-152</t>
  </si>
  <si>
    <t>1550 FAB</t>
  </si>
  <si>
    <t>Vent Without InterLock</t>
  </si>
  <si>
    <t>Reading</t>
  </si>
  <si>
    <t>9*4*153*2-42</t>
  </si>
  <si>
    <t>600/840D MFY</t>
  </si>
  <si>
    <t>840D MFY</t>
  </si>
  <si>
    <t>Leno fabric</t>
  </si>
  <si>
    <t>1220N</t>
  </si>
  <si>
    <t>12.4*10.5*114*2-143</t>
  </si>
  <si>
    <t>12*10.7*97*3-148</t>
  </si>
  <si>
    <t>Vent With InterLock</t>
  </si>
  <si>
    <t>Tucking Device setting</t>
  </si>
  <si>
    <t>25X20-150-190-GEO</t>
  </si>
  <si>
    <t>1220N-Plain</t>
  </si>
  <si>
    <t>Ventilated with Interlock</t>
  </si>
  <si>
    <t>Leno</t>
  </si>
  <si>
    <t>Load with 5 looms at above configuration</t>
  </si>
  <si>
    <t>Load with 6 looms at above configuration</t>
  </si>
  <si>
    <t>Load with 7 looms at above configuration</t>
  </si>
  <si>
    <t>Load with 8 looms at above configuration</t>
  </si>
  <si>
    <t>Set</t>
  </si>
  <si>
    <t>Load-Study duration 4hr each set</t>
  </si>
  <si>
    <t>Load on Operator</t>
  </si>
  <si>
    <t>Set of 4</t>
  </si>
  <si>
    <t xml:space="preserve">Fabric type </t>
  </si>
  <si>
    <t>Load per machine on Operator</t>
  </si>
  <si>
    <t>Load for 4 Machines</t>
  </si>
  <si>
    <t>Load for 5 Machines</t>
  </si>
  <si>
    <t>Load for 6 Machines</t>
  </si>
  <si>
    <t>Load for 7 Machines</t>
  </si>
  <si>
    <t>Load for 8 Machines</t>
  </si>
  <si>
    <t>Busy hr per 11  hrs</t>
  </si>
  <si>
    <t>Crossing warp break issue</t>
  </si>
  <si>
    <t>Improper grouping for raffiabeam</t>
  </si>
  <si>
    <t>Bulk warp breaks</t>
  </si>
  <si>
    <t>Fabbrilated to be used for leno fabric</t>
  </si>
  <si>
    <t>Loom 6</t>
  </si>
  <si>
    <t>Loom 7</t>
  </si>
  <si>
    <t>More can be loaded</t>
  </si>
  <si>
    <t>Select Combination for looms</t>
  </si>
  <si>
    <t>Total Load percentage with selected looms</t>
  </si>
  <si>
    <t>Loom 5</t>
  </si>
  <si>
    <t>Loom 8</t>
  </si>
  <si>
    <t>Hours busy</t>
  </si>
  <si>
    <t>eyelids removed eventually increasing the crossing issue</t>
  </si>
  <si>
    <t>DS-breakage increased dye to eyelids</t>
  </si>
  <si>
    <t>Combination 1</t>
  </si>
  <si>
    <t>Load per machine</t>
  </si>
  <si>
    <t>Total Load</t>
  </si>
  <si>
    <t>Combination 2</t>
  </si>
  <si>
    <t>Combination 3</t>
  </si>
  <si>
    <t>Combination 4</t>
  </si>
  <si>
    <t>Combination 5</t>
  </si>
  <si>
    <t>Combination 6</t>
  </si>
</sst>
</file>

<file path=xl/styles.xml><?xml version="1.0" encoding="utf-8"?>
<styleSheet xmlns="http://schemas.openxmlformats.org/spreadsheetml/2006/main">
  <numFmts count="4">
    <numFmt numFmtId="164" formatCode="_-[$$-409]* #,##0_ ;_-[$$-409]* \-#,##0\ ;_-[$$-409]* &quot;-&quot;??_ ;_-@_ "/>
    <numFmt numFmtId="165" formatCode="0.0"/>
    <numFmt numFmtId="166" formatCode="0.0%"/>
    <numFmt numFmtId="167" formatCode="0.00000%"/>
  </numFmts>
  <fonts count="3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rgb="FF1CCDFE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4"/>
      <color theme="0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0" tint="-0.499984740745262"/>
      <name val="Calibri"/>
      <family val="2"/>
      <charset val="204"/>
      <scheme val="minor"/>
    </font>
    <font>
      <u/>
      <sz val="11"/>
      <color theme="10"/>
      <name val="Calibri"/>
      <family val="2"/>
      <charset val="1"/>
      <scheme val="minor"/>
    </font>
    <font>
      <u/>
      <sz val="16"/>
      <color rgb="FF1CCDFE"/>
      <name val="Calibri"/>
      <family val="2"/>
      <charset val="1"/>
      <scheme val="minor"/>
    </font>
    <font>
      <sz val="16"/>
      <color rgb="FF1CCDFE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0"/>
      <name val="Calibri"/>
      <family val="2"/>
      <charset val="1"/>
      <scheme val="minor"/>
    </font>
    <font>
      <sz val="8"/>
      <color theme="0"/>
      <name val="Calibri"/>
      <family val="2"/>
      <charset val="20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9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/>
      <top style="thin">
        <color theme="1"/>
      </top>
      <bottom style="thin">
        <color theme="1"/>
      </bottom>
      <diagonal/>
    </border>
    <border>
      <left style="medium">
        <color rgb="FFFF0000"/>
      </left>
      <right/>
      <top style="thin">
        <color theme="1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/>
      <top/>
      <bottom style="thin">
        <color theme="1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 style="medium">
        <color indexed="64"/>
      </left>
      <right/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30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8" fillId="0" borderId="0" xfId="1" applyFont="1" applyAlignment="1">
      <alignment horizontal="center"/>
    </xf>
    <xf numFmtId="0" fontId="9" fillId="0" borderId="0" xfId="0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9" fontId="8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8" fillId="0" borderId="0" xfId="1" applyNumberFormat="1" applyFont="1" applyAlignment="1">
      <alignment horizontal="center"/>
    </xf>
    <xf numFmtId="0" fontId="8" fillId="3" borderId="1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9" fontId="3" fillId="2" borderId="0" xfId="1" applyFont="1" applyFill="1" applyAlignment="1">
      <alignment horizontal="left"/>
    </xf>
    <xf numFmtId="9" fontId="0" fillId="2" borderId="0" xfId="1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center"/>
    </xf>
    <xf numFmtId="9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19" fillId="0" borderId="7" xfId="0" applyFont="1" applyBorder="1"/>
    <xf numFmtId="0" fontId="19" fillId="0" borderId="8" xfId="0" applyFont="1" applyBorder="1"/>
    <xf numFmtId="0" fontId="13" fillId="0" borderId="2" xfId="0" applyFont="1" applyBorder="1"/>
    <xf numFmtId="0" fontId="13" fillId="4" borderId="2" xfId="0" applyFont="1" applyFill="1" applyBorder="1"/>
    <xf numFmtId="0" fontId="0" fillId="0" borderId="2" xfId="0" applyBorder="1"/>
    <xf numFmtId="0" fontId="17" fillId="0" borderId="9" xfId="0" applyFont="1" applyBorder="1"/>
    <xf numFmtId="0" fontId="17" fillId="0" borderId="3" xfId="0" applyFont="1" applyBorder="1"/>
    <xf numFmtId="0" fontId="0" fillId="5" borderId="2" xfId="0" applyFill="1" applyBorder="1"/>
    <xf numFmtId="9" fontId="0" fillId="0" borderId="0" xfId="1" applyFont="1"/>
    <xf numFmtId="0" fontId="17" fillId="0" borderId="10" xfId="0" applyFont="1" applyBorder="1"/>
    <xf numFmtId="0" fontId="17" fillId="0" borderId="11" xfId="0" applyFont="1" applyBorder="1"/>
    <xf numFmtId="9" fontId="17" fillId="0" borderId="11" xfId="1" applyFont="1" applyBorder="1"/>
    <xf numFmtId="9" fontId="13" fillId="0" borderId="0" xfId="1" applyFont="1"/>
    <xf numFmtId="0" fontId="17" fillId="0" borderId="12" xfId="0" applyFont="1" applyBorder="1"/>
    <xf numFmtId="0" fontId="17" fillId="0" borderId="13" xfId="0" applyFont="1" applyBorder="1"/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13" fillId="0" borderId="9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wrapText="1"/>
    </xf>
    <xf numFmtId="1" fontId="0" fillId="0" borderId="21" xfId="0" applyNumberFormat="1" applyBorder="1" applyAlignment="1">
      <alignment horizontal="center"/>
    </xf>
    <xf numFmtId="0" fontId="13" fillId="0" borderId="22" xfId="0" applyFont="1" applyBorder="1"/>
    <xf numFmtId="0" fontId="13" fillId="0" borderId="23" xfId="0" applyFont="1" applyBorder="1"/>
    <xf numFmtId="0" fontId="13" fillId="0" borderId="24" xfId="0" applyFont="1" applyBorder="1"/>
    <xf numFmtId="0" fontId="13" fillId="4" borderId="25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1" fontId="17" fillId="0" borderId="30" xfId="0" applyNumberFormat="1" applyFont="1" applyBorder="1" applyAlignment="1">
      <alignment horizontal="center"/>
    </xf>
    <xf numFmtId="1" fontId="17" fillId="0" borderId="32" xfId="0" applyNumberFormat="1" applyFont="1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3" xfId="0" applyBorder="1"/>
    <xf numFmtId="1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21" xfId="0" applyBorder="1"/>
    <xf numFmtId="0" fontId="13" fillId="4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Fill="1" applyBorder="1" applyAlignment="1">
      <alignment horizontal="left"/>
    </xf>
    <xf numFmtId="0" fontId="13" fillId="6" borderId="28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38" xfId="0" applyFill="1" applyBorder="1"/>
    <xf numFmtId="0" fontId="0" fillId="0" borderId="36" xfId="0" applyFill="1" applyBorder="1"/>
    <xf numFmtId="0" fontId="0" fillId="0" borderId="39" xfId="0" applyBorder="1"/>
    <xf numFmtId="0" fontId="0" fillId="0" borderId="24" xfId="0" applyBorder="1"/>
    <xf numFmtId="0" fontId="13" fillId="4" borderId="27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0" borderId="29" xfId="0" applyFont="1" applyBorder="1"/>
    <xf numFmtId="0" fontId="0" fillId="0" borderId="0" xfId="0" applyBorder="1"/>
    <xf numFmtId="0" fontId="0" fillId="0" borderId="11" xfId="0" applyBorder="1"/>
    <xf numFmtId="0" fontId="0" fillId="0" borderId="32" xfId="0" applyBorder="1"/>
    <xf numFmtId="0" fontId="0" fillId="0" borderId="13" xfId="0" applyBorder="1"/>
    <xf numFmtId="0" fontId="0" fillId="0" borderId="10" xfId="0" applyBorder="1"/>
    <xf numFmtId="9" fontId="0" fillId="0" borderId="0" xfId="1" applyFont="1" applyBorder="1"/>
    <xf numFmtId="0" fontId="13" fillId="6" borderId="27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5" fontId="1" fillId="0" borderId="32" xfId="0" applyNumberFormat="1" applyFont="1" applyBorder="1" applyAlignment="1">
      <alignment horizontal="center"/>
    </xf>
    <xf numFmtId="165" fontId="0" fillId="4" borderId="36" xfId="0" applyNumberFormat="1" applyFill="1" applyBorder="1" applyAlignment="1">
      <alignment horizontal="center"/>
    </xf>
    <xf numFmtId="165" fontId="0" fillId="4" borderId="37" xfId="0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0" xfId="0" applyBorder="1"/>
    <xf numFmtId="0" fontId="0" fillId="0" borderId="12" xfId="0" applyBorder="1"/>
    <xf numFmtId="9" fontId="0" fillId="0" borderId="13" xfId="1" applyFont="1" applyBorder="1"/>
    <xf numFmtId="0" fontId="0" fillId="0" borderId="19" xfId="0" applyBorder="1"/>
    <xf numFmtId="0" fontId="0" fillId="0" borderId="20" xfId="0" applyBorder="1"/>
    <xf numFmtId="0" fontId="0" fillId="0" borderId="41" xfId="0" applyBorder="1"/>
    <xf numFmtId="0" fontId="0" fillId="0" borderId="9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34" xfId="0" applyBorder="1"/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30" xfId="0" applyBorder="1"/>
    <xf numFmtId="0" fontId="13" fillId="0" borderId="27" xfId="0" applyFont="1" applyBorder="1"/>
    <xf numFmtId="0" fontId="13" fillId="0" borderId="28" xfId="0" applyFont="1" applyBorder="1"/>
    <xf numFmtId="0" fontId="13" fillId="5" borderId="7" xfId="0" applyFont="1" applyFill="1" applyBorder="1" applyAlignment="1">
      <alignment horizontal="center"/>
    </xf>
    <xf numFmtId="0" fontId="13" fillId="5" borderId="18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13" fillId="5" borderId="7" xfId="0" applyFont="1" applyFill="1" applyBorder="1"/>
    <xf numFmtId="0" fontId="13" fillId="5" borderId="8" xfId="0" applyFont="1" applyFill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13" fillId="0" borderId="9" xfId="0" applyFont="1" applyBorder="1"/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9" fontId="0" fillId="0" borderId="21" xfId="1" applyFont="1" applyBorder="1"/>
    <xf numFmtId="0" fontId="0" fillId="0" borderId="0" xfId="0" applyAlignment="1">
      <alignment wrapText="1"/>
    </xf>
    <xf numFmtId="0" fontId="14" fillId="0" borderId="2" xfId="0" applyFont="1" applyBorder="1"/>
    <xf numFmtId="0" fontId="14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9" fontId="14" fillId="0" borderId="2" xfId="0" applyNumberFormat="1" applyFont="1" applyBorder="1" applyAlignment="1">
      <alignment horizontal="center"/>
    </xf>
    <xf numFmtId="0" fontId="21" fillId="0" borderId="44" xfId="0" applyFont="1" applyBorder="1"/>
    <xf numFmtId="0" fontId="21" fillId="0" borderId="45" xfId="0" applyFont="1" applyBorder="1" applyAlignment="1">
      <alignment horizontal="center"/>
    </xf>
    <xf numFmtId="0" fontId="14" fillId="0" borderId="46" xfId="0" applyFont="1" applyBorder="1"/>
    <xf numFmtId="0" fontId="14" fillId="0" borderId="47" xfId="0" applyFont="1" applyBorder="1" applyAlignment="1">
      <alignment horizontal="center"/>
    </xf>
    <xf numFmtId="0" fontId="14" fillId="0" borderId="48" xfId="0" applyFont="1" applyBorder="1"/>
    <xf numFmtId="9" fontId="14" fillId="0" borderId="49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1" fillId="0" borderId="50" xfId="0" applyFont="1" applyBorder="1"/>
    <xf numFmtId="0" fontId="21" fillId="0" borderId="51" xfId="0" applyFont="1" applyBorder="1" applyAlignment="1">
      <alignment horizontal="center"/>
    </xf>
    <xf numFmtId="165" fontId="0" fillId="0" borderId="51" xfId="0" applyNumberFormat="1" applyBorder="1" applyAlignment="1">
      <alignment horizontal="center"/>
    </xf>
    <xf numFmtId="0" fontId="14" fillId="0" borderId="52" xfId="0" applyFont="1" applyBorder="1"/>
    <xf numFmtId="9" fontId="14" fillId="0" borderId="53" xfId="0" applyNumberFormat="1" applyFont="1" applyBorder="1" applyAlignment="1">
      <alignment horizontal="center"/>
    </xf>
    <xf numFmtId="165" fontId="0" fillId="0" borderId="0" xfId="0" applyNumberFormat="1" applyBorder="1"/>
    <xf numFmtId="0" fontId="6" fillId="0" borderId="54" xfId="0" applyFont="1" applyBorder="1" applyAlignment="1">
      <alignment horizontal="center"/>
    </xf>
    <xf numFmtId="0" fontId="6" fillId="0" borderId="55" xfId="0" applyFont="1" applyBorder="1" applyAlignment="1">
      <alignment horizontal="center"/>
    </xf>
    <xf numFmtId="9" fontId="0" fillId="0" borderId="56" xfId="1" applyFont="1" applyBorder="1" applyAlignment="1">
      <alignment horizontal="center"/>
    </xf>
    <xf numFmtId="9" fontId="0" fillId="0" borderId="57" xfId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9" fontId="0" fillId="0" borderId="59" xfId="0" applyNumberFormat="1" applyBorder="1" applyAlignment="1">
      <alignment horizontal="center"/>
    </xf>
    <xf numFmtId="0" fontId="22" fillId="7" borderId="60" xfId="0" applyFont="1" applyFill="1" applyBorder="1" applyAlignment="1">
      <alignment horizontal="center"/>
    </xf>
    <xf numFmtId="0" fontId="22" fillId="7" borderId="4" xfId="0" applyFont="1" applyFill="1" applyBorder="1" applyAlignment="1"/>
    <xf numFmtId="0" fontId="22" fillId="0" borderId="0" xfId="0" applyFont="1" applyFill="1" applyBorder="1" applyAlignment="1"/>
    <xf numFmtId="0" fontId="22" fillId="0" borderId="0" xfId="0" applyFont="1" applyBorder="1" applyAlignment="1"/>
    <xf numFmtId="0" fontId="0" fillId="0" borderId="61" xfId="0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3" xfId="0" applyBorder="1"/>
    <xf numFmtId="9" fontId="0" fillId="0" borderId="64" xfId="1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6" fillId="0" borderId="66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2" fillId="2" borderId="0" xfId="0" applyFont="1" applyFill="1" applyBorder="1" applyAlignment="1"/>
    <xf numFmtId="0" fontId="0" fillId="2" borderId="0" xfId="0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0" fillId="2" borderId="0" xfId="0" applyFill="1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8" xfId="0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9" fontId="0" fillId="0" borderId="2" xfId="1" applyFont="1" applyBorder="1"/>
    <xf numFmtId="0" fontId="0" fillId="0" borderId="6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13" fillId="8" borderId="2" xfId="0" applyFont="1" applyFill="1" applyBorder="1"/>
    <xf numFmtId="0" fontId="0" fillId="0" borderId="69" xfId="0" applyFill="1" applyBorder="1" applyAlignment="1">
      <alignment horizontal="center" wrapText="1"/>
    </xf>
    <xf numFmtId="0" fontId="0" fillId="0" borderId="68" xfId="0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0" borderId="43" xfId="0" applyBorder="1"/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0" borderId="0" xfId="0" applyBorder="1" applyAlignment="1">
      <alignment horizontal="center"/>
    </xf>
    <xf numFmtId="0" fontId="0" fillId="0" borderId="71" xfId="0" applyBorder="1" applyAlignment="1"/>
    <xf numFmtId="0" fontId="0" fillId="0" borderId="68" xfId="0" applyBorder="1" applyAlignment="1"/>
    <xf numFmtId="0" fontId="13" fillId="8" borderId="70" xfId="0" applyFont="1" applyFill="1" applyBorder="1"/>
    <xf numFmtId="0" fontId="0" fillId="0" borderId="72" xfId="0" applyBorder="1"/>
    <xf numFmtId="0" fontId="0" fillId="0" borderId="73" xfId="0" applyBorder="1"/>
    <xf numFmtId="0" fontId="13" fillId="10" borderId="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/>
    </xf>
    <xf numFmtId="0" fontId="13" fillId="10" borderId="2" xfId="0" applyFont="1" applyFill="1" applyBorder="1"/>
    <xf numFmtId="0" fontId="0" fillId="10" borderId="2" xfId="0" applyFill="1" applyBorder="1" applyAlignment="1">
      <alignment horizontal="center"/>
    </xf>
    <xf numFmtId="0" fontId="0" fillId="10" borderId="68" xfId="0" applyFill="1" applyBorder="1" applyAlignment="1">
      <alignment horizontal="center"/>
    </xf>
    <xf numFmtId="0" fontId="0" fillId="10" borderId="2" xfId="0" applyFill="1" applyBorder="1"/>
    <xf numFmtId="0" fontId="0" fillId="10" borderId="69" xfId="0" applyFill="1" applyBorder="1" applyAlignment="1">
      <alignment horizontal="center"/>
    </xf>
    <xf numFmtId="0" fontId="0" fillId="10" borderId="69" xfId="0" applyFill="1" applyBorder="1" applyAlignment="1">
      <alignment horizontal="center" wrapText="1"/>
    </xf>
    <xf numFmtId="0" fontId="0" fillId="10" borderId="71" xfId="0" applyFill="1" applyBorder="1" applyAlignment="1"/>
    <xf numFmtId="0" fontId="0" fillId="10" borderId="68" xfId="0" applyFill="1" applyBorder="1" applyAlignment="1"/>
    <xf numFmtId="0" fontId="0" fillId="10" borderId="32" xfId="0" applyFill="1" applyBorder="1"/>
    <xf numFmtId="9" fontId="0" fillId="10" borderId="2" xfId="1" applyFont="1" applyFill="1" applyBorder="1"/>
    <xf numFmtId="0" fontId="13" fillId="0" borderId="0" xfId="0" applyFont="1" applyBorder="1" applyAlignment="1">
      <alignment horizontal="center" vertical="center" wrapText="1"/>
    </xf>
    <xf numFmtId="9" fontId="13" fillId="0" borderId="0" xfId="1" applyFont="1" applyBorder="1" applyAlignment="1">
      <alignment horizontal="center" vertical="center" wrapText="1"/>
    </xf>
    <xf numFmtId="9" fontId="0" fillId="0" borderId="43" xfId="1" applyFont="1" applyBorder="1"/>
    <xf numFmtId="9" fontId="13" fillId="0" borderId="25" xfId="1" applyFont="1" applyBorder="1"/>
    <xf numFmtId="0" fontId="14" fillId="0" borderId="68" xfId="0" applyFont="1" applyBorder="1" applyAlignment="1">
      <alignment horizontal="center"/>
    </xf>
    <xf numFmtId="0" fontId="21" fillId="0" borderId="76" xfId="0" applyFont="1" applyBorder="1"/>
    <xf numFmtId="0" fontId="21" fillId="0" borderId="77" xfId="0" applyFont="1" applyBorder="1"/>
    <xf numFmtId="0" fontId="21" fillId="0" borderId="78" xfId="0" applyFont="1" applyBorder="1"/>
    <xf numFmtId="0" fontId="14" fillId="0" borderId="70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21" fillId="0" borderId="79" xfId="0" applyFont="1" applyBorder="1" applyAlignment="1">
      <alignment horizontal="center"/>
    </xf>
    <xf numFmtId="0" fontId="21" fillId="0" borderId="28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14" xfId="0" applyFont="1" applyBorder="1"/>
    <xf numFmtId="0" fontId="0" fillId="4" borderId="68" xfId="0" applyFill="1" applyBorder="1" applyAlignment="1">
      <alignment horizontal="center"/>
    </xf>
    <xf numFmtId="0" fontId="19" fillId="0" borderId="68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2" xfId="0" applyFont="1" applyBorder="1"/>
    <xf numFmtId="0" fontId="19" fillId="5" borderId="7" xfId="0" applyFont="1" applyFill="1" applyBorder="1" applyAlignment="1">
      <alignment horizontal="center"/>
    </xf>
    <xf numFmtId="0" fontId="19" fillId="5" borderId="18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0" fontId="19" fillId="8" borderId="2" xfId="0" applyFont="1" applyFill="1" applyBorder="1"/>
    <xf numFmtId="0" fontId="17" fillId="0" borderId="2" xfId="0" applyFont="1" applyBorder="1" applyAlignment="1">
      <alignment horizontal="center"/>
    </xf>
    <xf numFmtId="0" fontId="17" fillId="0" borderId="68" xfId="0" applyFont="1" applyBorder="1" applyAlignment="1">
      <alignment horizontal="center"/>
    </xf>
    <xf numFmtId="0" fontId="17" fillId="0" borderId="2" xfId="0" applyFont="1" applyBorder="1"/>
    <xf numFmtId="0" fontId="17" fillId="0" borderId="68" xfId="0" applyFont="1" applyFill="1" applyBorder="1" applyAlignment="1">
      <alignment horizontal="center"/>
    </xf>
    <xf numFmtId="0" fontId="19" fillId="0" borderId="68" xfId="0" applyFont="1" applyFill="1" applyBorder="1" applyAlignment="1">
      <alignment horizontal="center"/>
    </xf>
    <xf numFmtId="0" fontId="19" fillId="0" borderId="69" xfId="0" applyFont="1" applyFill="1" applyBorder="1" applyAlignment="1">
      <alignment horizontal="center"/>
    </xf>
    <xf numFmtId="0" fontId="19" fillId="0" borderId="69" xfId="0" applyFont="1" applyFill="1" applyBorder="1" applyAlignment="1">
      <alignment horizontal="center" wrapText="1"/>
    </xf>
    <xf numFmtId="0" fontId="19" fillId="4" borderId="2" xfId="0" applyFont="1" applyFill="1" applyBorder="1" applyAlignment="1">
      <alignment horizontal="center"/>
    </xf>
    <xf numFmtId="0" fontId="19" fillId="4" borderId="2" xfId="0" applyFont="1" applyFill="1" applyBorder="1"/>
    <xf numFmtId="0" fontId="19" fillId="9" borderId="2" xfId="0" applyFont="1" applyFill="1" applyBorder="1" applyAlignment="1">
      <alignment horizontal="center"/>
    </xf>
    <xf numFmtId="0" fontId="19" fillId="9" borderId="2" xfId="0" applyFont="1" applyFill="1" applyBorder="1"/>
    <xf numFmtId="0" fontId="19" fillId="0" borderId="71" xfId="0" applyFont="1" applyBorder="1" applyAlignment="1"/>
    <xf numFmtId="0" fontId="19" fillId="0" borderId="68" xfId="0" applyFont="1" applyBorder="1" applyAlignment="1"/>
    <xf numFmtId="0" fontId="19" fillId="0" borderId="32" xfId="0" applyFont="1" applyBorder="1"/>
    <xf numFmtId="9" fontId="19" fillId="0" borderId="2" xfId="1" applyFont="1" applyBorder="1"/>
    <xf numFmtId="0" fontId="13" fillId="5" borderId="32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13" fillId="8" borderId="32" xfId="0" applyFont="1" applyFill="1" applyBorder="1"/>
    <xf numFmtId="165" fontId="1" fillId="0" borderId="36" xfId="0" applyNumberFormat="1" applyFont="1" applyBorder="1" applyAlignment="1">
      <alignment horizontal="center"/>
    </xf>
    <xf numFmtId="0" fontId="14" fillId="0" borderId="7" xfId="0" applyFont="1" applyBorder="1"/>
    <xf numFmtId="0" fontId="14" fillId="0" borderId="8" xfId="0" applyFont="1" applyBorder="1" applyAlignment="1">
      <alignment horizontal="center"/>
    </xf>
    <xf numFmtId="0" fontId="14" fillId="0" borderId="9" xfId="0" applyFont="1" applyBorder="1"/>
    <xf numFmtId="0" fontId="14" fillId="0" borderId="19" xfId="0" applyFont="1" applyBorder="1"/>
    <xf numFmtId="0" fontId="14" fillId="0" borderId="21" xfId="0" applyFont="1" applyBorder="1" applyAlignment="1">
      <alignment horizontal="center"/>
    </xf>
    <xf numFmtId="0" fontId="17" fillId="0" borderId="0" xfId="0" applyFont="1"/>
    <xf numFmtId="0" fontId="17" fillId="0" borderId="40" xfId="0" applyFont="1" applyBorder="1"/>
    <xf numFmtId="0" fontId="17" fillId="0" borderId="24" xfId="0" applyFont="1" applyBorder="1"/>
    <xf numFmtId="9" fontId="17" fillId="0" borderId="13" xfId="1" applyFont="1" applyBorder="1"/>
    <xf numFmtId="0" fontId="17" fillId="0" borderId="2" xfId="0" applyFont="1" applyFill="1" applyBorder="1" applyAlignment="1">
      <alignment horizontal="center"/>
    </xf>
    <xf numFmtId="167" fontId="0" fillId="0" borderId="0" xfId="0" applyNumberFormat="1"/>
    <xf numFmtId="0" fontId="13" fillId="11" borderId="14" xfId="0" applyFont="1" applyFill="1" applyBorder="1" applyAlignment="1">
      <alignment horizontal="center"/>
    </xf>
    <xf numFmtId="0" fontId="13" fillId="11" borderId="15" xfId="0" applyFont="1" applyFill="1" applyBorder="1" applyAlignment="1">
      <alignment horizontal="center"/>
    </xf>
    <xf numFmtId="0" fontId="13" fillId="11" borderId="16" xfId="0" applyFont="1" applyFill="1" applyBorder="1" applyAlignment="1">
      <alignment horizontal="center"/>
    </xf>
    <xf numFmtId="0" fontId="13" fillId="11" borderId="17" xfId="0" applyFont="1" applyFill="1" applyBorder="1" applyAlignment="1">
      <alignment horizontal="center"/>
    </xf>
    <xf numFmtId="9" fontId="0" fillId="0" borderId="2" xfId="0" applyNumberFormat="1" applyBorder="1"/>
    <xf numFmtId="166" fontId="0" fillId="0" borderId="2" xfId="0" applyNumberFormat="1" applyBorder="1"/>
    <xf numFmtId="0" fontId="14" fillId="0" borderId="2" xfId="0" applyFont="1" applyFill="1" applyBorder="1" applyAlignment="1">
      <alignment horizontal="center"/>
    </xf>
    <xf numFmtId="0" fontId="21" fillId="0" borderId="2" xfId="0" applyFont="1" applyBorder="1"/>
    <xf numFmtId="9" fontId="0" fillId="2" borderId="0" xfId="0" applyNumberFormat="1" applyFill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41" xfId="0" applyFill="1" applyBorder="1"/>
    <xf numFmtId="0" fontId="0" fillId="2" borderId="13" xfId="0" applyFill="1" applyBorder="1"/>
    <xf numFmtId="0" fontId="0" fillId="2" borderId="40" xfId="0" applyFill="1" applyBorder="1"/>
    <xf numFmtId="0" fontId="0" fillId="2" borderId="39" xfId="0" applyFill="1" applyBorder="1"/>
    <xf numFmtId="0" fontId="0" fillId="2" borderId="24" xfId="0" applyFill="1" applyBorder="1"/>
    <xf numFmtId="0" fontId="0" fillId="2" borderId="10" xfId="0" applyFill="1" applyBorder="1" applyAlignment="1">
      <alignment wrapText="1"/>
    </xf>
    <xf numFmtId="0" fontId="0" fillId="2" borderId="80" xfId="0" applyFill="1" applyBorder="1"/>
    <xf numFmtId="0" fontId="0" fillId="2" borderId="81" xfId="0" applyFill="1" applyBorder="1"/>
    <xf numFmtId="0" fontId="18" fillId="2" borderId="81" xfId="0" applyFont="1" applyFill="1" applyBorder="1" applyAlignment="1">
      <alignment horizontal="center" vertical="center"/>
    </xf>
    <xf numFmtId="0" fontId="13" fillId="2" borderId="81" xfId="0" applyFont="1" applyFill="1" applyBorder="1"/>
    <xf numFmtId="0" fontId="0" fillId="2" borderId="82" xfId="0" applyFill="1" applyBorder="1"/>
    <xf numFmtId="0" fontId="30" fillId="0" borderId="2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9" fontId="13" fillId="0" borderId="68" xfId="1" applyFont="1" applyBorder="1" applyAlignment="1">
      <alignment horizontal="center"/>
    </xf>
    <xf numFmtId="9" fontId="13" fillId="0" borderId="2" xfId="1" applyFont="1" applyBorder="1" applyAlignment="1">
      <alignment horizontal="center"/>
    </xf>
    <xf numFmtId="9" fontId="13" fillId="0" borderId="3" xfId="1" applyFont="1" applyBorder="1" applyAlignment="1">
      <alignment horizontal="center"/>
    </xf>
    <xf numFmtId="9" fontId="13" fillId="0" borderId="84" xfId="1" applyFont="1" applyBorder="1" applyAlignment="1">
      <alignment horizontal="center"/>
    </xf>
    <xf numFmtId="9" fontId="13" fillId="0" borderId="20" xfId="1" applyFont="1" applyBorder="1" applyAlignment="1">
      <alignment horizontal="center"/>
    </xf>
    <xf numFmtId="9" fontId="13" fillId="0" borderId="21" xfId="1" applyFont="1" applyBorder="1" applyAlignment="1">
      <alignment horizontal="center"/>
    </xf>
    <xf numFmtId="0" fontId="29" fillId="6" borderId="27" xfId="0" applyFont="1" applyFill="1" applyBorder="1" applyAlignment="1">
      <alignment horizontal="center" vertical="center"/>
    </xf>
    <xf numFmtId="0" fontId="29" fillId="6" borderId="28" xfId="0" applyFont="1" applyFill="1" applyBorder="1" applyAlignment="1">
      <alignment horizontal="center" vertical="center"/>
    </xf>
    <xf numFmtId="0" fontId="30" fillId="6" borderId="29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/>
    </xf>
    <xf numFmtId="9" fontId="13" fillId="0" borderId="70" xfId="1" applyFont="1" applyBorder="1" applyAlignment="1">
      <alignment horizontal="center"/>
    </xf>
    <xf numFmtId="9" fontId="13" fillId="0" borderId="32" xfId="1" applyFont="1" applyBorder="1" applyAlignment="1">
      <alignment horizontal="center"/>
    </xf>
    <xf numFmtId="9" fontId="13" fillId="0" borderId="33" xfId="1" applyFont="1" applyBorder="1" applyAlignment="1">
      <alignment horizontal="center"/>
    </xf>
    <xf numFmtId="0" fontId="30" fillId="6" borderId="28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31" fillId="2" borderId="0" xfId="0" applyFont="1" applyFill="1"/>
    <xf numFmtId="9" fontId="31" fillId="2" borderId="0" xfId="1" applyFont="1" applyFill="1"/>
    <xf numFmtId="0" fontId="32" fillId="2" borderId="0" xfId="0" applyFont="1" applyFill="1" applyBorder="1" applyAlignment="1"/>
    <xf numFmtId="0" fontId="33" fillId="2" borderId="0" xfId="0" applyFont="1" applyFill="1" applyBorder="1"/>
    <xf numFmtId="9" fontId="2" fillId="2" borderId="0" xfId="1" applyFont="1" applyFill="1"/>
    <xf numFmtId="9" fontId="0" fillId="0" borderId="0" xfId="1" applyFont="1" applyFill="1" applyBorder="1" applyAlignment="1">
      <alignment horizontal="center"/>
    </xf>
    <xf numFmtId="0" fontId="16" fillId="2" borderId="85" xfId="0" applyFont="1" applyFill="1" applyBorder="1" applyAlignment="1"/>
    <xf numFmtId="0" fontId="16" fillId="2" borderId="86" xfId="0" applyFont="1" applyFill="1" applyBorder="1"/>
    <xf numFmtId="0" fontId="2" fillId="2" borderId="95" xfId="0" applyFont="1" applyFill="1" applyBorder="1"/>
    <xf numFmtId="0" fontId="2" fillId="2" borderId="96" xfId="0" applyFont="1" applyFill="1" applyBorder="1"/>
    <xf numFmtId="0" fontId="2" fillId="2" borderId="87" xfId="0" applyFont="1" applyFill="1" applyBorder="1"/>
    <xf numFmtId="0" fontId="2" fillId="2" borderId="88" xfId="0" applyFont="1" applyFill="1" applyBorder="1"/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34" fillId="2" borderId="94" xfId="0" applyFont="1" applyFill="1" applyBorder="1" applyAlignment="1">
      <alignment horizontal="center"/>
    </xf>
    <xf numFmtId="9" fontId="34" fillId="2" borderId="91" xfId="1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0" fillId="4" borderId="9" xfId="0" applyFill="1" applyBorder="1"/>
    <xf numFmtId="0" fontId="0" fillId="4" borderId="3" xfId="0" applyFill="1" applyBorder="1"/>
    <xf numFmtId="9" fontId="0" fillId="0" borderId="2" xfId="1" applyFont="1" applyBorder="1" applyAlignment="1">
      <alignment horizontal="center"/>
    </xf>
    <xf numFmtId="9" fontId="0" fillId="0" borderId="20" xfId="1" applyFont="1" applyBorder="1" applyAlignment="1">
      <alignment horizontal="center"/>
    </xf>
    <xf numFmtId="9" fontId="0" fillId="0" borderId="32" xfId="1" applyFont="1" applyBorder="1" applyAlignment="1">
      <alignment horizontal="center"/>
    </xf>
    <xf numFmtId="0" fontId="30" fillId="4" borderId="27" xfId="0" applyFont="1" applyFill="1" applyBorder="1" applyAlignment="1">
      <alignment horizontal="center" vertical="center"/>
    </xf>
    <xf numFmtId="0" fontId="30" fillId="4" borderId="28" xfId="0" applyFont="1" applyFill="1" applyBorder="1" applyAlignment="1">
      <alignment horizontal="center" vertical="center"/>
    </xf>
    <xf numFmtId="0" fontId="30" fillId="4" borderId="29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9" fontId="0" fillId="0" borderId="36" xfId="1" applyFont="1" applyBorder="1" applyAlignment="1">
      <alignment horizontal="center"/>
    </xf>
    <xf numFmtId="0" fontId="30" fillId="4" borderId="15" xfId="0" applyFont="1" applyFill="1" applyBorder="1" applyAlignment="1">
      <alignment horizontal="center" vertical="center"/>
    </xf>
    <xf numFmtId="0" fontId="30" fillId="4" borderId="16" xfId="0" applyFont="1" applyFill="1" applyBorder="1" applyAlignment="1">
      <alignment horizontal="center" vertical="center"/>
    </xf>
    <xf numFmtId="0" fontId="30" fillId="4" borderId="1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9" fontId="0" fillId="0" borderId="18" xfId="1" applyFont="1" applyBorder="1" applyAlignment="1">
      <alignment horizontal="center"/>
    </xf>
    <xf numFmtId="0" fontId="15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9" fontId="2" fillId="2" borderId="0" xfId="1" applyFont="1" applyFill="1" applyAlignment="1">
      <alignment wrapText="1"/>
    </xf>
    <xf numFmtId="9" fontId="31" fillId="2" borderId="0" xfId="1" applyFont="1" applyFill="1" applyAlignment="1">
      <alignment wrapText="1"/>
    </xf>
    <xf numFmtId="9" fontId="0" fillId="2" borderId="0" xfId="1" applyFont="1" applyFill="1" applyAlignment="1">
      <alignment wrapText="1"/>
    </xf>
    <xf numFmtId="9" fontId="0" fillId="2" borderId="0" xfId="0" applyNumberFormat="1" applyFill="1" applyAlignment="1">
      <alignment wrapText="1"/>
    </xf>
    <xf numFmtId="0" fontId="14" fillId="0" borderId="7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36" fillId="0" borderId="0" xfId="0" applyFont="1"/>
    <xf numFmtId="0" fontId="15" fillId="2" borderId="61" xfId="0" applyFont="1" applyFill="1" applyBorder="1" applyAlignment="1">
      <alignment horizontal="left"/>
    </xf>
    <xf numFmtId="9" fontId="15" fillId="2" borderId="61" xfId="1" applyFont="1" applyFill="1" applyBorder="1" applyAlignment="1">
      <alignment horizontal="center"/>
    </xf>
    <xf numFmtId="0" fontId="34" fillId="2" borderId="92" xfId="0" applyFont="1" applyFill="1" applyBorder="1" applyAlignment="1">
      <alignment horizontal="center"/>
    </xf>
    <xf numFmtId="0" fontId="34" fillId="2" borderId="93" xfId="0" applyFont="1" applyFill="1" applyBorder="1" applyAlignment="1">
      <alignment horizontal="center"/>
    </xf>
    <xf numFmtId="0" fontId="35" fillId="2" borderId="89" xfId="0" applyFont="1" applyFill="1" applyBorder="1" applyAlignment="1">
      <alignment horizontal="center"/>
    </xf>
    <xf numFmtId="0" fontId="35" fillId="2" borderId="90" xfId="0" applyFont="1" applyFill="1" applyBorder="1" applyAlignment="1">
      <alignment horizontal="center"/>
    </xf>
    <xf numFmtId="0" fontId="16" fillId="2" borderId="81" xfId="0" applyFont="1" applyFill="1" applyBorder="1" applyAlignment="1">
      <alignment horizontal="center" vertical="center"/>
    </xf>
    <xf numFmtId="0" fontId="16" fillId="2" borderId="83" xfId="0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/>
    </xf>
    <xf numFmtId="9" fontId="2" fillId="2" borderId="0" xfId="1" applyFont="1" applyFill="1" applyAlignment="1">
      <alignment horizontal="center" wrapText="1"/>
    </xf>
    <xf numFmtId="0" fontId="5" fillId="2" borderId="8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 vertical="top" wrapText="1"/>
    </xf>
    <xf numFmtId="0" fontId="26" fillId="0" borderId="0" xfId="0" applyFont="1" applyBorder="1" applyAlignment="1">
      <alignment vertical="top"/>
    </xf>
    <xf numFmtId="0" fontId="27" fillId="2" borderId="0" xfId="0" applyFont="1" applyFill="1" applyBorder="1" applyAlignment="1">
      <alignment horizontal="center" vertical="top" wrapText="1"/>
    </xf>
    <xf numFmtId="0" fontId="28" fillId="2" borderId="0" xfId="0" applyFont="1" applyFill="1" applyBorder="1" applyAlignment="1">
      <alignment horizontal="center" vertical="top" wrapText="1"/>
    </xf>
    <xf numFmtId="0" fontId="15" fillId="2" borderId="0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1" fillId="2" borderId="0" xfId="2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75" xfId="0" applyFont="1" applyBorder="1" applyAlignment="1">
      <alignment horizontal="center"/>
    </xf>
    <xf numFmtId="0" fontId="19" fillId="0" borderId="71" xfId="0" applyFont="1" applyBorder="1" applyAlignment="1">
      <alignment horizontal="left"/>
    </xf>
    <xf numFmtId="0" fontId="19" fillId="0" borderId="68" xfId="0" applyFont="1" applyBorder="1" applyAlignment="1">
      <alignment horizontal="left"/>
    </xf>
    <xf numFmtId="0" fontId="0" fillId="0" borderId="71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69" xfId="0" applyBorder="1" applyAlignment="1">
      <alignment horizontal="left"/>
    </xf>
    <xf numFmtId="0" fontId="0" fillId="10" borderId="71" xfId="0" applyFill="1" applyBorder="1" applyAlignment="1">
      <alignment horizontal="left"/>
    </xf>
    <xf numFmtId="0" fontId="0" fillId="10" borderId="68" xfId="0" applyFill="1" applyBorder="1" applyAlignment="1">
      <alignment horizontal="left"/>
    </xf>
    <xf numFmtId="9" fontId="0" fillId="0" borderId="8" xfId="1" applyNumberFormat="1" applyFont="1" applyBorder="1" applyAlignment="1">
      <alignment horizontal="center" vertical="center"/>
    </xf>
    <xf numFmtId="9" fontId="0" fillId="0" borderId="3" xfId="1" applyNumberFormat="1" applyFont="1" applyBorder="1" applyAlignment="1">
      <alignment horizontal="center" vertical="center"/>
    </xf>
    <xf numFmtId="9" fontId="0" fillId="0" borderId="21" xfId="1" applyNumberFormat="1" applyFont="1" applyBorder="1" applyAlignment="1">
      <alignment horizontal="center" vertical="center"/>
    </xf>
    <xf numFmtId="166" fontId="0" fillId="0" borderId="97" xfId="1" applyNumberFormat="1" applyFont="1" applyBorder="1" applyAlignment="1">
      <alignment horizontal="center" vertical="center"/>
    </xf>
    <xf numFmtId="166" fontId="0" fillId="0" borderId="37" xfId="1" applyNumberFormat="1" applyFont="1" applyBorder="1" applyAlignment="1">
      <alignment horizontal="center" vertical="center"/>
    </xf>
    <xf numFmtId="166" fontId="0" fillId="0" borderId="8" xfId="1" applyNumberFormat="1" applyFont="1" applyBorder="1" applyAlignment="1">
      <alignment horizontal="center" vertical="center"/>
    </xf>
    <xf numFmtId="166" fontId="0" fillId="0" borderId="3" xfId="1" applyNumberFormat="1" applyFont="1" applyBorder="1" applyAlignment="1">
      <alignment horizontal="center" vertical="center"/>
    </xf>
    <xf numFmtId="166" fontId="0" fillId="0" borderId="21" xfId="1" applyNumberFormat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CC0099"/>
      <color rgb="FFDF57D9"/>
      <color rgb="FF1CCDFE"/>
      <color rgb="FFFF00FF"/>
      <color rgb="FF57BBFF"/>
      <color rgb="FF0099FF"/>
      <color rgb="FF072A3D"/>
      <color rgb="FF0D4B6D"/>
      <color rgb="FF020C12"/>
      <color rgb="FF041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chemeClr val="tx1"/>
              </a:solidFill>
              <a:ln w="19050">
                <a:noFill/>
              </a:ln>
              <a:effectLst/>
            </c:spPr>
          </c:dPt>
          <c:dPt>
            <c:idx val="1"/>
            <c:spPr>
              <a:solidFill>
                <a:srgbClr val="AEFEFE"/>
              </a:solidFill>
              <a:ln w="19050">
                <a:noFill/>
              </a:ln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c:spPr>
          </c:dPt>
          <c:dPt>
            <c:idx val="2"/>
            <c:spPr>
              <a:noFill/>
              <a:ln w="19050">
                <a:noFill/>
              </a:ln>
              <a:effectLst/>
            </c:spPr>
          </c:dPt>
          <c:val>
            <c:numRef>
              <c:f>Processing!$B$3:$D$3</c:f>
              <c:numCache>
                <c:formatCode>General</c:formatCode>
                <c:ptCount val="3"/>
                <c:pt idx="0">
                  <c:v>88.55678179712514</c:v>
                </c:pt>
                <c:pt idx="1">
                  <c:v>1</c:v>
                </c:pt>
                <c:pt idx="2">
                  <c:v>11.443218202874855</c:v>
                </c:pt>
              </c:numCache>
            </c:numRef>
          </c:val>
        </c:ser>
        <c:firstSliceAng val="90"/>
      </c:pie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chemeClr val="tx1"/>
              </a:solidFill>
              <a:ln w="19050">
                <a:noFill/>
              </a:ln>
              <a:effectLst/>
            </c:spPr>
          </c:dPt>
          <c:dPt>
            <c:idx val="1"/>
            <c:spPr>
              <a:solidFill>
                <a:srgbClr val="AEFEFE"/>
              </a:solidFill>
              <a:ln w="19050">
                <a:noFill/>
              </a:ln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c:spPr>
          </c:dPt>
          <c:dPt>
            <c:idx val="2"/>
            <c:spPr>
              <a:noFill/>
              <a:ln w="19050">
                <a:noFill/>
              </a:ln>
              <a:effectLst/>
            </c:spPr>
          </c:dPt>
          <c:val>
            <c:numRef>
              <c:f>Processing!$B$3:$D$3</c:f>
              <c:numCache>
                <c:formatCode>General</c:formatCode>
                <c:ptCount val="3"/>
                <c:pt idx="0">
                  <c:v>88.55678179712514</c:v>
                </c:pt>
                <c:pt idx="1">
                  <c:v>1</c:v>
                </c:pt>
                <c:pt idx="2">
                  <c:v>11.443218202874855</c:v>
                </c:pt>
              </c:numCache>
            </c:numRef>
          </c:val>
        </c:ser>
        <c:firstSliceAng val="90"/>
      </c:pie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chemeClr val="tx1"/>
              </a:solidFill>
              <a:ln w="19050">
                <a:noFill/>
              </a:ln>
              <a:effectLst/>
            </c:spPr>
          </c:dPt>
          <c:dPt>
            <c:idx val="1"/>
            <c:spPr>
              <a:solidFill>
                <a:srgbClr val="AEFEFE"/>
              </a:solidFill>
              <a:ln w="19050">
                <a:noFill/>
              </a:ln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c:spPr>
          </c:dPt>
          <c:dPt>
            <c:idx val="2"/>
            <c:spPr>
              <a:noFill/>
              <a:ln w="19050">
                <a:noFill/>
              </a:ln>
              <a:effectLst/>
            </c:spPr>
          </c:dPt>
          <c:val>
            <c:numRef>
              <c:f>Processing!$B$4:$D$4</c:f>
              <c:numCache>
                <c:formatCode>General</c:formatCode>
                <c:ptCount val="3"/>
                <c:pt idx="0">
                  <c:v>89.127829218106996</c:v>
                </c:pt>
                <c:pt idx="1">
                  <c:v>1</c:v>
                </c:pt>
                <c:pt idx="2">
                  <c:v>10.872170781893004</c:v>
                </c:pt>
              </c:numCache>
            </c:numRef>
          </c:val>
        </c:ser>
        <c:firstSliceAng val="90"/>
      </c:pie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chemeClr val="tx1"/>
              </a:solidFill>
              <a:ln w="19050">
                <a:noFill/>
              </a:ln>
              <a:effectLst/>
            </c:spPr>
          </c:dPt>
          <c:dPt>
            <c:idx val="1"/>
            <c:spPr>
              <a:solidFill>
                <a:srgbClr val="FADDFB"/>
              </a:solidFill>
              <a:ln w="19050">
                <a:noFill/>
              </a:ln>
              <a:effectLst>
                <a:glow rad="101600">
                  <a:srgbClr val="DC23E6">
                    <a:alpha val="40000"/>
                  </a:srgbClr>
                </a:glow>
              </a:effectLst>
            </c:spPr>
          </c:dPt>
          <c:dPt>
            <c:idx val="2"/>
            <c:spPr>
              <a:noFill/>
              <a:ln w="19050">
                <a:noFill/>
              </a:ln>
              <a:effectLst/>
            </c:spPr>
          </c:dPt>
          <c:val>
            <c:numRef>
              <c:f>Processing!$B$5:$D$5</c:f>
              <c:numCache>
                <c:formatCode>General</c:formatCode>
                <c:ptCount val="3"/>
                <c:pt idx="0">
                  <c:v>84.5</c:v>
                </c:pt>
                <c:pt idx="1">
                  <c:v>1</c:v>
                </c:pt>
                <c:pt idx="2">
                  <c:v>15.5</c:v>
                </c:pt>
              </c:numCache>
            </c:numRef>
          </c:val>
        </c:ser>
        <c:firstSliceAng val="90"/>
      </c:pie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chemeClr val="tx1"/>
              </a:solidFill>
              <a:ln w="19050">
                <a:noFill/>
              </a:ln>
              <a:effectLst/>
            </c:spPr>
          </c:dPt>
          <c:dPt>
            <c:idx val="1"/>
            <c:spPr>
              <a:solidFill>
                <a:srgbClr val="FADDFB"/>
              </a:solidFill>
              <a:ln w="19050">
                <a:noFill/>
              </a:ln>
              <a:effectLst>
                <a:glow rad="101600">
                  <a:srgbClr val="DC23E6">
                    <a:alpha val="40000"/>
                  </a:srgbClr>
                </a:glow>
              </a:effectLst>
            </c:spPr>
          </c:dPt>
          <c:dPt>
            <c:idx val="2"/>
            <c:spPr>
              <a:noFill/>
              <a:ln w="19050">
                <a:noFill/>
              </a:ln>
              <a:effectLst/>
            </c:spPr>
          </c:dPt>
          <c:val>
            <c:numRef>
              <c:f>Processing!$B$6:$D$6</c:f>
              <c:numCache>
                <c:formatCode>General</c:formatCode>
                <c:ptCount val="3"/>
                <c:pt idx="0">
                  <c:v>90.930577657542969</c:v>
                </c:pt>
                <c:pt idx="1">
                  <c:v>1</c:v>
                </c:pt>
                <c:pt idx="2">
                  <c:v>9.0694223424570346</c:v>
                </c:pt>
              </c:numCache>
            </c:numRef>
          </c:val>
        </c:ser>
        <c:firstSliceAng val="90"/>
      </c:pie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autoTitleDeleted val="1"/>
    <c:plotArea>
      <c:layout/>
      <c:pieChart>
        <c:varyColors val="1"/>
        <c:firstSliceAng val="90"/>
      </c:pie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chemeClr val="tx1"/>
              </a:solidFill>
              <a:ln w="19050">
                <a:noFill/>
              </a:ln>
              <a:effectLst/>
            </c:spPr>
          </c:dPt>
          <c:dPt>
            <c:idx val="1"/>
            <c:spPr>
              <a:solidFill>
                <a:srgbClr val="AEFEFE"/>
              </a:solidFill>
              <a:ln w="19050">
                <a:noFill/>
              </a:ln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c:spPr>
          </c:dPt>
          <c:dPt>
            <c:idx val="2"/>
            <c:spPr>
              <a:noFill/>
              <a:ln w="19050">
                <a:noFill/>
              </a:ln>
              <a:effectLst/>
            </c:spPr>
          </c:dPt>
          <c:val>
            <c:numRef>
              <c:f>Processing!$B$3:$D$3</c:f>
              <c:numCache>
                <c:formatCode>General</c:formatCode>
                <c:ptCount val="3"/>
                <c:pt idx="0">
                  <c:v>88.55678179712514</c:v>
                </c:pt>
                <c:pt idx="1">
                  <c:v>1</c:v>
                </c:pt>
                <c:pt idx="2">
                  <c:v>11.443218202874855</c:v>
                </c:pt>
              </c:numCache>
            </c:numRef>
          </c:val>
        </c:ser>
        <c:firstSliceAng val="90"/>
      </c:pie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chemeClr val="tx1"/>
              </a:solidFill>
              <a:ln w="19050">
                <a:noFill/>
              </a:ln>
              <a:effectLst/>
            </c:spPr>
          </c:dPt>
          <c:dPt>
            <c:idx val="1"/>
            <c:spPr>
              <a:solidFill>
                <a:srgbClr val="AEFEFE"/>
              </a:solidFill>
              <a:ln w="19050">
                <a:noFill/>
              </a:ln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c:spPr>
          </c:dPt>
          <c:dPt>
            <c:idx val="2"/>
            <c:spPr>
              <a:noFill/>
              <a:ln w="19050">
                <a:noFill/>
              </a:ln>
              <a:effectLst/>
            </c:spPr>
          </c:dPt>
          <c:val>
            <c:numRef>
              <c:f>Processing!$B$3:$D$3</c:f>
              <c:numCache>
                <c:formatCode>General</c:formatCode>
                <c:ptCount val="3"/>
                <c:pt idx="0">
                  <c:v>88.55678179712514</c:v>
                </c:pt>
                <c:pt idx="1">
                  <c:v>1</c:v>
                </c:pt>
                <c:pt idx="2">
                  <c:v>11.443218202874855</c:v>
                </c:pt>
              </c:numCache>
            </c:numRef>
          </c:val>
        </c:ser>
        <c:firstSliceAng val="90"/>
      </c:pie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chemeClr val="tx1"/>
              </a:solidFill>
              <a:ln w="19050">
                <a:noFill/>
              </a:ln>
              <a:effectLst/>
            </c:spPr>
          </c:dPt>
          <c:dPt>
            <c:idx val="1"/>
            <c:spPr>
              <a:solidFill>
                <a:srgbClr val="AEFEFE"/>
              </a:solidFill>
              <a:ln w="19050">
                <a:noFill/>
              </a:ln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c:spPr>
          </c:dPt>
          <c:dPt>
            <c:idx val="2"/>
            <c:spPr>
              <a:noFill/>
              <a:ln w="19050">
                <a:noFill/>
              </a:ln>
              <a:effectLst/>
            </c:spPr>
          </c:dPt>
          <c:val>
            <c:numRef>
              <c:f>Processing!$B$3:$D$3</c:f>
              <c:numCache>
                <c:formatCode>General</c:formatCode>
                <c:ptCount val="3"/>
                <c:pt idx="0">
                  <c:v>88.55678179712514</c:v>
                </c:pt>
                <c:pt idx="1">
                  <c:v>1</c:v>
                </c:pt>
                <c:pt idx="2">
                  <c:v>11.443218202874855</c:v>
                </c:pt>
              </c:numCache>
            </c:numRef>
          </c:val>
        </c:ser>
        <c:firstSliceAng val="90"/>
      </c:pie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chemeClr val="tx1"/>
              </a:solidFill>
              <a:ln w="19050">
                <a:noFill/>
              </a:ln>
              <a:effectLst/>
            </c:spPr>
          </c:dPt>
          <c:dPt>
            <c:idx val="1"/>
            <c:spPr>
              <a:solidFill>
                <a:srgbClr val="AEFEFE"/>
              </a:solidFill>
              <a:ln w="19050">
                <a:noFill/>
              </a:ln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c:spPr>
          </c:dPt>
          <c:dPt>
            <c:idx val="2"/>
            <c:spPr>
              <a:noFill/>
              <a:ln w="19050">
                <a:noFill/>
              </a:ln>
              <a:effectLst/>
            </c:spPr>
          </c:dPt>
          <c:val>
            <c:numRef>
              <c:f>Processing!$B$3:$D$3</c:f>
              <c:numCache>
                <c:formatCode>General</c:formatCode>
                <c:ptCount val="3"/>
                <c:pt idx="0">
                  <c:v>88.55678179712514</c:v>
                </c:pt>
                <c:pt idx="1">
                  <c:v>1</c:v>
                </c:pt>
                <c:pt idx="2">
                  <c:v>11.443218202874855</c:v>
                </c:pt>
              </c:numCache>
            </c:numRef>
          </c:val>
        </c:ser>
        <c:firstSliceAng val="90"/>
      </c:pie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447675</xdr:colOff>
      <xdr:row>1</xdr:row>
      <xdr:rowOff>66675</xdr:rowOff>
    </xdr:from>
    <xdr:to>
      <xdr:col>18</xdr:col>
      <xdr:colOff>118288</xdr:colOff>
      <xdr:row>26</xdr:row>
      <xdr:rowOff>65485</xdr:rowOff>
    </xdr:to>
    <xdr:pic>
      <xdr:nvPicPr>
        <xdr:cNvPr id="3" name="Рисунок 2" hidden="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6475" y="257175"/>
          <a:ext cx="5638799" cy="5573736"/>
        </a:xfrm>
        <a:prstGeom prst="rect">
          <a:avLst/>
        </a:prstGeom>
      </xdr:spPr>
    </xdr:pic>
    <xdr:clientData/>
  </xdr:twoCellAnchor>
  <xdr:twoCellAnchor>
    <xdr:from>
      <xdr:col>2</xdr:col>
      <xdr:colOff>450891</xdr:colOff>
      <xdr:row>4</xdr:row>
      <xdr:rowOff>85725</xdr:rowOff>
    </xdr:from>
    <xdr:to>
      <xdr:col>7</xdr:col>
      <xdr:colOff>146916</xdr:colOff>
      <xdr:row>11</xdr:row>
      <xdr:rowOff>33337</xdr:rowOff>
    </xdr:to>
    <xdr:grpSp>
      <xdr:nvGrpSpPr>
        <xdr:cNvPr id="35" name="Группа 34"/>
        <xdr:cNvGrpSpPr/>
      </xdr:nvGrpSpPr>
      <xdr:grpSpPr>
        <a:xfrm>
          <a:off x="1891547" y="907256"/>
          <a:ext cx="1446244" cy="1304925"/>
          <a:chOff x="2338572" y="1057275"/>
          <a:chExt cx="1334943" cy="1281112"/>
        </a:xfrm>
      </xdr:grpSpPr>
      <xdr:sp macro="" textlink="">
        <xdr:nvSpPr>
          <xdr:cNvPr id="10" name="Овал 9"/>
          <xdr:cNvSpPr/>
        </xdr:nvSpPr>
        <xdr:spPr>
          <a:xfrm>
            <a:off x="2478715" y="1170017"/>
            <a:ext cx="1045752" cy="1042451"/>
          </a:xfrm>
          <a:prstGeom prst="ellipse">
            <a:avLst/>
          </a:prstGeom>
          <a:noFill/>
          <a:ln w="22225">
            <a:solidFill>
              <a:srgbClr val="25C4FF"/>
            </a:solidFill>
          </a:ln>
          <a:effectLst>
            <a:glow rad="50800">
              <a:srgbClr val="1CCDFE">
                <a:alpha val="22000"/>
              </a:srgb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3" name="Прямоугольник 32"/>
          <xdr:cNvSpPr/>
        </xdr:nvSpPr>
        <xdr:spPr>
          <a:xfrm>
            <a:off x="3470409" y="1524000"/>
            <a:ext cx="149091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Прямоугольник 33"/>
          <xdr:cNvSpPr/>
        </xdr:nvSpPr>
        <xdr:spPr>
          <a:xfrm>
            <a:off x="2396983" y="1524000"/>
            <a:ext cx="149091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Полилиния 8"/>
          <xdr:cNvSpPr/>
        </xdr:nvSpPr>
        <xdr:spPr>
          <a:xfrm rot="7800000">
            <a:off x="2531792" y="1219261"/>
            <a:ext cx="939600" cy="943961"/>
          </a:xfrm>
          <a:custGeom>
            <a:avLst/>
            <a:gdLst>
              <a:gd name="connsiteX0" fmla="*/ 238193 w 2520000"/>
              <a:gd name="connsiteY0" fmla="*/ 1997451 h 2520000"/>
              <a:gd name="connsiteX1" fmla="*/ 217544 w 2520000"/>
              <a:gd name="connsiteY1" fmla="*/ 1967962 h 2520000"/>
              <a:gd name="connsiteX2" fmla="*/ 911968 w 2520000"/>
              <a:gd name="connsiteY2" fmla="*/ 1481721 h 2520000"/>
              <a:gd name="connsiteX3" fmla="*/ 177808 w 2520000"/>
              <a:gd name="connsiteY3" fmla="*/ 1905589 h 2520000"/>
              <a:gd name="connsiteX4" fmla="*/ 159808 w 2520000"/>
              <a:gd name="connsiteY4" fmla="*/ 1874412 h 2520000"/>
              <a:gd name="connsiteX5" fmla="*/ 893967 w 2520000"/>
              <a:gd name="connsiteY5" fmla="*/ 1450545 h 2520000"/>
              <a:gd name="connsiteX6" fmla="*/ 125659 w 2520000"/>
              <a:gd name="connsiteY6" fmla="*/ 1808813 h 2520000"/>
              <a:gd name="connsiteX7" fmla="*/ 110445 w 2520000"/>
              <a:gd name="connsiteY7" fmla="*/ 1776186 h 2520000"/>
              <a:gd name="connsiteX8" fmla="*/ 878754 w 2520000"/>
              <a:gd name="connsiteY8" fmla="*/ 1417918 h 2520000"/>
              <a:gd name="connsiteX9" fmla="*/ 82144 w 2520000"/>
              <a:gd name="connsiteY9" fmla="*/ 1707860 h 2520000"/>
              <a:gd name="connsiteX10" fmla="*/ 69831 w 2520000"/>
              <a:gd name="connsiteY10" fmla="*/ 1674031 h 2520000"/>
              <a:gd name="connsiteX11" fmla="*/ 866437 w 2520000"/>
              <a:gd name="connsiteY11" fmla="*/ 1384090 h 2520000"/>
              <a:gd name="connsiteX12" fmla="*/ 47592 w 2520000"/>
              <a:gd name="connsiteY12" fmla="*/ 1603499 h 2520000"/>
              <a:gd name="connsiteX13" fmla="*/ 38275 w 2520000"/>
              <a:gd name="connsiteY13" fmla="*/ 1568725 h 2520000"/>
              <a:gd name="connsiteX14" fmla="*/ 857121 w 2520000"/>
              <a:gd name="connsiteY14" fmla="*/ 1349316 h 2520000"/>
              <a:gd name="connsiteX15" fmla="*/ 22268 w 2520000"/>
              <a:gd name="connsiteY15" fmla="*/ 1496523 h 2520000"/>
              <a:gd name="connsiteX16" fmla="*/ 16016 w 2520000"/>
              <a:gd name="connsiteY16" fmla="*/ 1461070 h 2520000"/>
              <a:gd name="connsiteX17" fmla="*/ 850870 w 2520000"/>
              <a:gd name="connsiteY17" fmla="*/ 1313863 h 2520000"/>
              <a:gd name="connsiteX18" fmla="*/ 6363 w 2520000"/>
              <a:gd name="connsiteY18" fmla="*/ 1387748 h 2520000"/>
              <a:gd name="connsiteX19" fmla="*/ 3226 w 2520000"/>
              <a:gd name="connsiteY19" fmla="*/ 1351885 h 2520000"/>
              <a:gd name="connsiteX20" fmla="*/ 847731 w 2520000"/>
              <a:gd name="connsiteY20" fmla="*/ 1278000 h 2520000"/>
              <a:gd name="connsiteX21" fmla="*/ 0 w 2520000"/>
              <a:gd name="connsiteY21" fmla="*/ 1278000 h 2520000"/>
              <a:gd name="connsiteX22" fmla="*/ 0 w 2520000"/>
              <a:gd name="connsiteY22" fmla="*/ 1242000 h 2520000"/>
              <a:gd name="connsiteX23" fmla="*/ 847733 w 2520000"/>
              <a:gd name="connsiteY23" fmla="*/ 1242001 h 2520000"/>
              <a:gd name="connsiteX24" fmla="*/ 3226 w 2520000"/>
              <a:gd name="connsiteY24" fmla="*/ 1168115 h 2520000"/>
              <a:gd name="connsiteX25" fmla="*/ 6363 w 2520000"/>
              <a:gd name="connsiteY25" fmla="*/ 1132252 h 2520000"/>
              <a:gd name="connsiteX26" fmla="*/ 850874 w 2520000"/>
              <a:gd name="connsiteY26" fmla="*/ 1206137 h 2520000"/>
              <a:gd name="connsiteX27" fmla="*/ 16017 w 2520000"/>
              <a:gd name="connsiteY27" fmla="*/ 1058930 h 2520000"/>
              <a:gd name="connsiteX28" fmla="*/ 22268 w 2520000"/>
              <a:gd name="connsiteY28" fmla="*/ 1023477 h 2520000"/>
              <a:gd name="connsiteX29" fmla="*/ 857120 w 2520000"/>
              <a:gd name="connsiteY29" fmla="*/ 1170684 h 2520000"/>
              <a:gd name="connsiteX30" fmla="*/ 38275 w 2520000"/>
              <a:gd name="connsiteY30" fmla="*/ 951275 h 2520000"/>
              <a:gd name="connsiteX31" fmla="*/ 47592 w 2520000"/>
              <a:gd name="connsiteY31" fmla="*/ 916501 h 2520000"/>
              <a:gd name="connsiteX32" fmla="*/ 866441 w 2520000"/>
              <a:gd name="connsiteY32" fmla="*/ 1135911 h 2520000"/>
              <a:gd name="connsiteX33" fmla="*/ 69831 w 2520000"/>
              <a:gd name="connsiteY33" fmla="*/ 845969 h 2520000"/>
              <a:gd name="connsiteX34" fmla="*/ 82144 w 2520000"/>
              <a:gd name="connsiteY34" fmla="*/ 812140 h 2520000"/>
              <a:gd name="connsiteX35" fmla="*/ 878751 w 2520000"/>
              <a:gd name="connsiteY35" fmla="*/ 1102082 h 2520000"/>
              <a:gd name="connsiteX36" fmla="*/ 110445 w 2520000"/>
              <a:gd name="connsiteY36" fmla="*/ 743815 h 2520000"/>
              <a:gd name="connsiteX37" fmla="*/ 125660 w 2520000"/>
              <a:gd name="connsiteY37" fmla="*/ 711187 h 2520000"/>
              <a:gd name="connsiteX38" fmla="*/ 893964 w 2520000"/>
              <a:gd name="connsiteY38" fmla="*/ 1069453 h 2520000"/>
              <a:gd name="connsiteX39" fmla="*/ 159808 w 2520000"/>
              <a:gd name="connsiteY39" fmla="*/ 645588 h 2520000"/>
              <a:gd name="connsiteX40" fmla="*/ 177808 w 2520000"/>
              <a:gd name="connsiteY40" fmla="*/ 614412 h 2520000"/>
              <a:gd name="connsiteX41" fmla="*/ 911961 w 2520000"/>
              <a:gd name="connsiteY41" fmla="*/ 1038275 h 2520000"/>
              <a:gd name="connsiteX42" fmla="*/ 217544 w 2520000"/>
              <a:gd name="connsiteY42" fmla="*/ 552039 h 2520000"/>
              <a:gd name="connsiteX43" fmla="*/ 238193 w 2520000"/>
              <a:gd name="connsiteY43" fmla="*/ 522549 h 2520000"/>
              <a:gd name="connsiteX44" fmla="*/ 932610 w 2520000"/>
              <a:gd name="connsiteY44" fmla="*/ 1008785 h 2520000"/>
              <a:gd name="connsiteX45" fmla="*/ 283214 w 2520000"/>
              <a:gd name="connsiteY45" fmla="*/ 463876 h 2520000"/>
              <a:gd name="connsiteX46" fmla="*/ 306354 w 2520000"/>
              <a:gd name="connsiteY46" fmla="*/ 436299 h 2520000"/>
              <a:gd name="connsiteX47" fmla="*/ 955755 w 2520000"/>
              <a:gd name="connsiteY47" fmla="*/ 981211 h 2520000"/>
              <a:gd name="connsiteX48" fmla="*/ 356317 w 2520000"/>
              <a:gd name="connsiteY48" fmla="*/ 381774 h 2520000"/>
              <a:gd name="connsiteX49" fmla="*/ 381773 w 2520000"/>
              <a:gd name="connsiteY49" fmla="*/ 356318 h 2520000"/>
              <a:gd name="connsiteX50" fmla="*/ 981211 w 2520000"/>
              <a:gd name="connsiteY50" fmla="*/ 955756 h 2520000"/>
              <a:gd name="connsiteX51" fmla="*/ 436299 w 2520000"/>
              <a:gd name="connsiteY51" fmla="*/ 306354 h 2520000"/>
              <a:gd name="connsiteX52" fmla="*/ 463876 w 2520000"/>
              <a:gd name="connsiteY52" fmla="*/ 283214 h 2520000"/>
              <a:gd name="connsiteX53" fmla="*/ 1008789 w 2520000"/>
              <a:gd name="connsiteY53" fmla="*/ 932616 h 2520000"/>
              <a:gd name="connsiteX54" fmla="*/ 522549 w 2520000"/>
              <a:gd name="connsiteY54" fmla="*/ 238193 h 2520000"/>
              <a:gd name="connsiteX55" fmla="*/ 552039 w 2520000"/>
              <a:gd name="connsiteY55" fmla="*/ 217544 h 2520000"/>
              <a:gd name="connsiteX56" fmla="*/ 1038278 w 2520000"/>
              <a:gd name="connsiteY56" fmla="*/ 911967 h 2520000"/>
              <a:gd name="connsiteX57" fmla="*/ 614411 w 2520000"/>
              <a:gd name="connsiteY57" fmla="*/ 177808 h 2520000"/>
              <a:gd name="connsiteX58" fmla="*/ 645588 w 2520000"/>
              <a:gd name="connsiteY58" fmla="*/ 159808 h 2520000"/>
              <a:gd name="connsiteX59" fmla="*/ 1069453 w 2520000"/>
              <a:gd name="connsiteY59" fmla="*/ 893963 h 2520000"/>
              <a:gd name="connsiteX60" fmla="*/ 711187 w 2520000"/>
              <a:gd name="connsiteY60" fmla="*/ 125659 h 2520000"/>
              <a:gd name="connsiteX61" fmla="*/ 743815 w 2520000"/>
              <a:gd name="connsiteY61" fmla="*/ 110445 h 2520000"/>
              <a:gd name="connsiteX62" fmla="*/ 1102082 w 2520000"/>
              <a:gd name="connsiteY62" fmla="*/ 878751 h 2520000"/>
              <a:gd name="connsiteX63" fmla="*/ 812140 w 2520000"/>
              <a:gd name="connsiteY63" fmla="*/ 82144 h 2520000"/>
              <a:gd name="connsiteX64" fmla="*/ 845969 w 2520000"/>
              <a:gd name="connsiteY64" fmla="*/ 69831 h 2520000"/>
              <a:gd name="connsiteX65" fmla="*/ 1135910 w 2520000"/>
              <a:gd name="connsiteY65" fmla="*/ 866436 h 2520000"/>
              <a:gd name="connsiteX66" fmla="*/ 916501 w 2520000"/>
              <a:gd name="connsiteY66" fmla="*/ 47592 h 2520000"/>
              <a:gd name="connsiteX67" fmla="*/ 951275 w 2520000"/>
              <a:gd name="connsiteY67" fmla="*/ 38275 h 2520000"/>
              <a:gd name="connsiteX68" fmla="*/ 1170683 w 2520000"/>
              <a:gd name="connsiteY68" fmla="*/ 857116 h 2520000"/>
              <a:gd name="connsiteX69" fmla="*/ 1023477 w 2520000"/>
              <a:gd name="connsiteY69" fmla="*/ 22268 h 2520000"/>
              <a:gd name="connsiteX70" fmla="*/ 1058929 w 2520000"/>
              <a:gd name="connsiteY70" fmla="*/ 16017 h 2520000"/>
              <a:gd name="connsiteX71" fmla="*/ 1206138 w 2520000"/>
              <a:gd name="connsiteY71" fmla="*/ 850877 h 2520000"/>
              <a:gd name="connsiteX72" fmla="*/ 1132253 w 2520000"/>
              <a:gd name="connsiteY72" fmla="*/ 6363 h 2520000"/>
              <a:gd name="connsiteX73" fmla="*/ 1168115 w 2520000"/>
              <a:gd name="connsiteY73" fmla="*/ 3226 h 2520000"/>
              <a:gd name="connsiteX74" fmla="*/ 1242000 w 2520000"/>
              <a:gd name="connsiteY74" fmla="*/ 847735 h 2520000"/>
              <a:gd name="connsiteX75" fmla="*/ 1242000 w 2520000"/>
              <a:gd name="connsiteY75" fmla="*/ 0 h 2520000"/>
              <a:gd name="connsiteX76" fmla="*/ 1278000 w 2520000"/>
              <a:gd name="connsiteY76" fmla="*/ 0 h 2520000"/>
              <a:gd name="connsiteX77" fmla="*/ 1278000 w 2520000"/>
              <a:gd name="connsiteY77" fmla="*/ 847501 h 2520000"/>
              <a:gd name="connsiteX78" fmla="*/ 1351906 w 2520000"/>
              <a:gd name="connsiteY78" fmla="*/ 2755 h 2520000"/>
              <a:gd name="connsiteX79" fmla="*/ 1387769 w 2520000"/>
              <a:gd name="connsiteY79" fmla="*/ 5893 h 2520000"/>
              <a:gd name="connsiteX80" fmla="*/ 1313905 w 2520000"/>
              <a:gd name="connsiteY80" fmla="*/ 850161 h 2520000"/>
              <a:gd name="connsiteX81" fmla="*/ 1461153 w 2520000"/>
              <a:gd name="connsiteY81" fmla="*/ 15078 h 2520000"/>
              <a:gd name="connsiteX82" fmla="*/ 1496605 w 2520000"/>
              <a:gd name="connsiteY82" fmla="*/ 21330 h 2520000"/>
              <a:gd name="connsiteX83" fmla="*/ 1349438 w 2520000"/>
              <a:gd name="connsiteY83" fmla="*/ 855956 h 2520000"/>
              <a:gd name="connsiteX84" fmla="*/ 1568910 w 2520000"/>
              <a:gd name="connsiteY84" fmla="*/ 36877 h 2520000"/>
              <a:gd name="connsiteX85" fmla="*/ 1603684 w 2520000"/>
              <a:gd name="connsiteY85" fmla="*/ 46194 h 2520000"/>
              <a:gd name="connsiteX86" fmla="*/ 1384338 w 2520000"/>
              <a:gd name="connsiteY86" fmla="*/ 864802 h 2520000"/>
              <a:gd name="connsiteX87" fmla="*/ 1674356 w 2520000"/>
              <a:gd name="connsiteY87" fmla="*/ 67983 h 2520000"/>
              <a:gd name="connsiteX88" fmla="*/ 1708185 w 2520000"/>
              <a:gd name="connsiteY88" fmla="*/ 80296 h 2520000"/>
              <a:gd name="connsiteX89" fmla="*/ 1418322 w 2520000"/>
              <a:gd name="connsiteY89" fmla="*/ 876690 h 2520000"/>
              <a:gd name="connsiteX90" fmla="*/ 1776692 w 2520000"/>
              <a:gd name="connsiteY90" fmla="*/ 108162 h 2520000"/>
              <a:gd name="connsiteX91" fmla="*/ 1809319 w 2520000"/>
              <a:gd name="connsiteY91" fmla="*/ 123377 h 2520000"/>
              <a:gd name="connsiteX92" fmla="*/ 1451151 w 2520000"/>
              <a:gd name="connsiteY92" fmla="*/ 891470 h 2520000"/>
              <a:gd name="connsiteX93" fmla="*/ 1875135 w 2520000"/>
              <a:gd name="connsiteY93" fmla="*/ 157108 h 2520000"/>
              <a:gd name="connsiteX94" fmla="*/ 1906312 w 2520000"/>
              <a:gd name="connsiteY94" fmla="*/ 175108 h 2520000"/>
              <a:gd name="connsiteX95" fmla="*/ 1482565 w 2520000"/>
              <a:gd name="connsiteY95" fmla="*/ 909059 h 2520000"/>
              <a:gd name="connsiteX96" fmla="*/ 1968938 w 2520000"/>
              <a:gd name="connsiteY96" fmla="*/ 214447 h 2520000"/>
              <a:gd name="connsiteX97" fmla="*/ 1998427 w 2520000"/>
              <a:gd name="connsiteY97" fmla="*/ 235096 h 2520000"/>
              <a:gd name="connsiteX98" fmla="*/ 1512322 w 2520000"/>
              <a:gd name="connsiteY98" fmla="*/ 929326 h 2520000"/>
              <a:gd name="connsiteX99" fmla="*/ 2057387 w 2520000"/>
              <a:gd name="connsiteY99" fmla="*/ 279743 h 2520000"/>
              <a:gd name="connsiteX100" fmla="*/ 2084964 w 2520000"/>
              <a:gd name="connsiteY100" fmla="*/ 302883 h 2520000"/>
              <a:gd name="connsiteX101" fmla="*/ 1540200 w 2520000"/>
              <a:gd name="connsiteY101" fmla="*/ 952109 h 2520000"/>
              <a:gd name="connsiteX102" fmla="*/ 2139809 w 2520000"/>
              <a:gd name="connsiteY102" fmla="*/ 352499 h 2520000"/>
              <a:gd name="connsiteX103" fmla="*/ 2165264 w 2520000"/>
              <a:gd name="connsiteY103" fmla="*/ 377956 h 2520000"/>
              <a:gd name="connsiteX104" fmla="*/ 1514438 w 2520000"/>
              <a:gd name="connsiteY104" fmla="*/ 1028782 h 2520000"/>
              <a:gd name="connsiteX105" fmla="*/ 2219660 w 2520000"/>
              <a:gd name="connsiteY105" fmla="*/ 437030 h 2520000"/>
              <a:gd name="connsiteX106" fmla="*/ 2242800 w 2520000"/>
              <a:gd name="connsiteY106" fmla="*/ 464608 h 2520000"/>
              <a:gd name="connsiteX107" fmla="*/ 1628988 w 2520000"/>
              <a:gd name="connsiteY107" fmla="*/ 979657 h 2520000"/>
              <a:gd name="connsiteX108" fmla="*/ 2281807 w 2520000"/>
              <a:gd name="connsiteY108" fmla="*/ 522549 h 2520000"/>
              <a:gd name="connsiteX109" fmla="*/ 2302456 w 2520000"/>
              <a:gd name="connsiteY109" fmla="*/ 552038 h 2520000"/>
              <a:gd name="connsiteX110" fmla="*/ 1608033 w 2520000"/>
              <a:gd name="connsiteY110" fmla="*/ 1038278 h 2520000"/>
              <a:gd name="connsiteX111" fmla="*/ 2342192 w 2520000"/>
              <a:gd name="connsiteY111" fmla="*/ 614412 h 2520000"/>
              <a:gd name="connsiteX112" fmla="*/ 2360192 w 2520000"/>
              <a:gd name="connsiteY112" fmla="*/ 645588 h 2520000"/>
              <a:gd name="connsiteX113" fmla="*/ 1626031 w 2520000"/>
              <a:gd name="connsiteY113" fmla="*/ 1069457 h 2520000"/>
              <a:gd name="connsiteX114" fmla="*/ 2394341 w 2520000"/>
              <a:gd name="connsiteY114" fmla="*/ 711188 h 2520000"/>
              <a:gd name="connsiteX115" fmla="*/ 2409555 w 2520000"/>
              <a:gd name="connsiteY115" fmla="*/ 743814 h 2520000"/>
              <a:gd name="connsiteX116" fmla="*/ 1641245 w 2520000"/>
              <a:gd name="connsiteY116" fmla="*/ 1102083 h 2520000"/>
              <a:gd name="connsiteX117" fmla="*/ 2437856 w 2520000"/>
              <a:gd name="connsiteY117" fmla="*/ 812140 h 2520000"/>
              <a:gd name="connsiteX118" fmla="*/ 2450169 w 2520000"/>
              <a:gd name="connsiteY118" fmla="*/ 845969 h 2520000"/>
              <a:gd name="connsiteX119" fmla="*/ 1653563 w 2520000"/>
              <a:gd name="connsiteY119" fmla="*/ 1135910 h 2520000"/>
              <a:gd name="connsiteX120" fmla="*/ 2472408 w 2520000"/>
              <a:gd name="connsiteY120" fmla="*/ 916501 h 2520000"/>
              <a:gd name="connsiteX121" fmla="*/ 2481726 w 2520000"/>
              <a:gd name="connsiteY121" fmla="*/ 951274 h 2520000"/>
              <a:gd name="connsiteX122" fmla="*/ 1662878 w 2520000"/>
              <a:gd name="connsiteY122" fmla="*/ 1170685 h 2520000"/>
              <a:gd name="connsiteX123" fmla="*/ 2497732 w 2520000"/>
              <a:gd name="connsiteY123" fmla="*/ 1023477 h 2520000"/>
              <a:gd name="connsiteX124" fmla="*/ 2503984 w 2520000"/>
              <a:gd name="connsiteY124" fmla="*/ 1058930 h 2520000"/>
              <a:gd name="connsiteX125" fmla="*/ 1669132 w 2520000"/>
              <a:gd name="connsiteY125" fmla="*/ 1206137 h 2520000"/>
              <a:gd name="connsiteX126" fmla="*/ 2513637 w 2520000"/>
              <a:gd name="connsiteY126" fmla="*/ 1132252 h 2520000"/>
              <a:gd name="connsiteX127" fmla="*/ 2516774 w 2520000"/>
              <a:gd name="connsiteY127" fmla="*/ 1168115 h 2520000"/>
              <a:gd name="connsiteX128" fmla="*/ 1672268 w 2520000"/>
              <a:gd name="connsiteY128" fmla="*/ 1242000 h 2520000"/>
              <a:gd name="connsiteX129" fmla="*/ 2520000 w 2520000"/>
              <a:gd name="connsiteY129" fmla="*/ 1242000 h 2520000"/>
              <a:gd name="connsiteX130" fmla="*/ 2520000 w 2520000"/>
              <a:gd name="connsiteY130" fmla="*/ 1278000 h 2520000"/>
              <a:gd name="connsiteX131" fmla="*/ 1672267 w 2520000"/>
              <a:gd name="connsiteY131" fmla="*/ 1278000 h 2520000"/>
              <a:gd name="connsiteX132" fmla="*/ 2516774 w 2520000"/>
              <a:gd name="connsiteY132" fmla="*/ 1351885 h 2520000"/>
              <a:gd name="connsiteX133" fmla="*/ 2513637 w 2520000"/>
              <a:gd name="connsiteY133" fmla="*/ 1387748 h 2520000"/>
              <a:gd name="connsiteX134" fmla="*/ 1669126 w 2520000"/>
              <a:gd name="connsiteY134" fmla="*/ 1313862 h 2520000"/>
              <a:gd name="connsiteX135" fmla="*/ 2503983 w 2520000"/>
              <a:gd name="connsiteY135" fmla="*/ 1461070 h 2520000"/>
              <a:gd name="connsiteX136" fmla="*/ 2497733 w 2520000"/>
              <a:gd name="connsiteY136" fmla="*/ 1496523 h 2520000"/>
              <a:gd name="connsiteX137" fmla="*/ 1662877 w 2520000"/>
              <a:gd name="connsiteY137" fmla="*/ 1349315 h 2520000"/>
              <a:gd name="connsiteX138" fmla="*/ 2481725 w 2520000"/>
              <a:gd name="connsiteY138" fmla="*/ 1568725 h 2520000"/>
              <a:gd name="connsiteX139" fmla="*/ 2472408 w 2520000"/>
              <a:gd name="connsiteY139" fmla="*/ 1603498 h 2520000"/>
              <a:gd name="connsiteX140" fmla="*/ 1653557 w 2520000"/>
              <a:gd name="connsiteY140" fmla="*/ 1384088 h 2520000"/>
              <a:gd name="connsiteX141" fmla="*/ 2450169 w 2520000"/>
              <a:gd name="connsiteY141" fmla="*/ 1674031 h 2520000"/>
              <a:gd name="connsiteX142" fmla="*/ 2437857 w 2520000"/>
              <a:gd name="connsiteY142" fmla="*/ 1707860 h 2520000"/>
              <a:gd name="connsiteX143" fmla="*/ 1641251 w 2520000"/>
              <a:gd name="connsiteY143" fmla="*/ 1417919 h 2520000"/>
              <a:gd name="connsiteX144" fmla="*/ 2409555 w 2520000"/>
              <a:gd name="connsiteY144" fmla="*/ 1776185 h 2520000"/>
              <a:gd name="connsiteX145" fmla="*/ 2394340 w 2520000"/>
              <a:gd name="connsiteY145" fmla="*/ 1808813 h 2520000"/>
              <a:gd name="connsiteX146" fmla="*/ 1626043 w 2520000"/>
              <a:gd name="connsiteY146" fmla="*/ 1450550 h 2520000"/>
              <a:gd name="connsiteX147" fmla="*/ 2360192 w 2520000"/>
              <a:gd name="connsiteY147" fmla="*/ 1874411 h 2520000"/>
              <a:gd name="connsiteX148" fmla="*/ 2342192 w 2520000"/>
              <a:gd name="connsiteY148" fmla="*/ 1905588 h 2520000"/>
              <a:gd name="connsiteX149" fmla="*/ 1608038 w 2520000"/>
              <a:gd name="connsiteY149" fmla="*/ 1481725 h 2520000"/>
              <a:gd name="connsiteX150" fmla="*/ 2302456 w 2520000"/>
              <a:gd name="connsiteY150" fmla="*/ 1967961 h 2520000"/>
              <a:gd name="connsiteX151" fmla="*/ 2281807 w 2520000"/>
              <a:gd name="connsiteY151" fmla="*/ 1997451 h 2520000"/>
              <a:gd name="connsiteX152" fmla="*/ 1587388 w 2520000"/>
              <a:gd name="connsiteY152" fmla="*/ 1511214 h 2520000"/>
              <a:gd name="connsiteX153" fmla="*/ 2236786 w 2520000"/>
              <a:gd name="connsiteY153" fmla="*/ 2056124 h 2520000"/>
              <a:gd name="connsiteX154" fmla="*/ 2213646 w 2520000"/>
              <a:gd name="connsiteY154" fmla="*/ 2083701 h 2520000"/>
              <a:gd name="connsiteX155" fmla="*/ 1564245 w 2520000"/>
              <a:gd name="connsiteY155" fmla="*/ 1538789 h 2520000"/>
              <a:gd name="connsiteX156" fmla="*/ 2163683 w 2520000"/>
              <a:gd name="connsiteY156" fmla="*/ 2138227 h 2520000"/>
              <a:gd name="connsiteX157" fmla="*/ 2138227 w 2520000"/>
              <a:gd name="connsiteY157" fmla="*/ 2163682 h 2520000"/>
              <a:gd name="connsiteX158" fmla="*/ 1538789 w 2520000"/>
              <a:gd name="connsiteY158" fmla="*/ 1564244 h 2520000"/>
              <a:gd name="connsiteX159" fmla="*/ 2083701 w 2520000"/>
              <a:gd name="connsiteY159" fmla="*/ 2213646 h 2520000"/>
              <a:gd name="connsiteX160" fmla="*/ 2056124 w 2520000"/>
              <a:gd name="connsiteY160" fmla="*/ 2236786 h 2520000"/>
              <a:gd name="connsiteX161" fmla="*/ 1511211 w 2520000"/>
              <a:gd name="connsiteY161" fmla="*/ 1587385 h 2520000"/>
              <a:gd name="connsiteX162" fmla="*/ 1997451 w 2520000"/>
              <a:gd name="connsiteY162" fmla="*/ 2281807 h 2520000"/>
              <a:gd name="connsiteX163" fmla="*/ 1967961 w 2520000"/>
              <a:gd name="connsiteY163" fmla="*/ 2302456 h 2520000"/>
              <a:gd name="connsiteX164" fmla="*/ 1481723 w 2520000"/>
              <a:gd name="connsiteY164" fmla="*/ 1608035 h 2520000"/>
              <a:gd name="connsiteX165" fmla="*/ 1905589 w 2520000"/>
              <a:gd name="connsiteY165" fmla="*/ 2342192 h 2520000"/>
              <a:gd name="connsiteX166" fmla="*/ 1874412 w 2520000"/>
              <a:gd name="connsiteY166" fmla="*/ 2360192 h 2520000"/>
              <a:gd name="connsiteX167" fmla="*/ 1450548 w 2520000"/>
              <a:gd name="connsiteY167" fmla="*/ 1626039 h 2520000"/>
              <a:gd name="connsiteX168" fmla="*/ 1808813 w 2520000"/>
              <a:gd name="connsiteY168" fmla="*/ 2394341 h 2520000"/>
              <a:gd name="connsiteX169" fmla="*/ 1776185 w 2520000"/>
              <a:gd name="connsiteY169" fmla="*/ 2409555 h 2520000"/>
              <a:gd name="connsiteX170" fmla="*/ 1417919 w 2520000"/>
              <a:gd name="connsiteY170" fmla="*/ 1641250 h 2520000"/>
              <a:gd name="connsiteX171" fmla="*/ 1707860 w 2520000"/>
              <a:gd name="connsiteY171" fmla="*/ 2437856 h 2520000"/>
              <a:gd name="connsiteX172" fmla="*/ 1674031 w 2520000"/>
              <a:gd name="connsiteY172" fmla="*/ 2450169 h 2520000"/>
              <a:gd name="connsiteX173" fmla="*/ 1384091 w 2520000"/>
              <a:gd name="connsiteY173" fmla="*/ 1653568 h 2520000"/>
              <a:gd name="connsiteX174" fmla="*/ 1603499 w 2520000"/>
              <a:gd name="connsiteY174" fmla="*/ 2472408 h 2520000"/>
              <a:gd name="connsiteX175" fmla="*/ 1568725 w 2520000"/>
              <a:gd name="connsiteY175" fmla="*/ 2481726 h 2520000"/>
              <a:gd name="connsiteX176" fmla="*/ 1349315 w 2520000"/>
              <a:gd name="connsiteY176" fmla="*/ 1662879 h 2520000"/>
              <a:gd name="connsiteX177" fmla="*/ 1496523 w 2520000"/>
              <a:gd name="connsiteY177" fmla="*/ 2497732 h 2520000"/>
              <a:gd name="connsiteX178" fmla="*/ 1461070 w 2520000"/>
              <a:gd name="connsiteY178" fmla="*/ 2503984 h 2520000"/>
              <a:gd name="connsiteX179" fmla="*/ 1313863 w 2520000"/>
              <a:gd name="connsiteY179" fmla="*/ 1669130 h 2520000"/>
              <a:gd name="connsiteX180" fmla="*/ 1387748 w 2520000"/>
              <a:gd name="connsiteY180" fmla="*/ 2513637 h 2520000"/>
              <a:gd name="connsiteX181" fmla="*/ 1351885 w 2520000"/>
              <a:gd name="connsiteY181" fmla="*/ 2516774 h 2520000"/>
              <a:gd name="connsiteX182" fmla="*/ 1278000 w 2520000"/>
              <a:gd name="connsiteY182" fmla="*/ 1672266 h 2520000"/>
              <a:gd name="connsiteX183" fmla="*/ 1278000 w 2520000"/>
              <a:gd name="connsiteY183" fmla="*/ 2520000 h 2520000"/>
              <a:gd name="connsiteX184" fmla="*/ 1242000 w 2520000"/>
              <a:gd name="connsiteY184" fmla="*/ 2520000 h 2520000"/>
              <a:gd name="connsiteX185" fmla="*/ 1242002 w 2520000"/>
              <a:gd name="connsiteY185" fmla="*/ 1672022 h 2520000"/>
              <a:gd name="connsiteX186" fmla="*/ 1168137 w 2520000"/>
              <a:gd name="connsiteY186" fmla="*/ 2516303 h 2520000"/>
              <a:gd name="connsiteX187" fmla="*/ 1132273 w 2520000"/>
              <a:gd name="connsiteY187" fmla="*/ 2513166 h 2520000"/>
              <a:gd name="connsiteX188" fmla="*/ 1206179 w 2520000"/>
              <a:gd name="connsiteY188" fmla="*/ 1668416 h 2520000"/>
              <a:gd name="connsiteX189" fmla="*/ 1059012 w 2520000"/>
              <a:gd name="connsiteY189" fmla="*/ 2503045 h 2520000"/>
              <a:gd name="connsiteX190" fmla="*/ 1023559 w 2520000"/>
              <a:gd name="connsiteY190" fmla="*/ 2496794 h 2520000"/>
              <a:gd name="connsiteX191" fmla="*/ 1170806 w 2520000"/>
              <a:gd name="connsiteY191" fmla="*/ 1661718 h 2520000"/>
              <a:gd name="connsiteX192" fmla="*/ 951460 w 2520000"/>
              <a:gd name="connsiteY192" fmla="*/ 2480327 h 2520000"/>
              <a:gd name="connsiteX193" fmla="*/ 916686 w 2520000"/>
              <a:gd name="connsiteY193" fmla="*/ 2471010 h 2520000"/>
              <a:gd name="connsiteX194" fmla="*/ 1136159 w 2520000"/>
              <a:gd name="connsiteY194" fmla="*/ 1651925 h 2520000"/>
              <a:gd name="connsiteX195" fmla="*/ 846295 w 2520000"/>
              <a:gd name="connsiteY195" fmla="*/ 2448322 h 2520000"/>
              <a:gd name="connsiteX196" fmla="*/ 812466 w 2520000"/>
              <a:gd name="connsiteY196" fmla="*/ 2436009 h 2520000"/>
              <a:gd name="connsiteX197" fmla="*/ 1102487 w 2520000"/>
              <a:gd name="connsiteY197" fmla="*/ 1639184 h 2520000"/>
              <a:gd name="connsiteX198" fmla="*/ 744321 w 2520000"/>
              <a:gd name="connsiteY198" fmla="*/ 2407272 h 2520000"/>
              <a:gd name="connsiteX199" fmla="*/ 711694 w 2520000"/>
              <a:gd name="connsiteY199" fmla="*/ 2392058 h 2520000"/>
              <a:gd name="connsiteX200" fmla="*/ 1070059 w 2520000"/>
              <a:gd name="connsiteY200" fmla="*/ 1623541 h 2520000"/>
              <a:gd name="connsiteX201" fmla="*/ 646312 w 2520000"/>
              <a:gd name="connsiteY201" fmla="*/ 2357492 h 2520000"/>
              <a:gd name="connsiteX202" fmla="*/ 615135 w 2520000"/>
              <a:gd name="connsiteY202" fmla="*/ 2339492 h 2520000"/>
              <a:gd name="connsiteX203" fmla="*/ 1039124 w 2520000"/>
              <a:gd name="connsiteY203" fmla="*/ 1605123 h 2520000"/>
              <a:gd name="connsiteX204" fmla="*/ 553015 w 2520000"/>
              <a:gd name="connsiteY204" fmla="*/ 2299359 h 2520000"/>
              <a:gd name="connsiteX205" fmla="*/ 523525 w 2520000"/>
              <a:gd name="connsiteY205" fmla="*/ 2278710 h 2520000"/>
              <a:gd name="connsiteX206" fmla="*/ 1009901 w 2520000"/>
              <a:gd name="connsiteY206" fmla="*/ 1584093 h 2520000"/>
              <a:gd name="connsiteX207" fmla="*/ 465140 w 2520000"/>
              <a:gd name="connsiteY207" fmla="*/ 2233315 h 2520000"/>
              <a:gd name="connsiteX208" fmla="*/ 437562 w 2520000"/>
              <a:gd name="connsiteY208" fmla="*/ 2210175 h 2520000"/>
              <a:gd name="connsiteX209" fmla="*/ 982624 w 2520000"/>
              <a:gd name="connsiteY209" fmla="*/ 1560596 h 2520000"/>
              <a:gd name="connsiteX210" fmla="*/ 383355 w 2520000"/>
              <a:gd name="connsiteY210" fmla="*/ 2159864 h 2520000"/>
              <a:gd name="connsiteX211" fmla="*/ 357899 w 2520000"/>
              <a:gd name="connsiteY211" fmla="*/ 2134408 h 2520000"/>
              <a:gd name="connsiteX212" fmla="*/ 905948 w 2520000"/>
              <a:gd name="connsiteY212" fmla="*/ 1586360 h 2520000"/>
              <a:gd name="connsiteX213" fmla="*/ 312368 w 2520000"/>
              <a:gd name="connsiteY213" fmla="*/ 2084433 h 2520000"/>
              <a:gd name="connsiteX214" fmla="*/ 289228 w 2520000"/>
              <a:gd name="connsiteY214" fmla="*/ 2056855 h 2520000"/>
              <a:gd name="connsiteX215" fmla="*/ 974211 w 2520000"/>
              <a:gd name="connsiteY215" fmla="*/ 1482086 h 252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  <a:cxn ang="0">
                <a:pos x="connsiteX156" y="connsiteY156"/>
              </a:cxn>
              <a:cxn ang="0">
                <a:pos x="connsiteX157" y="connsiteY157"/>
              </a:cxn>
              <a:cxn ang="0">
                <a:pos x="connsiteX158" y="connsiteY158"/>
              </a:cxn>
              <a:cxn ang="0">
                <a:pos x="connsiteX159" y="connsiteY159"/>
              </a:cxn>
              <a:cxn ang="0">
                <a:pos x="connsiteX160" y="connsiteY160"/>
              </a:cxn>
              <a:cxn ang="0">
                <a:pos x="connsiteX161" y="connsiteY161"/>
              </a:cxn>
              <a:cxn ang="0">
                <a:pos x="connsiteX162" y="connsiteY162"/>
              </a:cxn>
              <a:cxn ang="0">
                <a:pos x="connsiteX163" y="connsiteY163"/>
              </a:cxn>
              <a:cxn ang="0">
                <a:pos x="connsiteX164" y="connsiteY164"/>
              </a:cxn>
              <a:cxn ang="0">
                <a:pos x="connsiteX165" y="connsiteY165"/>
              </a:cxn>
              <a:cxn ang="0">
                <a:pos x="connsiteX166" y="connsiteY166"/>
              </a:cxn>
              <a:cxn ang="0">
                <a:pos x="connsiteX167" y="connsiteY167"/>
              </a:cxn>
              <a:cxn ang="0">
                <a:pos x="connsiteX168" y="connsiteY168"/>
              </a:cxn>
              <a:cxn ang="0">
                <a:pos x="connsiteX169" y="connsiteY169"/>
              </a:cxn>
              <a:cxn ang="0">
                <a:pos x="connsiteX170" y="connsiteY170"/>
              </a:cxn>
              <a:cxn ang="0">
                <a:pos x="connsiteX171" y="connsiteY171"/>
              </a:cxn>
              <a:cxn ang="0">
                <a:pos x="connsiteX172" y="connsiteY172"/>
              </a:cxn>
              <a:cxn ang="0">
                <a:pos x="connsiteX173" y="connsiteY173"/>
              </a:cxn>
              <a:cxn ang="0">
                <a:pos x="connsiteX174" y="connsiteY174"/>
              </a:cxn>
              <a:cxn ang="0">
                <a:pos x="connsiteX175" y="connsiteY175"/>
              </a:cxn>
              <a:cxn ang="0">
                <a:pos x="connsiteX176" y="connsiteY176"/>
              </a:cxn>
              <a:cxn ang="0">
                <a:pos x="connsiteX177" y="connsiteY177"/>
              </a:cxn>
              <a:cxn ang="0">
                <a:pos x="connsiteX178" y="connsiteY178"/>
              </a:cxn>
              <a:cxn ang="0">
                <a:pos x="connsiteX179" y="connsiteY179"/>
              </a:cxn>
              <a:cxn ang="0">
                <a:pos x="connsiteX180" y="connsiteY180"/>
              </a:cxn>
              <a:cxn ang="0">
                <a:pos x="connsiteX181" y="connsiteY181"/>
              </a:cxn>
              <a:cxn ang="0">
                <a:pos x="connsiteX182" y="connsiteY182"/>
              </a:cxn>
              <a:cxn ang="0">
                <a:pos x="connsiteX183" y="connsiteY183"/>
              </a:cxn>
              <a:cxn ang="0">
                <a:pos x="connsiteX184" y="connsiteY184"/>
              </a:cxn>
              <a:cxn ang="0">
                <a:pos x="connsiteX185" y="connsiteY185"/>
              </a:cxn>
              <a:cxn ang="0">
                <a:pos x="connsiteX186" y="connsiteY186"/>
              </a:cxn>
              <a:cxn ang="0">
                <a:pos x="connsiteX187" y="connsiteY187"/>
              </a:cxn>
              <a:cxn ang="0">
                <a:pos x="connsiteX188" y="connsiteY188"/>
              </a:cxn>
              <a:cxn ang="0">
                <a:pos x="connsiteX189" y="connsiteY189"/>
              </a:cxn>
              <a:cxn ang="0">
                <a:pos x="connsiteX190" y="connsiteY190"/>
              </a:cxn>
              <a:cxn ang="0">
                <a:pos x="connsiteX191" y="connsiteY191"/>
              </a:cxn>
              <a:cxn ang="0">
                <a:pos x="connsiteX192" y="connsiteY192"/>
              </a:cxn>
              <a:cxn ang="0">
                <a:pos x="connsiteX193" y="connsiteY193"/>
              </a:cxn>
              <a:cxn ang="0">
                <a:pos x="connsiteX194" y="connsiteY194"/>
              </a:cxn>
              <a:cxn ang="0">
                <a:pos x="connsiteX195" y="connsiteY195"/>
              </a:cxn>
              <a:cxn ang="0">
                <a:pos x="connsiteX196" y="connsiteY196"/>
              </a:cxn>
              <a:cxn ang="0">
                <a:pos x="connsiteX197" y="connsiteY197"/>
              </a:cxn>
              <a:cxn ang="0">
                <a:pos x="connsiteX198" y="connsiteY198"/>
              </a:cxn>
              <a:cxn ang="0">
                <a:pos x="connsiteX199" y="connsiteY199"/>
              </a:cxn>
              <a:cxn ang="0">
                <a:pos x="connsiteX200" y="connsiteY200"/>
              </a:cxn>
              <a:cxn ang="0">
                <a:pos x="connsiteX201" y="connsiteY201"/>
              </a:cxn>
              <a:cxn ang="0">
                <a:pos x="connsiteX202" y="connsiteY202"/>
              </a:cxn>
              <a:cxn ang="0">
                <a:pos x="connsiteX203" y="connsiteY203"/>
              </a:cxn>
              <a:cxn ang="0">
                <a:pos x="connsiteX204" y="connsiteY204"/>
              </a:cxn>
              <a:cxn ang="0">
                <a:pos x="connsiteX205" y="connsiteY205"/>
              </a:cxn>
              <a:cxn ang="0">
                <a:pos x="connsiteX206" y="connsiteY206"/>
              </a:cxn>
              <a:cxn ang="0">
                <a:pos x="connsiteX207" y="connsiteY207"/>
              </a:cxn>
              <a:cxn ang="0">
                <a:pos x="connsiteX208" y="connsiteY208"/>
              </a:cxn>
              <a:cxn ang="0">
                <a:pos x="connsiteX209" y="connsiteY209"/>
              </a:cxn>
              <a:cxn ang="0">
                <a:pos x="connsiteX210" y="connsiteY210"/>
              </a:cxn>
              <a:cxn ang="0">
                <a:pos x="connsiteX211" y="connsiteY211"/>
              </a:cxn>
              <a:cxn ang="0">
                <a:pos x="connsiteX212" y="connsiteY212"/>
              </a:cxn>
              <a:cxn ang="0">
                <a:pos x="connsiteX213" y="connsiteY213"/>
              </a:cxn>
              <a:cxn ang="0">
                <a:pos x="connsiteX214" y="connsiteY214"/>
              </a:cxn>
              <a:cxn ang="0">
                <a:pos x="connsiteX215" y="connsiteY215"/>
              </a:cxn>
            </a:cxnLst>
            <a:rect l="l" t="t" r="r" b="b"/>
            <a:pathLst>
              <a:path w="2520000" h="2520000">
                <a:moveTo>
                  <a:pt x="238193" y="1997451"/>
                </a:moveTo>
                <a:lnTo>
                  <a:pt x="217544" y="1967962"/>
                </a:lnTo>
                <a:lnTo>
                  <a:pt x="911968" y="1481721"/>
                </a:lnTo>
                <a:lnTo>
                  <a:pt x="177808" y="1905589"/>
                </a:lnTo>
                <a:lnTo>
                  <a:pt x="159808" y="1874412"/>
                </a:lnTo>
                <a:lnTo>
                  <a:pt x="893967" y="1450545"/>
                </a:lnTo>
                <a:lnTo>
                  <a:pt x="125659" y="1808813"/>
                </a:lnTo>
                <a:lnTo>
                  <a:pt x="110445" y="1776186"/>
                </a:lnTo>
                <a:lnTo>
                  <a:pt x="878754" y="1417918"/>
                </a:lnTo>
                <a:lnTo>
                  <a:pt x="82144" y="1707860"/>
                </a:lnTo>
                <a:lnTo>
                  <a:pt x="69831" y="1674031"/>
                </a:lnTo>
                <a:lnTo>
                  <a:pt x="866437" y="1384090"/>
                </a:lnTo>
                <a:lnTo>
                  <a:pt x="47592" y="1603499"/>
                </a:lnTo>
                <a:lnTo>
                  <a:pt x="38275" y="1568725"/>
                </a:lnTo>
                <a:lnTo>
                  <a:pt x="857121" y="1349316"/>
                </a:lnTo>
                <a:lnTo>
                  <a:pt x="22268" y="1496523"/>
                </a:lnTo>
                <a:lnTo>
                  <a:pt x="16016" y="1461070"/>
                </a:lnTo>
                <a:lnTo>
                  <a:pt x="850870" y="1313863"/>
                </a:lnTo>
                <a:lnTo>
                  <a:pt x="6363" y="1387748"/>
                </a:lnTo>
                <a:lnTo>
                  <a:pt x="3226" y="1351885"/>
                </a:lnTo>
                <a:lnTo>
                  <a:pt x="847731" y="1278000"/>
                </a:lnTo>
                <a:lnTo>
                  <a:pt x="0" y="1278000"/>
                </a:lnTo>
                <a:lnTo>
                  <a:pt x="0" y="1242000"/>
                </a:lnTo>
                <a:lnTo>
                  <a:pt x="847733" y="1242001"/>
                </a:lnTo>
                <a:lnTo>
                  <a:pt x="3226" y="1168115"/>
                </a:lnTo>
                <a:lnTo>
                  <a:pt x="6363" y="1132252"/>
                </a:lnTo>
                <a:lnTo>
                  <a:pt x="850874" y="1206137"/>
                </a:lnTo>
                <a:lnTo>
                  <a:pt x="16017" y="1058930"/>
                </a:lnTo>
                <a:lnTo>
                  <a:pt x="22268" y="1023477"/>
                </a:lnTo>
                <a:lnTo>
                  <a:pt x="857120" y="1170684"/>
                </a:lnTo>
                <a:lnTo>
                  <a:pt x="38275" y="951275"/>
                </a:lnTo>
                <a:lnTo>
                  <a:pt x="47592" y="916501"/>
                </a:lnTo>
                <a:lnTo>
                  <a:pt x="866441" y="1135911"/>
                </a:lnTo>
                <a:lnTo>
                  <a:pt x="69831" y="845969"/>
                </a:lnTo>
                <a:lnTo>
                  <a:pt x="82144" y="812140"/>
                </a:lnTo>
                <a:lnTo>
                  <a:pt x="878751" y="1102082"/>
                </a:lnTo>
                <a:lnTo>
                  <a:pt x="110445" y="743815"/>
                </a:lnTo>
                <a:lnTo>
                  <a:pt x="125660" y="711187"/>
                </a:lnTo>
                <a:lnTo>
                  <a:pt x="893964" y="1069453"/>
                </a:lnTo>
                <a:lnTo>
                  <a:pt x="159808" y="645588"/>
                </a:lnTo>
                <a:lnTo>
                  <a:pt x="177808" y="614412"/>
                </a:lnTo>
                <a:lnTo>
                  <a:pt x="911961" y="1038275"/>
                </a:lnTo>
                <a:lnTo>
                  <a:pt x="217544" y="552039"/>
                </a:lnTo>
                <a:lnTo>
                  <a:pt x="238193" y="522549"/>
                </a:lnTo>
                <a:lnTo>
                  <a:pt x="932610" y="1008785"/>
                </a:lnTo>
                <a:lnTo>
                  <a:pt x="283214" y="463876"/>
                </a:lnTo>
                <a:lnTo>
                  <a:pt x="306354" y="436299"/>
                </a:lnTo>
                <a:lnTo>
                  <a:pt x="955755" y="981211"/>
                </a:lnTo>
                <a:lnTo>
                  <a:pt x="356317" y="381774"/>
                </a:lnTo>
                <a:lnTo>
                  <a:pt x="381773" y="356318"/>
                </a:lnTo>
                <a:lnTo>
                  <a:pt x="981211" y="955756"/>
                </a:lnTo>
                <a:lnTo>
                  <a:pt x="436299" y="306354"/>
                </a:lnTo>
                <a:lnTo>
                  <a:pt x="463876" y="283214"/>
                </a:lnTo>
                <a:lnTo>
                  <a:pt x="1008789" y="932616"/>
                </a:lnTo>
                <a:lnTo>
                  <a:pt x="522549" y="238193"/>
                </a:lnTo>
                <a:lnTo>
                  <a:pt x="552039" y="217544"/>
                </a:lnTo>
                <a:lnTo>
                  <a:pt x="1038278" y="911967"/>
                </a:lnTo>
                <a:lnTo>
                  <a:pt x="614411" y="177808"/>
                </a:lnTo>
                <a:lnTo>
                  <a:pt x="645588" y="159808"/>
                </a:lnTo>
                <a:lnTo>
                  <a:pt x="1069453" y="893963"/>
                </a:lnTo>
                <a:lnTo>
                  <a:pt x="711187" y="125659"/>
                </a:lnTo>
                <a:lnTo>
                  <a:pt x="743815" y="110445"/>
                </a:lnTo>
                <a:lnTo>
                  <a:pt x="1102082" y="878751"/>
                </a:lnTo>
                <a:lnTo>
                  <a:pt x="812140" y="82144"/>
                </a:lnTo>
                <a:lnTo>
                  <a:pt x="845969" y="69831"/>
                </a:lnTo>
                <a:lnTo>
                  <a:pt x="1135910" y="866436"/>
                </a:lnTo>
                <a:lnTo>
                  <a:pt x="916501" y="47592"/>
                </a:lnTo>
                <a:lnTo>
                  <a:pt x="951275" y="38275"/>
                </a:lnTo>
                <a:lnTo>
                  <a:pt x="1170683" y="857116"/>
                </a:lnTo>
                <a:lnTo>
                  <a:pt x="1023477" y="22268"/>
                </a:lnTo>
                <a:lnTo>
                  <a:pt x="1058929" y="16017"/>
                </a:lnTo>
                <a:lnTo>
                  <a:pt x="1206138" y="850877"/>
                </a:lnTo>
                <a:lnTo>
                  <a:pt x="1132253" y="6363"/>
                </a:lnTo>
                <a:lnTo>
                  <a:pt x="1168115" y="3226"/>
                </a:lnTo>
                <a:lnTo>
                  <a:pt x="1242000" y="847735"/>
                </a:lnTo>
                <a:lnTo>
                  <a:pt x="1242000" y="0"/>
                </a:lnTo>
                <a:lnTo>
                  <a:pt x="1278000" y="0"/>
                </a:lnTo>
                <a:lnTo>
                  <a:pt x="1278000" y="847501"/>
                </a:lnTo>
                <a:lnTo>
                  <a:pt x="1351906" y="2755"/>
                </a:lnTo>
                <a:lnTo>
                  <a:pt x="1387769" y="5893"/>
                </a:lnTo>
                <a:lnTo>
                  <a:pt x="1313905" y="850161"/>
                </a:lnTo>
                <a:lnTo>
                  <a:pt x="1461153" y="15078"/>
                </a:lnTo>
                <a:lnTo>
                  <a:pt x="1496605" y="21330"/>
                </a:lnTo>
                <a:lnTo>
                  <a:pt x="1349438" y="855956"/>
                </a:lnTo>
                <a:lnTo>
                  <a:pt x="1568910" y="36877"/>
                </a:lnTo>
                <a:lnTo>
                  <a:pt x="1603684" y="46194"/>
                </a:lnTo>
                <a:lnTo>
                  <a:pt x="1384338" y="864802"/>
                </a:lnTo>
                <a:lnTo>
                  <a:pt x="1674356" y="67983"/>
                </a:lnTo>
                <a:lnTo>
                  <a:pt x="1708185" y="80296"/>
                </a:lnTo>
                <a:lnTo>
                  <a:pt x="1418322" y="876690"/>
                </a:lnTo>
                <a:lnTo>
                  <a:pt x="1776692" y="108162"/>
                </a:lnTo>
                <a:lnTo>
                  <a:pt x="1809319" y="123377"/>
                </a:lnTo>
                <a:lnTo>
                  <a:pt x="1451151" y="891470"/>
                </a:lnTo>
                <a:lnTo>
                  <a:pt x="1875135" y="157108"/>
                </a:lnTo>
                <a:lnTo>
                  <a:pt x="1906312" y="175108"/>
                </a:lnTo>
                <a:lnTo>
                  <a:pt x="1482565" y="909059"/>
                </a:lnTo>
                <a:lnTo>
                  <a:pt x="1968938" y="214447"/>
                </a:lnTo>
                <a:lnTo>
                  <a:pt x="1998427" y="235096"/>
                </a:lnTo>
                <a:lnTo>
                  <a:pt x="1512322" y="929326"/>
                </a:lnTo>
                <a:lnTo>
                  <a:pt x="2057387" y="279743"/>
                </a:lnTo>
                <a:lnTo>
                  <a:pt x="2084964" y="302883"/>
                </a:lnTo>
                <a:lnTo>
                  <a:pt x="1540200" y="952109"/>
                </a:lnTo>
                <a:lnTo>
                  <a:pt x="2139809" y="352499"/>
                </a:lnTo>
                <a:lnTo>
                  <a:pt x="2165264" y="377956"/>
                </a:lnTo>
                <a:lnTo>
                  <a:pt x="1514438" y="1028782"/>
                </a:lnTo>
                <a:lnTo>
                  <a:pt x="2219660" y="437030"/>
                </a:lnTo>
                <a:lnTo>
                  <a:pt x="2242800" y="464608"/>
                </a:lnTo>
                <a:lnTo>
                  <a:pt x="1628988" y="979657"/>
                </a:lnTo>
                <a:lnTo>
                  <a:pt x="2281807" y="522549"/>
                </a:lnTo>
                <a:lnTo>
                  <a:pt x="2302456" y="552038"/>
                </a:lnTo>
                <a:lnTo>
                  <a:pt x="1608033" y="1038278"/>
                </a:lnTo>
                <a:lnTo>
                  <a:pt x="2342192" y="614412"/>
                </a:lnTo>
                <a:lnTo>
                  <a:pt x="2360192" y="645588"/>
                </a:lnTo>
                <a:lnTo>
                  <a:pt x="1626031" y="1069457"/>
                </a:lnTo>
                <a:lnTo>
                  <a:pt x="2394341" y="711188"/>
                </a:lnTo>
                <a:lnTo>
                  <a:pt x="2409555" y="743814"/>
                </a:lnTo>
                <a:lnTo>
                  <a:pt x="1641245" y="1102083"/>
                </a:lnTo>
                <a:lnTo>
                  <a:pt x="2437856" y="812140"/>
                </a:lnTo>
                <a:lnTo>
                  <a:pt x="2450169" y="845969"/>
                </a:lnTo>
                <a:lnTo>
                  <a:pt x="1653563" y="1135910"/>
                </a:lnTo>
                <a:lnTo>
                  <a:pt x="2472408" y="916501"/>
                </a:lnTo>
                <a:lnTo>
                  <a:pt x="2481726" y="951274"/>
                </a:lnTo>
                <a:lnTo>
                  <a:pt x="1662878" y="1170685"/>
                </a:lnTo>
                <a:lnTo>
                  <a:pt x="2497732" y="1023477"/>
                </a:lnTo>
                <a:lnTo>
                  <a:pt x="2503984" y="1058930"/>
                </a:lnTo>
                <a:lnTo>
                  <a:pt x="1669132" y="1206137"/>
                </a:lnTo>
                <a:lnTo>
                  <a:pt x="2513637" y="1132252"/>
                </a:lnTo>
                <a:lnTo>
                  <a:pt x="2516774" y="1168115"/>
                </a:lnTo>
                <a:lnTo>
                  <a:pt x="1672268" y="1242000"/>
                </a:lnTo>
                <a:lnTo>
                  <a:pt x="2520000" y="1242000"/>
                </a:lnTo>
                <a:lnTo>
                  <a:pt x="2520000" y="1278000"/>
                </a:lnTo>
                <a:lnTo>
                  <a:pt x="1672267" y="1278000"/>
                </a:lnTo>
                <a:lnTo>
                  <a:pt x="2516774" y="1351885"/>
                </a:lnTo>
                <a:lnTo>
                  <a:pt x="2513637" y="1387748"/>
                </a:lnTo>
                <a:lnTo>
                  <a:pt x="1669126" y="1313862"/>
                </a:lnTo>
                <a:lnTo>
                  <a:pt x="2503983" y="1461070"/>
                </a:lnTo>
                <a:lnTo>
                  <a:pt x="2497733" y="1496523"/>
                </a:lnTo>
                <a:lnTo>
                  <a:pt x="1662877" y="1349315"/>
                </a:lnTo>
                <a:lnTo>
                  <a:pt x="2481725" y="1568725"/>
                </a:lnTo>
                <a:lnTo>
                  <a:pt x="2472408" y="1603498"/>
                </a:lnTo>
                <a:lnTo>
                  <a:pt x="1653557" y="1384088"/>
                </a:lnTo>
                <a:lnTo>
                  <a:pt x="2450169" y="1674031"/>
                </a:lnTo>
                <a:lnTo>
                  <a:pt x="2437857" y="1707860"/>
                </a:lnTo>
                <a:lnTo>
                  <a:pt x="1641251" y="1417919"/>
                </a:lnTo>
                <a:lnTo>
                  <a:pt x="2409555" y="1776185"/>
                </a:lnTo>
                <a:lnTo>
                  <a:pt x="2394340" y="1808813"/>
                </a:lnTo>
                <a:lnTo>
                  <a:pt x="1626043" y="1450550"/>
                </a:lnTo>
                <a:lnTo>
                  <a:pt x="2360192" y="1874411"/>
                </a:lnTo>
                <a:lnTo>
                  <a:pt x="2342192" y="1905588"/>
                </a:lnTo>
                <a:lnTo>
                  <a:pt x="1608038" y="1481725"/>
                </a:lnTo>
                <a:lnTo>
                  <a:pt x="2302456" y="1967961"/>
                </a:lnTo>
                <a:lnTo>
                  <a:pt x="2281807" y="1997451"/>
                </a:lnTo>
                <a:lnTo>
                  <a:pt x="1587388" y="1511214"/>
                </a:lnTo>
                <a:lnTo>
                  <a:pt x="2236786" y="2056124"/>
                </a:lnTo>
                <a:lnTo>
                  <a:pt x="2213646" y="2083701"/>
                </a:lnTo>
                <a:lnTo>
                  <a:pt x="1564245" y="1538789"/>
                </a:lnTo>
                <a:lnTo>
                  <a:pt x="2163683" y="2138227"/>
                </a:lnTo>
                <a:lnTo>
                  <a:pt x="2138227" y="2163682"/>
                </a:lnTo>
                <a:lnTo>
                  <a:pt x="1538789" y="1564244"/>
                </a:lnTo>
                <a:lnTo>
                  <a:pt x="2083701" y="2213646"/>
                </a:lnTo>
                <a:lnTo>
                  <a:pt x="2056124" y="2236786"/>
                </a:lnTo>
                <a:lnTo>
                  <a:pt x="1511211" y="1587385"/>
                </a:lnTo>
                <a:lnTo>
                  <a:pt x="1997451" y="2281807"/>
                </a:lnTo>
                <a:lnTo>
                  <a:pt x="1967961" y="2302456"/>
                </a:lnTo>
                <a:lnTo>
                  <a:pt x="1481723" y="1608035"/>
                </a:lnTo>
                <a:lnTo>
                  <a:pt x="1905589" y="2342192"/>
                </a:lnTo>
                <a:lnTo>
                  <a:pt x="1874412" y="2360192"/>
                </a:lnTo>
                <a:lnTo>
                  <a:pt x="1450548" y="1626039"/>
                </a:lnTo>
                <a:lnTo>
                  <a:pt x="1808813" y="2394341"/>
                </a:lnTo>
                <a:lnTo>
                  <a:pt x="1776185" y="2409555"/>
                </a:lnTo>
                <a:lnTo>
                  <a:pt x="1417919" y="1641250"/>
                </a:lnTo>
                <a:lnTo>
                  <a:pt x="1707860" y="2437856"/>
                </a:lnTo>
                <a:lnTo>
                  <a:pt x="1674031" y="2450169"/>
                </a:lnTo>
                <a:lnTo>
                  <a:pt x="1384091" y="1653568"/>
                </a:lnTo>
                <a:lnTo>
                  <a:pt x="1603499" y="2472408"/>
                </a:lnTo>
                <a:lnTo>
                  <a:pt x="1568725" y="2481726"/>
                </a:lnTo>
                <a:lnTo>
                  <a:pt x="1349315" y="1662879"/>
                </a:lnTo>
                <a:lnTo>
                  <a:pt x="1496523" y="2497732"/>
                </a:lnTo>
                <a:lnTo>
                  <a:pt x="1461070" y="2503984"/>
                </a:lnTo>
                <a:lnTo>
                  <a:pt x="1313863" y="1669130"/>
                </a:lnTo>
                <a:lnTo>
                  <a:pt x="1387748" y="2513637"/>
                </a:lnTo>
                <a:lnTo>
                  <a:pt x="1351885" y="2516774"/>
                </a:lnTo>
                <a:lnTo>
                  <a:pt x="1278000" y="1672266"/>
                </a:lnTo>
                <a:lnTo>
                  <a:pt x="1278000" y="2520000"/>
                </a:lnTo>
                <a:lnTo>
                  <a:pt x="1242000" y="2520000"/>
                </a:lnTo>
                <a:lnTo>
                  <a:pt x="1242002" y="1672022"/>
                </a:lnTo>
                <a:lnTo>
                  <a:pt x="1168137" y="2516303"/>
                </a:lnTo>
                <a:lnTo>
                  <a:pt x="1132273" y="2513166"/>
                </a:lnTo>
                <a:lnTo>
                  <a:pt x="1206179" y="1668416"/>
                </a:lnTo>
                <a:lnTo>
                  <a:pt x="1059012" y="2503045"/>
                </a:lnTo>
                <a:lnTo>
                  <a:pt x="1023559" y="2496794"/>
                </a:lnTo>
                <a:lnTo>
                  <a:pt x="1170806" y="1661718"/>
                </a:lnTo>
                <a:lnTo>
                  <a:pt x="951460" y="2480327"/>
                </a:lnTo>
                <a:lnTo>
                  <a:pt x="916686" y="2471010"/>
                </a:lnTo>
                <a:lnTo>
                  <a:pt x="1136159" y="1651925"/>
                </a:lnTo>
                <a:lnTo>
                  <a:pt x="846295" y="2448322"/>
                </a:lnTo>
                <a:lnTo>
                  <a:pt x="812466" y="2436009"/>
                </a:lnTo>
                <a:lnTo>
                  <a:pt x="1102487" y="1639184"/>
                </a:lnTo>
                <a:lnTo>
                  <a:pt x="744321" y="2407272"/>
                </a:lnTo>
                <a:lnTo>
                  <a:pt x="711694" y="2392058"/>
                </a:lnTo>
                <a:lnTo>
                  <a:pt x="1070059" y="1623541"/>
                </a:lnTo>
                <a:lnTo>
                  <a:pt x="646312" y="2357492"/>
                </a:lnTo>
                <a:lnTo>
                  <a:pt x="615135" y="2339492"/>
                </a:lnTo>
                <a:lnTo>
                  <a:pt x="1039124" y="1605123"/>
                </a:lnTo>
                <a:lnTo>
                  <a:pt x="553015" y="2299359"/>
                </a:lnTo>
                <a:lnTo>
                  <a:pt x="523525" y="2278710"/>
                </a:lnTo>
                <a:lnTo>
                  <a:pt x="1009901" y="1584093"/>
                </a:lnTo>
                <a:lnTo>
                  <a:pt x="465140" y="2233315"/>
                </a:lnTo>
                <a:lnTo>
                  <a:pt x="437562" y="2210175"/>
                </a:lnTo>
                <a:lnTo>
                  <a:pt x="982624" y="1560596"/>
                </a:lnTo>
                <a:lnTo>
                  <a:pt x="383355" y="2159864"/>
                </a:lnTo>
                <a:lnTo>
                  <a:pt x="357899" y="2134408"/>
                </a:lnTo>
                <a:lnTo>
                  <a:pt x="905948" y="1586360"/>
                </a:lnTo>
                <a:lnTo>
                  <a:pt x="312368" y="2084433"/>
                </a:lnTo>
                <a:lnTo>
                  <a:pt x="289228" y="2056855"/>
                </a:lnTo>
                <a:lnTo>
                  <a:pt x="974211" y="1482086"/>
                </a:lnTo>
                <a:close/>
              </a:path>
            </a:pathLst>
          </a:cu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aphicFrame macro="">
        <xdr:nvGraphicFramePr>
          <xdr:cNvPr id="2" name="Диаграмма 1"/>
          <xdr:cNvGraphicFramePr/>
        </xdr:nvGraphicFramePr>
        <xdr:xfrm>
          <a:off x="2338572" y="1057275"/>
          <a:ext cx="1334943" cy="12811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Овал 5"/>
          <xdr:cNvSpPr/>
        </xdr:nvSpPr>
        <xdr:spPr>
          <a:xfrm>
            <a:off x="2620447" y="1313242"/>
            <a:ext cx="762289" cy="756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Овал 7"/>
          <xdr:cNvSpPr/>
        </xdr:nvSpPr>
        <xdr:spPr>
          <a:xfrm>
            <a:off x="2668168" y="1360844"/>
            <a:ext cx="666846" cy="660796"/>
          </a:xfrm>
          <a:prstGeom prst="ellipse">
            <a:avLst/>
          </a:prstGeom>
          <a:noFill/>
          <a:ln>
            <a:solidFill>
              <a:srgbClr val="4C9CB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187160</xdr:colOff>
      <xdr:row>4</xdr:row>
      <xdr:rowOff>85725</xdr:rowOff>
    </xdr:from>
    <xdr:to>
      <xdr:col>12</xdr:col>
      <xdr:colOff>254660</xdr:colOff>
      <xdr:row>11</xdr:row>
      <xdr:rowOff>33337</xdr:rowOff>
    </xdr:to>
    <xdr:grpSp>
      <xdr:nvGrpSpPr>
        <xdr:cNvPr id="38" name="Группа 37"/>
        <xdr:cNvGrpSpPr/>
      </xdr:nvGrpSpPr>
      <xdr:grpSpPr>
        <a:xfrm>
          <a:off x="3378035" y="907256"/>
          <a:ext cx="1329563" cy="1304925"/>
          <a:chOff x="3645601" y="1038225"/>
          <a:chExt cx="1325470" cy="1281112"/>
        </a:xfrm>
      </xdr:grpSpPr>
      <xdr:sp macro="" textlink="">
        <xdr:nvSpPr>
          <xdr:cNvPr id="18" name="Овал 17"/>
          <xdr:cNvSpPr/>
        </xdr:nvSpPr>
        <xdr:spPr>
          <a:xfrm>
            <a:off x="3804113" y="1170017"/>
            <a:ext cx="1038331" cy="1042451"/>
          </a:xfrm>
          <a:prstGeom prst="ellipse">
            <a:avLst/>
          </a:prstGeom>
          <a:noFill/>
          <a:ln w="22225">
            <a:solidFill>
              <a:srgbClr val="25C4FF"/>
            </a:solidFill>
          </a:ln>
          <a:effectLst>
            <a:glow rad="50800">
              <a:srgbClr val="1CCDFE">
                <a:alpha val="22000"/>
              </a:srgb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6" name="Прямоугольник 35"/>
          <xdr:cNvSpPr/>
        </xdr:nvSpPr>
        <xdr:spPr>
          <a:xfrm>
            <a:off x="4792902" y="1528322"/>
            <a:ext cx="148544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Прямоугольник 36"/>
          <xdr:cNvSpPr/>
        </xdr:nvSpPr>
        <xdr:spPr>
          <a:xfrm>
            <a:off x="3723411" y="1528322"/>
            <a:ext cx="148544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Полилиния 12"/>
          <xdr:cNvSpPr/>
        </xdr:nvSpPr>
        <xdr:spPr>
          <a:xfrm rot="7800000">
            <a:off x="3853478" y="1222610"/>
            <a:ext cx="939600" cy="937263"/>
          </a:xfrm>
          <a:custGeom>
            <a:avLst/>
            <a:gdLst>
              <a:gd name="connsiteX0" fmla="*/ 238193 w 2520000"/>
              <a:gd name="connsiteY0" fmla="*/ 1997451 h 2520000"/>
              <a:gd name="connsiteX1" fmla="*/ 217544 w 2520000"/>
              <a:gd name="connsiteY1" fmla="*/ 1967962 h 2520000"/>
              <a:gd name="connsiteX2" fmla="*/ 911968 w 2520000"/>
              <a:gd name="connsiteY2" fmla="*/ 1481721 h 2520000"/>
              <a:gd name="connsiteX3" fmla="*/ 177808 w 2520000"/>
              <a:gd name="connsiteY3" fmla="*/ 1905589 h 2520000"/>
              <a:gd name="connsiteX4" fmla="*/ 159808 w 2520000"/>
              <a:gd name="connsiteY4" fmla="*/ 1874412 h 2520000"/>
              <a:gd name="connsiteX5" fmla="*/ 893967 w 2520000"/>
              <a:gd name="connsiteY5" fmla="*/ 1450545 h 2520000"/>
              <a:gd name="connsiteX6" fmla="*/ 125659 w 2520000"/>
              <a:gd name="connsiteY6" fmla="*/ 1808813 h 2520000"/>
              <a:gd name="connsiteX7" fmla="*/ 110445 w 2520000"/>
              <a:gd name="connsiteY7" fmla="*/ 1776186 h 2520000"/>
              <a:gd name="connsiteX8" fmla="*/ 878754 w 2520000"/>
              <a:gd name="connsiteY8" fmla="*/ 1417918 h 2520000"/>
              <a:gd name="connsiteX9" fmla="*/ 82144 w 2520000"/>
              <a:gd name="connsiteY9" fmla="*/ 1707860 h 2520000"/>
              <a:gd name="connsiteX10" fmla="*/ 69831 w 2520000"/>
              <a:gd name="connsiteY10" fmla="*/ 1674031 h 2520000"/>
              <a:gd name="connsiteX11" fmla="*/ 866437 w 2520000"/>
              <a:gd name="connsiteY11" fmla="*/ 1384090 h 2520000"/>
              <a:gd name="connsiteX12" fmla="*/ 47592 w 2520000"/>
              <a:gd name="connsiteY12" fmla="*/ 1603499 h 2520000"/>
              <a:gd name="connsiteX13" fmla="*/ 38275 w 2520000"/>
              <a:gd name="connsiteY13" fmla="*/ 1568725 h 2520000"/>
              <a:gd name="connsiteX14" fmla="*/ 857121 w 2520000"/>
              <a:gd name="connsiteY14" fmla="*/ 1349316 h 2520000"/>
              <a:gd name="connsiteX15" fmla="*/ 22268 w 2520000"/>
              <a:gd name="connsiteY15" fmla="*/ 1496523 h 2520000"/>
              <a:gd name="connsiteX16" fmla="*/ 16016 w 2520000"/>
              <a:gd name="connsiteY16" fmla="*/ 1461070 h 2520000"/>
              <a:gd name="connsiteX17" fmla="*/ 850870 w 2520000"/>
              <a:gd name="connsiteY17" fmla="*/ 1313863 h 2520000"/>
              <a:gd name="connsiteX18" fmla="*/ 6363 w 2520000"/>
              <a:gd name="connsiteY18" fmla="*/ 1387748 h 2520000"/>
              <a:gd name="connsiteX19" fmla="*/ 3226 w 2520000"/>
              <a:gd name="connsiteY19" fmla="*/ 1351885 h 2520000"/>
              <a:gd name="connsiteX20" fmla="*/ 847731 w 2520000"/>
              <a:gd name="connsiteY20" fmla="*/ 1278000 h 2520000"/>
              <a:gd name="connsiteX21" fmla="*/ 0 w 2520000"/>
              <a:gd name="connsiteY21" fmla="*/ 1278000 h 2520000"/>
              <a:gd name="connsiteX22" fmla="*/ 0 w 2520000"/>
              <a:gd name="connsiteY22" fmla="*/ 1242000 h 2520000"/>
              <a:gd name="connsiteX23" fmla="*/ 847733 w 2520000"/>
              <a:gd name="connsiteY23" fmla="*/ 1242001 h 2520000"/>
              <a:gd name="connsiteX24" fmla="*/ 3226 w 2520000"/>
              <a:gd name="connsiteY24" fmla="*/ 1168115 h 2520000"/>
              <a:gd name="connsiteX25" fmla="*/ 6363 w 2520000"/>
              <a:gd name="connsiteY25" fmla="*/ 1132252 h 2520000"/>
              <a:gd name="connsiteX26" fmla="*/ 850874 w 2520000"/>
              <a:gd name="connsiteY26" fmla="*/ 1206137 h 2520000"/>
              <a:gd name="connsiteX27" fmla="*/ 16017 w 2520000"/>
              <a:gd name="connsiteY27" fmla="*/ 1058930 h 2520000"/>
              <a:gd name="connsiteX28" fmla="*/ 22268 w 2520000"/>
              <a:gd name="connsiteY28" fmla="*/ 1023477 h 2520000"/>
              <a:gd name="connsiteX29" fmla="*/ 857120 w 2520000"/>
              <a:gd name="connsiteY29" fmla="*/ 1170684 h 2520000"/>
              <a:gd name="connsiteX30" fmla="*/ 38275 w 2520000"/>
              <a:gd name="connsiteY30" fmla="*/ 951275 h 2520000"/>
              <a:gd name="connsiteX31" fmla="*/ 47592 w 2520000"/>
              <a:gd name="connsiteY31" fmla="*/ 916501 h 2520000"/>
              <a:gd name="connsiteX32" fmla="*/ 866441 w 2520000"/>
              <a:gd name="connsiteY32" fmla="*/ 1135911 h 2520000"/>
              <a:gd name="connsiteX33" fmla="*/ 69831 w 2520000"/>
              <a:gd name="connsiteY33" fmla="*/ 845969 h 2520000"/>
              <a:gd name="connsiteX34" fmla="*/ 82144 w 2520000"/>
              <a:gd name="connsiteY34" fmla="*/ 812140 h 2520000"/>
              <a:gd name="connsiteX35" fmla="*/ 878751 w 2520000"/>
              <a:gd name="connsiteY35" fmla="*/ 1102082 h 2520000"/>
              <a:gd name="connsiteX36" fmla="*/ 110445 w 2520000"/>
              <a:gd name="connsiteY36" fmla="*/ 743815 h 2520000"/>
              <a:gd name="connsiteX37" fmla="*/ 125660 w 2520000"/>
              <a:gd name="connsiteY37" fmla="*/ 711187 h 2520000"/>
              <a:gd name="connsiteX38" fmla="*/ 893964 w 2520000"/>
              <a:gd name="connsiteY38" fmla="*/ 1069453 h 2520000"/>
              <a:gd name="connsiteX39" fmla="*/ 159808 w 2520000"/>
              <a:gd name="connsiteY39" fmla="*/ 645588 h 2520000"/>
              <a:gd name="connsiteX40" fmla="*/ 177808 w 2520000"/>
              <a:gd name="connsiteY40" fmla="*/ 614412 h 2520000"/>
              <a:gd name="connsiteX41" fmla="*/ 911961 w 2520000"/>
              <a:gd name="connsiteY41" fmla="*/ 1038275 h 2520000"/>
              <a:gd name="connsiteX42" fmla="*/ 217544 w 2520000"/>
              <a:gd name="connsiteY42" fmla="*/ 552039 h 2520000"/>
              <a:gd name="connsiteX43" fmla="*/ 238193 w 2520000"/>
              <a:gd name="connsiteY43" fmla="*/ 522549 h 2520000"/>
              <a:gd name="connsiteX44" fmla="*/ 932610 w 2520000"/>
              <a:gd name="connsiteY44" fmla="*/ 1008785 h 2520000"/>
              <a:gd name="connsiteX45" fmla="*/ 283214 w 2520000"/>
              <a:gd name="connsiteY45" fmla="*/ 463876 h 2520000"/>
              <a:gd name="connsiteX46" fmla="*/ 306354 w 2520000"/>
              <a:gd name="connsiteY46" fmla="*/ 436299 h 2520000"/>
              <a:gd name="connsiteX47" fmla="*/ 955755 w 2520000"/>
              <a:gd name="connsiteY47" fmla="*/ 981211 h 2520000"/>
              <a:gd name="connsiteX48" fmla="*/ 356317 w 2520000"/>
              <a:gd name="connsiteY48" fmla="*/ 381774 h 2520000"/>
              <a:gd name="connsiteX49" fmla="*/ 381773 w 2520000"/>
              <a:gd name="connsiteY49" fmla="*/ 356318 h 2520000"/>
              <a:gd name="connsiteX50" fmla="*/ 981211 w 2520000"/>
              <a:gd name="connsiteY50" fmla="*/ 955756 h 2520000"/>
              <a:gd name="connsiteX51" fmla="*/ 436299 w 2520000"/>
              <a:gd name="connsiteY51" fmla="*/ 306354 h 2520000"/>
              <a:gd name="connsiteX52" fmla="*/ 463876 w 2520000"/>
              <a:gd name="connsiteY52" fmla="*/ 283214 h 2520000"/>
              <a:gd name="connsiteX53" fmla="*/ 1008789 w 2520000"/>
              <a:gd name="connsiteY53" fmla="*/ 932616 h 2520000"/>
              <a:gd name="connsiteX54" fmla="*/ 522549 w 2520000"/>
              <a:gd name="connsiteY54" fmla="*/ 238193 h 2520000"/>
              <a:gd name="connsiteX55" fmla="*/ 552039 w 2520000"/>
              <a:gd name="connsiteY55" fmla="*/ 217544 h 2520000"/>
              <a:gd name="connsiteX56" fmla="*/ 1038278 w 2520000"/>
              <a:gd name="connsiteY56" fmla="*/ 911967 h 2520000"/>
              <a:gd name="connsiteX57" fmla="*/ 614411 w 2520000"/>
              <a:gd name="connsiteY57" fmla="*/ 177808 h 2520000"/>
              <a:gd name="connsiteX58" fmla="*/ 645588 w 2520000"/>
              <a:gd name="connsiteY58" fmla="*/ 159808 h 2520000"/>
              <a:gd name="connsiteX59" fmla="*/ 1069453 w 2520000"/>
              <a:gd name="connsiteY59" fmla="*/ 893963 h 2520000"/>
              <a:gd name="connsiteX60" fmla="*/ 711187 w 2520000"/>
              <a:gd name="connsiteY60" fmla="*/ 125659 h 2520000"/>
              <a:gd name="connsiteX61" fmla="*/ 743815 w 2520000"/>
              <a:gd name="connsiteY61" fmla="*/ 110445 h 2520000"/>
              <a:gd name="connsiteX62" fmla="*/ 1102082 w 2520000"/>
              <a:gd name="connsiteY62" fmla="*/ 878751 h 2520000"/>
              <a:gd name="connsiteX63" fmla="*/ 812140 w 2520000"/>
              <a:gd name="connsiteY63" fmla="*/ 82144 h 2520000"/>
              <a:gd name="connsiteX64" fmla="*/ 845969 w 2520000"/>
              <a:gd name="connsiteY64" fmla="*/ 69831 h 2520000"/>
              <a:gd name="connsiteX65" fmla="*/ 1135910 w 2520000"/>
              <a:gd name="connsiteY65" fmla="*/ 866436 h 2520000"/>
              <a:gd name="connsiteX66" fmla="*/ 916501 w 2520000"/>
              <a:gd name="connsiteY66" fmla="*/ 47592 h 2520000"/>
              <a:gd name="connsiteX67" fmla="*/ 951275 w 2520000"/>
              <a:gd name="connsiteY67" fmla="*/ 38275 h 2520000"/>
              <a:gd name="connsiteX68" fmla="*/ 1170683 w 2520000"/>
              <a:gd name="connsiteY68" fmla="*/ 857116 h 2520000"/>
              <a:gd name="connsiteX69" fmla="*/ 1023477 w 2520000"/>
              <a:gd name="connsiteY69" fmla="*/ 22268 h 2520000"/>
              <a:gd name="connsiteX70" fmla="*/ 1058929 w 2520000"/>
              <a:gd name="connsiteY70" fmla="*/ 16017 h 2520000"/>
              <a:gd name="connsiteX71" fmla="*/ 1206138 w 2520000"/>
              <a:gd name="connsiteY71" fmla="*/ 850877 h 2520000"/>
              <a:gd name="connsiteX72" fmla="*/ 1132253 w 2520000"/>
              <a:gd name="connsiteY72" fmla="*/ 6363 h 2520000"/>
              <a:gd name="connsiteX73" fmla="*/ 1168115 w 2520000"/>
              <a:gd name="connsiteY73" fmla="*/ 3226 h 2520000"/>
              <a:gd name="connsiteX74" fmla="*/ 1242000 w 2520000"/>
              <a:gd name="connsiteY74" fmla="*/ 847735 h 2520000"/>
              <a:gd name="connsiteX75" fmla="*/ 1242000 w 2520000"/>
              <a:gd name="connsiteY75" fmla="*/ 0 h 2520000"/>
              <a:gd name="connsiteX76" fmla="*/ 1278000 w 2520000"/>
              <a:gd name="connsiteY76" fmla="*/ 0 h 2520000"/>
              <a:gd name="connsiteX77" fmla="*/ 1278000 w 2520000"/>
              <a:gd name="connsiteY77" fmla="*/ 847501 h 2520000"/>
              <a:gd name="connsiteX78" fmla="*/ 1351906 w 2520000"/>
              <a:gd name="connsiteY78" fmla="*/ 2755 h 2520000"/>
              <a:gd name="connsiteX79" fmla="*/ 1387769 w 2520000"/>
              <a:gd name="connsiteY79" fmla="*/ 5893 h 2520000"/>
              <a:gd name="connsiteX80" fmla="*/ 1313905 w 2520000"/>
              <a:gd name="connsiteY80" fmla="*/ 850161 h 2520000"/>
              <a:gd name="connsiteX81" fmla="*/ 1461153 w 2520000"/>
              <a:gd name="connsiteY81" fmla="*/ 15078 h 2520000"/>
              <a:gd name="connsiteX82" fmla="*/ 1496605 w 2520000"/>
              <a:gd name="connsiteY82" fmla="*/ 21330 h 2520000"/>
              <a:gd name="connsiteX83" fmla="*/ 1349438 w 2520000"/>
              <a:gd name="connsiteY83" fmla="*/ 855956 h 2520000"/>
              <a:gd name="connsiteX84" fmla="*/ 1568910 w 2520000"/>
              <a:gd name="connsiteY84" fmla="*/ 36877 h 2520000"/>
              <a:gd name="connsiteX85" fmla="*/ 1603684 w 2520000"/>
              <a:gd name="connsiteY85" fmla="*/ 46194 h 2520000"/>
              <a:gd name="connsiteX86" fmla="*/ 1384338 w 2520000"/>
              <a:gd name="connsiteY86" fmla="*/ 864802 h 2520000"/>
              <a:gd name="connsiteX87" fmla="*/ 1674356 w 2520000"/>
              <a:gd name="connsiteY87" fmla="*/ 67983 h 2520000"/>
              <a:gd name="connsiteX88" fmla="*/ 1708185 w 2520000"/>
              <a:gd name="connsiteY88" fmla="*/ 80296 h 2520000"/>
              <a:gd name="connsiteX89" fmla="*/ 1418322 w 2520000"/>
              <a:gd name="connsiteY89" fmla="*/ 876690 h 2520000"/>
              <a:gd name="connsiteX90" fmla="*/ 1776692 w 2520000"/>
              <a:gd name="connsiteY90" fmla="*/ 108162 h 2520000"/>
              <a:gd name="connsiteX91" fmla="*/ 1809319 w 2520000"/>
              <a:gd name="connsiteY91" fmla="*/ 123377 h 2520000"/>
              <a:gd name="connsiteX92" fmla="*/ 1451151 w 2520000"/>
              <a:gd name="connsiteY92" fmla="*/ 891470 h 2520000"/>
              <a:gd name="connsiteX93" fmla="*/ 1875135 w 2520000"/>
              <a:gd name="connsiteY93" fmla="*/ 157108 h 2520000"/>
              <a:gd name="connsiteX94" fmla="*/ 1906312 w 2520000"/>
              <a:gd name="connsiteY94" fmla="*/ 175108 h 2520000"/>
              <a:gd name="connsiteX95" fmla="*/ 1482565 w 2520000"/>
              <a:gd name="connsiteY95" fmla="*/ 909059 h 2520000"/>
              <a:gd name="connsiteX96" fmla="*/ 1968938 w 2520000"/>
              <a:gd name="connsiteY96" fmla="*/ 214447 h 2520000"/>
              <a:gd name="connsiteX97" fmla="*/ 1998427 w 2520000"/>
              <a:gd name="connsiteY97" fmla="*/ 235096 h 2520000"/>
              <a:gd name="connsiteX98" fmla="*/ 1512322 w 2520000"/>
              <a:gd name="connsiteY98" fmla="*/ 929326 h 2520000"/>
              <a:gd name="connsiteX99" fmla="*/ 2057387 w 2520000"/>
              <a:gd name="connsiteY99" fmla="*/ 279743 h 2520000"/>
              <a:gd name="connsiteX100" fmla="*/ 2084964 w 2520000"/>
              <a:gd name="connsiteY100" fmla="*/ 302883 h 2520000"/>
              <a:gd name="connsiteX101" fmla="*/ 1540200 w 2520000"/>
              <a:gd name="connsiteY101" fmla="*/ 952109 h 2520000"/>
              <a:gd name="connsiteX102" fmla="*/ 2139809 w 2520000"/>
              <a:gd name="connsiteY102" fmla="*/ 352499 h 2520000"/>
              <a:gd name="connsiteX103" fmla="*/ 2165264 w 2520000"/>
              <a:gd name="connsiteY103" fmla="*/ 377956 h 2520000"/>
              <a:gd name="connsiteX104" fmla="*/ 1514438 w 2520000"/>
              <a:gd name="connsiteY104" fmla="*/ 1028782 h 2520000"/>
              <a:gd name="connsiteX105" fmla="*/ 2219660 w 2520000"/>
              <a:gd name="connsiteY105" fmla="*/ 437030 h 2520000"/>
              <a:gd name="connsiteX106" fmla="*/ 2242800 w 2520000"/>
              <a:gd name="connsiteY106" fmla="*/ 464608 h 2520000"/>
              <a:gd name="connsiteX107" fmla="*/ 1628988 w 2520000"/>
              <a:gd name="connsiteY107" fmla="*/ 979657 h 2520000"/>
              <a:gd name="connsiteX108" fmla="*/ 2281807 w 2520000"/>
              <a:gd name="connsiteY108" fmla="*/ 522549 h 2520000"/>
              <a:gd name="connsiteX109" fmla="*/ 2302456 w 2520000"/>
              <a:gd name="connsiteY109" fmla="*/ 552038 h 2520000"/>
              <a:gd name="connsiteX110" fmla="*/ 1608033 w 2520000"/>
              <a:gd name="connsiteY110" fmla="*/ 1038278 h 2520000"/>
              <a:gd name="connsiteX111" fmla="*/ 2342192 w 2520000"/>
              <a:gd name="connsiteY111" fmla="*/ 614412 h 2520000"/>
              <a:gd name="connsiteX112" fmla="*/ 2360192 w 2520000"/>
              <a:gd name="connsiteY112" fmla="*/ 645588 h 2520000"/>
              <a:gd name="connsiteX113" fmla="*/ 1626031 w 2520000"/>
              <a:gd name="connsiteY113" fmla="*/ 1069457 h 2520000"/>
              <a:gd name="connsiteX114" fmla="*/ 2394341 w 2520000"/>
              <a:gd name="connsiteY114" fmla="*/ 711188 h 2520000"/>
              <a:gd name="connsiteX115" fmla="*/ 2409555 w 2520000"/>
              <a:gd name="connsiteY115" fmla="*/ 743814 h 2520000"/>
              <a:gd name="connsiteX116" fmla="*/ 1641245 w 2520000"/>
              <a:gd name="connsiteY116" fmla="*/ 1102083 h 2520000"/>
              <a:gd name="connsiteX117" fmla="*/ 2437856 w 2520000"/>
              <a:gd name="connsiteY117" fmla="*/ 812140 h 2520000"/>
              <a:gd name="connsiteX118" fmla="*/ 2450169 w 2520000"/>
              <a:gd name="connsiteY118" fmla="*/ 845969 h 2520000"/>
              <a:gd name="connsiteX119" fmla="*/ 1653563 w 2520000"/>
              <a:gd name="connsiteY119" fmla="*/ 1135910 h 2520000"/>
              <a:gd name="connsiteX120" fmla="*/ 2472408 w 2520000"/>
              <a:gd name="connsiteY120" fmla="*/ 916501 h 2520000"/>
              <a:gd name="connsiteX121" fmla="*/ 2481726 w 2520000"/>
              <a:gd name="connsiteY121" fmla="*/ 951274 h 2520000"/>
              <a:gd name="connsiteX122" fmla="*/ 1662878 w 2520000"/>
              <a:gd name="connsiteY122" fmla="*/ 1170685 h 2520000"/>
              <a:gd name="connsiteX123" fmla="*/ 2497732 w 2520000"/>
              <a:gd name="connsiteY123" fmla="*/ 1023477 h 2520000"/>
              <a:gd name="connsiteX124" fmla="*/ 2503984 w 2520000"/>
              <a:gd name="connsiteY124" fmla="*/ 1058930 h 2520000"/>
              <a:gd name="connsiteX125" fmla="*/ 1669132 w 2520000"/>
              <a:gd name="connsiteY125" fmla="*/ 1206137 h 2520000"/>
              <a:gd name="connsiteX126" fmla="*/ 2513637 w 2520000"/>
              <a:gd name="connsiteY126" fmla="*/ 1132252 h 2520000"/>
              <a:gd name="connsiteX127" fmla="*/ 2516774 w 2520000"/>
              <a:gd name="connsiteY127" fmla="*/ 1168115 h 2520000"/>
              <a:gd name="connsiteX128" fmla="*/ 1672268 w 2520000"/>
              <a:gd name="connsiteY128" fmla="*/ 1242000 h 2520000"/>
              <a:gd name="connsiteX129" fmla="*/ 2520000 w 2520000"/>
              <a:gd name="connsiteY129" fmla="*/ 1242000 h 2520000"/>
              <a:gd name="connsiteX130" fmla="*/ 2520000 w 2520000"/>
              <a:gd name="connsiteY130" fmla="*/ 1278000 h 2520000"/>
              <a:gd name="connsiteX131" fmla="*/ 1672267 w 2520000"/>
              <a:gd name="connsiteY131" fmla="*/ 1278000 h 2520000"/>
              <a:gd name="connsiteX132" fmla="*/ 2516774 w 2520000"/>
              <a:gd name="connsiteY132" fmla="*/ 1351885 h 2520000"/>
              <a:gd name="connsiteX133" fmla="*/ 2513637 w 2520000"/>
              <a:gd name="connsiteY133" fmla="*/ 1387748 h 2520000"/>
              <a:gd name="connsiteX134" fmla="*/ 1669126 w 2520000"/>
              <a:gd name="connsiteY134" fmla="*/ 1313862 h 2520000"/>
              <a:gd name="connsiteX135" fmla="*/ 2503983 w 2520000"/>
              <a:gd name="connsiteY135" fmla="*/ 1461070 h 2520000"/>
              <a:gd name="connsiteX136" fmla="*/ 2497733 w 2520000"/>
              <a:gd name="connsiteY136" fmla="*/ 1496523 h 2520000"/>
              <a:gd name="connsiteX137" fmla="*/ 1662877 w 2520000"/>
              <a:gd name="connsiteY137" fmla="*/ 1349315 h 2520000"/>
              <a:gd name="connsiteX138" fmla="*/ 2481725 w 2520000"/>
              <a:gd name="connsiteY138" fmla="*/ 1568725 h 2520000"/>
              <a:gd name="connsiteX139" fmla="*/ 2472408 w 2520000"/>
              <a:gd name="connsiteY139" fmla="*/ 1603498 h 2520000"/>
              <a:gd name="connsiteX140" fmla="*/ 1653557 w 2520000"/>
              <a:gd name="connsiteY140" fmla="*/ 1384088 h 2520000"/>
              <a:gd name="connsiteX141" fmla="*/ 2450169 w 2520000"/>
              <a:gd name="connsiteY141" fmla="*/ 1674031 h 2520000"/>
              <a:gd name="connsiteX142" fmla="*/ 2437857 w 2520000"/>
              <a:gd name="connsiteY142" fmla="*/ 1707860 h 2520000"/>
              <a:gd name="connsiteX143" fmla="*/ 1641251 w 2520000"/>
              <a:gd name="connsiteY143" fmla="*/ 1417919 h 2520000"/>
              <a:gd name="connsiteX144" fmla="*/ 2409555 w 2520000"/>
              <a:gd name="connsiteY144" fmla="*/ 1776185 h 2520000"/>
              <a:gd name="connsiteX145" fmla="*/ 2394340 w 2520000"/>
              <a:gd name="connsiteY145" fmla="*/ 1808813 h 2520000"/>
              <a:gd name="connsiteX146" fmla="*/ 1626043 w 2520000"/>
              <a:gd name="connsiteY146" fmla="*/ 1450550 h 2520000"/>
              <a:gd name="connsiteX147" fmla="*/ 2360192 w 2520000"/>
              <a:gd name="connsiteY147" fmla="*/ 1874411 h 2520000"/>
              <a:gd name="connsiteX148" fmla="*/ 2342192 w 2520000"/>
              <a:gd name="connsiteY148" fmla="*/ 1905588 h 2520000"/>
              <a:gd name="connsiteX149" fmla="*/ 1608038 w 2520000"/>
              <a:gd name="connsiteY149" fmla="*/ 1481725 h 2520000"/>
              <a:gd name="connsiteX150" fmla="*/ 2302456 w 2520000"/>
              <a:gd name="connsiteY150" fmla="*/ 1967961 h 2520000"/>
              <a:gd name="connsiteX151" fmla="*/ 2281807 w 2520000"/>
              <a:gd name="connsiteY151" fmla="*/ 1997451 h 2520000"/>
              <a:gd name="connsiteX152" fmla="*/ 1587388 w 2520000"/>
              <a:gd name="connsiteY152" fmla="*/ 1511214 h 2520000"/>
              <a:gd name="connsiteX153" fmla="*/ 2236786 w 2520000"/>
              <a:gd name="connsiteY153" fmla="*/ 2056124 h 2520000"/>
              <a:gd name="connsiteX154" fmla="*/ 2213646 w 2520000"/>
              <a:gd name="connsiteY154" fmla="*/ 2083701 h 2520000"/>
              <a:gd name="connsiteX155" fmla="*/ 1564245 w 2520000"/>
              <a:gd name="connsiteY155" fmla="*/ 1538789 h 2520000"/>
              <a:gd name="connsiteX156" fmla="*/ 2163683 w 2520000"/>
              <a:gd name="connsiteY156" fmla="*/ 2138227 h 2520000"/>
              <a:gd name="connsiteX157" fmla="*/ 2138227 w 2520000"/>
              <a:gd name="connsiteY157" fmla="*/ 2163682 h 2520000"/>
              <a:gd name="connsiteX158" fmla="*/ 1538789 w 2520000"/>
              <a:gd name="connsiteY158" fmla="*/ 1564244 h 2520000"/>
              <a:gd name="connsiteX159" fmla="*/ 2083701 w 2520000"/>
              <a:gd name="connsiteY159" fmla="*/ 2213646 h 2520000"/>
              <a:gd name="connsiteX160" fmla="*/ 2056124 w 2520000"/>
              <a:gd name="connsiteY160" fmla="*/ 2236786 h 2520000"/>
              <a:gd name="connsiteX161" fmla="*/ 1511211 w 2520000"/>
              <a:gd name="connsiteY161" fmla="*/ 1587385 h 2520000"/>
              <a:gd name="connsiteX162" fmla="*/ 1997451 w 2520000"/>
              <a:gd name="connsiteY162" fmla="*/ 2281807 h 2520000"/>
              <a:gd name="connsiteX163" fmla="*/ 1967961 w 2520000"/>
              <a:gd name="connsiteY163" fmla="*/ 2302456 h 2520000"/>
              <a:gd name="connsiteX164" fmla="*/ 1481723 w 2520000"/>
              <a:gd name="connsiteY164" fmla="*/ 1608035 h 2520000"/>
              <a:gd name="connsiteX165" fmla="*/ 1905589 w 2520000"/>
              <a:gd name="connsiteY165" fmla="*/ 2342192 h 2520000"/>
              <a:gd name="connsiteX166" fmla="*/ 1874412 w 2520000"/>
              <a:gd name="connsiteY166" fmla="*/ 2360192 h 2520000"/>
              <a:gd name="connsiteX167" fmla="*/ 1450548 w 2520000"/>
              <a:gd name="connsiteY167" fmla="*/ 1626039 h 2520000"/>
              <a:gd name="connsiteX168" fmla="*/ 1808813 w 2520000"/>
              <a:gd name="connsiteY168" fmla="*/ 2394341 h 2520000"/>
              <a:gd name="connsiteX169" fmla="*/ 1776185 w 2520000"/>
              <a:gd name="connsiteY169" fmla="*/ 2409555 h 2520000"/>
              <a:gd name="connsiteX170" fmla="*/ 1417919 w 2520000"/>
              <a:gd name="connsiteY170" fmla="*/ 1641250 h 2520000"/>
              <a:gd name="connsiteX171" fmla="*/ 1707860 w 2520000"/>
              <a:gd name="connsiteY171" fmla="*/ 2437856 h 2520000"/>
              <a:gd name="connsiteX172" fmla="*/ 1674031 w 2520000"/>
              <a:gd name="connsiteY172" fmla="*/ 2450169 h 2520000"/>
              <a:gd name="connsiteX173" fmla="*/ 1384091 w 2520000"/>
              <a:gd name="connsiteY173" fmla="*/ 1653568 h 2520000"/>
              <a:gd name="connsiteX174" fmla="*/ 1603499 w 2520000"/>
              <a:gd name="connsiteY174" fmla="*/ 2472408 h 2520000"/>
              <a:gd name="connsiteX175" fmla="*/ 1568725 w 2520000"/>
              <a:gd name="connsiteY175" fmla="*/ 2481726 h 2520000"/>
              <a:gd name="connsiteX176" fmla="*/ 1349315 w 2520000"/>
              <a:gd name="connsiteY176" fmla="*/ 1662879 h 2520000"/>
              <a:gd name="connsiteX177" fmla="*/ 1496523 w 2520000"/>
              <a:gd name="connsiteY177" fmla="*/ 2497732 h 2520000"/>
              <a:gd name="connsiteX178" fmla="*/ 1461070 w 2520000"/>
              <a:gd name="connsiteY178" fmla="*/ 2503984 h 2520000"/>
              <a:gd name="connsiteX179" fmla="*/ 1313863 w 2520000"/>
              <a:gd name="connsiteY179" fmla="*/ 1669130 h 2520000"/>
              <a:gd name="connsiteX180" fmla="*/ 1387748 w 2520000"/>
              <a:gd name="connsiteY180" fmla="*/ 2513637 h 2520000"/>
              <a:gd name="connsiteX181" fmla="*/ 1351885 w 2520000"/>
              <a:gd name="connsiteY181" fmla="*/ 2516774 h 2520000"/>
              <a:gd name="connsiteX182" fmla="*/ 1278000 w 2520000"/>
              <a:gd name="connsiteY182" fmla="*/ 1672266 h 2520000"/>
              <a:gd name="connsiteX183" fmla="*/ 1278000 w 2520000"/>
              <a:gd name="connsiteY183" fmla="*/ 2520000 h 2520000"/>
              <a:gd name="connsiteX184" fmla="*/ 1242000 w 2520000"/>
              <a:gd name="connsiteY184" fmla="*/ 2520000 h 2520000"/>
              <a:gd name="connsiteX185" fmla="*/ 1242002 w 2520000"/>
              <a:gd name="connsiteY185" fmla="*/ 1672022 h 2520000"/>
              <a:gd name="connsiteX186" fmla="*/ 1168137 w 2520000"/>
              <a:gd name="connsiteY186" fmla="*/ 2516303 h 2520000"/>
              <a:gd name="connsiteX187" fmla="*/ 1132273 w 2520000"/>
              <a:gd name="connsiteY187" fmla="*/ 2513166 h 2520000"/>
              <a:gd name="connsiteX188" fmla="*/ 1206179 w 2520000"/>
              <a:gd name="connsiteY188" fmla="*/ 1668416 h 2520000"/>
              <a:gd name="connsiteX189" fmla="*/ 1059012 w 2520000"/>
              <a:gd name="connsiteY189" fmla="*/ 2503045 h 2520000"/>
              <a:gd name="connsiteX190" fmla="*/ 1023559 w 2520000"/>
              <a:gd name="connsiteY190" fmla="*/ 2496794 h 2520000"/>
              <a:gd name="connsiteX191" fmla="*/ 1170806 w 2520000"/>
              <a:gd name="connsiteY191" fmla="*/ 1661718 h 2520000"/>
              <a:gd name="connsiteX192" fmla="*/ 951460 w 2520000"/>
              <a:gd name="connsiteY192" fmla="*/ 2480327 h 2520000"/>
              <a:gd name="connsiteX193" fmla="*/ 916686 w 2520000"/>
              <a:gd name="connsiteY193" fmla="*/ 2471010 h 2520000"/>
              <a:gd name="connsiteX194" fmla="*/ 1136159 w 2520000"/>
              <a:gd name="connsiteY194" fmla="*/ 1651925 h 2520000"/>
              <a:gd name="connsiteX195" fmla="*/ 846295 w 2520000"/>
              <a:gd name="connsiteY195" fmla="*/ 2448322 h 2520000"/>
              <a:gd name="connsiteX196" fmla="*/ 812466 w 2520000"/>
              <a:gd name="connsiteY196" fmla="*/ 2436009 h 2520000"/>
              <a:gd name="connsiteX197" fmla="*/ 1102487 w 2520000"/>
              <a:gd name="connsiteY197" fmla="*/ 1639184 h 2520000"/>
              <a:gd name="connsiteX198" fmla="*/ 744321 w 2520000"/>
              <a:gd name="connsiteY198" fmla="*/ 2407272 h 2520000"/>
              <a:gd name="connsiteX199" fmla="*/ 711694 w 2520000"/>
              <a:gd name="connsiteY199" fmla="*/ 2392058 h 2520000"/>
              <a:gd name="connsiteX200" fmla="*/ 1070059 w 2520000"/>
              <a:gd name="connsiteY200" fmla="*/ 1623541 h 2520000"/>
              <a:gd name="connsiteX201" fmla="*/ 646312 w 2520000"/>
              <a:gd name="connsiteY201" fmla="*/ 2357492 h 2520000"/>
              <a:gd name="connsiteX202" fmla="*/ 615135 w 2520000"/>
              <a:gd name="connsiteY202" fmla="*/ 2339492 h 2520000"/>
              <a:gd name="connsiteX203" fmla="*/ 1039124 w 2520000"/>
              <a:gd name="connsiteY203" fmla="*/ 1605123 h 2520000"/>
              <a:gd name="connsiteX204" fmla="*/ 553015 w 2520000"/>
              <a:gd name="connsiteY204" fmla="*/ 2299359 h 2520000"/>
              <a:gd name="connsiteX205" fmla="*/ 523525 w 2520000"/>
              <a:gd name="connsiteY205" fmla="*/ 2278710 h 2520000"/>
              <a:gd name="connsiteX206" fmla="*/ 1009901 w 2520000"/>
              <a:gd name="connsiteY206" fmla="*/ 1584093 h 2520000"/>
              <a:gd name="connsiteX207" fmla="*/ 465140 w 2520000"/>
              <a:gd name="connsiteY207" fmla="*/ 2233315 h 2520000"/>
              <a:gd name="connsiteX208" fmla="*/ 437562 w 2520000"/>
              <a:gd name="connsiteY208" fmla="*/ 2210175 h 2520000"/>
              <a:gd name="connsiteX209" fmla="*/ 982624 w 2520000"/>
              <a:gd name="connsiteY209" fmla="*/ 1560596 h 2520000"/>
              <a:gd name="connsiteX210" fmla="*/ 383355 w 2520000"/>
              <a:gd name="connsiteY210" fmla="*/ 2159864 h 2520000"/>
              <a:gd name="connsiteX211" fmla="*/ 357899 w 2520000"/>
              <a:gd name="connsiteY211" fmla="*/ 2134408 h 2520000"/>
              <a:gd name="connsiteX212" fmla="*/ 905948 w 2520000"/>
              <a:gd name="connsiteY212" fmla="*/ 1586360 h 2520000"/>
              <a:gd name="connsiteX213" fmla="*/ 312368 w 2520000"/>
              <a:gd name="connsiteY213" fmla="*/ 2084433 h 2520000"/>
              <a:gd name="connsiteX214" fmla="*/ 289228 w 2520000"/>
              <a:gd name="connsiteY214" fmla="*/ 2056855 h 2520000"/>
              <a:gd name="connsiteX215" fmla="*/ 974211 w 2520000"/>
              <a:gd name="connsiteY215" fmla="*/ 1482086 h 252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  <a:cxn ang="0">
                <a:pos x="connsiteX156" y="connsiteY156"/>
              </a:cxn>
              <a:cxn ang="0">
                <a:pos x="connsiteX157" y="connsiteY157"/>
              </a:cxn>
              <a:cxn ang="0">
                <a:pos x="connsiteX158" y="connsiteY158"/>
              </a:cxn>
              <a:cxn ang="0">
                <a:pos x="connsiteX159" y="connsiteY159"/>
              </a:cxn>
              <a:cxn ang="0">
                <a:pos x="connsiteX160" y="connsiteY160"/>
              </a:cxn>
              <a:cxn ang="0">
                <a:pos x="connsiteX161" y="connsiteY161"/>
              </a:cxn>
              <a:cxn ang="0">
                <a:pos x="connsiteX162" y="connsiteY162"/>
              </a:cxn>
              <a:cxn ang="0">
                <a:pos x="connsiteX163" y="connsiteY163"/>
              </a:cxn>
              <a:cxn ang="0">
                <a:pos x="connsiteX164" y="connsiteY164"/>
              </a:cxn>
              <a:cxn ang="0">
                <a:pos x="connsiteX165" y="connsiteY165"/>
              </a:cxn>
              <a:cxn ang="0">
                <a:pos x="connsiteX166" y="connsiteY166"/>
              </a:cxn>
              <a:cxn ang="0">
                <a:pos x="connsiteX167" y="connsiteY167"/>
              </a:cxn>
              <a:cxn ang="0">
                <a:pos x="connsiteX168" y="connsiteY168"/>
              </a:cxn>
              <a:cxn ang="0">
                <a:pos x="connsiteX169" y="connsiteY169"/>
              </a:cxn>
              <a:cxn ang="0">
                <a:pos x="connsiteX170" y="connsiteY170"/>
              </a:cxn>
              <a:cxn ang="0">
                <a:pos x="connsiteX171" y="connsiteY171"/>
              </a:cxn>
              <a:cxn ang="0">
                <a:pos x="connsiteX172" y="connsiteY172"/>
              </a:cxn>
              <a:cxn ang="0">
                <a:pos x="connsiteX173" y="connsiteY173"/>
              </a:cxn>
              <a:cxn ang="0">
                <a:pos x="connsiteX174" y="connsiteY174"/>
              </a:cxn>
              <a:cxn ang="0">
                <a:pos x="connsiteX175" y="connsiteY175"/>
              </a:cxn>
              <a:cxn ang="0">
                <a:pos x="connsiteX176" y="connsiteY176"/>
              </a:cxn>
              <a:cxn ang="0">
                <a:pos x="connsiteX177" y="connsiteY177"/>
              </a:cxn>
              <a:cxn ang="0">
                <a:pos x="connsiteX178" y="connsiteY178"/>
              </a:cxn>
              <a:cxn ang="0">
                <a:pos x="connsiteX179" y="connsiteY179"/>
              </a:cxn>
              <a:cxn ang="0">
                <a:pos x="connsiteX180" y="connsiteY180"/>
              </a:cxn>
              <a:cxn ang="0">
                <a:pos x="connsiteX181" y="connsiteY181"/>
              </a:cxn>
              <a:cxn ang="0">
                <a:pos x="connsiteX182" y="connsiteY182"/>
              </a:cxn>
              <a:cxn ang="0">
                <a:pos x="connsiteX183" y="connsiteY183"/>
              </a:cxn>
              <a:cxn ang="0">
                <a:pos x="connsiteX184" y="connsiteY184"/>
              </a:cxn>
              <a:cxn ang="0">
                <a:pos x="connsiteX185" y="connsiteY185"/>
              </a:cxn>
              <a:cxn ang="0">
                <a:pos x="connsiteX186" y="connsiteY186"/>
              </a:cxn>
              <a:cxn ang="0">
                <a:pos x="connsiteX187" y="connsiteY187"/>
              </a:cxn>
              <a:cxn ang="0">
                <a:pos x="connsiteX188" y="connsiteY188"/>
              </a:cxn>
              <a:cxn ang="0">
                <a:pos x="connsiteX189" y="connsiteY189"/>
              </a:cxn>
              <a:cxn ang="0">
                <a:pos x="connsiteX190" y="connsiteY190"/>
              </a:cxn>
              <a:cxn ang="0">
                <a:pos x="connsiteX191" y="connsiteY191"/>
              </a:cxn>
              <a:cxn ang="0">
                <a:pos x="connsiteX192" y="connsiteY192"/>
              </a:cxn>
              <a:cxn ang="0">
                <a:pos x="connsiteX193" y="connsiteY193"/>
              </a:cxn>
              <a:cxn ang="0">
                <a:pos x="connsiteX194" y="connsiteY194"/>
              </a:cxn>
              <a:cxn ang="0">
                <a:pos x="connsiteX195" y="connsiteY195"/>
              </a:cxn>
              <a:cxn ang="0">
                <a:pos x="connsiteX196" y="connsiteY196"/>
              </a:cxn>
              <a:cxn ang="0">
                <a:pos x="connsiteX197" y="connsiteY197"/>
              </a:cxn>
              <a:cxn ang="0">
                <a:pos x="connsiteX198" y="connsiteY198"/>
              </a:cxn>
              <a:cxn ang="0">
                <a:pos x="connsiteX199" y="connsiteY199"/>
              </a:cxn>
              <a:cxn ang="0">
                <a:pos x="connsiteX200" y="connsiteY200"/>
              </a:cxn>
              <a:cxn ang="0">
                <a:pos x="connsiteX201" y="connsiteY201"/>
              </a:cxn>
              <a:cxn ang="0">
                <a:pos x="connsiteX202" y="connsiteY202"/>
              </a:cxn>
              <a:cxn ang="0">
                <a:pos x="connsiteX203" y="connsiteY203"/>
              </a:cxn>
              <a:cxn ang="0">
                <a:pos x="connsiteX204" y="connsiteY204"/>
              </a:cxn>
              <a:cxn ang="0">
                <a:pos x="connsiteX205" y="connsiteY205"/>
              </a:cxn>
              <a:cxn ang="0">
                <a:pos x="connsiteX206" y="connsiteY206"/>
              </a:cxn>
              <a:cxn ang="0">
                <a:pos x="connsiteX207" y="connsiteY207"/>
              </a:cxn>
              <a:cxn ang="0">
                <a:pos x="connsiteX208" y="connsiteY208"/>
              </a:cxn>
              <a:cxn ang="0">
                <a:pos x="connsiteX209" y="connsiteY209"/>
              </a:cxn>
              <a:cxn ang="0">
                <a:pos x="connsiteX210" y="connsiteY210"/>
              </a:cxn>
              <a:cxn ang="0">
                <a:pos x="connsiteX211" y="connsiteY211"/>
              </a:cxn>
              <a:cxn ang="0">
                <a:pos x="connsiteX212" y="connsiteY212"/>
              </a:cxn>
              <a:cxn ang="0">
                <a:pos x="connsiteX213" y="connsiteY213"/>
              </a:cxn>
              <a:cxn ang="0">
                <a:pos x="connsiteX214" y="connsiteY214"/>
              </a:cxn>
              <a:cxn ang="0">
                <a:pos x="connsiteX215" y="connsiteY215"/>
              </a:cxn>
            </a:cxnLst>
            <a:rect l="l" t="t" r="r" b="b"/>
            <a:pathLst>
              <a:path w="2520000" h="2520000">
                <a:moveTo>
                  <a:pt x="238193" y="1997451"/>
                </a:moveTo>
                <a:lnTo>
                  <a:pt x="217544" y="1967962"/>
                </a:lnTo>
                <a:lnTo>
                  <a:pt x="911968" y="1481721"/>
                </a:lnTo>
                <a:lnTo>
                  <a:pt x="177808" y="1905589"/>
                </a:lnTo>
                <a:lnTo>
                  <a:pt x="159808" y="1874412"/>
                </a:lnTo>
                <a:lnTo>
                  <a:pt x="893967" y="1450545"/>
                </a:lnTo>
                <a:lnTo>
                  <a:pt x="125659" y="1808813"/>
                </a:lnTo>
                <a:lnTo>
                  <a:pt x="110445" y="1776186"/>
                </a:lnTo>
                <a:lnTo>
                  <a:pt x="878754" y="1417918"/>
                </a:lnTo>
                <a:lnTo>
                  <a:pt x="82144" y="1707860"/>
                </a:lnTo>
                <a:lnTo>
                  <a:pt x="69831" y="1674031"/>
                </a:lnTo>
                <a:lnTo>
                  <a:pt x="866437" y="1384090"/>
                </a:lnTo>
                <a:lnTo>
                  <a:pt x="47592" y="1603499"/>
                </a:lnTo>
                <a:lnTo>
                  <a:pt x="38275" y="1568725"/>
                </a:lnTo>
                <a:lnTo>
                  <a:pt x="857121" y="1349316"/>
                </a:lnTo>
                <a:lnTo>
                  <a:pt x="22268" y="1496523"/>
                </a:lnTo>
                <a:lnTo>
                  <a:pt x="16016" y="1461070"/>
                </a:lnTo>
                <a:lnTo>
                  <a:pt x="850870" y="1313863"/>
                </a:lnTo>
                <a:lnTo>
                  <a:pt x="6363" y="1387748"/>
                </a:lnTo>
                <a:lnTo>
                  <a:pt x="3226" y="1351885"/>
                </a:lnTo>
                <a:lnTo>
                  <a:pt x="847731" y="1278000"/>
                </a:lnTo>
                <a:lnTo>
                  <a:pt x="0" y="1278000"/>
                </a:lnTo>
                <a:lnTo>
                  <a:pt x="0" y="1242000"/>
                </a:lnTo>
                <a:lnTo>
                  <a:pt x="847733" y="1242001"/>
                </a:lnTo>
                <a:lnTo>
                  <a:pt x="3226" y="1168115"/>
                </a:lnTo>
                <a:lnTo>
                  <a:pt x="6363" y="1132252"/>
                </a:lnTo>
                <a:lnTo>
                  <a:pt x="850874" y="1206137"/>
                </a:lnTo>
                <a:lnTo>
                  <a:pt x="16017" y="1058930"/>
                </a:lnTo>
                <a:lnTo>
                  <a:pt x="22268" y="1023477"/>
                </a:lnTo>
                <a:lnTo>
                  <a:pt x="857120" y="1170684"/>
                </a:lnTo>
                <a:lnTo>
                  <a:pt x="38275" y="951275"/>
                </a:lnTo>
                <a:lnTo>
                  <a:pt x="47592" y="916501"/>
                </a:lnTo>
                <a:lnTo>
                  <a:pt x="866441" y="1135911"/>
                </a:lnTo>
                <a:lnTo>
                  <a:pt x="69831" y="845969"/>
                </a:lnTo>
                <a:lnTo>
                  <a:pt x="82144" y="812140"/>
                </a:lnTo>
                <a:lnTo>
                  <a:pt x="878751" y="1102082"/>
                </a:lnTo>
                <a:lnTo>
                  <a:pt x="110445" y="743815"/>
                </a:lnTo>
                <a:lnTo>
                  <a:pt x="125660" y="711187"/>
                </a:lnTo>
                <a:lnTo>
                  <a:pt x="893964" y="1069453"/>
                </a:lnTo>
                <a:lnTo>
                  <a:pt x="159808" y="645588"/>
                </a:lnTo>
                <a:lnTo>
                  <a:pt x="177808" y="614412"/>
                </a:lnTo>
                <a:lnTo>
                  <a:pt x="911961" y="1038275"/>
                </a:lnTo>
                <a:lnTo>
                  <a:pt x="217544" y="552039"/>
                </a:lnTo>
                <a:lnTo>
                  <a:pt x="238193" y="522549"/>
                </a:lnTo>
                <a:lnTo>
                  <a:pt x="932610" y="1008785"/>
                </a:lnTo>
                <a:lnTo>
                  <a:pt x="283214" y="463876"/>
                </a:lnTo>
                <a:lnTo>
                  <a:pt x="306354" y="436299"/>
                </a:lnTo>
                <a:lnTo>
                  <a:pt x="955755" y="981211"/>
                </a:lnTo>
                <a:lnTo>
                  <a:pt x="356317" y="381774"/>
                </a:lnTo>
                <a:lnTo>
                  <a:pt x="381773" y="356318"/>
                </a:lnTo>
                <a:lnTo>
                  <a:pt x="981211" y="955756"/>
                </a:lnTo>
                <a:lnTo>
                  <a:pt x="436299" y="306354"/>
                </a:lnTo>
                <a:lnTo>
                  <a:pt x="463876" y="283214"/>
                </a:lnTo>
                <a:lnTo>
                  <a:pt x="1008789" y="932616"/>
                </a:lnTo>
                <a:lnTo>
                  <a:pt x="522549" y="238193"/>
                </a:lnTo>
                <a:lnTo>
                  <a:pt x="552039" y="217544"/>
                </a:lnTo>
                <a:lnTo>
                  <a:pt x="1038278" y="911967"/>
                </a:lnTo>
                <a:lnTo>
                  <a:pt x="614411" y="177808"/>
                </a:lnTo>
                <a:lnTo>
                  <a:pt x="645588" y="159808"/>
                </a:lnTo>
                <a:lnTo>
                  <a:pt x="1069453" y="893963"/>
                </a:lnTo>
                <a:lnTo>
                  <a:pt x="711187" y="125659"/>
                </a:lnTo>
                <a:lnTo>
                  <a:pt x="743815" y="110445"/>
                </a:lnTo>
                <a:lnTo>
                  <a:pt x="1102082" y="878751"/>
                </a:lnTo>
                <a:lnTo>
                  <a:pt x="812140" y="82144"/>
                </a:lnTo>
                <a:lnTo>
                  <a:pt x="845969" y="69831"/>
                </a:lnTo>
                <a:lnTo>
                  <a:pt x="1135910" y="866436"/>
                </a:lnTo>
                <a:lnTo>
                  <a:pt x="916501" y="47592"/>
                </a:lnTo>
                <a:lnTo>
                  <a:pt x="951275" y="38275"/>
                </a:lnTo>
                <a:lnTo>
                  <a:pt x="1170683" y="857116"/>
                </a:lnTo>
                <a:lnTo>
                  <a:pt x="1023477" y="22268"/>
                </a:lnTo>
                <a:lnTo>
                  <a:pt x="1058929" y="16017"/>
                </a:lnTo>
                <a:lnTo>
                  <a:pt x="1206138" y="850877"/>
                </a:lnTo>
                <a:lnTo>
                  <a:pt x="1132253" y="6363"/>
                </a:lnTo>
                <a:lnTo>
                  <a:pt x="1168115" y="3226"/>
                </a:lnTo>
                <a:lnTo>
                  <a:pt x="1242000" y="847735"/>
                </a:lnTo>
                <a:lnTo>
                  <a:pt x="1242000" y="0"/>
                </a:lnTo>
                <a:lnTo>
                  <a:pt x="1278000" y="0"/>
                </a:lnTo>
                <a:lnTo>
                  <a:pt x="1278000" y="847501"/>
                </a:lnTo>
                <a:lnTo>
                  <a:pt x="1351906" y="2755"/>
                </a:lnTo>
                <a:lnTo>
                  <a:pt x="1387769" y="5893"/>
                </a:lnTo>
                <a:lnTo>
                  <a:pt x="1313905" y="850161"/>
                </a:lnTo>
                <a:lnTo>
                  <a:pt x="1461153" y="15078"/>
                </a:lnTo>
                <a:lnTo>
                  <a:pt x="1496605" y="21330"/>
                </a:lnTo>
                <a:lnTo>
                  <a:pt x="1349438" y="855956"/>
                </a:lnTo>
                <a:lnTo>
                  <a:pt x="1568910" y="36877"/>
                </a:lnTo>
                <a:lnTo>
                  <a:pt x="1603684" y="46194"/>
                </a:lnTo>
                <a:lnTo>
                  <a:pt x="1384338" y="864802"/>
                </a:lnTo>
                <a:lnTo>
                  <a:pt x="1674356" y="67983"/>
                </a:lnTo>
                <a:lnTo>
                  <a:pt x="1708185" y="80296"/>
                </a:lnTo>
                <a:lnTo>
                  <a:pt x="1418322" y="876690"/>
                </a:lnTo>
                <a:lnTo>
                  <a:pt x="1776692" y="108162"/>
                </a:lnTo>
                <a:lnTo>
                  <a:pt x="1809319" y="123377"/>
                </a:lnTo>
                <a:lnTo>
                  <a:pt x="1451151" y="891470"/>
                </a:lnTo>
                <a:lnTo>
                  <a:pt x="1875135" y="157108"/>
                </a:lnTo>
                <a:lnTo>
                  <a:pt x="1906312" y="175108"/>
                </a:lnTo>
                <a:lnTo>
                  <a:pt x="1482565" y="909059"/>
                </a:lnTo>
                <a:lnTo>
                  <a:pt x="1968938" y="214447"/>
                </a:lnTo>
                <a:lnTo>
                  <a:pt x="1998427" y="235096"/>
                </a:lnTo>
                <a:lnTo>
                  <a:pt x="1512322" y="929326"/>
                </a:lnTo>
                <a:lnTo>
                  <a:pt x="2057387" y="279743"/>
                </a:lnTo>
                <a:lnTo>
                  <a:pt x="2084964" y="302883"/>
                </a:lnTo>
                <a:lnTo>
                  <a:pt x="1540200" y="952109"/>
                </a:lnTo>
                <a:lnTo>
                  <a:pt x="2139809" y="352499"/>
                </a:lnTo>
                <a:lnTo>
                  <a:pt x="2165264" y="377956"/>
                </a:lnTo>
                <a:lnTo>
                  <a:pt x="1514438" y="1028782"/>
                </a:lnTo>
                <a:lnTo>
                  <a:pt x="2219660" y="437030"/>
                </a:lnTo>
                <a:lnTo>
                  <a:pt x="2242800" y="464608"/>
                </a:lnTo>
                <a:lnTo>
                  <a:pt x="1628988" y="979657"/>
                </a:lnTo>
                <a:lnTo>
                  <a:pt x="2281807" y="522549"/>
                </a:lnTo>
                <a:lnTo>
                  <a:pt x="2302456" y="552038"/>
                </a:lnTo>
                <a:lnTo>
                  <a:pt x="1608033" y="1038278"/>
                </a:lnTo>
                <a:lnTo>
                  <a:pt x="2342192" y="614412"/>
                </a:lnTo>
                <a:lnTo>
                  <a:pt x="2360192" y="645588"/>
                </a:lnTo>
                <a:lnTo>
                  <a:pt x="1626031" y="1069457"/>
                </a:lnTo>
                <a:lnTo>
                  <a:pt x="2394341" y="711188"/>
                </a:lnTo>
                <a:lnTo>
                  <a:pt x="2409555" y="743814"/>
                </a:lnTo>
                <a:lnTo>
                  <a:pt x="1641245" y="1102083"/>
                </a:lnTo>
                <a:lnTo>
                  <a:pt x="2437856" y="812140"/>
                </a:lnTo>
                <a:lnTo>
                  <a:pt x="2450169" y="845969"/>
                </a:lnTo>
                <a:lnTo>
                  <a:pt x="1653563" y="1135910"/>
                </a:lnTo>
                <a:lnTo>
                  <a:pt x="2472408" y="916501"/>
                </a:lnTo>
                <a:lnTo>
                  <a:pt x="2481726" y="951274"/>
                </a:lnTo>
                <a:lnTo>
                  <a:pt x="1662878" y="1170685"/>
                </a:lnTo>
                <a:lnTo>
                  <a:pt x="2497732" y="1023477"/>
                </a:lnTo>
                <a:lnTo>
                  <a:pt x="2503984" y="1058930"/>
                </a:lnTo>
                <a:lnTo>
                  <a:pt x="1669132" y="1206137"/>
                </a:lnTo>
                <a:lnTo>
                  <a:pt x="2513637" y="1132252"/>
                </a:lnTo>
                <a:lnTo>
                  <a:pt x="2516774" y="1168115"/>
                </a:lnTo>
                <a:lnTo>
                  <a:pt x="1672268" y="1242000"/>
                </a:lnTo>
                <a:lnTo>
                  <a:pt x="2520000" y="1242000"/>
                </a:lnTo>
                <a:lnTo>
                  <a:pt x="2520000" y="1278000"/>
                </a:lnTo>
                <a:lnTo>
                  <a:pt x="1672267" y="1278000"/>
                </a:lnTo>
                <a:lnTo>
                  <a:pt x="2516774" y="1351885"/>
                </a:lnTo>
                <a:lnTo>
                  <a:pt x="2513637" y="1387748"/>
                </a:lnTo>
                <a:lnTo>
                  <a:pt x="1669126" y="1313862"/>
                </a:lnTo>
                <a:lnTo>
                  <a:pt x="2503983" y="1461070"/>
                </a:lnTo>
                <a:lnTo>
                  <a:pt x="2497733" y="1496523"/>
                </a:lnTo>
                <a:lnTo>
                  <a:pt x="1662877" y="1349315"/>
                </a:lnTo>
                <a:lnTo>
                  <a:pt x="2481725" y="1568725"/>
                </a:lnTo>
                <a:lnTo>
                  <a:pt x="2472408" y="1603498"/>
                </a:lnTo>
                <a:lnTo>
                  <a:pt x="1653557" y="1384088"/>
                </a:lnTo>
                <a:lnTo>
                  <a:pt x="2450169" y="1674031"/>
                </a:lnTo>
                <a:lnTo>
                  <a:pt x="2437857" y="1707860"/>
                </a:lnTo>
                <a:lnTo>
                  <a:pt x="1641251" y="1417919"/>
                </a:lnTo>
                <a:lnTo>
                  <a:pt x="2409555" y="1776185"/>
                </a:lnTo>
                <a:lnTo>
                  <a:pt x="2394340" y="1808813"/>
                </a:lnTo>
                <a:lnTo>
                  <a:pt x="1626043" y="1450550"/>
                </a:lnTo>
                <a:lnTo>
                  <a:pt x="2360192" y="1874411"/>
                </a:lnTo>
                <a:lnTo>
                  <a:pt x="2342192" y="1905588"/>
                </a:lnTo>
                <a:lnTo>
                  <a:pt x="1608038" y="1481725"/>
                </a:lnTo>
                <a:lnTo>
                  <a:pt x="2302456" y="1967961"/>
                </a:lnTo>
                <a:lnTo>
                  <a:pt x="2281807" y="1997451"/>
                </a:lnTo>
                <a:lnTo>
                  <a:pt x="1587388" y="1511214"/>
                </a:lnTo>
                <a:lnTo>
                  <a:pt x="2236786" y="2056124"/>
                </a:lnTo>
                <a:lnTo>
                  <a:pt x="2213646" y="2083701"/>
                </a:lnTo>
                <a:lnTo>
                  <a:pt x="1564245" y="1538789"/>
                </a:lnTo>
                <a:lnTo>
                  <a:pt x="2163683" y="2138227"/>
                </a:lnTo>
                <a:lnTo>
                  <a:pt x="2138227" y="2163682"/>
                </a:lnTo>
                <a:lnTo>
                  <a:pt x="1538789" y="1564244"/>
                </a:lnTo>
                <a:lnTo>
                  <a:pt x="2083701" y="2213646"/>
                </a:lnTo>
                <a:lnTo>
                  <a:pt x="2056124" y="2236786"/>
                </a:lnTo>
                <a:lnTo>
                  <a:pt x="1511211" y="1587385"/>
                </a:lnTo>
                <a:lnTo>
                  <a:pt x="1997451" y="2281807"/>
                </a:lnTo>
                <a:lnTo>
                  <a:pt x="1967961" y="2302456"/>
                </a:lnTo>
                <a:lnTo>
                  <a:pt x="1481723" y="1608035"/>
                </a:lnTo>
                <a:lnTo>
                  <a:pt x="1905589" y="2342192"/>
                </a:lnTo>
                <a:lnTo>
                  <a:pt x="1874412" y="2360192"/>
                </a:lnTo>
                <a:lnTo>
                  <a:pt x="1450548" y="1626039"/>
                </a:lnTo>
                <a:lnTo>
                  <a:pt x="1808813" y="2394341"/>
                </a:lnTo>
                <a:lnTo>
                  <a:pt x="1776185" y="2409555"/>
                </a:lnTo>
                <a:lnTo>
                  <a:pt x="1417919" y="1641250"/>
                </a:lnTo>
                <a:lnTo>
                  <a:pt x="1707860" y="2437856"/>
                </a:lnTo>
                <a:lnTo>
                  <a:pt x="1674031" y="2450169"/>
                </a:lnTo>
                <a:lnTo>
                  <a:pt x="1384091" y="1653568"/>
                </a:lnTo>
                <a:lnTo>
                  <a:pt x="1603499" y="2472408"/>
                </a:lnTo>
                <a:lnTo>
                  <a:pt x="1568725" y="2481726"/>
                </a:lnTo>
                <a:lnTo>
                  <a:pt x="1349315" y="1662879"/>
                </a:lnTo>
                <a:lnTo>
                  <a:pt x="1496523" y="2497732"/>
                </a:lnTo>
                <a:lnTo>
                  <a:pt x="1461070" y="2503984"/>
                </a:lnTo>
                <a:lnTo>
                  <a:pt x="1313863" y="1669130"/>
                </a:lnTo>
                <a:lnTo>
                  <a:pt x="1387748" y="2513637"/>
                </a:lnTo>
                <a:lnTo>
                  <a:pt x="1351885" y="2516774"/>
                </a:lnTo>
                <a:lnTo>
                  <a:pt x="1278000" y="1672266"/>
                </a:lnTo>
                <a:lnTo>
                  <a:pt x="1278000" y="2520000"/>
                </a:lnTo>
                <a:lnTo>
                  <a:pt x="1242000" y="2520000"/>
                </a:lnTo>
                <a:lnTo>
                  <a:pt x="1242002" y="1672022"/>
                </a:lnTo>
                <a:lnTo>
                  <a:pt x="1168137" y="2516303"/>
                </a:lnTo>
                <a:lnTo>
                  <a:pt x="1132273" y="2513166"/>
                </a:lnTo>
                <a:lnTo>
                  <a:pt x="1206179" y="1668416"/>
                </a:lnTo>
                <a:lnTo>
                  <a:pt x="1059012" y="2503045"/>
                </a:lnTo>
                <a:lnTo>
                  <a:pt x="1023559" y="2496794"/>
                </a:lnTo>
                <a:lnTo>
                  <a:pt x="1170806" y="1661718"/>
                </a:lnTo>
                <a:lnTo>
                  <a:pt x="951460" y="2480327"/>
                </a:lnTo>
                <a:lnTo>
                  <a:pt x="916686" y="2471010"/>
                </a:lnTo>
                <a:lnTo>
                  <a:pt x="1136159" y="1651925"/>
                </a:lnTo>
                <a:lnTo>
                  <a:pt x="846295" y="2448322"/>
                </a:lnTo>
                <a:lnTo>
                  <a:pt x="812466" y="2436009"/>
                </a:lnTo>
                <a:lnTo>
                  <a:pt x="1102487" y="1639184"/>
                </a:lnTo>
                <a:lnTo>
                  <a:pt x="744321" y="2407272"/>
                </a:lnTo>
                <a:lnTo>
                  <a:pt x="711694" y="2392058"/>
                </a:lnTo>
                <a:lnTo>
                  <a:pt x="1070059" y="1623541"/>
                </a:lnTo>
                <a:lnTo>
                  <a:pt x="646312" y="2357492"/>
                </a:lnTo>
                <a:lnTo>
                  <a:pt x="615135" y="2339492"/>
                </a:lnTo>
                <a:lnTo>
                  <a:pt x="1039124" y="1605123"/>
                </a:lnTo>
                <a:lnTo>
                  <a:pt x="553015" y="2299359"/>
                </a:lnTo>
                <a:lnTo>
                  <a:pt x="523525" y="2278710"/>
                </a:lnTo>
                <a:lnTo>
                  <a:pt x="1009901" y="1584093"/>
                </a:lnTo>
                <a:lnTo>
                  <a:pt x="465140" y="2233315"/>
                </a:lnTo>
                <a:lnTo>
                  <a:pt x="437562" y="2210175"/>
                </a:lnTo>
                <a:lnTo>
                  <a:pt x="982624" y="1560596"/>
                </a:lnTo>
                <a:lnTo>
                  <a:pt x="383355" y="2159864"/>
                </a:lnTo>
                <a:lnTo>
                  <a:pt x="357899" y="2134408"/>
                </a:lnTo>
                <a:lnTo>
                  <a:pt x="905948" y="1586360"/>
                </a:lnTo>
                <a:lnTo>
                  <a:pt x="312368" y="2084433"/>
                </a:lnTo>
                <a:lnTo>
                  <a:pt x="289228" y="2056855"/>
                </a:lnTo>
                <a:lnTo>
                  <a:pt x="974211" y="1482086"/>
                </a:lnTo>
                <a:close/>
              </a:path>
            </a:pathLst>
          </a:cu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aphicFrame macro="">
        <xdr:nvGraphicFramePr>
          <xdr:cNvPr id="14" name="Диаграмма 13"/>
          <xdr:cNvGraphicFramePr/>
        </xdr:nvGraphicFramePr>
        <xdr:xfrm>
          <a:off x="3645601" y="1038225"/>
          <a:ext cx="1325470" cy="12811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5" name="Овал 14"/>
          <xdr:cNvSpPr/>
        </xdr:nvSpPr>
        <xdr:spPr>
          <a:xfrm>
            <a:off x="3944839" y="1313242"/>
            <a:ext cx="756879" cy="756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Овал 16"/>
          <xdr:cNvSpPr/>
        </xdr:nvSpPr>
        <xdr:spPr>
          <a:xfrm>
            <a:off x="3992221" y="1360844"/>
            <a:ext cx="662114" cy="660796"/>
          </a:xfrm>
          <a:prstGeom prst="ellipse">
            <a:avLst/>
          </a:prstGeom>
          <a:noFill/>
          <a:ln>
            <a:solidFill>
              <a:srgbClr val="4C9CB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264349</xdr:colOff>
      <xdr:row>4</xdr:row>
      <xdr:rowOff>85725</xdr:rowOff>
    </xdr:from>
    <xdr:to>
      <xdr:col>14</xdr:col>
      <xdr:colOff>370744</xdr:colOff>
      <xdr:row>11</xdr:row>
      <xdr:rowOff>33337</xdr:rowOff>
    </xdr:to>
    <xdr:grpSp>
      <xdr:nvGrpSpPr>
        <xdr:cNvPr id="41" name="Группа 40"/>
        <xdr:cNvGrpSpPr/>
      </xdr:nvGrpSpPr>
      <xdr:grpSpPr>
        <a:xfrm>
          <a:off x="4717287" y="907256"/>
          <a:ext cx="1320832" cy="1304925"/>
          <a:chOff x="4978476" y="1038225"/>
          <a:chExt cx="1328223" cy="1281112"/>
        </a:xfrm>
      </xdr:grpSpPr>
      <xdr:sp macro="" textlink="">
        <xdr:nvSpPr>
          <xdr:cNvPr id="25" name="Овал 24"/>
          <xdr:cNvSpPr/>
        </xdr:nvSpPr>
        <xdr:spPr>
          <a:xfrm>
            <a:off x="5137317" y="1170017"/>
            <a:ext cx="1040488" cy="1042451"/>
          </a:xfrm>
          <a:prstGeom prst="ellipse">
            <a:avLst/>
          </a:prstGeom>
          <a:noFill/>
          <a:ln w="22225">
            <a:solidFill>
              <a:srgbClr val="25C4FF"/>
            </a:solidFill>
          </a:ln>
          <a:effectLst>
            <a:glow rad="50800">
              <a:srgbClr val="1CCDFE">
                <a:alpha val="22000"/>
              </a:srgb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" name="Прямоугольник 38"/>
          <xdr:cNvSpPr/>
        </xdr:nvSpPr>
        <xdr:spPr>
          <a:xfrm>
            <a:off x="6121919" y="1523994"/>
            <a:ext cx="148544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Прямоугольник 39"/>
          <xdr:cNvSpPr/>
        </xdr:nvSpPr>
        <xdr:spPr>
          <a:xfrm>
            <a:off x="5051532" y="1523994"/>
            <a:ext cx="148992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Полилиния 19"/>
          <xdr:cNvSpPr/>
        </xdr:nvSpPr>
        <xdr:spPr>
          <a:xfrm rot="7800000">
            <a:off x="5187761" y="1221637"/>
            <a:ext cx="939600" cy="939209"/>
          </a:xfrm>
          <a:custGeom>
            <a:avLst/>
            <a:gdLst>
              <a:gd name="connsiteX0" fmla="*/ 238193 w 2520000"/>
              <a:gd name="connsiteY0" fmla="*/ 1997451 h 2520000"/>
              <a:gd name="connsiteX1" fmla="*/ 217544 w 2520000"/>
              <a:gd name="connsiteY1" fmla="*/ 1967962 h 2520000"/>
              <a:gd name="connsiteX2" fmla="*/ 911968 w 2520000"/>
              <a:gd name="connsiteY2" fmla="*/ 1481721 h 2520000"/>
              <a:gd name="connsiteX3" fmla="*/ 177808 w 2520000"/>
              <a:gd name="connsiteY3" fmla="*/ 1905589 h 2520000"/>
              <a:gd name="connsiteX4" fmla="*/ 159808 w 2520000"/>
              <a:gd name="connsiteY4" fmla="*/ 1874412 h 2520000"/>
              <a:gd name="connsiteX5" fmla="*/ 893967 w 2520000"/>
              <a:gd name="connsiteY5" fmla="*/ 1450545 h 2520000"/>
              <a:gd name="connsiteX6" fmla="*/ 125659 w 2520000"/>
              <a:gd name="connsiteY6" fmla="*/ 1808813 h 2520000"/>
              <a:gd name="connsiteX7" fmla="*/ 110445 w 2520000"/>
              <a:gd name="connsiteY7" fmla="*/ 1776186 h 2520000"/>
              <a:gd name="connsiteX8" fmla="*/ 878754 w 2520000"/>
              <a:gd name="connsiteY8" fmla="*/ 1417918 h 2520000"/>
              <a:gd name="connsiteX9" fmla="*/ 82144 w 2520000"/>
              <a:gd name="connsiteY9" fmla="*/ 1707860 h 2520000"/>
              <a:gd name="connsiteX10" fmla="*/ 69831 w 2520000"/>
              <a:gd name="connsiteY10" fmla="*/ 1674031 h 2520000"/>
              <a:gd name="connsiteX11" fmla="*/ 866437 w 2520000"/>
              <a:gd name="connsiteY11" fmla="*/ 1384090 h 2520000"/>
              <a:gd name="connsiteX12" fmla="*/ 47592 w 2520000"/>
              <a:gd name="connsiteY12" fmla="*/ 1603499 h 2520000"/>
              <a:gd name="connsiteX13" fmla="*/ 38275 w 2520000"/>
              <a:gd name="connsiteY13" fmla="*/ 1568725 h 2520000"/>
              <a:gd name="connsiteX14" fmla="*/ 857121 w 2520000"/>
              <a:gd name="connsiteY14" fmla="*/ 1349316 h 2520000"/>
              <a:gd name="connsiteX15" fmla="*/ 22268 w 2520000"/>
              <a:gd name="connsiteY15" fmla="*/ 1496523 h 2520000"/>
              <a:gd name="connsiteX16" fmla="*/ 16016 w 2520000"/>
              <a:gd name="connsiteY16" fmla="*/ 1461070 h 2520000"/>
              <a:gd name="connsiteX17" fmla="*/ 850870 w 2520000"/>
              <a:gd name="connsiteY17" fmla="*/ 1313863 h 2520000"/>
              <a:gd name="connsiteX18" fmla="*/ 6363 w 2520000"/>
              <a:gd name="connsiteY18" fmla="*/ 1387748 h 2520000"/>
              <a:gd name="connsiteX19" fmla="*/ 3226 w 2520000"/>
              <a:gd name="connsiteY19" fmla="*/ 1351885 h 2520000"/>
              <a:gd name="connsiteX20" fmla="*/ 847731 w 2520000"/>
              <a:gd name="connsiteY20" fmla="*/ 1278000 h 2520000"/>
              <a:gd name="connsiteX21" fmla="*/ 0 w 2520000"/>
              <a:gd name="connsiteY21" fmla="*/ 1278000 h 2520000"/>
              <a:gd name="connsiteX22" fmla="*/ 0 w 2520000"/>
              <a:gd name="connsiteY22" fmla="*/ 1242000 h 2520000"/>
              <a:gd name="connsiteX23" fmla="*/ 847733 w 2520000"/>
              <a:gd name="connsiteY23" fmla="*/ 1242001 h 2520000"/>
              <a:gd name="connsiteX24" fmla="*/ 3226 w 2520000"/>
              <a:gd name="connsiteY24" fmla="*/ 1168115 h 2520000"/>
              <a:gd name="connsiteX25" fmla="*/ 6363 w 2520000"/>
              <a:gd name="connsiteY25" fmla="*/ 1132252 h 2520000"/>
              <a:gd name="connsiteX26" fmla="*/ 850874 w 2520000"/>
              <a:gd name="connsiteY26" fmla="*/ 1206137 h 2520000"/>
              <a:gd name="connsiteX27" fmla="*/ 16017 w 2520000"/>
              <a:gd name="connsiteY27" fmla="*/ 1058930 h 2520000"/>
              <a:gd name="connsiteX28" fmla="*/ 22268 w 2520000"/>
              <a:gd name="connsiteY28" fmla="*/ 1023477 h 2520000"/>
              <a:gd name="connsiteX29" fmla="*/ 857120 w 2520000"/>
              <a:gd name="connsiteY29" fmla="*/ 1170684 h 2520000"/>
              <a:gd name="connsiteX30" fmla="*/ 38275 w 2520000"/>
              <a:gd name="connsiteY30" fmla="*/ 951275 h 2520000"/>
              <a:gd name="connsiteX31" fmla="*/ 47592 w 2520000"/>
              <a:gd name="connsiteY31" fmla="*/ 916501 h 2520000"/>
              <a:gd name="connsiteX32" fmla="*/ 866441 w 2520000"/>
              <a:gd name="connsiteY32" fmla="*/ 1135911 h 2520000"/>
              <a:gd name="connsiteX33" fmla="*/ 69831 w 2520000"/>
              <a:gd name="connsiteY33" fmla="*/ 845969 h 2520000"/>
              <a:gd name="connsiteX34" fmla="*/ 82144 w 2520000"/>
              <a:gd name="connsiteY34" fmla="*/ 812140 h 2520000"/>
              <a:gd name="connsiteX35" fmla="*/ 878751 w 2520000"/>
              <a:gd name="connsiteY35" fmla="*/ 1102082 h 2520000"/>
              <a:gd name="connsiteX36" fmla="*/ 110445 w 2520000"/>
              <a:gd name="connsiteY36" fmla="*/ 743815 h 2520000"/>
              <a:gd name="connsiteX37" fmla="*/ 125660 w 2520000"/>
              <a:gd name="connsiteY37" fmla="*/ 711187 h 2520000"/>
              <a:gd name="connsiteX38" fmla="*/ 893964 w 2520000"/>
              <a:gd name="connsiteY38" fmla="*/ 1069453 h 2520000"/>
              <a:gd name="connsiteX39" fmla="*/ 159808 w 2520000"/>
              <a:gd name="connsiteY39" fmla="*/ 645588 h 2520000"/>
              <a:gd name="connsiteX40" fmla="*/ 177808 w 2520000"/>
              <a:gd name="connsiteY40" fmla="*/ 614412 h 2520000"/>
              <a:gd name="connsiteX41" fmla="*/ 911961 w 2520000"/>
              <a:gd name="connsiteY41" fmla="*/ 1038275 h 2520000"/>
              <a:gd name="connsiteX42" fmla="*/ 217544 w 2520000"/>
              <a:gd name="connsiteY42" fmla="*/ 552039 h 2520000"/>
              <a:gd name="connsiteX43" fmla="*/ 238193 w 2520000"/>
              <a:gd name="connsiteY43" fmla="*/ 522549 h 2520000"/>
              <a:gd name="connsiteX44" fmla="*/ 932610 w 2520000"/>
              <a:gd name="connsiteY44" fmla="*/ 1008785 h 2520000"/>
              <a:gd name="connsiteX45" fmla="*/ 283214 w 2520000"/>
              <a:gd name="connsiteY45" fmla="*/ 463876 h 2520000"/>
              <a:gd name="connsiteX46" fmla="*/ 306354 w 2520000"/>
              <a:gd name="connsiteY46" fmla="*/ 436299 h 2520000"/>
              <a:gd name="connsiteX47" fmla="*/ 955755 w 2520000"/>
              <a:gd name="connsiteY47" fmla="*/ 981211 h 2520000"/>
              <a:gd name="connsiteX48" fmla="*/ 356317 w 2520000"/>
              <a:gd name="connsiteY48" fmla="*/ 381774 h 2520000"/>
              <a:gd name="connsiteX49" fmla="*/ 381773 w 2520000"/>
              <a:gd name="connsiteY49" fmla="*/ 356318 h 2520000"/>
              <a:gd name="connsiteX50" fmla="*/ 981211 w 2520000"/>
              <a:gd name="connsiteY50" fmla="*/ 955756 h 2520000"/>
              <a:gd name="connsiteX51" fmla="*/ 436299 w 2520000"/>
              <a:gd name="connsiteY51" fmla="*/ 306354 h 2520000"/>
              <a:gd name="connsiteX52" fmla="*/ 463876 w 2520000"/>
              <a:gd name="connsiteY52" fmla="*/ 283214 h 2520000"/>
              <a:gd name="connsiteX53" fmla="*/ 1008789 w 2520000"/>
              <a:gd name="connsiteY53" fmla="*/ 932616 h 2520000"/>
              <a:gd name="connsiteX54" fmla="*/ 522549 w 2520000"/>
              <a:gd name="connsiteY54" fmla="*/ 238193 h 2520000"/>
              <a:gd name="connsiteX55" fmla="*/ 552039 w 2520000"/>
              <a:gd name="connsiteY55" fmla="*/ 217544 h 2520000"/>
              <a:gd name="connsiteX56" fmla="*/ 1038278 w 2520000"/>
              <a:gd name="connsiteY56" fmla="*/ 911967 h 2520000"/>
              <a:gd name="connsiteX57" fmla="*/ 614411 w 2520000"/>
              <a:gd name="connsiteY57" fmla="*/ 177808 h 2520000"/>
              <a:gd name="connsiteX58" fmla="*/ 645588 w 2520000"/>
              <a:gd name="connsiteY58" fmla="*/ 159808 h 2520000"/>
              <a:gd name="connsiteX59" fmla="*/ 1069453 w 2520000"/>
              <a:gd name="connsiteY59" fmla="*/ 893963 h 2520000"/>
              <a:gd name="connsiteX60" fmla="*/ 711187 w 2520000"/>
              <a:gd name="connsiteY60" fmla="*/ 125659 h 2520000"/>
              <a:gd name="connsiteX61" fmla="*/ 743815 w 2520000"/>
              <a:gd name="connsiteY61" fmla="*/ 110445 h 2520000"/>
              <a:gd name="connsiteX62" fmla="*/ 1102082 w 2520000"/>
              <a:gd name="connsiteY62" fmla="*/ 878751 h 2520000"/>
              <a:gd name="connsiteX63" fmla="*/ 812140 w 2520000"/>
              <a:gd name="connsiteY63" fmla="*/ 82144 h 2520000"/>
              <a:gd name="connsiteX64" fmla="*/ 845969 w 2520000"/>
              <a:gd name="connsiteY64" fmla="*/ 69831 h 2520000"/>
              <a:gd name="connsiteX65" fmla="*/ 1135910 w 2520000"/>
              <a:gd name="connsiteY65" fmla="*/ 866436 h 2520000"/>
              <a:gd name="connsiteX66" fmla="*/ 916501 w 2520000"/>
              <a:gd name="connsiteY66" fmla="*/ 47592 h 2520000"/>
              <a:gd name="connsiteX67" fmla="*/ 951275 w 2520000"/>
              <a:gd name="connsiteY67" fmla="*/ 38275 h 2520000"/>
              <a:gd name="connsiteX68" fmla="*/ 1170683 w 2520000"/>
              <a:gd name="connsiteY68" fmla="*/ 857116 h 2520000"/>
              <a:gd name="connsiteX69" fmla="*/ 1023477 w 2520000"/>
              <a:gd name="connsiteY69" fmla="*/ 22268 h 2520000"/>
              <a:gd name="connsiteX70" fmla="*/ 1058929 w 2520000"/>
              <a:gd name="connsiteY70" fmla="*/ 16017 h 2520000"/>
              <a:gd name="connsiteX71" fmla="*/ 1206138 w 2520000"/>
              <a:gd name="connsiteY71" fmla="*/ 850877 h 2520000"/>
              <a:gd name="connsiteX72" fmla="*/ 1132253 w 2520000"/>
              <a:gd name="connsiteY72" fmla="*/ 6363 h 2520000"/>
              <a:gd name="connsiteX73" fmla="*/ 1168115 w 2520000"/>
              <a:gd name="connsiteY73" fmla="*/ 3226 h 2520000"/>
              <a:gd name="connsiteX74" fmla="*/ 1242000 w 2520000"/>
              <a:gd name="connsiteY74" fmla="*/ 847735 h 2520000"/>
              <a:gd name="connsiteX75" fmla="*/ 1242000 w 2520000"/>
              <a:gd name="connsiteY75" fmla="*/ 0 h 2520000"/>
              <a:gd name="connsiteX76" fmla="*/ 1278000 w 2520000"/>
              <a:gd name="connsiteY76" fmla="*/ 0 h 2520000"/>
              <a:gd name="connsiteX77" fmla="*/ 1278000 w 2520000"/>
              <a:gd name="connsiteY77" fmla="*/ 847501 h 2520000"/>
              <a:gd name="connsiteX78" fmla="*/ 1351906 w 2520000"/>
              <a:gd name="connsiteY78" fmla="*/ 2755 h 2520000"/>
              <a:gd name="connsiteX79" fmla="*/ 1387769 w 2520000"/>
              <a:gd name="connsiteY79" fmla="*/ 5893 h 2520000"/>
              <a:gd name="connsiteX80" fmla="*/ 1313905 w 2520000"/>
              <a:gd name="connsiteY80" fmla="*/ 850161 h 2520000"/>
              <a:gd name="connsiteX81" fmla="*/ 1461153 w 2520000"/>
              <a:gd name="connsiteY81" fmla="*/ 15078 h 2520000"/>
              <a:gd name="connsiteX82" fmla="*/ 1496605 w 2520000"/>
              <a:gd name="connsiteY82" fmla="*/ 21330 h 2520000"/>
              <a:gd name="connsiteX83" fmla="*/ 1349438 w 2520000"/>
              <a:gd name="connsiteY83" fmla="*/ 855956 h 2520000"/>
              <a:gd name="connsiteX84" fmla="*/ 1568910 w 2520000"/>
              <a:gd name="connsiteY84" fmla="*/ 36877 h 2520000"/>
              <a:gd name="connsiteX85" fmla="*/ 1603684 w 2520000"/>
              <a:gd name="connsiteY85" fmla="*/ 46194 h 2520000"/>
              <a:gd name="connsiteX86" fmla="*/ 1384338 w 2520000"/>
              <a:gd name="connsiteY86" fmla="*/ 864802 h 2520000"/>
              <a:gd name="connsiteX87" fmla="*/ 1674356 w 2520000"/>
              <a:gd name="connsiteY87" fmla="*/ 67983 h 2520000"/>
              <a:gd name="connsiteX88" fmla="*/ 1708185 w 2520000"/>
              <a:gd name="connsiteY88" fmla="*/ 80296 h 2520000"/>
              <a:gd name="connsiteX89" fmla="*/ 1418322 w 2520000"/>
              <a:gd name="connsiteY89" fmla="*/ 876690 h 2520000"/>
              <a:gd name="connsiteX90" fmla="*/ 1776692 w 2520000"/>
              <a:gd name="connsiteY90" fmla="*/ 108162 h 2520000"/>
              <a:gd name="connsiteX91" fmla="*/ 1809319 w 2520000"/>
              <a:gd name="connsiteY91" fmla="*/ 123377 h 2520000"/>
              <a:gd name="connsiteX92" fmla="*/ 1451151 w 2520000"/>
              <a:gd name="connsiteY92" fmla="*/ 891470 h 2520000"/>
              <a:gd name="connsiteX93" fmla="*/ 1875135 w 2520000"/>
              <a:gd name="connsiteY93" fmla="*/ 157108 h 2520000"/>
              <a:gd name="connsiteX94" fmla="*/ 1906312 w 2520000"/>
              <a:gd name="connsiteY94" fmla="*/ 175108 h 2520000"/>
              <a:gd name="connsiteX95" fmla="*/ 1482565 w 2520000"/>
              <a:gd name="connsiteY95" fmla="*/ 909059 h 2520000"/>
              <a:gd name="connsiteX96" fmla="*/ 1968938 w 2520000"/>
              <a:gd name="connsiteY96" fmla="*/ 214447 h 2520000"/>
              <a:gd name="connsiteX97" fmla="*/ 1998427 w 2520000"/>
              <a:gd name="connsiteY97" fmla="*/ 235096 h 2520000"/>
              <a:gd name="connsiteX98" fmla="*/ 1512322 w 2520000"/>
              <a:gd name="connsiteY98" fmla="*/ 929326 h 2520000"/>
              <a:gd name="connsiteX99" fmla="*/ 2057387 w 2520000"/>
              <a:gd name="connsiteY99" fmla="*/ 279743 h 2520000"/>
              <a:gd name="connsiteX100" fmla="*/ 2084964 w 2520000"/>
              <a:gd name="connsiteY100" fmla="*/ 302883 h 2520000"/>
              <a:gd name="connsiteX101" fmla="*/ 1540200 w 2520000"/>
              <a:gd name="connsiteY101" fmla="*/ 952109 h 2520000"/>
              <a:gd name="connsiteX102" fmla="*/ 2139809 w 2520000"/>
              <a:gd name="connsiteY102" fmla="*/ 352499 h 2520000"/>
              <a:gd name="connsiteX103" fmla="*/ 2165264 w 2520000"/>
              <a:gd name="connsiteY103" fmla="*/ 377956 h 2520000"/>
              <a:gd name="connsiteX104" fmla="*/ 1514438 w 2520000"/>
              <a:gd name="connsiteY104" fmla="*/ 1028782 h 2520000"/>
              <a:gd name="connsiteX105" fmla="*/ 2219660 w 2520000"/>
              <a:gd name="connsiteY105" fmla="*/ 437030 h 2520000"/>
              <a:gd name="connsiteX106" fmla="*/ 2242800 w 2520000"/>
              <a:gd name="connsiteY106" fmla="*/ 464608 h 2520000"/>
              <a:gd name="connsiteX107" fmla="*/ 1628988 w 2520000"/>
              <a:gd name="connsiteY107" fmla="*/ 979657 h 2520000"/>
              <a:gd name="connsiteX108" fmla="*/ 2281807 w 2520000"/>
              <a:gd name="connsiteY108" fmla="*/ 522549 h 2520000"/>
              <a:gd name="connsiteX109" fmla="*/ 2302456 w 2520000"/>
              <a:gd name="connsiteY109" fmla="*/ 552038 h 2520000"/>
              <a:gd name="connsiteX110" fmla="*/ 1608033 w 2520000"/>
              <a:gd name="connsiteY110" fmla="*/ 1038278 h 2520000"/>
              <a:gd name="connsiteX111" fmla="*/ 2342192 w 2520000"/>
              <a:gd name="connsiteY111" fmla="*/ 614412 h 2520000"/>
              <a:gd name="connsiteX112" fmla="*/ 2360192 w 2520000"/>
              <a:gd name="connsiteY112" fmla="*/ 645588 h 2520000"/>
              <a:gd name="connsiteX113" fmla="*/ 1626031 w 2520000"/>
              <a:gd name="connsiteY113" fmla="*/ 1069457 h 2520000"/>
              <a:gd name="connsiteX114" fmla="*/ 2394341 w 2520000"/>
              <a:gd name="connsiteY114" fmla="*/ 711188 h 2520000"/>
              <a:gd name="connsiteX115" fmla="*/ 2409555 w 2520000"/>
              <a:gd name="connsiteY115" fmla="*/ 743814 h 2520000"/>
              <a:gd name="connsiteX116" fmla="*/ 1641245 w 2520000"/>
              <a:gd name="connsiteY116" fmla="*/ 1102083 h 2520000"/>
              <a:gd name="connsiteX117" fmla="*/ 2437856 w 2520000"/>
              <a:gd name="connsiteY117" fmla="*/ 812140 h 2520000"/>
              <a:gd name="connsiteX118" fmla="*/ 2450169 w 2520000"/>
              <a:gd name="connsiteY118" fmla="*/ 845969 h 2520000"/>
              <a:gd name="connsiteX119" fmla="*/ 1653563 w 2520000"/>
              <a:gd name="connsiteY119" fmla="*/ 1135910 h 2520000"/>
              <a:gd name="connsiteX120" fmla="*/ 2472408 w 2520000"/>
              <a:gd name="connsiteY120" fmla="*/ 916501 h 2520000"/>
              <a:gd name="connsiteX121" fmla="*/ 2481726 w 2520000"/>
              <a:gd name="connsiteY121" fmla="*/ 951274 h 2520000"/>
              <a:gd name="connsiteX122" fmla="*/ 1662878 w 2520000"/>
              <a:gd name="connsiteY122" fmla="*/ 1170685 h 2520000"/>
              <a:gd name="connsiteX123" fmla="*/ 2497732 w 2520000"/>
              <a:gd name="connsiteY123" fmla="*/ 1023477 h 2520000"/>
              <a:gd name="connsiteX124" fmla="*/ 2503984 w 2520000"/>
              <a:gd name="connsiteY124" fmla="*/ 1058930 h 2520000"/>
              <a:gd name="connsiteX125" fmla="*/ 1669132 w 2520000"/>
              <a:gd name="connsiteY125" fmla="*/ 1206137 h 2520000"/>
              <a:gd name="connsiteX126" fmla="*/ 2513637 w 2520000"/>
              <a:gd name="connsiteY126" fmla="*/ 1132252 h 2520000"/>
              <a:gd name="connsiteX127" fmla="*/ 2516774 w 2520000"/>
              <a:gd name="connsiteY127" fmla="*/ 1168115 h 2520000"/>
              <a:gd name="connsiteX128" fmla="*/ 1672268 w 2520000"/>
              <a:gd name="connsiteY128" fmla="*/ 1242000 h 2520000"/>
              <a:gd name="connsiteX129" fmla="*/ 2520000 w 2520000"/>
              <a:gd name="connsiteY129" fmla="*/ 1242000 h 2520000"/>
              <a:gd name="connsiteX130" fmla="*/ 2520000 w 2520000"/>
              <a:gd name="connsiteY130" fmla="*/ 1278000 h 2520000"/>
              <a:gd name="connsiteX131" fmla="*/ 1672267 w 2520000"/>
              <a:gd name="connsiteY131" fmla="*/ 1278000 h 2520000"/>
              <a:gd name="connsiteX132" fmla="*/ 2516774 w 2520000"/>
              <a:gd name="connsiteY132" fmla="*/ 1351885 h 2520000"/>
              <a:gd name="connsiteX133" fmla="*/ 2513637 w 2520000"/>
              <a:gd name="connsiteY133" fmla="*/ 1387748 h 2520000"/>
              <a:gd name="connsiteX134" fmla="*/ 1669126 w 2520000"/>
              <a:gd name="connsiteY134" fmla="*/ 1313862 h 2520000"/>
              <a:gd name="connsiteX135" fmla="*/ 2503983 w 2520000"/>
              <a:gd name="connsiteY135" fmla="*/ 1461070 h 2520000"/>
              <a:gd name="connsiteX136" fmla="*/ 2497733 w 2520000"/>
              <a:gd name="connsiteY136" fmla="*/ 1496523 h 2520000"/>
              <a:gd name="connsiteX137" fmla="*/ 1662877 w 2520000"/>
              <a:gd name="connsiteY137" fmla="*/ 1349315 h 2520000"/>
              <a:gd name="connsiteX138" fmla="*/ 2481725 w 2520000"/>
              <a:gd name="connsiteY138" fmla="*/ 1568725 h 2520000"/>
              <a:gd name="connsiteX139" fmla="*/ 2472408 w 2520000"/>
              <a:gd name="connsiteY139" fmla="*/ 1603498 h 2520000"/>
              <a:gd name="connsiteX140" fmla="*/ 1653557 w 2520000"/>
              <a:gd name="connsiteY140" fmla="*/ 1384088 h 2520000"/>
              <a:gd name="connsiteX141" fmla="*/ 2450169 w 2520000"/>
              <a:gd name="connsiteY141" fmla="*/ 1674031 h 2520000"/>
              <a:gd name="connsiteX142" fmla="*/ 2437857 w 2520000"/>
              <a:gd name="connsiteY142" fmla="*/ 1707860 h 2520000"/>
              <a:gd name="connsiteX143" fmla="*/ 1641251 w 2520000"/>
              <a:gd name="connsiteY143" fmla="*/ 1417919 h 2520000"/>
              <a:gd name="connsiteX144" fmla="*/ 2409555 w 2520000"/>
              <a:gd name="connsiteY144" fmla="*/ 1776185 h 2520000"/>
              <a:gd name="connsiteX145" fmla="*/ 2394340 w 2520000"/>
              <a:gd name="connsiteY145" fmla="*/ 1808813 h 2520000"/>
              <a:gd name="connsiteX146" fmla="*/ 1626043 w 2520000"/>
              <a:gd name="connsiteY146" fmla="*/ 1450550 h 2520000"/>
              <a:gd name="connsiteX147" fmla="*/ 2360192 w 2520000"/>
              <a:gd name="connsiteY147" fmla="*/ 1874411 h 2520000"/>
              <a:gd name="connsiteX148" fmla="*/ 2342192 w 2520000"/>
              <a:gd name="connsiteY148" fmla="*/ 1905588 h 2520000"/>
              <a:gd name="connsiteX149" fmla="*/ 1608038 w 2520000"/>
              <a:gd name="connsiteY149" fmla="*/ 1481725 h 2520000"/>
              <a:gd name="connsiteX150" fmla="*/ 2302456 w 2520000"/>
              <a:gd name="connsiteY150" fmla="*/ 1967961 h 2520000"/>
              <a:gd name="connsiteX151" fmla="*/ 2281807 w 2520000"/>
              <a:gd name="connsiteY151" fmla="*/ 1997451 h 2520000"/>
              <a:gd name="connsiteX152" fmla="*/ 1587388 w 2520000"/>
              <a:gd name="connsiteY152" fmla="*/ 1511214 h 2520000"/>
              <a:gd name="connsiteX153" fmla="*/ 2236786 w 2520000"/>
              <a:gd name="connsiteY153" fmla="*/ 2056124 h 2520000"/>
              <a:gd name="connsiteX154" fmla="*/ 2213646 w 2520000"/>
              <a:gd name="connsiteY154" fmla="*/ 2083701 h 2520000"/>
              <a:gd name="connsiteX155" fmla="*/ 1564245 w 2520000"/>
              <a:gd name="connsiteY155" fmla="*/ 1538789 h 2520000"/>
              <a:gd name="connsiteX156" fmla="*/ 2163683 w 2520000"/>
              <a:gd name="connsiteY156" fmla="*/ 2138227 h 2520000"/>
              <a:gd name="connsiteX157" fmla="*/ 2138227 w 2520000"/>
              <a:gd name="connsiteY157" fmla="*/ 2163682 h 2520000"/>
              <a:gd name="connsiteX158" fmla="*/ 1538789 w 2520000"/>
              <a:gd name="connsiteY158" fmla="*/ 1564244 h 2520000"/>
              <a:gd name="connsiteX159" fmla="*/ 2083701 w 2520000"/>
              <a:gd name="connsiteY159" fmla="*/ 2213646 h 2520000"/>
              <a:gd name="connsiteX160" fmla="*/ 2056124 w 2520000"/>
              <a:gd name="connsiteY160" fmla="*/ 2236786 h 2520000"/>
              <a:gd name="connsiteX161" fmla="*/ 1511211 w 2520000"/>
              <a:gd name="connsiteY161" fmla="*/ 1587385 h 2520000"/>
              <a:gd name="connsiteX162" fmla="*/ 1997451 w 2520000"/>
              <a:gd name="connsiteY162" fmla="*/ 2281807 h 2520000"/>
              <a:gd name="connsiteX163" fmla="*/ 1967961 w 2520000"/>
              <a:gd name="connsiteY163" fmla="*/ 2302456 h 2520000"/>
              <a:gd name="connsiteX164" fmla="*/ 1481723 w 2520000"/>
              <a:gd name="connsiteY164" fmla="*/ 1608035 h 2520000"/>
              <a:gd name="connsiteX165" fmla="*/ 1905589 w 2520000"/>
              <a:gd name="connsiteY165" fmla="*/ 2342192 h 2520000"/>
              <a:gd name="connsiteX166" fmla="*/ 1874412 w 2520000"/>
              <a:gd name="connsiteY166" fmla="*/ 2360192 h 2520000"/>
              <a:gd name="connsiteX167" fmla="*/ 1450548 w 2520000"/>
              <a:gd name="connsiteY167" fmla="*/ 1626039 h 2520000"/>
              <a:gd name="connsiteX168" fmla="*/ 1808813 w 2520000"/>
              <a:gd name="connsiteY168" fmla="*/ 2394341 h 2520000"/>
              <a:gd name="connsiteX169" fmla="*/ 1776185 w 2520000"/>
              <a:gd name="connsiteY169" fmla="*/ 2409555 h 2520000"/>
              <a:gd name="connsiteX170" fmla="*/ 1417919 w 2520000"/>
              <a:gd name="connsiteY170" fmla="*/ 1641250 h 2520000"/>
              <a:gd name="connsiteX171" fmla="*/ 1707860 w 2520000"/>
              <a:gd name="connsiteY171" fmla="*/ 2437856 h 2520000"/>
              <a:gd name="connsiteX172" fmla="*/ 1674031 w 2520000"/>
              <a:gd name="connsiteY172" fmla="*/ 2450169 h 2520000"/>
              <a:gd name="connsiteX173" fmla="*/ 1384091 w 2520000"/>
              <a:gd name="connsiteY173" fmla="*/ 1653568 h 2520000"/>
              <a:gd name="connsiteX174" fmla="*/ 1603499 w 2520000"/>
              <a:gd name="connsiteY174" fmla="*/ 2472408 h 2520000"/>
              <a:gd name="connsiteX175" fmla="*/ 1568725 w 2520000"/>
              <a:gd name="connsiteY175" fmla="*/ 2481726 h 2520000"/>
              <a:gd name="connsiteX176" fmla="*/ 1349315 w 2520000"/>
              <a:gd name="connsiteY176" fmla="*/ 1662879 h 2520000"/>
              <a:gd name="connsiteX177" fmla="*/ 1496523 w 2520000"/>
              <a:gd name="connsiteY177" fmla="*/ 2497732 h 2520000"/>
              <a:gd name="connsiteX178" fmla="*/ 1461070 w 2520000"/>
              <a:gd name="connsiteY178" fmla="*/ 2503984 h 2520000"/>
              <a:gd name="connsiteX179" fmla="*/ 1313863 w 2520000"/>
              <a:gd name="connsiteY179" fmla="*/ 1669130 h 2520000"/>
              <a:gd name="connsiteX180" fmla="*/ 1387748 w 2520000"/>
              <a:gd name="connsiteY180" fmla="*/ 2513637 h 2520000"/>
              <a:gd name="connsiteX181" fmla="*/ 1351885 w 2520000"/>
              <a:gd name="connsiteY181" fmla="*/ 2516774 h 2520000"/>
              <a:gd name="connsiteX182" fmla="*/ 1278000 w 2520000"/>
              <a:gd name="connsiteY182" fmla="*/ 1672266 h 2520000"/>
              <a:gd name="connsiteX183" fmla="*/ 1278000 w 2520000"/>
              <a:gd name="connsiteY183" fmla="*/ 2520000 h 2520000"/>
              <a:gd name="connsiteX184" fmla="*/ 1242000 w 2520000"/>
              <a:gd name="connsiteY184" fmla="*/ 2520000 h 2520000"/>
              <a:gd name="connsiteX185" fmla="*/ 1242002 w 2520000"/>
              <a:gd name="connsiteY185" fmla="*/ 1672022 h 2520000"/>
              <a:gd name="connsiteX186" fmla="*/ 1168137 w 2520000"/>
              <a:gd name="connsiteY186" fmla="*/ 2516303 h 2520000"/>
              <a:gd name="connsiteX187" fmla="*/ 1132273 w 2520000"/>
              <a:gd name="connsiteY187" fmla="*/ 2513166 h 2520000"/>
              <a:gd name="connsiteX188" fmla="*/ 1206179 w 2520000"/>
              <a:gd name="connsiteY188" fmla="*/ 1668416 h 2520000"/>
              <a:gd name="connsiteX189" fmla="*/ 1059012 w 2520000"/>
              <a:gd name="connsiteY189" fmla="*/ 2503045 h 2520000"/>
              <a:gd name="connsiteX190" fmla="*/ 1023559 w 2520000"/>
              <a:gd name="connsiteY190" fmla="*/ 2496794 h 2520000"/>
              <a:gd name="connsiteX191" fmla="*/ 1170806 w 2520000"/>
              <a:gd name="connsiteY191" fmla="*/ 1661718 h 2520000"/>
              <a:gd name="connsiteX192" fmla="*/ 951460 w 2520000"/>
              <a:gd name="connsiteY192" fmla="*/ 2480327 h 2520000"/>
              <a:gd name="connsiteX193" fmla="*/ 916686 w 2520000"/>
              <a:gd name="connsiteY193" fmla="*/ 2471010 h 2520000"/>
              <a:gd name="connsiteX194" fmla="*/ 1136159 w 2520000"/>
              <a:gd name="connsiteY194" fmla="*/ 1651925 h 2520000"/>
              <a:gd name="connsiteX195" fmla="*/ 846295 w 2520000"/>
              <a:gd name="connsiteY195" fmla="*/ 2448322 h 2520000"/>
              <a:gd name="connsiteX196" fmla="*/ 812466 w 2520000"/>
              <a:gd name="connsiteY196" fmla="*/ 2436009 h 2520000"/>
              <a:gd name="connsiteX197" fmla="*/ 1102487 w 2520000"/>
              <a:gd name="connsiteY197" fmla="*/ 1639184 h 2520000"/>
              <a:gd name="connsiteX198" fmla="*/ 744321 w 2520000"/>
              <a:gd name="connsiteY198" fmla="*/ 2407272 h 2520000"/>
              <a:gd name="connsiteX199" fmla="*/ 711694 w 2520000"/>
              <a:gd name="connsiteY199" fmla="*/ 2392058 h 2520000"/>
              <a:gd name="connsiteX200" fmla="*/ 1070059 w 2520000"/>
              <a:gd name="connsiteY200" fmla="*/ 1623541 h 2520000"/>
              <a:gd name="connsiteX201" fmla="*/ 646312 w 2520000"/>
              <a:gd name="connsiteY201" fmla="*/ 2357492 h 2520000"/>
              <a:gd name="connsiteX202" fmla="*/ 615135 w 2520000"/>
              <a:gd name="connsiteY202" fmla="*/ 2339492 h 2520000"/>
              <a:gd name="connsiteX203" fmla="*/ 1039124 w 2520000"/>
              <a:gd name="connsiteY203" fmla="*/ 1605123 h 2520000"/>
              <a:gd name="connsiteX204" fmla="*/ 553015 w 2520000"/>
              <a:gd name="connsiteY204" fmla="*/ 2299359 h 2520000"/>
              <a:gd name="connsiteX205" fmla="*/ 523525 w 2520000"/>
              <a:gd name="connsiteY205" fmla="*/ 2278710 h 2520000"/>
              <a:gd name="connsiteX206" fmla="*/ 1009901 w 2520000"/>
              <a:gd name="connsiteY206" fmla="*/ 1584093 h 2520000"/>
              <a:gd name="connsiteX207" fmla="*/ 465140 w 2520000"/>
              <a:gd name="connsiteY207" fmla="*/ 2233315 h 2520000"/>
              <a:gd name="connsiteX208" fmla="*/ 437562 w 2520000"/>
              <a:gd name="connsiteY208" fmla="*/ 2210175 h 2520000"/>
              <a:gd name="connsiteX209" fmla="*/ 982624 w 2520000"/>
              <a:gd name="connsiteY209" fmla="*/ 1560596 h 2520000"/>
              <a:gd name="connsiteX210" fmla="*/ 383355 w 2520000"/>
              <a:gd name="connsiteY210" fmla="*/ 2159864 h 2520000"/>
              <a:gd name="connsiteX211" fmla="*/ 357899 w 2520000"/>
              <a:gd name="connsiteY211" fmla="*/ 2134408 h 2520000"/>
              <a:gd name="connsiteX212" fmla="*/ 905948 w 2520000"/>
              <a:gd name="connsiteY212" fmla="*/ 1586360 h 2520000"/>
              <a:gd name="connsiteX213" fmla="*/ 312368 w 2520000"/>
              <a:gd name="connsiteY213" fmla="*/ 2084433 h 2520000"/>
              <a:gd name="connsiteX214" fmla="*/ 289228 w 2520000"/>
              <a:gd name="connsiteY214" fmla="*/ 2056855 h 2520000"/>
              <a:gd name="connsiteX215" fmla="*/ 974211 w 2520000"/>
              <a:gd name="connsiteY215" fmla="*/ 1482086 h 252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  <a:cxn ang="0">
                <a:pos x="connsiteX156" y="connsiteY156"/>
              </a:cxn>
              <a:cxn ang="0">
                <a:pos x="connsiteX157" y="connsiteY157"/>
              </a:cxn>
              <a:cxn ang="0">
                <a:pos x="connsiteX158" y="connsiteY158"/>
              </a:cxn>
              <a:cxn ang="0">
                <a:pos x="connsiteX159" y="connsiteY159"/>
              </a:cxn>
              <a:cxn ang="0">
                <a:pos x="connsiteX160" y="connsiteY160"/>
              </a:cxn>
              <a:cxn ang="0">
                <a:pos x="connsiteX161" y="connsiteY161"/>
              </a:cxn>
              <a:cxn ang="0">
                <a:pos x="connsiteX162" y="connsiteY162"/>
              </a:cxn>
              <a:cxn ang="0">
                <a:pos x="connsiteX163" y="connsiteY163"/>
              </a:cxn>
              <a:cxn ang="0">
                <a:pos x="connsiteX164" y="connsiteY164"/>
              </a:cxn>
              <a:cxn ang="0">
                <a:pos x="connsiteX165" y="connsiteY165"/>
              </a:cxn>
              <a:cxn ang="0">
                <a:pos x="connsiteX166" y="connsiteY166"/>
              </a:cxn>
              <a:cxn ang="0">
                <a:pos x="connsiteX167" y="connsiteY167"/>
              </a:cxn>
              <a:cxn ang="0">
                <a:pos x="connsiteX168" y="connsiteY168"/>
              </a:cxn>
              <a:cxn ang="0">
                <a:pos x="connsiteX169" y="connsiteY169"/>
              </a:cxn>
              <a:cxn ang="0">
                <a:pos x="connsiteX170" y="connsiteY170"/>
              </a:cxn>
              <a:cxn ang="0">
                <a:pos x="connsiteX171" y="connsiteY171"/>
              </a:cxn>
              <a:cxn ang="0">
                <a:pos x="connsiteX172" y="connsiteY172"/>
              </a:cxn>
              <a:cxn ang="0">
                <a:pos x="connsiteX173" y="connsiteY173"/>
              </a:cxn>
              <a:cxn ang="0">
                <a:pos x="connsiteX174" y="connsiteY174"/>
              </a:cxn>
              <a:cxn ang="0">
                <a:pos x="connsiteX175" y="connsiteY175"/>
              </a:cxn>
              <a:cxn ang="0">
                <a:pos x="connsiteX176" y="connsiteY176"/>
              </a:cxn>
              <a:cxn ang="0">
                <a:pos x="connsiteX177" y="connsiteY177"/>
              </a:cxn>
              <a:cxn ang="0">
                <a:pos x="connsiteX178" y="connsiteY178"/>
              </a:cxn>
              <a:cxn ang="0">
                <a:pos x="connsiteX179" y="connsiteY179"/>
              </a:cxn>
              <a:cxn ang="0">
                <a:pos x="connsiteX180" y="connsiteY180"/>
              </a:cxn>
              <a:cxn ang="0">
                <a:pos x="connsiteX181" y="connsiteY181"/>
              </a:cxn>
              <a:cxn ang="0">
                <a:pos x="connsiteX182" y="connsiteY182"/>
              </a:cxn>
              <a:cxn ang="0">
                <a:pos x="connsiteX183" y="connsiteY183"/>
              </a:cxn>
              <a:cxn ang="0">
                <a:pos x="connsiteX184" y="connsiteY184"/>
              </a:cxn>
              <a:cxn ang="0">
                <a:pos x="connsiteX185" y="connsiteY185"/>
              </a:cxn>
              <a:cxn ang="0">
                <a:pos x="connsiteX186" y="connsiteY186"/>
              </a:cxn>
              <a:cxn ang="0">
                <a:pos x="connsiteX187" y="connsiteY187"/>
              </a:cxn>
              <a:cxn ang="0">
                <a:pos x="connsiteX188" y="connsiteY188"/>
              </a:cxn>
              <a:cxn ang="0">
                <a:pos x="connsiteX189" y="connsiteY189"/>
              </a:cxn>
              <a:cxn ang="0">
                <a:pos x="connsiteX190" y="connsiteY190"/>
              </a:cxn>
              <a:cxn ang="0">
                <a:pos x="connsiteX191" y="connsiteY191"/>
              </a:cxn>
              <a:cxn ang="0">
                <a:pos x="connsiteX192" y="connsiteY192"/>
              </a:cxn>
              <a:cxn ang="0">
                <a:pos x="connsiteX193" y="connsiteY193"/>
              </a:cxn>
              <a:cxn ang="0">
                <a:pos x="connsiteX194" y="connsiteY194"/>
              </a:cxn>
              <a:cxn ang="0">
                <a:pos x="connsiteX195" y="connsiteY195"/>
              </a:cxn>
              <a:cxn ang="0">
                <a:pos x="connsiteX196" y="connsiteY196"/>
              </a:cxn>
              <a:cxn ang="0">
                <a:pos x="connsiteX197" y="connsiteY197"/>
              </a:cxn>
              <a:cxn ang="0">
                <a:pos x="connsiteX198" y="connsiteY198"/>
              </a:cxn>
              <a:cxn ang="0">
                <a:pos x="connsiteX199" y="connsiteY199"/>
              </a:cxn>
              <a:cxn ang="0">
                <a:pos x="connsiteX200" y="connsiteY200"/>
              </a:cxn>
              <a:cxn ang="0">
                <a:pos x="connsiteX201" y="connsiteY201"/>
              </a:cxn>
              <a:cxn ang="0">
                <a:pos x="connsiteX202" y="connsiteY202"/>
              </a:cxn>
              <a:cxn ang="0">
                <a:pos x="connsiteX203" y="connsiteY203"/>
              </a:cxn>
              <a:cxn ang="0">
                <a:pos x="connsiteX204" y="connsiteY204"/>
              </a:cxn>
              <a:cxn ang="0">
                <a:pos x="connsiteX205" y="connsiteY205"/>
              </a:cxn>
              <a:cxn ang="0">
                <a:pos x="connsiteX206" y="connsiteY206"/>
              </a:cxn>
              <a:cxn ang="0">
                <a:pos x="connsiteX207" y="connsiteY207"/>
              </a:cxn>
              <a:cxn ang="0">
                <a:pos x="connsiteX208" y="connsiteY208"/>
              </a:cxn>
              <a:cxn ang="0">
                <a:pos x="connsiteX209" y="connsiteY209"/>
              </a:cxn>
              <a:cxn ang="0">
                <a:pos x="connsiteX210" y="connsiteY210"/>
              </a:cxn>
              <a:cxn ang="0">
                <a:pos x="connsiteX211" y="connsiteY211"/>
              </a:cxn>
              <a:cxn ang="0">
                <a:pos x="connsiteX212" y="connsiteY212"/>
              </a:cxn>
              <a:cxn ang="0">
                <a:pos x="connsiteX213" y="connsiteY213"/>
              </a:cxn>
              <a:cxn ang="0">
                <a:pos x="connsiteX214" y="connsiteY214"/>
              </a:cxn>
              <a:cxn ang="0">
                <a:pos x="connsiteX215" y="connsiteY215"/>
              </a:cxn>
            </a:cxnLst>
            <a:rect l="l" t="t" r="r" b="b"/>
            <a:pathLst>
              <a:path w="2520000" h="2520000">
                <a:moveTo>
                  <a:pt x="238193" y="1997451"/>
                </a:moveTo>
                <a:lnTo>
                  <a:pt x="217544" y="1967962"/>
                </a:lnTo>
                <a:lnTo>
                  <a:pt x="911968" y="1481721"/>
                </a:lnTo>
                <a:lnTo>
                  <a:pt x="177808" y="1905589"/>
                </a:lnTo>
                <a:lnTo>
                  <a:pt x="159808" y="1874412"/>
                </a:lnTo>
                <a:lnTo>
                  <a:pt x="893967" y="1450545"/>
                </a:lnTo>
                <a:lnTo>
                  <a:pt x="125659" y="1808813"/>
                </a:lnTo>
                <a:lnTo>
                  <a:pt x="110445" y="1776186"/>
                </a:lnTo>
                <a:lnTo>
                  <a:pt x="878754" y="1417918"/>
                </a:lnTo>
                <a:lnTo>
                  <a:pt x="82144" y="1707860"/>
                </a:lnTo>
                <a:lnTo>
                  <a:pt x="69831" y="1674031"/>
                </a:lnTo>
                <a:lnTo>
                  <a:pt x="866437" y="1384090"/>
                </a:lnTo>
                <a:lnTo>
                  <a:pt x="47592" y="1603499"/>
                </a:lnTo>
                <a:lnTo>
                  <a:pt x="38275" y="1568725"/>
                </a:lnTo>
                <a:lnTo>
                  <a:pt x="857121" y="1349316"/>
                </a:lnTo>
                <a:lnTo>
                  <a:pt x="22268" y="1496523"/>
                </a:lnTo>
                <a:lnTo>
                  <a:pt x="16016" y="1461070"/>
                </a:lnTo>
                <a:lnTo>
                  <a:pt x="850870" y="1313863"/>
                </a:lnTo>
                <a:lnTo>
                  <a:pt x="6363" y="1387748"/>
                </a:lnTo>
                <a:lnTo>
                  <a:pt x="3226" y="1351885"/>
                </a:lnTo>
                <a:lnTo>
                  <a:pt x="847731" y="1278000"/>
                </a:lnTo>
                <a:lnTo>
                  <a:pt x="0" y="1278000"/>
                </a:lnTo>
                <a:lnTo>
                  <a:pt x="0" y="1242000"/>
                </a:lnTo>
                <a:lnTo>
                  <a:pt x="847733" y="1242001"/>
                </a:lnTo>
                <a:lnTo>
                  <a:pt x="3226" y="1168115"/>
                </a:lnTo>
                <a:lnTo>
                  <a:pt x="6363" y="1132252"/>
                </a:lnTo>
                <a:lnTo>
                  <a:pt x="850874" y="1206137"/>
                </a:lnTo>
                <a:lnTo>
                  <a:pt x="16017" y="1058930"/>
                </a:lnTo>
                <a:lnTo>
                  <a:pt x="22268" y="1023477"/>
                </a:lnTo>
                <a:lnTo>
                  <a:pt x="857120" y="1170684"/>
                </a:lnTo>
                <a:lnTo>
                  <a:pt x="38275" y="951275"/>
                </a:lnTo>
                <a:lnTo>
                  <a:pt x="47592" y="916501"/>
                </a:lnTo>
                <a:lnTo>
                  <a:pt x="866441" y="1135911"/>
                </a:lnTo>
                <a:lnTo>
                  <a:pt x="69831" y="845969"/>
                </a:lnTo>
                <a:lnTo>
                  <a:pt x="82144" y="812140"/>
                </a:lnTo>
                <a:lnTo>
                  <a:pt x="878751" y="1102082"/>
                </a:lnTo>
                <a:lnTo>
                  <a:pt x="110445" y="743815"/>
                </a:lnTo>
                <a:lnTo>
                  <a:pt x="125660" y="711187"/>
                </a:lnTo>
                <a:lnTo>
                  <a:pt x="893964" y="1069453"/>
                </a:lnTo>
                <a:lnTo>
                  <a:pt x="159808" y="645588"/>
                </a:lnTo>
                <a:lnTo>
                  <a:pt x="177808" y="614412"/>
                </a:lnTo>
                <a:lnTo>
                  <a:pt x="911961" y="1038275"/>
                </a:lnTo>
                <a:lnTo>
                  <a:pt x="217544" y="552039"/>
                </a:lnTo>
                <a:lnTo>
                  <a:pt x="238193" y="522549"/>
                </a:lnTo>
                <a:lnTo>
                  <a:pt x="932610" y="1008785"/>
                </a:lnTo>
                <a:lnTo>
                  <a:pt x="283214" y="463876"/>
                </a:lnTo>
                <a:lnTo>
                  <a:pt x="306354" y="436299"/>
                </a:lnTo>
                <a:lnTo>
                  <a:pt x="955755" y="981211"/>
                </a:lnTo>
                <a:lnTo>
                  <a:pt x="356317" y="381774"/>
                </a:lnTo>
                <a:lnTo>
                  <a:pt x="381773" y="356318"/>
                </a:lnTo>
                <a:lnTo>
                  <a:pt x="981211" y="955756"/>
                </a:lnTo>
                <a:lnTo>
                  <a:pt x="436299" y="306354"/>
                </a:lnTo>
                <a:lnTo>
                  <a:pt x="463876" y="283214"/>
                </a:lnTo>
                <a:lnTo>
                  <a:pt x="1008789" y="932616"/>
                </a:lnTo>
                <a:lnTo>
                  <a:pt x="522549" y="238193"/>
                </a:lnTo>
                <a:lnTo>
                  <a:pt x="552039" y="217544"/>
                </a:lnTo>
                <a:lnTo>
                  <a:pt x="1038278" y="911967"/>
                </a:lnTo>
                <a:lnTo>
                  <a:pt x="614411" y="177808"/>
                </a:lnTo>
                <a:lnTo>
                  <a:pt x="645588" y="159808"/>
                </a:lnTo>
                <a:lnTo>
                  <a:pt x="1069453" y="893963"/>
                </a:lnTo>
                <a:lnTo>
                  <a:pt x="711187" y="125659"/>
                </a:lnTo>
                <a:lnTo>
                  <a:pt x="743815" y="110445"/>
                </a:lnTo>
                <a:lnTo>
                  <a:pt x="1102082" y="878751"/>
                </a:lnTo>
                <a:lnTo>
                  <a:pt x="812140" y="82144"/>
                </a:lnTo>
                <a:lnTo>
                  <a:pt x="845969" y="69831"/>
                </a:lnTo>
                <a:lnTo>
                  <a:pt x="1135910" y="866436"/>
                </a:lnTo>
                <a:lnTo>
                  <a:pt x="916501" y="47592"/>
                </a:lnTo>
                <a:lnTo>
                  <a:pt x="951275" y="38275"/>
                </a:lnTo>
                <a:lnTo>
                  <a:pt x="1170683" y="857116"/>
                </a:lnTo>
                <a:lnTo>
                  <a:pt x="1023477" y="22268"/>
                </a:lnTo>
                <a:lnTo>
                  <a:pt x="1058929" y="16017"/>
                </a:lnTo>
                <a:lnTo>
                  <a:pt x="1206138" y="850877"/>
                </a:lnTo>
                <a:lnTo>
                  <a:pt x="1132253" y="6363"/>
                </a:lnTo>
                <a:lnTo>
                  <a:pt x="1168115" y="3226"/>
                </a:lnTo>
                <a:lnTo>
                  <a:pt x="1242000" y="847735"/>
                </a:lnTo>
                <a:lnTo>
                  <a:pt x="1242000" y="0"/>
                </a:lnTo>
                <a:lnTo>
                  <a:pt x="1278000" y="0"/>
                </a:lnTo>
                <a:lnTo>
                  <a:pt x="1278000" y="847501"/>
                </a:lnTo>
                <a:lnTo>
                  <a:pt x="1351906" y="2755"/>
                </a:lnTo>
                <a:lnTo>
                  <a:pt x="1387769" y="5893"/>
                </a:lnTo>
                <a:lnTo>
                  <a:pt x="1313905" y="850161"/>
                </a:lnTo>
                <a:lnTo>
                  <a:pt x="1461153" y="15078"/>
                </a:lnTo>
                <a:lnTo>
                  <a:pt x="1496605" y="21330"/>
                </a:lnTo>
                <a:lnTo>
                  <a:pt x="1349438" y="855956"/>
                </a:lnTo>
                <a:lnTo>
                  <a:pt x="1568910" y="36877"/>
                </a:lnTo>
                <a:lnTo>
                  <a:pt x="1603684" y="46194"/>
                </a:lnTo>
                <a:lnTo>
                  <a:pt x="1384338" y="864802"/>
                </a:lnTo>
                <a:lnTo>
                  <a:pt x="1674356" y="67983"/>
                </a:lnTo>
                <a:lnTo>
                  <a:pt x="1708185" y="80296"/>
                </a:lnTo>
                <a:lnTo>
                  <a:pt x="1418322" y="876690"/>
                </a:lnTo>
                <a:lnTo>
                  <a:pt x="1776692" y="108162"/>
                </a:lnTo>
                <a:lnTo>
                  <a:pt x="1809319" y="123377"/>
                </a:lnTo>
                <a:lnTo>
                  <a:pt x="1451151" y="891470"/>
                </a:lnTo>
                <a:lnTo>
                  <a:pt x="1875135" y="157108"/>
                </a:lnTo>
                <a:lnTo>
                  <a:pt x="1906312" y="175108"/>
                </a:lnTo>
                <a:lnTo>
                  <a:pt x="1482565" y="909059"/>
                </a:lnTo>
                <a:lnTo>
                  <a:pt x="1968938" y="214447"/>
                </a:lnTo>
                <a:lnTo>
                  <a:pt x="1998427" y="235096"/>
                </a:lnTo>
                <a:lnTo>
                  <a:pt x="1512322" y="929326"/>
                </a:lnTo>
                <a:lnTo>
                  <a:pt x="2057387" y="279743"/>
                </a:lnTo>
                <a:lnTo>
                  <a:pt x="2084964" y="302883"/>
                </a:lnTo>
                <a:lnTo>
                  <a:pt x="1540200" y="952109"/>
                </a:lnTo>
                <a:lnTo>
                  <a:pt x="2139809" y="352499"/>
                </a:lnTo>
                <a:lnTo>
                  <a:pt x="2165264" y="377956"/>
                </a:lnTo>
                <a:lnTo>
                  <a:pt x="1514438" y="1028782"/>
                </a:lnTo>
                <a:lnTo>
                  <a:pt x="2219660" y="437030"/>
                </a:lnTo>
                <a:lnTo>
                  <a:pt x="2242800" y="464608"/>
                </a:lnTo>
                <a:lnTo>
                  <a:pt x="1628988" y="979657"/>
                </a:lnTo>
                <a:lnTo>
                  <a:pt x="2281807" y="522549"/>
                </a:lnTo>
                <a:lnTo>
                  <a:pt x="2302456" y="552038"/>
                </a:lnTo>
                <a:lnTo>
                  <a:pt x="1608033" y="1038278"/>
                </a:lnTo>
                <a:lnTo>
                  <a:pt x="2342192" y="614412"/>
                </a:lnTo>
                <a:lnTo>
                  <a:pt x="2360192" y="645588"/>
                </a:lnTo>
                <a:lnTo>
                  <a:pt x="1626031" y="1069457"/>
                </a:lnTo>
                <a:lnTo>
                  <a:pt x="2394341" y="711188"/>
                </a:lnTo>
                <a:lnTo>
                  <a:pt x="2409555" y="743814"/>
                </a:lnTo>
                <a:lnTo>
                  <a:pt x="1641245" y="1102083"/>
                </a:lnTo>
                <a:lnTo>
                  <a:pt x="2437856" y="812140"/>
                </a:lnTo>
                <a:lnTo>
                  <a:pt x="2450169" y="845969"/>
                </a:lnTo>
                <a:lnTo>
                  <a:pt x="1653563" y="1135910"/>
                </a:lnTo>
                <a:lnTo>
                  <a:pt x="2472408" y="916501"/>
                </a:lnTo>
                <a:lnTo>
                  <a:pt x="2481726" y="951274"/>
                </a:lnTo>
                <a:lnTo>
                  <a:pt x="1662878" y="1170685"/>
                </a:lnTo>
                <a:lnTo>
                  <a:pt x="2497732" y="1023477"/>
                </a:lnTo>
                <a:lnTo>
                  <a:pt x="2503984" y="1058930"/>
                </a:lnTo>
                <a:lnTo>
                  <a:pt x="1669132" y="1206137"/>
                </a:lnTo>
                <a:lnTo>
                  <a:pt x="2513637" y="1132252"/>
                </a:lnTo>
                <a:lnTo>
                  <a:pt x="2516774" y="1168115"/>
                </a:lnTo>
                <a:lnTo>
                  <a:pt x="1672268" y="1242000"/>
                </a:lnTo>
                <a:lnTo>
                  <a:pt x="2520000" y="1242000"/>
                </a:lnTo>
                <a:lnTo>
                  <a:pt x="2520000" y="1278000"/>
                </a:lnTo>
                <a:lnTo>
                  <a:pt x="1672267" y="1278000"/>
                </a:lnTo>
                <a:lnTo>
                  <a:pt x="2516774" y="1351885"/>
                </a:lnTo>
                <a:lnTo>
                  <a:pt x="2513637" y="1387748"/>
                </a:lnTo>
                <a:lnTo>
                  <a:pt x="1669126" y="1313862"/>
                </a:lnTo>
                <a:lnTo>
                  <a:pt x="2503983" y="1461070"/>
                </a:lnTo>
                <a:lnTo>
                  <a:pt x="2497733" y="1496523"/>
                </a:lnTo>
                <a:lnTo>
                  <a:pt x="1662877" y="1349315"/>
                </a:lnTo>
                <a:lnTo>
                  <a:pt x="2481725" y="1568725"/>
                </a:lnTo>
                <a:lnTo>
                  <a:pt x="2472408" y="1603498"/>
                </a:lnTo>
                <a:lnTo>
                  <a:pt x="1653557" y="1384088"/>
                </a:lnTo>
                <a:lnTo>
                  <a:pt x="2450169" y="1674031"/>
                </a:lnTo>
                <a:lnTo>
                  <a:pt x="2437857" y="1707860"/>
                </a:lnTo>
                <a:lnTo>
                  <a:pt x="1641251" y="1417919"/>
                </a:lnTo>
                <a:lnTo>
                  <a:pt x="2409555" y="1776185"/>
                </a:lnTo>
                <a:lnTo>
                  <a:pt x="2394340" y="1808813"/>
                </a:lnTo>
                <a:lnTo>
                  <a:pt x="1626043" y="1450550"/>
                </a:lnTo>
                <a:lnTo>
                  <a:pt x="2360192" y="1874411"/>
                </a:lnTo>
                <a:lnTo>
                  <a:pt x="2342192" y="1905588"/>
                </a:lnTo>
                <a:lnTo>
                  <a:pt x="1608038" y="1481725"/>
                </a:lnTo>
                <a:lnTo>
                  <a:pt x="2302456" y="1967961"/>
                </a:lnTo>
                <a:lnTo>
                  <a:pt x="2281807" y="1997451"/>
                </a:lnTo>
                <a:lnTo>
                  <a:pt x="1587388" y="1511214"/>
                </a:lnTo>
                <a:lnTo>
                  <a:pt x="2236786" y="2056124"/>
                </a:lnTo>
                <a:lnTo>
                  <a:pt x="2213646" y="2083701"/>
                </a:lnTo>
                <a:lnTo>
                  <a:pt x="1564245" y="1538789"/>
                </a:lnTo>
                <a:lnTo>
                  <a:pt x="2163683" y="2138227"/>
                </a:lnTo>
                <a:lnTo>
                  <a:pt x="2138227" y="2163682"/>
                </a:lnTo>
                <a:lnTo>
                  <a:pt x="1538789" y="1564244"/>
                </a:lnTo>
                <a:lnTo>
                  <a:pt x="2083701" y="2213646"/>
                </a:lnTo>
                <a:lnTo>
                  <a:pt x="2056124" y="2236786"/>
                </a:lnTo>
                <a:lnTo>
                  <a:pt x="1511211" y="1587385"/>
                </a:lnTo>
                <a:lnTo>
                  <a:pt x="1997451" y="2281807"/>
                </a:lnTo>
                <a:lnTo>
                  <a:pt x="1967961" y="2302456"/>
                </a:lnTo>
                <a:lnTo>
                  <a:pt x="1481723" y="1608035"/>
                </a:lnTo>
                <a:lnTo>
                  <a:pt x="1905589" y="2342192"/>
                </a:lnTo>
                <a:lnTo>
                  <a:pt x="1874412" y="2360192"/>
                </a:lnTo>
                <a:lnTo>
                  <a:pt x="1450548" y="1626039"/>
                </a:lnTo>
                <a:lnTo>
                  <a:pt x="1808813" y="2394341"/>
                </a:lnTo>
                <a:lnTo>
                  <a:pt x="1776185" y="2409555"/>
                </a:lnTo>
                <a:lnTo>
                  <a:pt x="1417919" y="1641250"/>
                </a:lnTo>
                <a:lnTo>
                  <a:pt x="1707860" y="2437856"/>
                </a:lnTo>
                <a:lnTo>
                  <a:pt x="1674031" y="2450169"/>
                </a:lnTo>
                <a:lnTo>
                  <a:pt x="1384091" y="1653568"/>
                </a:lnTo>
                <a:lnTo>
                  <a:pt x="1603499" y="2472408"/>
                </a:lnTo>
                <a:lnTo>
                  <a:pt x="1568725" y="2481726"/>
                </a:lnTo>
                <a:lnTo>
                  <a:pt x="1349315" y="1662879"/>
                </a:lnTo>
                <a:lnTo>
                  <a:pt x="1496523" y="2497732"/>
                </a:lnTo>
                <a:lnTo>
                  <a:pt x="1461070" y="2503984"/>
                </a:lnTo>
                <a:lnTo>
                  <a:pt x="1313863" y="1669130"/>
                </a:lnTo>
                <a:lnTo>
                  <a:pt x="1387748" y="2513637"/>
                </a:lnTo>
                <a:lnTo>
                  <a:pt x="1351885" y="2516774"/>
                </a:lnTo>
                <a:lnTo>
                  <a:pt x="1278000" y="1672266"/>
                </a:lnTo>
                <a:lnTo>
                  <a:pt x="1278000" y="2520000"/>
                </a:lnTo>
                <a:lnTo>
                  <a:pt x="1242000" y="2520000"/>
                </a:lnTo>
                <a:lnTo>
                  <a:pt x="1242002" y="1672022"/>
                </a:lnTo>
                <a:lnTo>
                  <a:pt x="1168137" y="2516303"/>
                </a:lnTo>
                <a:lnTo>
                  <a:pt x="1132273" y="2513166"/>
                </a:lnTo>
                <a:lnTo>
                  <a:pt x="1206179" y="1668416"/>
                </a:lnTo>
                <a:lnTo>
                  <a:pt x="1059012" y="2503045"/>
                </a:lnTo>
                <a:lnTo>
                  <a:pt x="1023559" y="2496794"/>
                </a:lnTo>
                <a:lnTo>
                  <a:pt x="1170806" y="1661718"/>
                </a:lnTo>
                <a:lnTo>
                  <a:pt x="951460" y="2480327"/>
                </a:lnTo>
                <a:lnTo>
                  <a:pt x="916686" y="2471010"/>
                </a:lnTo>
                <a:lnTo>
                  <a:pt x="1136159" y="1651925"/>
                </a:lnTo>
                <a:lnTo>
                  <a:pt x="846295" y="2448322"/>
                </a:lnTo>
                <a:lnTo>
                  <a:pt x="812466" y="2436009"/>
                </a:lnTo>
                <a:lnTo>
                  <a:pt x="1102487" y="1639184"/>
                </a:lnTo>
                <a:lnTo>
                  <a:pt x="744321" y="2407272"/>
                </a:lnTo>
                <a:lnTo>
                  <a:pt x="711694" y="2392058"/>
                </a:lnTo>
                <a:lnTo>
                  <a:pt x="1070059" y="1623541"/>
                </a:lnTo>
                <a:lnTo>
                  <a:pt x="646312" y="2357492"/>
                </a:lnTo>
                <a:lnTo>
                  <a:pt x="615135" y="2339492"/>
                </a:lnTo>
                <a:lnTo>
                  <a:pt x="1039124" y="1605123"/>
                </a:lnTo>
                <a:lnTo>
                  <a:pt x="553015" y="2299359"/>
                </a:lnTo>
                <a:lnTo>
                  <a:pt x="523525" y="2278710"/>
                </a:lnTo>
                <a:lnTo>
                  <a:pt x="1009901" y="1584093"/>
                </a:lnTo>
                <a:lnTo>
                  <a:pt x="465140" y="2233315"/>
                </a:lnTo>
                <a:lnTo>
                  <a:pt x="437562" y="2210175"/>
                </a:lnTo>
                <a:lnTo>
                  <a:pt x="982624" y="1560596"/>
                </a:lnTo>
                <a:lnTo>
                  <a:pt x="383355" y="2159864"/>
                </a:lnTo>
                <a:lnTo>
                  <a:pt x="357899" y="2134408"/>
                </a:lnTo>
                <a:lnTo>
                  <a:pt x="905948" y="1586360"/>
                </a:lnTo>
                <a:lnTo>
                  <a:pt x="312368" y="2084433"/>
                </a:lnTo>
                <a:lnTo>
                  <a:pt x="289228" y="2056855"/>
                </a:lnTo>
                <a:lnTo>
                  <a:pt x="974211" y="1482086"/>
                </a:lnTo>
                <a:close/>
              </a:path>
            </a:pathLst>
          </a:custGeom>
          <a:solidFill>
            <a:srgbClr val="DC23E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aphicFrame macro="">
        <xdr:nvGraphicFramePr>
          <xdr:cNvPr id="21" name="Диаграмма 20"/>
          <xdr:cNvGraphicFramePr/>
        </xdr:nvGraphicFramePr>
        <xdr:xfrm>
          <a:off x="4978476" y="1038225"/>
          <a:ext cx="1328223" cy="12811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2" name="Овал 21"/>
          <xdr:cNvSpPr/>
        </xdr:nvSpPr>
        <xdr:spPr>
          <a:xfrm>
            <a:off x="5278335" y="1313242"/>
            <a:ext cx="758451" cy="756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Овал 23"/>
          <xdr:cNvSpPr/>
        </xdr:nvSpPr>
        <xdr:spPr>
          <a:xfrm>
            <a:off x="5325816" y="1360844"/>
            <a:ext cx="663490" cy="660796"/>
          </a:xfrm>
          <a:prstGeom prst="ellipse">
            <a:avLst/>
          </a:prstGeom>
          <a:noFill/>
          <a:ln>
            <a:solidFill>
              <a:srgbClr val="4C9CB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469819</xdr:colOff>
      <xdr:row>4</xdr:row>
      <xdr:rowOff>85725</xdr:rowOff>
    </xdr:from>
    <xdr:to>
      <xdr:col>17</xdr:col>
      <xdr:colOff>99963</xdr:colOff>
      <xdr:row>11</xdr:row>
      <xdr:rowOff>33337</xdr:rowOff>
    </xdr:to>
    <xdr:grpSp>
      <xdr:nvGrpSpPr>
        <xdr:cNvPr id="44" name="Группа 43"/>
        <xdr:cNvGrpSpPr/>
      </xdr:nvGrpSpPr>
      <xdr:grpSpPr>
        <a:xfrm>
          <a:off x="6137194" y="907256"/>
          <a:ext cx="1320832" cy="1304925"/>
          <a:chOff x="6310524" y="1038225"/>
          <a:chExt cx="1328223" cy="1281112"/>
        </a:xfrm>
      </xdr:grpSpPr>
      <xdr:sp macro="" textlink="">
        <xdr:nvSpPr>
          <xdr:cNvPr id="32" name="Овал 31"/>
          <xdr:cNvSpPr/>
        </xdr:nvSpPr>
        <xdr:spPr>
          <a:xfrm>
            <a:off x="6469363" y="1170017"/>
            <a:ext cx="1040488" cy="1042451"/>
          </a:xfrm>
          <a:prstGeom prst="ellipse">
            <a:avLst/>
          </a:prstGeom>
          <a:noFill/>
          <a:ln w="22225">
            <a:solidFill>
              <a:srgbClr val="25C4FF"/>
            </a:solidFill>
          </a:ln>
          <a:effectLst>
            <a:glow rad="50800">
              <a:srgbClr val="1CCDFE">
                <a:alpha val="22000"/>
              </a:srgb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" name="Прямоугольник 41"/>
          <xdr:cNvSpPr/>
        </xdr:nvSpPr>
        <xdr:spPr>
          <a:xfrm>
            <a:off x="7461992" y="1517424"/>
            <a:ext cx="148544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Прямоугольник 42"/>
          <xdr:cNvSpPr/>
        </xdr:nvSpPr>
        <xdr:spPr>
          <a:xfrm>
            <a:off x="6391605" y="1517424"/>
            <a:ext cx="148992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Полилиния 26"/>
          <xdr:cNvSpPr/>
        </xdr:nvSpPr>
        <xdr:spPr>
          <a:xfrm rot="7800000">
            <a:off x="6519807" y="1221637"/>
            <a:ext cx="939600" cy="939209"/>
          </a:xfrm>
          <a:custGeom>
            <a:avLst/>
            <a:gdLst>
              <a:gd name="connsiteX0" fmla="*/ 238193 w 2520000"/>
              <a:gd name="connsiteY0" fmla="*/ 1997451 h 2520000"/>
              <a:gd name="connsiteX1" fmla="*/ 217544 w 2520000"/>
              <a:gd name="connsiteY1" fmla="*/ 1967962 h 2520000"/>
              <a:gd name="connsiteX2" fmla="*/ 911968 w 2520000"/>
              <a:gd name="connsiteY2" fmla="*/ 1481721 h 2520000"/>
              <a:gd name="connsiteX3" fmla="*/ 177808 w 2520000"/>
              <a:gd name="connsiteY3" fmla="*/ 1905589 h 2520000"/>
              <a:gd name="connsiteX4" fmla="*/ 159808 w 2520000"/>
              <a:gd name="connsiteY4" fmla="*/ 1874412 h 2520000"/>
              <a:gd name="connsiteX5" fmla="*/ 893967 w 2520000"/>
              <a:gd name="connsiteY5" fmla="*/ 1450545 h 2520000"/>
              <a:gd name="connsiteX6" fmla="*/ 125659 w 2520000"/>
              <a:gd name="connsiteY6" fmla="*/ 1808813 h 2520000"/>
              <a:gd name="connsiteX7" fmla="*/ 110445 w 2520000"/>
              <a:gd name="connsiteY7" fmla="*/ 1776186 h 2520000"/>
              <a:gd name="connsiteX8" fmla="*/ 878754 w 2520000"/>
              <a:gd name="connsiteY8" fmla="*/ 1417918 h 2520000"/>
              <a:gd name="connsiteX9" fmla="*/ 82144 w 2520000"/>
              <a:gd name="connsiteY9" fmla="*/ 1707860 h 2520000"/>
              <a:gd name="connsiteX10" fmla="*/ 69831 w 2520000"/>
              <a:gd name="connsiteY10" fmla="*/ 1674031 h 2520000"/>
              <a:gd name="connsiteX11" fmla="*/ 866437 w 2520000"/>
              <a:gd name="connsiteY11" fmla="*/ 1384090 h 2520000"/>
              <a:gd name="connsiteX12" fmla="*/ 47592 w 2520000"/>
              <a:gd name="connsiteY12" fmla="*/ 1603499 h 2520000"/>
              <a:gd name="connsiteX13" fmla="*/ 38275 w 2520000"/>
              <a:gd name="connsiteY13" fmla="*/ 1568725 h 2520000"/>
              <a:gd name="connsiteX14" fmla="*/ 857121 w 2520000"/>
              <a:gd name="connsiteY14" fmla="*/ 1349316 h 2520000"/>
              <a:gd name="connsiteX15" fmla="*/ 22268 w 2520000"/>
              <a:gd name="connsiteY15" fmla="*/ 1496523 h 2520000"/>
              <a:gd name="connsiteX16" fmla="*/ 16016 w 2520000"/>
              <a:gd name="connsiteY16" fmla="*/ 1461070 h 2520000"/>
              <a:gd name="connsiteX17" fmla="*/ 850870 w 2520000"/>
              <a:gd name="connsiteY17" fmla="*/ 1313863 h 2520000"/>
              <a:gd name="connsiteX18" fmla="*/ 6363 w 2520000"/>
              <a:gd name="connsiteY18" fmla="*/ 1387748 h 2520000"/>
              <a:gd name="connsiteX19" fmla="*/ 3226 w 2520000"/>
              <a:gd name="connsiteY19" fmla="*/ 1351885 h 2520000"/>
              <a:gd name="connsiteX20" fmla="*/ 847731 w 2520000"/>
              <a:gd name="connsiteY20" fmla="*/ 1278000 h 2520000"/>
              <a:gd name="connsiteX21" fmla="*/ 0 w 2520000"/>
              <a:gd name="connsiteY21" fmla="*/ 1278000 h 2520000"/>
              <a:gd name="connsiteX22" fmla="*/ 0 w 2520000"/>
              <a:gd name="connsiteY22" fmla="*/ 1242000 h 2520000"/>
              <a:gd name="connsiteX23" fmla="*/ 847733 w 2520000"/>
              <a:gd name="connsiteY23" fmla="*/ 1242001 h 2520000"/>
              <a:gd name="connsiteX24" fmla="*/ 3226 w 2520000"/>
              <a:gd name="connsiteY24" fmla="*/ 1168115 h 2520000"/>
              <a:gd name="connsiteX25" fmla="*/ 6363 w 2520000"/>
              <a:gd name="connsiteY25" fmla="*/ 1132252 h 2520000"/>
              <a:gd name="connsiteX26" fmla="*/ 850874 w 2520000"/>
              <a:gd name="connsiteY26" fmla="*/ 1206137 h 2520000"/>
              <a:gd name="connsiteX27" fmla="*/ 16017 w 2520000"/>
              <a:gd name="connsiteY27" fmla="*/ 1058930 h 2520000"/>
              <a:gd name="connsiteX28" fmla="*/ 22268 w 2520000"/>
              <a:gd name="connsiteY28" fmla="*/ 1023477 h 2520000"/>
              <a:gd name="connsiteX29" fmla="*/ 857120 w 2520000"/>
              <a:gd name="connsiteY29" fmla="*/ 1170684 h 2520000"/>
              <a:gd name="connsiteX30" fmla="*/ 38275 w 2520000"/>
              <a:gd name="connsiteY30" fmla="*/ 951275 h 2520000"/>
              <a:gd name="connsiteX31" fmla="*/ 47592 w 2520000"/>
              <a:gd name="connsiteY31" fmla="*/ 916501 h 2520000"/>
              <a:gd name="connsiteX32" fmla="*/ 866441 w 2520000"/>
              <a:gd name="connsiteY32" fmla="*/ 1135911 h 2520000"/>
              <a:gd name="connsiteX33" fmla="*/ 69831 w 2520000"/>
              <a:gd name="connsiteY33" fmla="*/ 845969 h 2520000"/>
              <a:gd name="connsiteX34" fmla="*/ 82144 w 2520000"/>
              <a:gd name="connsiteY34" fmla="*/ 812140 h 2520000"/>
              <a:gd name="connsiteX35" fmla="*/ 878751 w 2520000"/>
              <a:gd name="connsiteY35" fmla="*/ 1102082 h 2520000"/>
              <a:gd name="connsiteX36" fmla="*/ 110445 w 2520000"/>
              <a:gd name="connsiteY36" fmla="*/ 743815 h 2520000"/>
              <a:gd name="connsiteX37" fmla="*/ 125660 w 2520000"/>
              <a:gd name="connsiteY37" fmla="*/ 711187 h 2520000"/>
              <a:gd name="connsiteX38" fmla="*/ 893964 w 2520000"/>
              <a:gd name="connsiteY38" fmla="*/ 1069453 h 2520000"/>
              <a:gd name="connsiteX39" fmla="*/ 159808 w 2520000"/>
              <a:gd name="connsiteY39" fmla="*/ 645588 h 2520000"/>
              <a:gd name="connsiteX40" fmla="*/ 177808 w 2520000"/>
              <a:gd name="connsiteY40" fmla="*/ 614412 h 2520000"/>
              <a:gd name="connsiteX41" fmla="*/ 911961 w 2520000"/>
              <a:gd name="connsiteY41" fmla="*/ 1038275 h 2520000"/>
              <a:gd name="connsiteX42" fmla="*/ 217544 w 2520000"/>
              <a:gd name="connsiteY42" fmla="*/ 552039 h 2520000"/>
              <a:gd name="connsiteX43" fmla="*/ 238193 w 2520000"/>
              <a:gd name="connsiteY43" fmla="*/ 522549 h 2520000"/>
              <a:gd name="connsiteX44" fmla="*/ 932610 w 2520000"/>
              <a:gd name="connsiteY44" fmla="*/ 1008785 h 2520000"/>
              <a:gd name="connsiteX45" fmla="*/ 283214 w 2520000"/>
              <a:gd name="connsiteY45" fmla="*/ 463876 h 2520000"/>
              <a:gd name="connsiteX46" fmla="*/ 306354 w 2520000"/>
              <a:gd name="connsiteY46" fmla="*/ 436299 h 2520000"/>
              <a:gd name="connsiteX47" fmla="*/ 955755 w 2520000"/>
              <a:gd name="connsiteY47" fmla="*/ 981211 h 2520000"/>
              <a:gd name="connsiteX48" fmla="*/ 356317 w 2520000"/>
              <a:gd name="connsiteY48" fmla="*/ 381774 h 2520000"/>
              <a:gd name="connsiteX49" fmla="*/ 381773 w 2520000"/>
              <a:gd name="connsiteY49" fmla="*/ 356318 h 2520000"/>
              <a:gd name="connsiteX50" fmla="*/ 981211 w 2520000"/>
              <a:gd name="connsiteY50" fmla="*/ 955756 h 2520000"/>
              <a:gd name="connsiteX51" fmla="*/ 436299 w 2520000"/>
              <a:gd name="connsiteY51" fmla="*/ 306354 h 2520000"/>
              <a:gd name="connsiteX52" fmla="*/ 463876 w 2520000"/>
              <a:gd name="connsiteY52" fmla="*/ 283214 h 2520000"/>
              <a:gd name="connsiteX53" fmla="*/ 1008789 w 2520000"/>
              <a:gd name="connsiteY53" fmla="*/ 932616 h 2520000"/>
              <a:gd name="connsiteX54" fmla="*/ 522549 w 2520000"/>
              <a:gd name="connsiteY54" fmla="*/ 238193 h 2520000"/>
              <a:gd name="connsiteX55" fmla="*/ 552039 w 2520000"/>
              <a:gd name="connsiteY55" fmla="*/ 217544 h 2520000"/>
              <a:gd name="connsiteX56" fmla="*/ 1038278 w 2520000"/>
              <a:gd name="connsiteY56" fmla="*/ 911967 h 2520000"/>
              <a:gd name="connsiteX57" fmla="*/ 614411 w 2520000"/>
              <a:gd name="connsiteY57" fmla="*/ 177808 h 2520000"/>
              <a:gd name="connsiteX58" fmla="*/ 645588 w 2520000"/>
              <a:gd name="connsiteY58" fmla="*/ 159808 h 2520000"/>
              <a:gd name="connsiteX59" fmla="*/ 1069453 w 2520000"/>
              <a:gd name="connsiteY59" fmla="*/ 893963 h 2520000"/>
              <a:gd name="connsiteX60" fmla="*/ 711187 w 2520000"/>
              <a:gd name="connsiteY60" fmla="*/ 125659 h 2520000"/>
              <a:gd name="connsiteX61" fmla="*/ 743815 w 2520000"/>
              <a:gd name="connsiteY61" fmla="*/ 110445 h 2520000"/>
              <a:gd name="connsiteX62" fmla="*/ 1102082 w 2520000"/>
              <a:gd name="connsiteY62" fmla="*/ 878751 h 2520000"/>
              <a:gd name="connsiteX63" fmla="*/ 812140 w 2520000"/>
              <a:gd name="connsiteY63" fmla="*/ 82144 h 2520000"/>
              <a:gd name="connsiteX64" fmla="*/ 845969 w 2520000"/>
              <a:gd name="connsiteY64" fmla="*/ 69831 h 2520000"/>
              <a:gd name="connsiteX65" fmla="*/ 1135910 w 2520000"/>
              <a:gd name="connsiteY65" fmla="*/ 866436 h 2520000"/>
              <a:gd name="connsiteX66" fmla="*/ 916501 w 2520000"/>
              <a:gd name="connsiteY66" fmla="*/ 47592 h 2520000"/>
              <a:gd name="connsiteX67" fmla="*/ 951275 w 2520000"/>
              <a:gd name="connsiteY67" fmla="*/ 38275 h 2520000"/>
              <a:gd name="connsiteX68" fmla="*/ 1170683 w 2520000"/>
              <a:gd name="connsiteY68" fmla="*/ 857116 h 2520000"/>
              <a:gd name="connsiteX69" fmla="*/ 1023477 w 2520000"/>
              <a:gd name="connsiteY69" fmla="*/ 22268 h 2520000"/>
              <a:gd name="connsiteX70" fmla="*/ 1058929 w 2520000"/>
              <a:gd name="connsiteY70" fmla="*/ 16017 h 2520000"/>
              <a:gd name="connsiteX71" fmla="*/ 1206138 w 2520000"/>
              <a:gd name="connsiteY71" fmla="*/ 850877 h 2520000"/>
              <a:gd name="connsiteX72" fmla="*/ 1132253 w 2520000"/>
              <a:gd name="connsiteY72" fmla="*/ 6363 h 2520000"/>
              <a:gd name="connsiteX73" fmla="*/ 1168115 w 2520000"/>
              <a:gd name="connsiteY73" fmla="*/ 3226 h 2520000"/>
              <a:gd name="connsiteX74" fmla="*/ 1242000 w 2520000"/>
              <a:gd name="connsiteY74" fmla="*/ 847735 h 2520000"/>
              <a:gd name="connsiteX75" fmla="*/ 1242000 w 2520000"/>
              <a:gd name="connsiteY75" fmla="*/ 0 h 2520000"/>
              <a:gd name="connsiteX76" fmla="*/ 1278000 w 2520000"/>
              <a:gd name="connsiteY76" fmla="*/ 0 h 2520000"/>
              <a:gd name="connsiteX77" fmla="*/ 1278000 w 2520000"/>
              <a:gd name="connsiteY77" fmla="*/ 847501 h 2520000"/>
              <a:gd name="connsiteX78" fmla="*/ 1351906 w 2520000"/>
              <a:gd name="connsiteY78" fmla="*/ 2755 h 2520000"/>
              <a:gd name="connsiteX79" fmla="*/ 1387769 w 2520000"/>
              <a:gd name="connsiteY79" fmla="*/ 5893 h 2520000"/>
              <a:gd name="connsiteX80" fmla="*/ 1313905 w 2520000"/>
              <a:gd name="connsiteY80" fmla="*/ 850161 h 2520000"/>
              <a:gd name="connsiteX81" fmla="*/ 1461153 w 2520000"/>
              <a:gd name="connsiteY81" fmla="*/ 15078 h 2520000"/>
              <a:gd name="connsiteX82" fmla="*/ 1496605 w 2520000"/>
              <a:gd name="connsiteY82" fmla="*/ 21330 h 2520000"/>
              <a:gd name="connsiteX83" fmla="*/ 1349438 w 2520000"/>
              <a:gd name="connsiteY83" fmla="*/ 855956 h 2520000"/>
              <a:gd name="connsiteX84" fmla="*/ 1568910 w 2520000"/>
              <a:gd name="connsiteY84" fmla="*/ 36877 h 2520000"/>
              <a:gd name="connsiteX85" fmla="*/ 1603684 w 2520000"/>
              <a:gd name="connsiteY85" fmla="*/ 46194 h 2520000"/>
              <a:gd name="connsiteX86" fmla="*/ 1384338 w 2520000"/>
              <a:gd name="connsiteY86" fmla="*/ 864802 h 2520000"/>
              <a:gd name="connsiteX87" fmla="*/ 1674356 w 2520000"/>
              <a:gd name="connsiteY87" fmla="*/ 67983 h 2520000"/>
              <a:gd name="connsiteX88" fmla="*/ 1708185 w 2520000"/>
              <a:gd name="connsiteY88" fmla="*/ 80296 h 2520000"/>
              <a:gd name="connsiteX89" fmla="*/ 1418322 w 2520000"/>
              <a:gd name="connsiteY89" fmla="*/ 876690 h 2520000"/>
              <a:gd name="connsiteX90" fmla="*/ 1776692 w 2520000"/>
              <a:gd name="connsiteY90" fmla="*/ 108162 h 2520000"/>
              <a:gd name="connsiteX91" fmla="*/ 1809319 w 2520000"/>
              <a:gd name="connsiteY91" fmla="*/ 123377 h 2520000"/>
              <a:gd name="connsiteX92" fmla="*/ 1451151 w 2520000"/>
              <a:gd name="connsiteY92" fmla="*/ 891470 h 2520000"/>
              <a:gd name="connsiteX93" fmla="*/ 1875135 w 2520000"/>
              <a:gd name="connsiteY93" fmla="*/ 157108 h 2520000"/>
              <a:gd name="connsiteX94" fmla="*/ 1906312 w 2520000"/>
              <a:gd name="connsiteY94" fmla="*/ 175108 h 2520000"/>
              <a:gd name="connsiteX95" fmla="*/ 1482565 w 2520000"/>
              <a:gd name="connsiteY95" fmla="*/ 909059 h 2520000"/>
              <a:gd name="connsiteX96" fmla="*/ 1968938 w 2520000"/>
              <a:gd name="connsiteY96" fmla="*/ 214447 h 2520000"/>
              <a:gd name="connsiteX97" fmla="*/ 1998427 w 2520000"/>
              <a:gd name="connsiteY97" fmla="*/ 235096 h 2520000"/>
              <a:gd name="connsiteX98" fmla="*/ 1512322 w 2520000"/>
              <a:gd name="connsiteY98" fmla="*/ 929326 h 2520000"/>
              <a:gd name="connsiteX99" fmla="*/ 2057387 w 2520000"/>
              <a:gd name="connsiteY99" fmla="*/ 279743 h 2520000"/>
              <a:gd name="connsiteX100" fmla="*/ 2084964 w 2520000"/>
              <a:gd name="connsiteY100" fmla="*/ 302883 h 2520000"/>
              <a:gd name="connsiteX101" fmla="*/ 1540200 w 2520000"/>
              <a:gd name="connsiteY101" fmla="*/ 952109 h 2520000"/>
              <a:gd name="connsiteX102" fmla="*/ 2139809 w 2520000"/>
              <a:gd name="connsiteY102" fmla="*/ 352499 h 2520000"/>
              <a:gd name="connsiteX103" fmla="*/ 2165264 w 2520000"/>
              <a:gd name="connsiteY103" fmla="*/ 377956 h 2520000"/>
              <a:gd name="connsiteX104" fmla="*/ 1514438 w 2520000"/>
              <a:gd name="connsiteY104" fmla="*/ 1028782 h 2520000"/>
              <a:gd name="connsiteX105" fmla="*/ 2219660 w 2520000"/>
              <a:gd name="connsiteY105" fmla="*/ 437030 h 2520000"/>
              <a:gd name="connsiteX106" fmla="*/ 2242800 w 2520000"/>
              <a:gd name="connsiteY106" fmla="*/ 464608 h 2520000"/>
              <a:gd name="connsiteX107" fmla="*/ 1628988 w 2520000"/>
              <a:gd name="connsiteY107" fmla="*/ 979657 h 2520000"/>
              <a:gd name="connsiteX108" fmla="*/ 2281807 w 2520000"/>
              <a:gd name="connsiteY108" fmla="*/ 522549 h 2520000"/>
              <a:gd name="connsiteX109" fmla="*/ 2302456 w 2520000"/>
              <a:gd name="connsiteY109" fmla="*/ 552038 h 2520000"/>
              <a:gd name="connsiteX110" fmla="*/ 1608033 w 2520000"/>
              <a:gd name="connsiteY110" fmla="*/ 1038278 h 2520000"/>
              <a:gd name="connsiteX111" fmla="*/ 2342192 w 2520000"/>
              <a:gd name="connsiteY111" fmla="*/ 614412 h 2520000"/>
              <a:gd name="connsiteX112" fmla="*/ 2360192 w 2520000"/>
              <a:gd name="connsiteY112" fmla="*/ 645588 h 2520000"/>
              <a:gd name="connsiteX113" fmla="*/ 1626031 w 2520000"/>
              <a:gd name="connsiteY113" fmla="*/ 1069457 h 2520000"/>
              <a:gd name="connsiteX114" fmla="*/ 2394341 w 2520000"/>
              <a:gd name="connsiteY114" fmla="*/ 711188 h 2520000"/>
              <a:gd name="connsiteX115" fmla="*/ 2409555 w 2520000"/>
              <a:gd name="connsiteY115" fmla="*/ 743814 h 2520000"/>
              <a:gd name="connsiteX116" fmla="*/ 1641245 w 2520000"/>
              <a:gd name="connsiteY116" fmla="*/ 1102083 h 2520000"/>
              <a:gd name="connsiteX117" fmla="*/ 2437856 w 2520000"/>
              <a:gd name="connsiteY117" fmla="*/ 812140 h 2520000"/>
              <a:gd name="connsiteX118" fmla="*/ 2450169 w 2520000"/>
              <a:gd name="connsiteY118" fmla="*/ 845969 h 2520000"/>
              <a:gd name="connsiteX119" fmla="*/ 1653563 w 2520000"/>
              <a:gd name="connsiteY119" fmla="*/ 1135910 h 2520000"/>
              <a:gd name="connsiteX120" fmla="*/ 2472408 w 2520000"/>
              <a:gd name="connsiteY120" fmla="*/ 916501 h 2520000"/>
              <a:gd name="connsiteX121" fmla="*/ 2481726 w 2520000"/>
              <a:gd name="connsiteY121" fmla="*/ 951274 h 2520000"/>
              <a:gd name="connsiteX122" fmla="*/ 1662878 w 2520000"/>
              <a:gd name="connsiteY122" fmla="*/ 1170685 h 2520000"/>
              <a:gd name="connsiteX123" fmla="*/ 2497732 w 2520000"/>
              <a:gd name="connsiteY123" fmla="*/ 1023477 h 2520000"/>
              <a:gd name="connsiteX124" fmla="*/ 2503984 w 2520000"/>
              <a:gd name="connsiteY124" fmla="*/ 1058930 h 2520000"/>
              <a:gd name="connsiteX125" fmla="*/ 1669132 w 2520000"/>
              <a:gd name="connsiteY125" fmla="*/ 1206137 h 2520000"/>
              <a:gd name="connsiteX126" fmla="*/ 2513637 w 2520000"/>
              <a:gd name="connsiteY126" fmla="*/ 1132252 h 2520000"/>
              <a:gd name="connsiteX127" fmla="*/ 2516774 w 2520000"/>
              <a:gd name="connsiteY127" fmla="*/ 1168115 h 2520000"/>
              <a:gd name="connsiteX128" fmla="*/ 1672268 w 2520000"/>
              <a:gd name="connsiteY128" fmla="*/ 1242000 h 2520000"/>
              <a:gd name="connsiteX129" fmla="*/ 2520000 w 2520000"/>
              <a:gd name="connsiteY129" fmla="*/ 1242000 h 2520000"/>
              <a:gd name="connsiteX130" fmla="*/ 2520000 w 2520000"/>
              <a:gd name="connsiteY130" fmla="*/ 1278000 h 2520000"/>
              <a:gd name="connsiteX131" fmla="*/ 1672267 w 2520000"/>
              <a:gd name="connsiteY131" fmla="*/ 1278000 h 2520000"/>
              <a:gd name="connsiteX132" fmla="*/ 2516774 w 2520000"/>
              <a:gd name="connsiteY132" fmla="*/ 1351885 h 2520000"/>
              <a:gd name="connsiteX133" fmla="*/ 2513637 w 2520000"/>
              <a:gd name="connsiteY133" fmla="*/ 1387748 h 2520000"/>
              <a:gd name="connsiteX134" fmla="*/ 1669126 w 2520000"/>
              <a:gd name="connsiteY134" fmla="*/ 1313862 h 2520000"/>
              <a:gd name="connsiteX135" fmla="*/ 2503983 w 2520000"/>
              <a:gd name="connsiteY135" fmla="*/ 1461070 h 2520000"/>
              <a:gd name="connsiteX136" fmla="*/ 2497733 w 2520000"/>
              <a:gd name="connsiteY136" fmla="*/ 1496523 h 2520000"/>
              <a:gd name="connsiteX137" fmla="*/ 1662877 w 2520000"/>
              <a:gd name="connsiteY137" fmla="*/ 1349315 h 2520000"/>
              <a:gd name="connsiteX138" fmla="*/ 2481725 w 2520000"/>
              <a:gd name="connsiteY138" fmla="*/ 1568725 h 2520000"/>
              <a:gd name="connsiteX139" fmla="*/ 2472408 w 2520000"/>
              <a:gd name="connsiteY139" fmla="*/ 1603498 h 2520000"/>
              <a:gd name="connsiteX140" fmla="*/ 1653557 w 2520000"/>
              <a:gd name="connsiteY140" fmla="*/ 1384088 h 2520000"/>
              <a:gd name="connsiteX141" fmla="*/ 2450169 w 2520000"/>
              <a:gd name="connsiteY141" fmla="*/ 1674031 h 2520000"/>
              <a:gd name="connsiteX142" fmla="*/ 2437857 w 2520000"/>
              <a:gd name="connsiteY142" fmla="*/ 1707860 h 2520000"/>
              <a:gd name="connsiteX143" fmla="*/ 1641251 w 2520000"/>
              <a:gd name="connsiteY143" fmla="*/ 1417919 h 2520000"/>
              <a:gd name="connsiteX144" fmla="*/ 2409555 w 2520000"/>
              <a:gd name="connsiteY144" fmla="*/ 1776185 h 2520000"/>
              <a:gd name="connsiteX145" fmla="*/ 2394340 w 2520000"/>
              <a:gd name="connsiteY145" fmla="*/ 1808813 h 2520000"/>
              <a:gd name="connsiteX146" fmla="*/ 1626043 w 2520000"/>
              <a:gd name="connsiteY146" fmla="*/ 1450550 h 2520000"/>
              <a:gd name="connsiteX147" fmla="*/ 2360192 w 2520000"/>
              <a:gd name="connsiteY147" fmla="*/ 1874411 h 2520000"/>
              <a:gd name="connsiteX148" fmla="*/ 2342192 w 2520000"/>
              <a:gd name="connsiteY148" fmla="*/ 1905588 h 2520000"/>
              <a:gd name="connsiteX149" fmla="*/ 1608038 w 2520000"/>
              <a:gd name="connsiteY149" fmla="*/ 1481725 h 2520000"/>
              <a:gd name="connsiteX150" fmla="*/ 2302456 w 2520000"/>
              <a:gd name="connsiteY150" fmla="*/ 1967961 h 2520000"/>
              <a:gd name="connsiteX151" fmla="*/ 2281807 w 2520000"/>
              <a:gd name="connsiteY151" fmla="*/ 1997451 h 2520000"/>
              <a:gd name="connsiteX152" fmla="*/ 1587388 w 2520000"/>
              <a:gd name="connsiteY152" fmla="*/ 1511214 h 2520000"/>
              <a:gd name="connsiteX153" fmla="*/ 2236786 w 2520000"/>
              <a:gd name="connsiteY153" fmla="*/ 2056124 h 2520000"/>
              <a:gd name="connsiteX154" fmla="*/ 2213646 w 2520000"/>
              <a:gd name="connsiteY154" fmla="*/ 2083701 h 2520000"/>
              <a:gd name="connsiteX155" fmla="*/ 1564245 w 2520000"/>
              <a:gd name="connsiteY155" fmla="*/ 1538789 h 2520000"/>
              <a:gd name="connsiteX156" fmla="*/ 2163683 w 2520000"/>
              <a:gd name="connsiteY156" fmla="*/ 2138227 h 2520000"/>
              <a:gd name="connsiteX157" fmla="*/ 2138227 w 2520000"/>
              <a:gd name="connsiteY157" fmla="*/ 2163682 h 2520000"/>
              <a:gd name="connsiteX158" fmla="*/ 1538789 w 2520000"/>
              <a:gd name="connsiteY158" fmla="*/ 1564244 h 2520000"/>
              <a:gd name="connsiteX159" fmla="*/ 2083701 w 2520000"/>
              <a:gd name="connsiteY159" fmla="*/ 2213646 h 2520000"/>
              <a:gd name="connsiteX160" fmla="*/ 2056124 w 2520000"/>
              <a:gd name="connsiteY160" fmla="*/ 2236786 h 2520000"/>
              <a:gd name="connsiteX161" fmla="*/ 1511211 w 2520000"/>
              <a:gd name="connsiteY161" fmla="*/ 1587385 h 2520000"/>
              <a:gd name="connsiteX162" fmla="*/ 1997451 w 2520000"/>
              <a:gd name="connsiteY162" fmla="*/ 2281807 h 2520000"/>
              <a:gd name="connsiteX163" fmla="*/ 1967961 w 2520000"/>
              <a:gd name="connsiteY163" fmla="*/ 2302456 h 2520000"/>
              <a:gd name="connsiteX164" fmla="*/ 1481723 w 2520000"/>
              <a:gd name="connsiteY164" fmla="*/ 1608035 h 2520000"/>
              <a:gd name="connsiteX165" fmla="*/ 1905589 w 2520000"/>
              <a:gd name="connsiteY165" fmla="*/ 2342192 h 2520000"/>
              <a:gd name="connsiteX166" fmla="*/ 1874412 w 2520000"/>
              <a:gd name="connsiteY166" fmla="*/ 2360192 h 2520000"/>
              <a:gd name="connsiteX167" fmla="*/ 1450548 w 2520000"/>
              <a:gd name="connsiteY167" fmla="*/ 1626039 h 2520000"/>
              <a:gd name="connsiteX168" fmla="*/ 1808813 w 2520000"/>
              <a:gd name="connsiteY168" fmla="*/ 2394341 h 2520000"/>
              <a:gd name="connsiteX169" fmla="*/ 1776185 w 2520000"/>
              <a:gd name="connsiteY169" fmla="*/ 2409555 h 2520000"/>
              <a:gd name="connsiteX170" fmla="*/ 1417919 w 2520000"/>
              <a:gd name="connsiteY170" fmla="*/ 1641250 h 2520000"/>
              <a:gd name="connsiteX171" fmla="*/ 1707860 w 2520000"/>
              <a:gd name="connsiteY171" fmla="*/ 2437856 h 2520000"/>
              <a:gd name="connsiteX172" fmla="*/ 1674031 w 2520000"/>
              <a:gd name="connsiteY172" fmla="*/ 2450169 h 2520000"/>
              <a:gd name="connsiteX173" fmla="*/ 1384091 w 2520000"/>
              <a:gd name="connsiteY173" fmla="*/ 1653568 h 2520000"/>
              <a:gd name="connsiteX174" fmla="*/ 1603499 w 2520000"/>
              <a:gd name="connsiteY174" fmla="*/ 2472408 h 2520000"/>
              <a:gd name="connsiteX175" fmla="*/ 1568725 w 2520000"/>
              <a:gd name="connsiteY175" fmla="*/ 2481726 h 2520000"/>
              <a:gd name="connsiteX176" fmla="*/ 1349315 w 2520000"/>
              <a:gd name="connsiteY176" fmla="*/ 1662879 h 2520000"/>
              <a:gd name="connsiteX177" fmla="*/ 1496523 w 2520000"/>
              <a:gd name="connsiteY177" fmla="*/ 2497732 h 2520000"/>
              <a:gd name="connsiteX178" fmla="*/ 1461070 w 2520000"/>
              <a:gd name="connsiteY178" fmla="*/ 2503984 h 2520000"/>
              <a:gd name="connsiteX179" fmla="*/ 1313863 w 2520000"/>
              <a:gd name="connsiteY179" fmla="*/ 1669130 h 2520000"/>
              <a:gd name="connsiteX180" fmla="*/ 1387748 w 2520000"/>
              <a:gd name="connsiteY180" fmla="*/ 2513637 h 2520000"/>
              <a:gd name="connsiteX181" fmla="*/ 1351885 w 2520000"/>
              <a:gd name="connsiteY181" fmla="*/ 2516774 h 2520000"/>
              <a:gd name="connsiteX182" fmla="*/ 1278000 w 2520000"/>
              <a:gd name="connsiteY182" fmla="*/ 1672266 h 2520000"/>
              <a:gd name="connsiteX183" fmla="*/ 1278000 w 2520000"/>
              <a:gd name="connsiteY183" fmla="*/ 2520000 h 2520000"/>
              <a:gd name="connsiteX184" fmla="*/ 1242000 w 2520000"/>
              <a:gd name="connsiteY184" fmla="*/ 2520000 h 2520000"/>
              <a:gd name="connsiteX185" fmla="*/ 1242002 w 2520000"/>
              <a:gd name="connsiteY185" fmla="*/ 1672022 h 2520000"/>
              <a:gd name="connsiteX186" fmla="*/ 1168137 w 2520000"/>
              <a:gd name="connsiteY186" fmla="*/ 2516303 h 2520000"/>
              <a:gd name="connsiteX187" fmla="*/ 1132273 w 2520000"/>
              <a:gd name="connsiteY187" fmla="*/ 2513166 h 2520000"/>
              <a:gd name="connsiteX188" fmla="*/ 1206179 w 2520000"/>
              <a:gd name="connsiteY188" fmla="*/ 1668416 h 2520000"/>
              <a:gd name="connsiteX189" fmla="*/ 1059012 w 2520000"/>
              <a:gd name="connsiteY189" fmla="*/ 2503045 h 2520000"/>
              <a:gd name="connsiteX190" fmla="*/ 1023559 w 2520000"/>
              <a:gd name="connsiteY190" fmla="*/ 2496794 h 2520000"/>
              <a:gd name="connsiteX191" fmla="*/ 1170806 w 2520000"/>
              <a:gd name="connsiteY191" fmla="*/ 1661718 h 2520000"/>
              <a:gd name="connsiteX192" fmla="*/ 951460 w 2520000"/>
              <a:gd name="connsiteY192" fmla="*/ 2480327 h 2520000"/>
              <a:gd name="connsiteX193" fmla="*/ 916686 w 2520000"/>
              <a:gd name="connsiteY193" fmla="*/ 2471010 h 2520000"/>
              <a:gd name="connsiteX194" fmla="*/ 1136159 w 2520000"/>
              <a:gd name="connsiteY194" fmla="*/ 1651925 h 2520000"/>
              <a:gd name="connsiteX195" fmla="*/ 846295 w 2520000"/>
              <a:gd name="connsiteY195" fmla="*/ 2448322 h 2520000"/>
              <a:gd name="connsiteX196" fmla="*/ 812466 w 2520000"/>
              <a:gd name="connsiteY196" fmla="*/ 2436009 h 2520000"/>
              <a:gd name="connsiteX197" fmla="*/ 1102487 w 2520000"/>
              <a:gd name="connsiteY197" fmla="*/ 1639184 h 2520000"/>
              <a:gd name="connsiteX198" fmla="*/ 744321 w 2520000"/>
              <a:gd name="connsiteY198" fmla="*/ 2407272 h 2520000"/>
              <a:gd name="connsiteX199" fmla="*/ 711694 w 2520000"/>
              <a:gd name="connsiteY199" fmla="*/ 2392058 h 2520000"/>
              <a:gd name="connsiteX200" fmla="*/ 1070059 w 2520000"/>
              <a:gd name="connsiteY200" fmla="*/ 1623541 h 2520000"/>
              <a:gd name="connsiteX201" fmla="*/ 646312 w 2520000"/>
              <a:gd name="connsiteY201" fmla="*/ 2357492 h 2520000"/>
              <a:gd name="connsiteX202" fmla="*/ 615135 w 2520000"/>
              <a:gd name="connsiteY202" fmla="*/ 2339492 h 2520000"/>
              <a:gd name="connsiteX203" fmla="*/ 1039124 w 2520000"/>
              <a:gd name="connsiteY203" fmla="*/ 1605123 h 2520000"/>
              <a:gd name="connsiteX204" fmla="*/ 553015 w 2520000"/>
              <a:gd name="connsiteY204" fmla="*/ 2299359 h 2520000"/>
              <a:gd name="connsiteX205" fmla="*/ 523525 w 2520000"/>
              <a:gd name="connsiteY205" fmla="*/ 2278710 h 2520000"/>
              <a:gd name="connsiteX206" fmla="*/ 1009901 w 2520000"/>
              <a:gd name="connsiteY206" fmla="*/ 1584093 h 2520000"/>
              <a:gd name="connsiteX207" fmla="*/ 465140 w 2520000"/>
              <a:gd name="connsiteY207" fmla="*/ 2233315 h 2520000"/>
              <a:gd name="connsiteX208" fmla="*/ 437562 w 2520000"/>
              <a:gd name="connsiteY208" fmla="*/ 2210175 h 2520000"/>
              <a:gd name="connsiteX209" fmla="*/ 982624 w 2520000"/>
              <a:gd name="connsiteY209" fmla="*/ 1560596 h 2520000"/>
              <a:gd name="connsiteX210" fmla="*/ 383355 w 2520000"/>
              <a:gd name="connsiteY210" fmla="*/ 2159864 h 2520000"/>
              <a:gd name="connsiteX211" fmla="*/ 357899 w 2520000"/>
              <a:gd name="connsiteY211" fmla="*/ 2134408 h 2520000"/>
              <a:gd name="connsiteX212" fmla="*/ 905948 w 2520000"/>
              <a:gd name="connsiteY212" fmla="*/ 1586360 h 2520000"/>
              <a:gd name="connsiteX213" fmla="*/ 312368 w 2520000"/>
              <a:gd name="connsiteY213" fmla="*/ 2084433 h 2520000"/>
              <a:gd name="connsiteX214" fmla="*/ 289228 w 2520000"/>
              <a:gd name="connsiteY214" fmla="*/ 2056855 h 2520000"/>
              <a:gd name="connsiteX215" fmla="*/ 974211 w 2520000"/>
              <a:gd name="connsiteY215" fmla="*/ 1482086 h 252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  <a:cxn ang="0">
                <a:pos x="connsiteX156" y="connsiteY156"/>
              </a:cxn>
              <a:cxn ang="0">
                <a:pos x="connsiteX157" y="connsiteY157"/>
              </a:cxn>
              <a:cxn ang="0">
                <a:pos x="connsiteX158" y="connsiteY158"/>
              </a:cxn>
              <a:cxn ang="0">
                <a:pos x="connsiteX159" y="connsiteY159"/>
              </a:cxn>
              <a:cxn ang="0">
                <a:pos x="connsiteX160" y="connsiteY160"/>
              </a:cxn>
              <a:cxn ang="0">
                <a:pos x="connsiteX161" y="connsiteY161"/>
              </a:cxn>
              <a:cxn ang="0">
                <a:pos x="connsiteX162" y="connsiteY162"/>
              </a:cxn>
              <a:cxn ang="0">
                <a:pos x="connsiteX163" y="connsiteY163"/>
              </a:cxn>
              <a:cxn ang="0">
                <a:pos x="connsiteX164" y="connsiteY164"/>
              </a:cxn>
              <a:cxn ang="0">
                <a:pos x="connsiteX165" y="connsiteY165"/>
              </a:cxn>
              <a:cxn ang="0">
                <a:pos x="connsiteX166" y="connsiteY166"/>
              </a:cxn>
              <a:cxn ang="0">
                <a:pos x="connsiteX167" y="connsiteY167"/>
              </a:cxn>
              <a:cxn ang="0">
                <a:pos x="connsiteX168" y="connsiteY168"/>
              </a:cxn>
              <a:cxn ang="0">
                <a:pos x="connsiteX169" y="connsiteY169"/>
              </a:cxn>
              <a:cxn ang="0">
                <a:pos x="connsiteX170" y="connsiteY170"/>
              </a:cxn>
              <a:cxn ang="0">
                <a:pos x="connsiteX171" y="connsiteY171"/>
              </a:cxn>
              <a:cxn ang="0">
                <a:pos x="connsiteX172" y="connsiteY172"/>
              </a:cxn>
              <a:cxn ang="0">
                <a:pos x="connsiteX173" y="connsiteY173"/>
              </a:cxn>
              <a:cxn ang="0">
                <a:pos x="connsiteX174" y="connsiteY174"/>
              </a:cxn>
              <a:cxn ang="0">
                <a:pos x="connsiteX175" y="connsiteY175"/>
              </a:cxn>
              <a:cxn ang="0">
                <a:pos x="connsiteX176" y="connsiteY176"/>
              </a:cxn>
              <a:cxn ang="0">
                <a:pos x="connsiteX177" y="connsiteY177"/>
              </a:cxn>
              <a:cxn ang="0">
                <a:pos x="connsiteX178" y="connsiteY178"/>
              </a:cxn>
              <a:cxn ang="0">
                <a:pos x="connsiteX179" y="connsiteY179"/>
              </a:cxn>
              <a:cxn ang="0">
                <a:pos x="connsiteX180" y="connsiteY180"/>
              </a:cxn>
              <a:cxn ang="0">
                <a:pos x="connsiteX181" y="connsiteY181"/>
              </a:cxn>
              <a:cxn ang="0">
                <a:pos x="connsiteX182" y="connsiteY182"/>
              </a:cxn>
              <a:cxn ang="0">
                <a:pos x="connsiteX183" y="connsiteY183"/>
              </a:cxn>
              <a:cxn ang="0">
                <a:pos x="connsiteX184" y="connsiteY184"/>
              </a:cxn>
              <a:cxn ang="0">
                <a:pos x="connsiteX185" y="connsiteY185"/>
              </a:cxn>
              <a:cxn ang="0">
                <a:pos x="connsiteX186" y="connsiteY186"/>
              </a:cxn>
              <a:cxn ang="0">
                <a:pos x="connsiteX187" y="connsiteY187"/>
              </a:cxn>
              <a:cxn ang="0">
                <a:pos x="connsiteX188" y="connsiteY188"/>
              </a:cxn>
              <a:cxn ang="0">
                <a:pos x="connsiteX189" y="connsiteY189"/>
              </a:cxn>
              <a:cxn ang="0">
                <a:pos x="connsiteX190" y="connsiteY190"/>
              </a:cxn>
              <a:cxn ang="0">
                <a:pos x="connsiteX191" y="connsiteY191"/>
              </a:cxn>
              <a:cxn ang="0">
                <a:pos x="connsiteX192" y="connsiteY192"/>
              </a:cxn>
              <a:cxn ang="0">
                <a:pos x="connsiteX193" y="connsiteY193"/>
              </a:cxn>
              <a:cxn ang="0">
                <a:pos x="connsiteX194" y="connsiteY194"/>
              </a:cxn>
              <a:cxn ang="0">
                <a:pos x="connsiteX195" y="connsiteY195"/>
              </a:cxn>
              <a:cxn ang="0">
                <a:pos x="connsiteX196" y="connsiteY196"/>
              </a:cxn>
              <a:cxn ang="0">
                <a:pos x="connsiteX197" y="connsiteY197"/>
              </a:cxn>
              <a:cxn ang="0">
                <a:pos x="connsiteX198" y="connsiteY198"/>
              </a:cxn>
              <a:cxn ang="0">
                <a:pos x="connsiteX199" y="connsiteY199"/>
              </a:cxn>
              <a:cxn ang="0">
                <a:pos x="connsiteX200" y="connsiteY200"/>
              </a:cxn>
              <a:cxn ang="0">
                <a:pos x="connsiteX201" y="connsiteY201"/>
              </a:cxn>
              <a:cxn ang="0">
                <a:pos x="connsiteX202" y="connsiteY202"/>
              </a:cxn>
              <a:cxn ang="0">
                <a:pos x="connsiteX203" y="connsiteY203"/>
              </a:cxn>
              <a:cxn ang="0">
                <a:pos x="connsiteX204" y="connsiteY204"/>
              </a:cxn>
              <a:cxn ang="0">
                <a:pos x="connsiteX205" y="connsiteY205"/>
              </a:cxn>
              <a:cxn ang="0">
                <a:pos x="connsiteX206" y="connsiteY206"/>
              </a:cxn>
              <a:cxn ang="0">
                <a:pos x="connsiteX207" y="connsiteY207"/>
              </a:cxn>
              <a:cxn ang="0">
                <a:pos x="connsiteX208" y="connsiteY208"/>
              </a:cxn>
              <a:cxn ang="0">
                <a:pos x="connsiteX209" y="connsiteY209"/>
              </a:cxn>
              <a:cxn ang="0">
                <a:pos x="connsiteX210" y="connsiteY210"/>
              </a:cxn>
              <a:cxn ang="0">
                <a:pos x="connsiteX211" y="connsiteY211"/>
              </a:cxn>
              <a:cxn ang="0">
                <a:pos x="connsiteX212" y="connsiteY212"/>
              </a:cxn>
              <a:cxn ang="0">
                <a:pos x="connsiteX213" y="connsiteY213"/>
              </a:cxn>
              <a:cxn ang="0">
                <a:pos x="connsiteX214" y="connsiteY214"/>
              </a:cxn>
              <a:cxn ang="0">
                <a:pos x="connsiteX215" y="connsiteY215"/>
              </a:cxn>
            </a:cxnLst>
            <a:rect l="l" t="t" r="r" b="b"/>
            <a:pathLst>
              <a:path w="2520000" h="2520000">
                <a:moveTo>
                  <a:pt x="238193" y="1997451"/>
                </a:moveTo>
                <a:lnTo>
                  <a:pt x="217544" y="1967962"/>
                </a:lnTo>
                <a:lnTo>
                  <a:pt x="911968" y="1481721"/>
                </a:lnTo>
                <a:lnTo>
                  <a:pt x="177808" y="1905589"/>
                </a:lnTo>
                <a:lnTo>
                  <a:pt x="159808" y="1874412"/>
                </a:lnTo>
                <a:lnTo>
                  <a:pt x="893967" y="1450545"/>
                </a:lnTo>
                <a:lnTo>
                  <a:pt x="125659" y="1808813"/>
                </a:lnTo>
                <a:lnTo>
                  <a:pt x="110445" y="1776186"/>
                </a:lnTo>
                <a:lnTo>
                  <a:pt x="878754" y="1417918"/>
                </a:lnTo>
                <a:lnTo>
                  <a:pt x="82144" y="1707860"/>
                </a:lnTo>
                <a:lnTo>
                  <a:pt x="69831" y="1674031"/>
                </a:lnTo>
                <a:lnTo>
                  <a:pt x="866437" y="1384090"/>
                </a:lnTo>
                <a:lnTo>
                  <a:pt x="47592" y="1603499"/>
                </a:lnTo>
                <a:lnTo>
                  <a:pt x="38275" y="1568725"/>
                </a:lnTo>
                <a:lnTo>
                  <a:pt x="857121" y="1349316"/>
                </a:lnTo>
                <a:lnTo>
                  <a:pt x="22268" y="1496523"/>
                </a:lnTo>
                <a:lnTo>
                  <a:pt x="16016" y="1461070"/>
                </a:lnTo>
                <a:lnTo>
                  <a:pt x="850870" y="1313863"/>
                </a:lnTo>
                <a:lnTo>
                  <a:pt x="6363" y="1387748"/>
                </a:lnTo>
                <a:lnTo>
                  <a:pt x="3226" y="1351885"/>
                </a:lnTo>
                <a:lnTo>
                  <a:pt x="847731" y="1278000"/>
                </a:lnTo>
                <a:lnTo>
                  <a:pt x="0" y="1278000"/>
                </a:lnTo>
                <a:lnTo>
                  <a:pt x="0" y="1242000"/>
                </a:lnTo>
                <a:lnTo>
                  <a:pt x="847733" y="1242001"/>
                </a:lnTo>
                <a:lnTo>
                  <a:pt x="3226" y="1168115"/>
                </a:lnTo>
                <a:lnTo>
                  <a:pt x="6363" y="1132252"/>
                </a:lnTo>
                <a:lnTo>
                  <a:pt x="850874" y="1206137"/>
                </a:lnTo>
                <a:lnTo>
                  <a:pt x="16017" y="1058930"/>
                </a:lnTo>
                <a:lnTo>
                  <a:pt x="22268" y="1023477"/>
                </a:lnTo>
                <a:lnTo>
                  <a:pt x="857120" y="1170684"/>
                </a:lnTo>
                <a:lnTo>
                  <a:pt x="38275" y="951275"/>
                </a:lnTo>
                <a:lnTo>
                  <a:pt x="47592" y="916501"/>
                </a:lnTo>
                <a:lnTo>
                  <a:pt x="866441" y="1135911"/>
                </a:lnTo>
                <a:lnTo>
                  <a:pt x="69831" y="845969"/>
                </a:lnTo>
                <a:lnTo>
                  <a:pt x="82144" y="812140"/>
                </a:lnTo>
                <a:lnTo>
                  <a:pt x="878751" y="1102082"/>
                </a:lnTo>
                <a:lnTo>
                  <a:pt x="110445" y="743815"/>
                </a:lnTo>
                <a:lnTo>
                  <a:pt x="125660" y="711187"/>
                </a:lnTo>
                <a:lnTo>
                  <a:pt x="893964" y="1069453"/>
                </a:lnTo>
                <a:lnTo>
                  <a:pt x="159808" y="645588"/>
                </a:lnTo>
                <a:lnTo>
                  <a:pt x="177808" y="614412"/>
                </a:lnTo>
                <a:lnTo>
                  <a:pt x="911961" y="1038275"/>
                </a:lnTo>
                <a:lnTo>
                  <a:pt x="217544" y="552039"/>
                </a:lnTo>
                <a:lnTo>
                  <a:pt x="238193" y="522549"/>
                </a:lnTo>
                <a:lnTo>
                  <a:pt x="932610" y="1008785"/>
                </a:lnTo>
                <a:lnTo>
                  <a:pt x="283214" y="463876"/>
                </a:lnTo>
                <a:lnTo>
                  <a:pt x="306354" y="436299"/>
                </a:lnTo>
                <a:lnTo>
                  <a:pt x="955755" y="981211"/>
                </a:lnTo>
                <a:lnTo>
                  <a:pt x="356317" y="381774"/>
                </a:lnTo>
                <a:lnTo>
                  <a:pt x="381773" y="356318"/>
                </a:lnTo>
                <a:lnTo>
                  <a:pt x="981211" y="955756"/>
                </a:lnTo>
                <a:lnTo>
                  <a:pt x="436299" y="306354"/>
                </a:lnTo>
                <a:lnTo>
                  <a:pt x="463876" y="283214"/>
                </a:lnTo>
                <a:lnTo>
                  <a:pt x="1008789" y="932616"/>
                </a:lnTo>
                <a:lnTo>
                  <a:pt x="522549" y="238193"/>
                </a:lnTo>
                <a:lnTo>
                  <a:pt x="552039" y="217544"/>
                </a:lnTo>
                <a:lnTo>
                  <a:pt x="1038278" y="911967"/>
                </a:lnTo>
                <a:lnTo>
                  <a:pt x="614411" y="177808"/>
                </a:lnTo>
                <a:lnTo>
                  <a:pt x="645588" y="159808"/>
                </a:lnTo>
                <a:lnTo>
                  <a:pt x="1069453" y="893963"/>
                </a:lnTo>
                <a:lnTo>
                  <a:pt x="711187" y="125659"/>
                </a:lnTo>
                <a:lnTo>
                  <a:pt x="743815" y="110445"/>
                </a:lnTo>
                <a:lnTo>
                  <a:pt x="1102082" y="878751"/>
                </a:lnTo>
                <a:lnTo>
                  <a:pt x="812140" y="82144"/>
                </a:lnTo>
                <a:lnTo>
                  <a:pt x="845969" y="69831"/>
                </a:lnTo>
                <a:lnTo>
                  <a:pt x="1135910" y="866436"/>
                </a:lnTo>
                <a:lnTo>
                  <a:pt x="916501" y="47592"/>
                </a:lnTo>
                <a:lnTo>
                  <a:pt x="951275" y="38275"/>
                </a:lnTo>
                <a:lnTo>
                  <a:pt x="1170683" y="857116"/>
                </a:lnTo>
                <a:lnTo>
                  <a:pt x="1023477" y="22268"/>
                </a:lnTo>
                <a:lnTo>
                  <a:pt x="1058929" y="16017"/>
                </a:lnTo>
                <a:lnTo>
                  <a:pt x="1206138" y="850877"/>
                </a:lnTo>
                <a:lnTo>
                  <a:pt x="1132253" y="6363"/>
                </a:lnTo>
                <a:lnTo>
                  <a:pt x="1168115" y="3226"/>
                </a:lnTo>
                <a:lnTo>
                  <a:pt x="1242000" y="847735"/>
                </a:lnTo>
                <a:lnTo>
                  <a:pt x="1242000" y="0"/>
                </a:lnTo>
                <a:lnTo>
                  <a:pt x="1278000" y="0"/>
                </a:lnTo>
                <a:lnTo>
                  <a:pt x="1278000" y="847501"/>
                </a:lnTo>
                <a:lnTo>
                  <a:pt x="1351906" y="2755"/>
                </a:lnTo>
                <a:lnTo>
                  <a:pt x="1387769" y="5893"/>
                </a:lnTo>
                <a:lnTo>
                  <a:pt x="1313905" y="850161"/>
                </a:lnTo>
                <a:lnTo>
                  <a:pt x="1461153" y="15078"/>
                </a:lnTo>
                <a:lnTo>
                  <a:pt x="1496605" y="21330"/>
                </a:lnTo>
                <a:lnTo>
                  <a:pt x="1349438" y="855956"/>
                </a:lnTo>
                <a:lnTo>
                  <a:pt x="1568910" y="36877"/>
                </a:lnTo>
                <a:lnTo>
                  <a:pt x="1603684" y="46194"/>
                </a:lnTo>
                <a:lnTo>
                  <a:pt x="1384338" y="864802"/>
                </a:lnTo>
                <a:lnTo>
                  <a:pt x="1674356" y="67983"/>
                </a:lnTo>
                <a:lnTo>
                  <a:pt x="1708185" y="80296"/>
                </a:lnTo>
                <a:lnTo>
                  <a:pt x="1418322" y="876690"/>
                </a:lnTo>
                <a:lnTo>
                  <a:pt x="1776692" y="108162"/>
                </a:lnTo>
                <a:lnTo>
                  <a:pt x="1809319" y="123377"/>
                </a:lnTo>
                <a:lnTo>
                  <a:pt x="1451151" y="891470"/>
                </a:lnTo>
                <a:lnTo>
                  <a:pt x="1875135" y="157108"/>
                </a:lnTo>
                <a:lnTo>
                  <a:pt x="1906312" y="175108"/>
                </a:lnTo>
                <a:lnTo>
                  <a:pt x="1482565" y="909059"/>
                </a:lnTo>
                <a:lnTo>
                  <a:pt x="1968938" y="214447"/>
                </a:lnTo>
                <a:lnTo>
                  <a:pt x="1998427" y="235096"/>
                </a:lnTo>
                <a:lnTo>
                  <a:pt x="1512322" y="929326"/>
                </a:lnTo>
                <a:lnTo>
                  <a:pt x="2057387" y="279743"/>
                </a:lnTo>
                <a:lnTo>
                  <a:pt x="2084964" y="302883"/>
                </a:lnTo>
                <a:lnTo>
                  <a:pt x="1540200" y="952109"/>
                </a:lnTo>
                <a:lnTo>
                  <a:pt x="2139809" y="352499"/>
                </a:lnTo>
                <a:lnTo>
                  <a:pt x="2165264" y="377956"/>
                </a:lnTo>
                <a:lnTo>
                  <a:pt x="1514438" y="1028782"/>
                </a:lnTo>
                <a:lnTo>
                  <a:pt x="2219660" y="437030"/>
                </a:lnTo>
                <a:lnTo>
                  <a:pt x="2242800" y="464608"/>
                </a:lnTo>
                <a:lnTo>
                  <a:pt x="1628988" y="979657"/>
                </a:lnTo>
                <a:lnTo>
                  <a:pt x="2281807" y="522549"/>
                </a:lnTo>
                <a:lnTo>
                  <a:pt x="2302456" y="552038"/>
                </a:lnTo>
                <a:lnTo>
                  <a:pt x="1608033" y="1038278"/>
                </a:lnTo>
                <a:lnTo>
                  <a:pt x="2342192" y="614412"/>
                </a:lnTo>
                <a:lnTo>
                  <a:pt x="2360192" y="645588"/>
                </a:lnTo>
                <a:lnTo>
                  <a:pt x="1626031" y="1069457"/>
                </a:lnTo>
                <a:lnTo>
                  <a:pt x="2394341" y="711188"/>
                </a:lnTo>
                <a:lnTo>
                  <a:pt x="2409555" y="743814"/>
                </a:lnTo>
                <a:lnTo>
                  <a:pt x="1641245" y="1102083"/>
                </a:lnTo>
                <a:lnTo>
                  <a:pt x="2437856" y="812140"/>
                </a:lnTo>
                <a:lnTo>
                  <a:pt x="2450169" y="845969"/>
                </a:lnTo>
                <a:lnTo>
                  <a:pt x="1653563" y="1135910"/>
                </a:lnTo>
                <a:lnTo>
                  <a:pt x="2472408" y="916501"/>
                </a:lnTo>
                <a:lnTo>
                  <a:pt x="2481726" y="951274"/>
                </a:lnTo>
                <a:lnTo>
                  <a:pt x="1662878" y="1170685"/>
                </a:lnTo>
                <a:lnTo>
                  <a:pt x="2497732" y="1023477"/>
                </a:lnTo>
                <a:lnTo>
                  <a:pt x="2503984" y="1058930"/>
                </a:lnTo>
                <a:lnTo>
                  <a:pt x="1669132" y="1206137"/>
                </a:lnTo>
                <a:lnTo>
                  <a:pt x="2513637" y="1132252"/>
                </a:lnTo>
                <a:lnTo>
                  <a:pt x="2516774" y="1168115"/>
                </a:lnTo>
                <a:lnTo>
                  <a:pt x="1672268" y="1242000"/>
                </a:lnTo>
                <a:lnTo>
                  <a:pt x="2520000" y="1242000"/>
                </a:lnTo>
                <a:lnTo>
                  <a:pt x="2520000" y="1278000"/>
                </a:lnTo>
                <a:lnTo>
                  <a:pt x="1672267" y="1278000"/>
                </a:lnTo>
                <a:lnTo>
                  <a:pt x="2516774" y="1351885"/>
                </a:lnTo>
                <a:lnTo>
                  <a:pt x="2513637" y="1387748"/>
                </a:lnTo>
                <a:lnTo>
                  <a:pt x="1669126" y="1313862"/>
                </a:lnTo>
                <a:lnTo>
                  <a:pt x="2503983" y="1461070"/>
                </a:lnTo>
                <a:lnTo>
                  <a:pt x="2497733" y="1496523"/>
                </a:lnTo>
                <a:lnTo>
                  <a:pt x="1662877" y="1349315"/>
                </a:lnTo>
                <a:lnTo>
                  <a:pt x="2481725" y="1568725"/>
                </a:lnTo>
                <a:lnTo>
                  <a:pt x="2472408" y="1603498"/>
                </a:lnTo>
                <a:lnTo>
                  <a:pt x="1653557" y="1384088"/>
                </a:lnTo>
                <a:lnTo>
                  <a:pt x="2450169" y="1674031"/>
                </a:lnTo>
                <a:lnTo>
                  <a:pt x="2437857" y="1707860"/>
                </a:lnTo>
                <a:lnTo>
                  <a:pt x="1641251" y="1417919"/>
                </a:lnTo>
                <a:lnTo>
                  <a:pt x="2409555" y="1776185"/>
                </a:lnTo>
                <a:lnTo>
                  <a:pt x="2394340" y="1808813"/>
                </a:lnTo>
                <a:lnTo>
                  <a:pt x="1626043" y="1450550"/>
                </a:lnTo>
                <a:lnTo>
                  <a:pt x="2360192" y="1874411"/>
                </a:lnTo>
                <a:lnTo>
                  <a:pt x="2342192" y="1905588"/>
                </a:lnTo>
                <a:lnTo>
                  <a:pt x="1608038" y="1481725"/>
                </a:lnTo>
                <a:lnTo>
                  <a:pt x="2302456" y="1967961"/>
                </a:lnTo>
                <a:lnTo>
                  <a:pt x="2281807" y="1997451"/>
                </a:lnTo>
                <a:lnTo>
                  <a:pt x="1587388" y="1511214"/>
                </a:lnTo>
                <a:lnTo>
                  <a:pt x="2236786" y="2056124"/>
                </a:lnTo>
                <a:lnTo>
                  <a:pt x="2213646" y="2083701"/>
                </a:lnTo>
                <a:lnTo>
                  <a:pt x="1564245" y="1538789"/>
                </a:lnTo>
                <a:lnTo>
                  <a:pt x="2163683" y="2138227"/>
                </a:lnTo>
                <a:lnTo>
                  <a:pt x="2138227" y="2163682"/>
                </a:lnTo>
                <a:lnTo>
                  <a:pt x="1538789" y="1564244"/>
                </a:lnTo>
                <a:lnTo>
                  <a:pt x="2083701" y="2213646"/>
                </a:lnTo>
                <a:lnTo>
                  <a:pt x="2056124" y="2236786"/>
                </a:lnTo>
                <a:lnTo>
                  <a:pt x="1511211" y="1587385"/>
                </a:lnTo>
                <a:lnTo>
                  <a:pt x="1997451" y="2281807"/>
                </a:lnTo>
                <a:lnTo>
                  <a:pt x="1967961" y="2302456"/>
                </a:lnTo>
                <a:lnTo>
                  <a:pt x="1481723" y="1608035"/>
                </a:lnTo>
                <a:lnTo>
                  <a:pt x="1905589" y="2342192"/>
                </a:lnTo>
                <a:lnTo>
                  <a:pt x="1874412" y="2360192"/>
                </a:lnTo>
                <a:lnTo>
                  <a:pt x="1450548" y="1626039"/>
                </a:lnTo>
                <a:lnTo>
                  <a:pt x="1808813" y="2394341"/>
                </a:lnTo>
                <a:lnTo>
                  <a:pt x="1776185" y="2409555"/>
                </a:lnTo>
                <a:lnTo>
                  <a:pt x="1417919" y="1641250"/>
                </a:lnTo>
                <a:lnTo>
                  <a:pt x="1707860" y="2437856"/>
                </a:lnTo>
                <a:lnTo>
                  <a:pt x="1674031" y="2450169"/>
                </a:lnTo>
                <a:lnTo>
                  <a:pt x="1384091" y="1653568"/>
                </a:lnTo>
                <a:lnTo>
                  <a:pt x="1603499" y="2472408"/>
                </a:lnTo>
                <a:lnTo>
                  <a:pt x="1568725" y="2481726"/>
                </a:lnTo>
                <a:lnTo>
                  <a:pt x="1349315" y="1662879"/>
                </a:lnTo>
                <a:lnTo>
                  <a:pt x="1496523" y="2497732"/>
                </a:lnTo>
                <a:lnTo>
                  <a:pt x="1461070" y="2503984"/>
                </a:lnTo>
                <a:lnTo>
                  <a:pt x="1313863" y="1669130"/>
                </a:lnTo>
                <a:lnTo>
                  <a:pt x="1387748" y="2513637"/>
                </a:lnTo>
                <a:lnTo>
                  <a:pt x="1351885" y="2516774"/>
                </a:lnTo>
                <a:lnTo>
                  <a:pt x="1278000" y="1672266"/>
                </a:lnTo>
                <a:lnTo>
                  <a:pt x="1278000" y="2520000"/>
                </a:lnTo>
                <a:lnTo>
                  <a:pt x="1242000" y="2520000"/>
                </a:lnTo>
                <a:lnTo>
                  <a:pt x="1242002" y="1672022"/>
                </a:lnTo>
                <a:lnTo>
                  <a:pt x="1168137" y="2516303"/>
                </a:lnTo>
                <a:lnTo>
                  <a:pt x="1132273" y="2513166"/>
                </a:lnTo>
                <a:lnTo>
                  <a:pt x="1206179" y="1668416"/>
                </a:lnTo>
                <a:lnTo>
                  <a:pt x="1059012" y="2503045"/>
                </a:lnTo>
                <a:lnTo>
                  <a:pt x="1023559" y="2496794"/>
                </a:lnTo>
                <a:lnTo>
                  <a:pt x="1170806" y="1661718"/>
                </a:lnTo>
                <a:lnTo>
                  <a:pt x="951460" y="2480327"/>
                </a:lnTo>
                <a:lnTo>
                  <a:pt x="916686" y="2471010"/>
                </a:lnTo>
                <a:lnTo>
                  <a:pt x="1136159" y="1651925"/>
                </a:lnTo>
                <a:lnTo>
                  <a:pt x="846295" y="2448322"/>
                </a:lnTo>
                <a:lnTo>
                  <a:pt x="812466" y="2436009"/>
                </a:lnTo>
                <a:lnTo>
                  <a:pt x="1102487" y="1639184"/>
                </a:lnTo>
                <a:lnTo>
                  <a:pt x="744321" y="2407272"/>
                </a:lnTo>
                <a:lnTo>
                  <a:pt x="711694" y="2392058"/>
                </a:lnTo>
                <a:lnTo>
                  <a:pt x="1070059" y="1623541"/>
                </a:lnTo>
                <a:lnTo>
                  <a:pt x="646312" y="2357492"/>
                </a:lnTo>
                <a:lnTo>
                  <a:pt x="615135" y="2339492"/>
                </a:lnTo>
                <a:lnTo>
                  <a:pt x="1039124" y="1605123"/>
                </a:lnTo>
                <a:lnTo>
                  <a:pt x="553015" y="2299359"/>
                </a:lnTo>
                <a:lnTo>
                  <a:pt x="523525" y="2278710"/>
                </a:lnTo>
                <a:lnTo>
                  <a:pt x="1009901" y="1584093"/>
                </a:lnTo>
                <a:lnTo>
                  <a:pt x="465140" y="2233315"/>
                </a:lnTo>
                <a:lnTo>
                  <a:pt x="437562" y="2210175"/>
                </a:lnTo>
                <a:lnTo>
                  <a:pt x="982624" y="1560596"/>
                </a:lnTo>
                <a:lnTo>
                  <a:pt x="383355" y="2159864"/>
                </a:lnTo>
                <a:lnTo>
                  <a:pt x="357899" y="2134408"/>
                </a:lnTo>
                <a:lnTo>
                  <a:pt x="905948" y="1586360"/>
                </a:lnTo>
                <a:lnTo>
                  <a:pt x="312368" y="2084433"/>
                </a:lnTo>
                <a:lnTo>
                  <a:pt x="289228" y="2056855"/>
                </a:lnTo>
                <a:lnTo>
                  <a:pt x="974211" y="1482086"/>
                </a:lnTo>
                <a:close/>
              </a:path>
            </a:pathLst>
          </a:custGeom>
          <a:solidFill>
            <a:srgbClr val="DC23E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aphicFrame macro="">
        <xdr:nvGraphicFramePr>
          <xdr:cNvPr id="28" name="Диаграмма 27"/>
          <xdr:cNvGraphicFramePr/>
        </xdr:nvGraphicFramePr>
        <xdr:xfrm>
          <a:off x="6310524" y="1038225"/>
          <a:ext cx="1328223" cy="12811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9" name="Овал 28"/>
          <xdr:cNvSpPr/>
        </xdr:nvSpPr>
        <xdr:spPr>
          <a:xfrm>
            <a:off x="6610381" y="1313242"/>
            <a:ext cx="758451" cy="756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Овал 30"/>
          <xdr:cNvSpPr/>
        </xdr:nvSpPr>
        <xdr:spPr>
          <a:xfrm>
            <a:off x="6657862" y="1360844"/>
            <a:ext cx="663490" cy="660796"/>
          </a:xfrm>
          <a:prstGeom prst="ellipse">
            <a:avLst/>
          </a:prstGeom>
          <a:noFill/>
          <a:ln>
            <a:solidFill>
              <a:srgbClr val="4C9CB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72571</xdr:colOff>
      <xdr:row>7</xdr:row>
      <xdr:rowOff>149087</xdr:rowOff>
    </xdr:from>
    <xdr:to>
      <xdr:col>7</xdr:col>
      <xdr:colOff>296428</xdr:colOff>
      <xdr:row>7</xdr:row>
      <xdr:rowOff>149268</xdr:rowOff>
    </xdr:to>
    <xdr:cxnSp macro="">
      <xdr:nvCxnSpPr>
        <xdr:cNvPr id="48" name="Прямая соединительная линия 47"/>
        <xdr:cNvCxnSpPr/>
      </xdr:nvCxnSpPr>
      <xdr:spPr>
        <a:xfrm>
          <a:off x="2920546" y="1530212"/>
          <a:ext cx="223857" cy="181"/>
        </a:xfrm>
        <a:prstGeom prst="line">
          <a:avLst/>
        </a:prstGeom>
        <a:ln w="22225">
          <a:solidFill>
            <a:srgbClr val="1CCDFE"/>
          </a:solidFill>
        </a:ln>
        <a:effectLst>
          <a:glow rad="508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170510</xdr:colOff>
      <xdr:row>7</xdr:row>
      <xdr:rowOff>149087</xdr:rowOff>
    </xdr:from>
    <xdr:to>
      <xdr:col>12</xdr:col>
      <xdr:colOff>383977</xdr:colOff>
      <xdr:row>7</xdr:row>
      <xdr:rowOff>149268</xdr:rowOff>
    </xdr:to>
    <xdr:cxnSp macro="">
      <xdr:nvCxnSpPr>
        <xdr:cNvPr id="52" name="Прямая соединительная линия 51"/>
        <xdr:cNvCxnSpPr/>
      </xdr:nvCxnSpPr>
      <xdr:spPr>
        <a:xfrm>
          <a:off x="4153692" y="1673087"/>
          <a:ext cx="213467" cy="181"/>
        </a:xfrm>
        <a:prstGeom prst="line">
          <a:avLst/>
        </a:prstGeom>
        <a:ln w="22225">
          <a:solidFill>
            <a:srgbClr val="1CCDFE"/>
          </a:solidFill>
        </a:ln>
        <a:effectLst>
          <a:glow rad="508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290312</xdr:colOff>
      <xdr:row>7</xdr:row>
      <xdr:rowOff>149087</xdr:rowOff>
    </xdr:from>
    <xdr:to>
      <xdr:col>14</xdr:col>
      <xdr:colOff>502760</xdr:colOff>
      <xdr:row>7</xdr:row>
      <xdr:rowOff>149268</xdr:rowOff>
    </xdr:to>
    <xdr:cxnSp macro="">
      <xdr:nvCxnSpPr>
        <xdr:cNvPr id="53" name="Прямая соединительная линия 52"/>
        <xdr:cNvCxnSpPr/>
      </xdr:nvCxnSpPr>
      <xdr:spPr>
        <a:xfrm>
          <a:off x="5485767" y="1673087"/>
          <a:ext cx="212448" cy="181"/>
        </a:xfrm>
        <a:prstGeom prst="line">
          <a:avLst/>
        </a:prstGeom>
        <a:ln w="22225">
          <a:solidFill>
            <a:srgbClr val="1CCDFE"/>
          </a:solidFill>
        </a:ln>
        <a:effectLst>
          <a:glow rad="508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142009</xdr:colOff>
      <xdr:row>6</xdr:row>
      <xdr:rowOff>180975</xdr:rowOff>
    </xdr:from>
    <xdr:to>
      <xdr:col>6</xdr:col>
      <xdr:colOff>81397</xdr:colOff>
      <xdr:row>8</xdr:row>
      <xdr:rowOff>152400</xdr:rowOff>
    </xdr:to>
    <xdr:sp macro="" textlink="Processing!E3">
      <xdr:nvSpPr>
        <xdr:cNvPr id="54" name="TextBox 53"/>
        <xdr:cNvSpPr txBox="1"/>
      </xdr:nvSpPr>
      <xdr:spPr>
        <a:xfrm>
          <a:off x="1960418" y="1514475"/>
          <a:ext cx="701388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85B7DF0D-892D-487C-9D10-15CE6EA5C4A1}" type="TxLink">
            <a:rPr lang="en-US" sz="1600" b="0" i="0" u="none" strike="noStrike">
              <a:solidFill>
                <a:srgbClr val="FFFFFF"/>
              </a:solidFill>
              <a:latin typeface="Calibri"/>
              <a:ea typeface="+mn-ea"/>
              <a:cs typeface="Calibri"/>
            </a:rPr>
            <a:pPr marL="0" indent="0" algn="ctr"/>
            <a:t>11%</a:t>
          </a:fld>
          <a:endParaRPr lang="en-US" sz="1600" b="0" i="0" u="none" strike="noStrike">
            <a:solidFill>
              <a:srgbClr val="FFFFFF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56284</xdr:colOff>
      <xdr:row>6</xdr:row>
      <xdr:rowOff>180975</xdr:rowOff>
    </xdr:from>
    <xdr:to>
      <xdr:col>11</xdr:col>
      <xdr:colOff>290080</xdr:colOff>
      <xdr:row>8</xdr:row>
      <xdr:rowOff>152400</xdr:rowOff>
    </xdr:to>
    <xdr:sp macro="" textlink="Processing!E4">
      <xdr:nvSpPr>
        <xdr:cNvPr id="55" name="TextBox 54"/>
        <xdr:cNvSpPr txBox="1"/>
      </xdr:nvSpPr>
      <xdr:spPr>
        <a:xfrm>
          <a:off x="3277466" y="1514475"/>
          <a:ext cx="701387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BBFD2BA0-B034-460E-BB33-ECAAE1ED6148}" type="TxLink">
            <a:rPr lang="en-US" sz="1600" b="0" i="0" u="none" strike="noStrike">
              <a:solidFill>
                <a:srgbClr val="FFFFFF"/>
              </a:solidFill>
              <a:latin typeface="Calibri"/>
              <a:ea typeface="+mn-ea"/>
              <a:cs typeface="Calibri"/>
            </a:rPr>
            <a:pPr marL="0" indent="0" algn="ctr"/>
            <a:t>11%</a:t>
          </a:fld>
          <a:endParaRPr lang="en-US" sz="1600" b="0" i="0" u="none" strike="noStrike">
            <a:solidFill>
              <a:srgbClr val="FFFFFF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5197</xdr:colOff>
      <xdr:row>6</xdr:row>
      <xdr:rowOff>180975</xdr:rowOff>
    </xdr:from>
    <xdr:to>
      <xdr:col>14</xdr:col>
      <xdr:colOff>100446</xdr:colOff>
      <xdr:row>8</xdr:row>
      <xdr:rowOff>152400</xdr:rowOff>
    </xdr:to>
    <xdr:sp macro="" textlink="Processing!E5">
      <xdr:nvSpPr>
        <xdr:cNvPr id="56" name="TextBox 55"/>
        <xdr:cNvSpPr txBox="1"/>
      </xdr:nvSpPr>
      <xdr:spPr>
        <a:xfrm>
          <a:off x="4594515" y="1514475"/>
          <a:ext cx="701386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EC87045-6584-4EAF-BE56-9C0116889B60}" type="TxLink">
            <a:rPr lang="en-US" sz="1600" b="0" i="0" u="none" strike="noStrike">
              <a:solidFill>
                <a:srgbClr val="FFFFFF"/>
              </a:solidFill>
              <a:latin typeface="Calibri"/>
              <a:ea typeface="+mn-ea"/>
              <a:cs typeface="Calibri"/>
            </a:rPr>
            <a:pPr marL="0" indent="0" algn="ctr"/>
            <a:t>16%</a:t>
          </a:fld>
          <a:endParaRPr lang="en-US" sz="1600" b="0" i="0" u="none" strike="noStrike">
            <a:solidFill>
              <a:srgbClr val="FFFFFF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100447</xdr:colOff>
      <xdr:row>6</xdr:row>
      <xdr:rowOff>180975</xdr:rowOff>
    </xdr:from>
    <xdr:to>
      <xdr:col>16</xdr:col>
      <xdr:colOff>192232</xdr:colOff>
      <xdr:row>8</xdr:row>
      <xdr:rowOff>152400</xdr:rowOff>
    </xdr:to>
    <xdr:sp macro="" textlink="Processing!E6">
      <xdr:nvSpPr>
        <xdr:cNvPr id="57" name="TextBox 56"/>
        <xdr:cNvSpPr txBox="1"/>
      </xdr:nvSpPr>
      <xdr:spPr>
        <a:xfrm>
          <a:off x="5902038" y="1514475"/>
          <a:ext cx="697921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40144DDC-8ECB-4CEE-BA36-FDCD4F6DB77B}" type="TxLink">
            <a:rPr lang="en-US" sz="1600" b="0" i="0" u="none" strike="noStrike">
              <a:solidFill>
                <a:srgbClr val="FFFFFF"/>
              </a:solidFill>
              <a:latin typeface="Calibri"/>
              <a:ea typeface="+mn-ea"/>
              <a:cs typeface="Calibri"/>
            </a:rPr>
            <a:pPr marL="0" indent="0" algn="ctr"/>
            <a:t>9%</a:t>
          </a:fld>
          <a:endParaRPr lang="en-US" sz="1600" b="0" i="0" u="none" strike="noStrike">
            <a:solidFill>
              <a:srgbClr val="FFFFFF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595745</xdr:colOff>
      <xdr:row>8</xdr:row>
      <xdr:rowOff>133350</xdr:rowOff>
    </xdr:from>
    <xdr:to>
      <xdr:col>6</xdr:col>
      <xdr:colOff>90922</xdr:colOff>
      <xdr:row>12</xdr:row>
      <xdr:rowOff>167550</xdr:rowOff>
    </xdr:to>
    <xdr:sp macro="" textlink="">
      <xdr:nvSpPr>
        <xdr:cNvPr id="68" name="Полилиния 67"/>
        <xdr:cNvSpPr/>
      </xdr:nvSpPr>
      <xdr:spPr>
        <a:xfrm>
          <a:off x="1814945" y="1847850"/>
          <a:ext cx="847727" cy="720000"/>
        </a:xfrm>
        <a:custGeom>
          <a:avLst/>
          <a:gdLst>
            <a:gd name="connsiteX0" fmla="*/ 400050 w 942975"/>
            <a:gd name="connsiteY0" fmla="*/ 0 h 704850"/>
            <a:gd name="connsiteX1" fmla="*/ 0 w 942975"/>
            <a:gd name="connsiteY1" fmla="*/ 400050 h 704850"/>
            <a:gd name="connsiteX2" fmla="*/ 0 w 942975"/>
            <a:gd name="connsiteY2" fmla="*/ 571500 h 704850"/>
            <a:gd name="connsiteX3" fmla="*/ 133350 w 942975"/>
            <a:gd name="connsiteY3" fmla="*/ 704850 h 704850"/>
            <a:gd name="connsiteX4" fmla="*/ 942975 w 942975"/>
            <a:gd name="connsiteY4" fmla="*/ 704850 h 704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42975" h="704850">
              <a:moveTo>
                <a:pt x="400050" y="0"/>
              </a:moveTo>
              <a:lnTo>
                <a:pt x="0" y="400050"/>
              </a:lnTo>
              <a:lnTo>
                <a:pt x="0" y="571500"/>
              </a:lnTo>
              <a:lnTo>
                <a:pt x="133350" y="704850"/>
              </a:lnTo>
              <a:lnTo>
                <a:pt x="942975" y="704850"/>
              </a:lnTo>
            </a:path>
          </a:pathLst>
        </a:custGeom>
        <a:noFill/>
        <a:ln>
          <a:solidFill>
            <a:srgbClr val="4C9CB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77066</xdr:colOff>
      <xdr:row>8</xdr:row>
      <xdr:rowOff>133350</xdr:rowOff>
    </xdr:from>
    <xdr:to>
      <xdr:col>12</xdr:col>
      <xdr:colOff>5196</xdr:colOff>
      <xdr:row>12</xdr:row>
      <xdr:rowOff>167550</xdr:rowOff>
    </xdr:to>
    <xdr:sp macro="" textlink="">
      <xdr:nvSpPr>
        <xdr:cNvPr id="70" name="Полилиния 69"/>
        <xdr:cNvSpPr/>
      </xdr:nvSpPr>
      <xdr:spPr>
        <a:xfrm>
          <a:off x="3106016" y="1847850"/>
          <a:ext cx="842530" cy="720000"/>
        </a:xfrm>
        <a:custGeom>
          <a:avLst/>
          <a:gdLst>
            <a:gd name="connsiteX0" fmla="*/ 400050 w 942975"/>
            <a:gd name="connsiteY0" fmla="*/ 0 h 704850"/>
            <a:gd name="connsiteX1" fmla="*/ 0 w 942975"/>
            <a:gd name="connsiteY1" fmla="*/ 400050 h 704850"/>
            <a:gd name="connsiteX2" fmla="*/ 0 w 942975"/>
            <a:gd name="connsiteY2" fmla="*/ 571500 h 704850"/>
            <a:gd name="connsiteX3" fmla="*/ 133350 w 942975"/>
            <a:gd name="connsiteY3" fmla="*/ 704850 h 704850"/>
            <a:gd name="connsiteX4" fmla="*/ 942975 w 942975"/>
            <a:gd name="connsiteY4" fmla="*/ 704850 h 704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42975" h="704850">
              <a:moveTo>
                <a:pt x="400050" y="0"/>
              </a:moveTo>
              <a:lnTo>
                <a:pt x="0" y="400050"/>
              </a:lnTo>
              <a:lnTo>
                <a:pt x="0" y="571500"/>
              </a:lnTo>
              <a:lnTo>
                <a:pt x="133350" y="704850"/>
              </a:lnTo>
              <a:lnTo>
                <a:pt x="942975" y="704850"/>
              </a:lnTo>
            </a:path>
          </a:pathLst>
        </a:custGeom>
        <a:noFill/>
        <a:ln>
          <a:solidFill>
            <a:srgbClr val="4C9CB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468458</xdr:colOff>
      <xdr:row>8</xdr:row>
      <xdr:rowOff>133350</xdr:rowOff>
    </xdr:from>
    <xdr:to>
      <xdr:col>14</xdr:col>
      <xdr:colOff>119496</xdr:colOff>
      <xdr:row>12</xdr:row>
      <xdr:rowOff>167550</xdr:rowOff>
    </xdr:to>
    <xdr:sp macro="" textlink="">
      <xdr:nvSpPr>
        <xdr:cNvPr id="71" name="Полилиния 70"/>
        <xdr:cNvSpPr/>
      </xdr:nvSpPr>
      <xdr:spPr>
        <a:xfrm>
          <a:off x="4411808" y="1847850"/>
          <a:ext cx="870238" cy="720000"/>
        </a:xfrm>
        <a:custGeom>
          <a:avLst/>
          <a:gdLst>
            <a:gd name="connsiteX0" fmla="*/ 400050 w 942975"/>
            <a:gd name="connsiteY0" fmla="*/ 0 h 704850"/>
            <a:gd name="connsiteX1" fmla="*/ 0 w 942975"/>
            <a:gd name="connsiteY1" fmla="*/ 400050 h 704850"/>
            <a:gd name="connsiteX2" fmla="*/ 0 w 942975"/>
            <a:gd name="connsiteY2" fmla="*/ 571500 h 704850"/>
            <a:gd name="connsiteX3" fmla="*/ 133350 w 942975"/>
            <a:gd name="connsiteY3" fmla="*/ 704850 h 704850"/>
            <a:gd name="connsiteX4" fmla="*/ 942975 w 942975"/>
            <a:gd name="connsiteY4" fmla="*/ 704850 h 704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42975" h="704850">
              <a:moveTo>
                <a:pt x="400050" y="0"/>
              </a:moveTo>
              <a:lnTo>
                <a:pt x="0" y="400050"/>
              </a:lnTo>
              <a:lnTo>
                <a:pt x="0" y="571500"/>
              </a:lnTo>
              <a:lnTo>
                <a:pt x="133350" y="704850"/>
              </a:lnTo>
              <a:lnTo>
                <a:pt x="942975" y="704850"/>
              </a:lnTo>
            </a:path>
          </a:pathLst>
        </a:custGeom>
        <a:noFill/>
        <a:ln>
          <a:solidFill>
            <a:srgbClr val="4C9CB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20783</xdr:colOff>
      <xdr:row>8</xdr:row>
      <xdr:rowOff>152400</xdr:rowOff>
    </xdr:from>
    <xdr:to>
      <xdr:col>16</xdr:col>
      <xdr:colOff>277957</xdr:colOff>
      <xdr:row>13</xdr:row>
      <xdr:rowOff>15150</xdr:rowOff>
    </xdr:to>
    <xdr:sp macro="" textlink="">
      <xdr:nvSpPr>
        <xdr:cNvPr id="72" name="Полилиния 71"/>
        <xdr:cNvSpPr/>
      </xdr:nvSpPr>
      <xdr:spPr>
        <a:xfrm>
          <a:off x="6069158" y="1724025"/>
          <a:ext cx="866774" cy="1101000"/>
        </a:xfrm>
        <a:custGeom>
          <a:avLst/>
          <a:gdLst>
            <a:gd name="connsiteX0" fmla="*/ 400050 w 942975"/>
            <a:gd name="connsiteY0" fmla="*/ 0 h 704850"/>
            <a:gd name="connsiteX1" fmla="*/ 0 w 942975"/>
            <a:gd name="connsiteY1" fmla="*/ 400050 h 704850"/>
            <a:gd name="connsiteX2" fmla="*/ 0 w 942975"/>
            <a:gd name="connsiteY2" fmla="*/ 571500 h 704850"/>
            <a:gd name="connsiteX3" fmla="*/ 133350 w 942975"/>
            <a:gd name="connsiteY3" fmla="*/ 704850 h 704850"/>
            <a:gd name="connsiteX4" fmla="*/ 942975 w 942975"/>
            <a:gd name="connsiteY4" fmla="*/ 704850 h 704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42975" h="704850">
              <a:moveTo>
                <a:pt x="400050" y="0"/>
              </a:moveTo>
              <a:lnTo>
                <a:pt x="0" y="400050"/>
              </a:lnTo>
              <a:lnTo>
                <a:pt x="0" y="571500"/>
              </a:lnTo>
              <a:lnTo>
                <a:pt x="133350" y="704850"/>
              </a:lnTo>
              <a:lnTo>
                <a:pt x="942975" y="704850"/>
              </a:lnTo>
            </a:path>
          </a:pathLst>
        </a:custGeom>
        <a:noFill/>
        <a:ln>
          <a:solidFill>
            <a:srgbClr val="4C9CB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52822</xdr:colOff>
      <xdr:row>0</xdr:row>
      <xdr:rowOff>104775</xdr:rowOff>
    </xdr:from>
    <xdr:to>
      <xdr:col>15</xdr:col>
      <xdr:colOff>138547</xdr:colOff>
      <xdr:row>3</xdr:row>
      <xdr:rowOff>167953</xdr:rowOff>
    </xdr:to>
    <xdr:sp macro="" textlink="">
      <xdr:nvSpPr>
        <xdr:cNvPr id="73" name="Прямоугольник 72"/>
        <xdr:cNvSpPr/>
      </xdr:nvSpPr>
      <xdr:spPr>
        <a:xfrm>
          <a:off x="2729347" y="104775"/>
          <a:ext cx="3343275" cy="68230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800">
              <a:ln w="12700">
                <a:noFill/>
                <a:prstDash val="solid"/>
              </a:ln>
              <a:gradFill>
                <a:gsLst>
                  <a:gs pos="67000">
                    <a:srgbClr val="971D92"/>
                  </a:gs>
                  <a:gs pos="20000">
                    <a:schemeClr val="accent1">
                      <a:lumMod val="5000"/>
                      <a:lumOff val="95000"/>
                    </a:schemeClr>
                  </a:gs>
                  <a:gs pos="100000">
                    <a:srgbClr val="861478"/>
                  </a:gs>
                </a:gsLst>
                <a:lin ang="0" scaled="0"/>
              </a:gradFill>
              <a:latin typeface="Arial" panose="020B0604020202020204" pitchFamily="34" charset="0"/>
              <a:cs typeface="Arial" panose="020B0604020202020204" pitchFamily="34" charset="0"/>
            </a:rPr>
            <a:t>D A S H B O A R D</a:t>
          </a:r>
          <a:endParaRPr lang="ru-RU" sz="2800">
            <a:ln w="12700">
              <a:noFill/>
              <a:prstDash val="solid"/>
            </a:ln>
            <a:gradFill>
              <a:gsLst>
                <a:gs pos="67000">
                  <a:srgbClr val="971D92"/>
                </a:gs>
                <a:gs pos="20000">
                  <a:schemeClr val="accent1">
                    <a:lumMod val="5000"/>
                    <a:lumOff val="95000"/>
                  </a:schemeClr>
                </a:gs>
                <a:gs pos="100000">
                  <a:srgbClr val="861478"/>
                </a:gs>
              </a:gsLst>
              <a:lin ang="0" scaled="0"/>
            </a:gra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200">
              <a:ln w="12700">
                <a:noFill/>
                <a:prstDash val="solid"/>
              </a:ln>
              <a:gradFill>
                <a:gsLst>
                  <a:gs pos="67000">
                    <a:srgbClr val="971D92"/>
                  </a:gs>
                  <a:gs pos="20000">
                    <a:schemeClr val="accent1">
                      <a:lumMod val="5000"/>
                      <a:lumOff val="95000"/>
                    </a:schemeClr>
                  </a:gs>
                  <a:gs pos="100000">
                    <a:srgbClr val="861478"/>
                  </a:gs>
                </a:gsLst>
                <a:lin ang="0" scaled="0"/>
              </a:gradFill>
              <a:latin typeface="Arial" panose="020B0604020202020204" pitchFamily="34" charset="0"/>
              <a:cs typeface="Arial" panose="020B0604020202020204" pitchFamily="34" charset="0"/>
            </a:rPr>
            <a:t>for</a:t>
          </a:r>
          <a:r>
            <a:rPr lang="en-US" sz="1200" baseline="0">
              <a:ln w="12700">
                <a:noFill/>
                <a:prstDash val="solid"/>
              </a:ln>
              <a:gradFill>
                <a:gsLst>
                  <a:gs pos="67000">
                    <a:srgbClr val="971D92"/>
                  </a:gs>
                  <a:gs pos="20000">
                    <a:schemeClr val="accent1">
                      <a:lumMod val="5000"/>
                      <a:lumOff val="95000"/>
                    </a:schemeClr>
                  </a:gs>
                  <a:gs pos="100000">
                    <a:srgbClr val="861478"/>
                  </a:gs>
                </a:gsLst>
                <a:lin ang="0" scaled="0"/>
              </a:gradFill>
              <a:latin typeface="Arial" panose="020B0604020202020204" pitchFamily="34" charset="0"/>
              <a:cs typeface="Arial" panose="020B0604020202020204" pitchFamily="34" charset="0"/>
            </a:rPr>
            <a:t> Sulzer Loom</a:t>
          </a:r>
          <a:endParaRPr lang="ru-RU" sz="1200">
            <a:ln w="12700">
              <a:noFill/>
              <a:prstDash val="solid"/>
            </a:ln>
            <a:gradFill>
              <a:gsLst>
                <a:gs pos="67000">
                  <a:srgbClr val="971D92"/>
                </a:gs>
                <a:gs pos="20000">
                  <a:schemeClr val="accent1">
                    <a:lumMod val="5000"/>
                    <a:lumOff val="95000"/>
                  </a:schemeClr>
                </a:gs>
                <a:gs pos="100000">
                  <a:srgbClr val="861478"/>
                </a:gs>
              </a:gsLst>
              <a:lin ang="0" scaled="0"/>
            </a:gra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590550</xdr:colOff>
      <xdr:row>19</xdr:row>
      <xdr:rowOff>161925</xdr:rowOff>
    </xdr:from>
    <xdr:to>
      <xdr:col>16</xdr:col>
      <xdr:colOff>456150</xdr:colOff>
      <xdr:row>29</xdr:row>
      <xdr:rowOff>23813</xdr:rowOff>
    </xdr:to>
    <xdr:sp macro="" textlink="">
      <xdr:nvSpPr>
        <xdr:cNvPr id="95" name="Прямоугольник 94" hidden="1"/>
        <xdr:cNvSpPr/>
      </xdr:nvSpPr>
      <xdr:spPr>
        <a:xfrm>
          <a:off x="4533900" y="4543425"/>
          <a:ext cx="2304000" cy="1766888"/>
        </a:xfrm>
        <a:prstGeom prst="rect">
          <a:avLst/>
        </a:prstGeom>
        <a:gradFill>
          <a:gsLst>
            <a:gs pos="99000">
              <a:srgbClr val="041A26"/>
            </a:gs>
            <a:gs pos="0">
              <a:schemeClr val="tx1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18</xdr:col>
      <xdr:colOff>552450</xdr:colOff>
      <xdr:row>8</xdr:row>
      <xdr:rowOff>47625</xdr:rowOff>
    </xdr:from>
    <xdr:to>
      <xdr:col>21</xdr:col>
      <xdr:colOff>48450</xdr:colOff>
      <xdr:row>14</xdr:row>
      <xdr:rowOff>33337</xdr:rowOff>
    </xdr:to>
    <xdr:graphicFrame macro="">
      <xdr:nvGraphicFramePr>
        <xdr:cNvPr id="86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495300</xdr:colOff>
      <xdr:row>8</xdr:row>
      <xdr:rowOff>0</xdr:rowOff>
    </xdr:from>
    <xdr:to>
      <xdr:col>20</xdr:col>
      <xdr:colOff>600900</xdr:colOff>
      <xdr:row>13</xdr:row>
      <xdr:rowOff>119062</xdr:rowOff>
    </xdr:to>
    <xdr:grpSp>
      <xdr:nvGrpSpPr>
        <xdr:cNvPr id="96" name="Группа 34"/>
        <xdr:cNvGrpSpPr/>
      </xdr:nvGrpSpPr>
      <xdr:grpSpPr>
        <a:xfrm>
          <a:off x="8460581" y="1607344"/>
          <a:ext cx="1403382" cy="1285874"/>
          <a:chOff x="2338572" y="1057275"/>
          <a:chExt cx="1334943" cy="1281112"/>
        </a:xfrm>
      </xdr:grpSpPr>
      <xdr:sp macro="" textlink="">
        <xdr:nvSpPr>
          <xdr:cNvPr id="97" name="Овал 9"/>
          <xdr:cNvSpPr/>
        </xdr:nvSpPr>
        <xdr:spPr>
          <a:xfrm>
            <a:off x="2478715" y="1170017"/>
            <a:ext cx="1045752" cy="1042451"/>
          </a:xfrm>
          <a:prstGeom prst="ellipse">
            <a:avLst/>
          </a:prstGeom>
          <a:noFill/>
          <a:ln w="22225">
            <a:solidFill>
              <a:srgbClr val="25C4FF"/>
            </a:solidFill>
          </a:ln>
          <a:effectLst>
            <a:glow rad="50800">
              <a:srgbClr val="1CCDFE">
                <a:alpha val="22000"/>
              </a:srgb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98" name="Прямоугольник 32"/>
          <xdr:cNvSpPr/>
        </xdr:nvSpPr>
        <xdr:spPr>
          <a:xfrm>
            <a:off x="3470409" y="1524000"/>
            <a:ext cx="149091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9" name="Прямоугольник 33"/>
          <xdr:cNvSpPr/>
        </xdr:nvSpPr>
        <xdr:spPr>
          <a:xfrm>
            <a:off x="2396983" y="1524000"/>
            <a:ext cx="149091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0" name="Полилиния 8"/>
          <xdr:cNvSpPr/>
        </xdr:nvSpPr>
        <xdr:spPr>
          <a:xfrm rot="7800000">
            <a:off x="2531792" y="1219261"/>
            <a:ext cx="939600" cy="943961"/>
          </a:xfrm>
          <a:custGeom>
            <a:avLst/>
            <a:gdLst>
              <a:gd name="connsiteX0" fmla="*/ 238193 w 2520000"/>
              <a:gd name="connsiteY0" fmla="*/ 1997451 h 2520000"/>
              <a:gd name="connsiteX1" fmla="*/ 217544 w 2520000"/>
              <a:gd name="connsiteY1" fmla="*/ 1967962 h 2520000"/>
              <a:gd name="connsiteX2" fmla="*/ 911968 w 2520000"/>
              <a:gd name="connsiteY2" fmla="*/ 1481721 h 2520000"/>
              <a:gd name="connsiteX3" fmla="*/ 177808 w 2520000"/>
              <a:gd name="connsiteY3" fmla="*/ 1905589 h 2520000"/>
              <a:gd name="connsiteX4" fmla="*/ 159808 w 2520000"/>
              <a:gd name="connsiteY4" fmla="*/ 1874412 h 2520000"/>
              <a:gd name="connsiteX5" fmla="*/ 893967 w 2520000"/>
              <a:gd name="connsiteY5" fmla="*/ 1450545 h 2520000"/>
              <a:gd name="connsiteX6" fmla="*/ 125659 w 2520000"/>
              <a:gd name="connsiteY6" fmla="*/ 1808813 h 2520000"/>
              <a:gd name="connsiteX7" fmla="*/ 110445 w 2520000"/>
              <a:gd name="connsiteY7" fmla="*/ 1776186 h 2520000"/>
              <a:gd name="connsiteX8" fmla="*/ 878754 w 2520000"/>
              <a:gd name="connsiteY8" fmla="*/ 1417918 h 2520000"/>
              <a:gd name="connsiteX9" fmla="*/ 82144 w 2520000"/>
              <a:gd name="connsiteY9" fmla="*/ 1707860 h 2520000"/>
              <a:gd name="connsiteX10" fmla="*/ 69831 w 2520000"/>
              <a:gd name="connsiteY10" fmla="*/ 1674031 h 2520000"/>
              <a:gd name="connsiteX11" fmla="*/ 866437 w 2520000"/>
              <a:gd name="connsiteY11" fmla="*/ 1384090 h 2520000"/>
              <a:gd name="connsiteX12" fmla="*/ 47592 w 2520000"/>
              <a:gd name="connsiteY12" fmla="*/ 1603499 h 2520000"/>
              <a:gd name="connsiteX13" fmla="*/ 38275 w 2520000"/>
              <a:gd name="connsiteY13" fmla="*/ 1568725 h 2520000"/>
              <a:gd name="connsiteX14" fmla="*/ 857121 w 2520000"/>
              <a:gd name="connsiteY14" fmla="*/ 1349316 h 2520000"/>
              <a:gd name="connsiteX15" fmla="*/ 22268 w 2520000"/>
              <a:gd name="connsiteY15" fmla="*/ 1496523 h 2520000"/>
              <a:gd name="connsiteX16" fmla="*/ 16016 w 2520000"/>
              <a:gd name="connsiteY16" fmla="*/ 1461070 h 2520000"/>
              <a:gd name="connsiteX17" fmla="*/ 850870 w 2520000"/>
              <a:gd name="connsiteY17" fmla="*/ 1313863 h 2520000"/>
              <a:gd name="connsiteX18" fmla="*/ 6363 w 2520000"/>
              <a:gd name="connsiteY18" fmla="*/ 1387748 h 2520000"/>
              <a:gd name="connsiteX19" fmla="*/ 3226 w 2520000"/>
              <a:gd name="connsiteY19" fmla="*/ 1351885 h 2520000"/>
              <a:gd name="connsiteX20" fmla="*/ 847731 w 2520000"/>
              <a:gd name="connsiteY20" fmla="*/ 1278000 h 2520000"/>
              <a:gd name="connsiteX21" fmla="*/ 0 w 2520000"/>
              <a:gd name="connsiteY21" fmla="*/ 1278000 h 2520000"/>
              <a:gd name="connsiteX22" fmla="*/ 0 w 2520000"/>
              <a:gd name="connsiteY22" fmla="*/ 1242000 h 2520000"/>
              <a:gd name="connsiteX23" fmla="*/ 847733 w 2520000"/>
              <a:gd name="connsiteY23" fmla="*/ 1242001 h 2520000"/>
              <a:gd name="connsiteX24" fmla="*/ 3226 w 2520000"/>
              <a:gd name="connsiteY24" fmla="*/ 1168115 h 2520000"/>
              <a:gd name="connsiteX25" fmla="*/ 6363 w 2520000"/>
              <a:gd name="connsiteY25" fmla="*/ 1132252 h 2520000"/>
              <a:gd name="connsiteX26" fmla="*/ 850874 w 2520000"/>
              <a:gd name="connsiteY26" fmla="*/ 1206137 h 2520000"/>
              <a:gd name="connsiteX27" fmla="*/ 16017 w 2520000"/>
              <a:gd name="connsiteY27" fmla="*/ 1058930 h 2520000"/>
              <a:gd name="connsiteX28" fmla="*/ 22268 w 2520000"/>
              <a:gd name="connsiteY28" fmla="*/ 1023477 h 2520000"/>
              <a:gd name="connsiteX29" fmla="*/ 857120 w 2520000"/>
              <a:gd name="connsiteY29" fmla="*/ 1170684 h 2520000"/>
              <a:gd name="connsiteX30" fmla="*/ 38275 w 2520000"/>
              <a:gd name="connsiteY30" fmla="*/ 951275 h 2520000"/>
              <a:gd name="connsiteX31" fmla="*/ 47592 w 2520000"/>
              <a:gd name="connsiteY31" fmla="*/ 916501 h 2520000"/>
              <a:gd name="connsiteX32" fmla="*/ 866441 w 2520000"/>
              <a:gd name="connsiteY32" fmla="*/ 1135911 h 2520000"/>
              <a:gd name="connsiteX33" fmla="*/ 69831 w 2520000"/>
              <a:gd name="connsiteY33" fmla="*/ 845969 h 2520000"/>
              <a:gd name="connsiteX34" fmla="*/ 82144 w 2520000"/>
              <a:gd name="connsiteY34" fmla="*/ 812140 h 2520000"/>
              <a:gd name="connsiteX35" fmla="*/ 878751 w 2520000"/>
              <a:gd name="connsiteY35" fmla="*/ 1102082 h 2520000"/>
              <a:gd name="connsiteX36" fmla="*/ 110445 w 2520000"/>
              <a:gd name="connsiteY36" fmla="*/ 743815 h 2520000"/>
              <a:gd name="connsiteX37" fmla="*/ 125660 w 2520000"/>
              <a:gd name="connsiteY37" fmla="*/ 711187 h 2520000"/>
              <a:gd name="connsiteX38" fmla="*/ 893964 w 2520000"/>
              <a:gd name="connsiteY38" fmla="*/ 1069453 h 2520000"/>
              <a:gd name="connsiteX39" fmla="*/ 159808 w 2520000"/>
              <a:gd name="connsiteY39" fmla="*/ 645588 h 2520000"/>
              <a:gd name="connsiteX40" fmla="*/ 177808 w 2520000"/>
              <a:gd name="connsiteY40" fmla="*/ 614412 h 2520000"/>
              <a:gd name="connsiteX41" fmla="*/ 911961 w 2520000"/>
              <a:gd name="connsiteY41" fmla="*/ 1038275 h 2520000"/>
              <a:gd name="connsiteX42" fmla="*/ 217544 w 2520000"/>
              <a:gd name="connsiteY42" fmla="*/ 552039 h 2520000"/>
              <a:gd name="connsiteX43" fmla="*/ 238193 w 2520000"/>
              <a:gd name="connsiteY43" fmla="*/ 522549 h 2520000"/>
              <a:gd name="connsiteX44" fmla="*/ 932610 w 2520000"/>
              <a:gd name="connsiteY44" fmla="*/ 1008785 h 2520000"/>
              <a:gd name="connsiteX45" fmla="*/ 283214 w 2520000"/>
              <a:gd name="connsiteY45" fmla="*/ 463876 h 2520000"/>
              <a:gd name="connsiteX46" fmla="*/ 306354 w 2520000"/>
              <a:gd name="connsiteY46" fmla="*/ 436299 h 2520000"/>
              <a:gd name="connsiteX47" fmla="*/ 955755 w 2520000"/>
              <a:gd name="connsiteY47" fmla="*/ 981211 h 2520000"/>
              <a:gd name="connsiteX48" fmla="*/ 356317 w 2520000"/>
              <a:gd name="connsiteY48" fmla="*/ 381774 h 2520000"/>
              <a:gd name="connsiteX49" fmla="*/ 381773 w 2520000"/>
              <a:gd name="connsiteY49" fmla="*/ 356318 h 2520000"/>
              <a:gd name="connsiteX50" fmla="*/ 981211 w 2520000"/>
              <a:gd name="connsiteY50" fmla="*/ 955756 h 2520000"/>
              <a:gd name="connsiteX51" fmla="*/ 436299 w 2520000"/>
              <a:gd name="connsiteY51" fmla="*/ 306354 h 2520000"/>
              <a:gd name="connsiteX52" fmla="*/ 463876 w 2520000"/>
              <a:gd name="connsiteY52" fmla="*/ 283214 h 2520000"/>
              <a:gd name="connsiteX53" fmla="*/ 1008789 w 2520000"/>
              <a:gd name="connsiteY53" fmla="*/ 932616 h 2520000"/>
              <a:gd name="connsiteX54" fmla="*/ 522549 w 2520000"/>
              <a:gd name="connsiteY54" fmla="*/ 238193 h 2520000"/>
              <a:gd name="connsiteX55" fmla="*/ 552039 w 2520000"/>
              <a:gd name="connsiteY55" fmla="*/ 217544 h 2520000"/>
              <a:gd name="connsiteX56" fmla="*/ 1038278 w 2520000"/>
              <a:gd name="connsiteY56" fmla="*/ 911967 h 2520000"/>
              <a:gd name="connsiteX57" fmla="*/ 614411 w 2520000"/>
              <a:gd name="connsiteY57" fmla="*/ 177808 h 2520000"/>
              <a:gd name="connsiteX58" fmla="*/ 645588 w 2520000"/>
              <a:gd name="connsiteY58" fmla="*/ 159808 h 2520000"/>
              <a:gd name="connsiteX59" fmla="*/ 1069453 w 2520000"/>
              <a:gd name="connsiteY59" fmla="*/ 893963 h 2520000"/>
              <a:gd name="connsiteX60" fmla="*/ 711187 w 2520000"/>
              <a:gd name="connsiteY60" fmla="*/ 125659 h 2520000"/>
              <a:gd name="connsiteX61" fmla="*/ 743815 w 2520000"/>
              <a:gd name="connsiteY61" fmla="*/ 110445 h 2520000"/>
              <a:gd name="connsiteX62" fmla="*/ 1102082 w 2520000"/>
              <a:gd name="connsiteY62" fmla="*/ 878751 h 2520000"/>
              <a:gd name="connsiteX63" fmla="*/ 812140 w 2520000"/>
              <a:gd name="connsiteY63" fmla="*/ 82144 h 2520000"/>
              <a:gd name="connsiteX64" fmla="*/ 845969 w 2520000"/>
              <a:gd name="connsiteY64" fmla="*/ 69831 h 2520000"/>
              <a:gd name="connsiteX65" fmla="*/ 1135910 w 2520000"/>
              <a:gd name="connsiteY65" fmla="*/ 866436 h 2520000"/>
              <a:gd name="connsiteX66" fmla="*/ 916501 w 2520000"/>
              <a:gd name="connsiteY66" fmla="*/ 47592 h 2520000"/>
              <a:gd name="connsiteX67" fmla="*/ 951275 w 2520000"/>
              <a:gd name="connsiteY67" fmla="*/ 38275 h 2520000"/>
              <a:gd name="connsiteX68" fmla="*/ 1170683 w 2520000"/>
              <a:gd name="connsiteY68" fmla="*/ 857116 h 2520000"/>
              <a:gd name="connsiteX69" fmla="*/ 1023477 w 2520000"/>
              <a:gd name="connsiteY69" fmla="*/ 22268 h 2520000"/>
              <a:gd name="connsiteX70" fmla="*/ 1058929 w 2520000"/>
              <a:gd name="connsiteY70" fmla="*/ 16017 h 2520000"/>
              <a:gd name="connsiteX71" fmla="*/ 1206138 w 2520000"/>
              <a:gd name="connsiteY71" fmla="*/ 850877 h 2520000"/>
              <a:gd name="connsiteX72" fmla="*/ 1132253 w 2520000"/>
              <a:gd name="connsiteY72" fmla="*/ 6363 h 2520000"/>
              <a:gd name="connsiteX73" fmla="*/ 1168115 w 2520000"/>
              <a:gd name="connsiteY73" fmla="*/ 3226 h 2520000"/>
              <a:gd name="connsiteX74" fmla="*/ 1242000 w 2520000"/>
              <a:gd name="connsiteY74" fmla="*/ 847735 h 2520000"/>
              <a:gd name="connsiteX75" fmla="*/ 1242000 w 2520000"/>
              <a:gd name="connsiteY75" fmla="*/ 0 h 2520000"/>
              <a:gd name="connsiteX76" fmla="*/ 1278000 w 2520000"/>
              <a:gd name="connsiteY76" fmla="*/ 0 h 2520000"/>
              <a:gd name="connsiteX77" fmla="*/ 1278000 w 2520000"/>
              <a:gd name="connsiteY77" fmla="*/ 847501 h 2520000"/>
              <a:gd name="connsiteX78" fmla="*/ 1351906 w 2520000"/>
              <a:gd name="connsiteY78" fmla="*/ 2755 h 2520000"/>
              <a:gd name="connsiteX79" fmla="*/ 1387769 w 2520000"/>
              <a:gd name="connsiteY79" fmla="*/ 5893 h 2520000"/>
              <a:gd name="connsiteX80" fmla="*/ 1313905 w 2520000"/>
              <a:gd name="connsiteY80" fmla="*/ 850161 h 2520000"/>
              <a:gd name="connsiteX81" fmla="*/ 1461153 w 2520000"/>
              <a:gd name="connsiteY81" fmla="*/ 15078 h 2520000"/>
              <a:gd name="connsiteX82" fmla="*/ 1496605 w 2520000"/>
              <a:gd name="connsiteY82" fmla="*/ 21330 h 2520000"/>
              <a:gd name="connsiteX83" fmla="*/ 1349438 w 2520000"/>
              <a:gd name="connsiteY83" fmla="*/ 855956 h 2520000"/>
              <a:gd name="connsiteX84" fmla="*/ 1568910 w 2520000"/>
              <a:gd name="connsiteY84" fmla="*/ 36877 h 2520000"/>
              <a:gd name="connsiteX85" fmla="*/ 1603684 w 2520000"/>
              <a:gd name="connsiteY85" fmla="*/ 46194 h 2520000"/>
              <a:gd name="connsiteX86" fmla="*/ 1384338 w 2520000"/>
              <a:gd name="connsiteY86" fmla="*/ 864802 h 2520000"/>
              <a:gd name="connsiteX87" fmla="*/ 1674356 w 2520000"/>
              <a:gd name="connsiteY87" fmla="*/ 67983 h 2520000"/>
              <a:gd name="connsiteX88" fmla="*/ 1708185 w 2520000"/>
              <a:gd name="connsiteY88" fmla="*/ 80296 h 2520000"/>
              <a:gd name="connsiteX89" fmla="*/ 1418322 w 2520000"/>
              <a:gd name="connsiteY89" fmla="*/ 876690 h 2520000"/>
              <a:gd name="connsiteX90" fmla="*/ 1776692 w 2520000"/>
              <a:gd name="connsiteY90" fmla="*/ 108162 h 2520000"/>
              <a:gd name="connsiteX91" fmla="*/ 1809319 w 2520000"/>
              <a:gd name="connsiteY91" fmla="*/ 123377 h 2520000"/>
              <a:gd name="connsiteX92" fmla="*/ 1451151 w 2520000"/>
              <a:gd name="connsiteY92" fmla="*/ 891470 h 2520000"/>
              <a:gd name="connsiteX93" fmla="*/ 1875135 w 2520000"/>
              <a:gd name="connsiteY93" fmla="*/ 157108 h 2520000"/>
              <a:gd name="connsiteX94" fmla="*/ 1906312 w 2520000"/>
              <a:gd name="connsiteY94" fmla="*/ 175108 h 2520000"/>
              <a:gd name="connsiteX95" fmla="*/ 1482565 w 2520000"/>
              <a:gd name="connsiteY95" fmla="*/ 909059 h 2520000"/>
              <a:gd name="connsiteX96" fmla="*/ 1968938 w 2520000"/>
              <a:gd name="connsiteY96" fmla="*/ 214447 h 2520000"/>
              <a:gd name="connsiteX97" fmla="*/ 1998427 w 2520000"/>
              <a:gd name="connsiteY97" fmla="*/ 235096 h 2520000"/>
              <a:gd name="connsiteX98" fmla="*/ 1512322 w 2520000"/>
              <a:gd name="connsiteY98" fmla="*/ 929326 h 2520000"/>
              <a:gd name="connsiteX99" fmla="*/ 2057387 w 2520000"/>
              <a:gd name="connsiteY99" fmla="*/ 279743 h 2520000"/>
              <a:gd name="connsiteX100" fmla="*/ 2084964 w 2520000"/>
              <a:gd name="connsiteY100" fmla="*/ 302883 h 2520000"/>
              <a:gd name="connsiteX101" fmla="*/ 1540200 w 2520000"/>
              <a:gd name="connsiteY101" fmla="*/ 952109 h 2520000"/>
              <a:gd name="connsiteX102" fmla="*/ 2139809 w 2520000"/>
              <a:gd name="connsiteY102" fmla="*/ 352499 h 2520000"/>
              <a:gd name="connsiteX103" fmla="*/ 2165264 w 2520000"/>
              <a:gd name="connsiteY103" fmla="*/ 377956 h 2520000"/>
              <a:gd name="connsiteX104" fmla="*/ 1514438 w 2520000"/>
              <a:gd name="connsiteY104" fmla="*/ 1028782 h 2520000"/>
              <a:gd name="connsiteX105" fmla="*/ 2219660 w 2520000"/>
              <a:gd name="connsiteY105" fmla="*/ 437030 h 2520000"/>
              <a:gd name="connsiteX106" fmla="*/ 2242800 w 2520000"/>
              <a:gd name="connsiteY106" fmla="*/ 464608 h 2520000"/>
              <a:gd name="connsiteX107" fmla="*/ 1628988 w 2520000"/>
              <a:gd name="connsiteY107" fmla="*/ 979657 h 2520000"/>
              <a:gd name="connsiteX108" fmla="*/ 2281807 w 2520000"/>
              <a:gd name="connsiteY108" fmla="*/ 522549 h 2520000"/>
              <a:gd name="connsiteX109" fmla="*/ 2302456 w 2520000"/>
              <a:gd name="connsiteY109" fmla="*/ 552038 h 2520000"/>
              <a:gd name="connsiteX110" fmla="*/ 1608033 w 2520000"/>
              <a:gd name="connsiteY110" fmla="*/ 1038278 h 2520000"/>
              <a:gd name="connsiteX111" fmla="*/ 2342192 w 2520000"/>
              <a:gd name="connsiteY111" fmla="*/ 614412 h 2520000"/>
              <a:gd name="connsiteX112" fmla="*/ 2360192 w 2520000"/>
              <a:gd name="connsiteY112" fmla="*/ 645588 h 2520000"/>
              <a:gd name="connsiteX113" fmla="*/ 1626031 w 2520000"/>
              <a:gd name="connsiteY113" fmla="*/ 1069457 h 2520000"/>
              <a:gd name="connsiteX114" fmla="*/ 2394341 w 2520000"/>
              <a:gd name="connsiteY114" fmla="*/ 711188 h 2520000"/>
              <a:gd name="connsiteX115" fmla="*/ 2409555 w 2520000"/>
              <a:gd name="connsiteY115" fmla="*/ 743814 h 2520000"/>
              <a:gd name="connsiteX116" fmla="*/ 1641245 w 2520000"/>
              <a:gd name="connsiteY116" fmla="*/ 1102083 h 2520000"/>
              <a:gd name="connsiteX117" fmla="*/ 2437856 w 2520000"/>
              <a:gd name="connsiteY117" fmla="*/ 812140 h 2520000"/>
              <a:gd name="connsiteX118" fmla="*/ 2450169 w 2520000"/>
              <a:gd name="connsiteY118" fmla="*/ 845969 h 2520000"/>
              <a:gd name="connsiteX119" fmla="*/ 1653563 w 2520000"/>
              <a:gd name="connsiteY119" fmla="*/ 1135910 h 2520000"/>
              <a:gd name="connsiteX120" fmla="*/ 2472408 w 2520000"/>
              <a:gd name="connsiteY120" fmla="*/ 916501 h 2520000"/>
              <a:gd name="connsiteX121" fmla="*/ 2481726 w 2520000"/>
              <a:gd name="connsiteY121" fmla="*/ 951274 h 2520000"/>
              <a:gd name="connsiteX122" fmla="*/ 1662878 w 2520000"/>
              <a:gd name="connsiteY122" fmla="*/ 1170685 h 2520000"/>
              <a:gd name="connsiteX123" fmla="*/ 2497732 w 2520000"/>
              <a:gd name="connsiteY123" fmla="*/ 1023477 h 2520000"/>
              <a:gd name="connsiteX124" fmla="*/ 2503984 w 2520000"/>
              <a:gd name="connsiteY124" fmla="*/ 1058930 h 2520000"/>
              <a:gd name="connsiteX125" fmla="*/ 1669132 w 2520000"/>
              <a:gd name="connsiteY125" fmla="*/ 1206137 h 2520000"/>
              <a:gd name="connsiteX126" fmla="*/ 2513637 w 2520000"/>
              <a:gd name="connsiteY126" fmla="*/ 1132252 h 2520000"/>
              <a:gd name="connsiteX127" fmla="*/ 2516774 w 2520000"/>
              <a:gd name="connsiteY127" fmla="*/ 1168115 h 2520000"/>
              <a:gd name="connsiteX128" fmla="*/ 1672268 w 2520000"/>
              <a:gd name="connsiteY128" fmla="*/ 1242000 h 2520000"/>
              <a:gd name="connsiteX129" fmla="*/ 2520000 w 2520000"/>
              <a:gd name="connsiteY129" fmla="*/ 1242000 h 2520000"/>
              <a:gd name="connsiteX130" fmla="*/ 2520000 w 2520000"/>
              <a:gd name="connsiteY130" fmla="*/ 1278000 h 2520000"/>
              <a:gd name="connsiteX131" fmla="*/ 1672267 w 2520000"/>
              <a:gd name="connsiteY131" fmla="*/ 1278000 h 2520000"/>
              <a:gd name="connsiteX132" fmla="*/ 2516774 w 2520000"/>
              <a:gd name="connsiteY132" fmla="*/ 1351885 h 2520000"/>
              <a:gd name="connsiteX133" fmla="*/ 2513637 w 2520000"/>
              <a:gd name="connsiteY133" fmla="*/ 1387748 h 2520000"/>
              <a:gd name="connsiteX134" fmla="*/ 1669126 w 2520000"/>
              <a:gd name="connsiteY134" fmla="*/ 1313862 h 2520000"/>
              <a:gd name="connsiteX135" fmla="*/ 2503983 w 2520000"/>
              <a:gd name="connsiteY135" fmla="*/ 1461070 h 2520000"/>
              <a:gd name="connsiteX136" fmla="*/ 2497733 w 2520000"/>
              <a:gd name="connsiteY136" fmla="*/ 1496523 h 2520000"/>
              <a:gd name="connsiteX137" fmla="*/ 1662877 w 2520000"/>
              <a:gd name="connsiteY137" fmla="*/ 1349315 h 2520000"/>
              <a:gd name="connsiteX138" fmla="*/ 2481725 w 2520000"/>
              <a:gd name="connsiteY138" fmla="*/ 1568725 h 2520000"/>
              <a:gd name="connsiteX139" fmla="*/ 2472408 w 2520000"/>
              <a:gd name="connsiteY139" fmla="*/ 1603498 h 2520000"/>
              <a:gd name="connsiteX140" fmla="*/ 1653557 w 2520000"/>
              <a:gd name="connsiteY140" fmla="*/ 1384088 h 2520000"/>
              <a:gd name="connsiteX141" fmla="*/ 2450169 w 2520000"/>
              <a:gd name="connsiteY141" fmla="*/ 1674031 h 2520000"/>
              <a:gd name="connsiteX142" fmla="*/ 2437857 w 2520000"/>
              <a:gd name="connsiteY142" fmla="*/ 1707860 h 2520000"/>
              <a:gd name="connsiteX143" fmla="*/ 1641251 w 2520000"/>
              <a:gd name="connsiteY143" fmla="*/ 1417919 h 2520000"/>
              <a:gd name="connsiteX144" fmla="*/ 2409555 w 2520000"/>
              <a:gd name="connsiteY144" fmla="*/ 1776185 h 2520000"/>
              <a:gd name="connsiteX145" fmla="*/ 2394340 w 2520000"/>
              <a:gd name="connsiteY145" fmla="*/ 1808813 h 2520000"/>
              <a:gd name="connsiteX146" fmla="*/ 1626043 w 2520000"/>
              <a:gd name="connsiteY146" fmla="*/ 1450550 h 2520000"/>
              <a:gd name="connsiteX147" fmla="*/ 2360192 w 2520000"/>
              <a:gd name="connsiteY147" fmla="*/ 1874411 h 2520000"/>
              <a:gd name="connsiteX148" fmla="*/ 2342192 w 2520000"/>
              <a:gd name="connsiteY148" fmla="*/ 1905588 h 2520000"/>
              <a:gd name="connsiteX149" fmla="*/ 1608038 w 2520000"/>
              <a:gd name="connsiteY149" fmla="*/ 1481725 h 2520000"/>
              <a:gd name="connsiteX150" fmla="*/ 2302456 w 2520000"/>
              <a:gd name="connsiteY150" fmla="*/ 1967961 h 2520000"/>
              <a:gd name="connsiteX151" fmla="*/ 2281807 w 2520000"/>
              <a:gd name="connsiteY151" fmla="*/ 1997451 h 2520000"/>
              <a:gd name="connsiteX152" fmla="*/ 1587388 w 2520000"/>
              <a:gd name="connsiteY152" fmla="*/ 1511214 h 2520000"/>
              <a:gd name="connsiteX153" fmla="*/ 2236786 w 2520000"/>
              <a:gd name="connsiteY153" fmla="*/ 2056124 h 2520000"/>
              <a:gd name="connsiteX154" fmla="*/ 2213646 w 2520000"/>
              <a:gd name="connsiteY154" fmla="*/ 2083701 h 2520000"/>
              <a:gd name="connsiteX155" fmla="*/ 1564245 w 2520000"/>
              <a:gd name="connsiteY155" fmla="*/ 1538789 h 2520000"/>
              <a:gd name="connsiteX156" fmla="*/ 2163683 w 2520000"/>
              <a:gd name="connsiteY156" fmla="*/ 2138227 h 2520000"/>
              <a:gd name="connsiteX157" fmla="*/ 2138227 w 2520000"/>
              <a:gd name="connsiteY157" fmla="*/ 2163682 h 2520000"/>
              <a:gd name="connsiteX158" fmla="*/ 1538789 w 2520000"/>
              <a:gd name="connsiteY158" fmla="*/ 1564244 h 2520000"/>
              <a:gd name="connsiteX159" fmla="*/ 2083701 w 2520000"/>
              <a:gd name="connsiteY159" fmla="*/ 2213646 h 2520000"/>
              <a:gd name="connsiteX160" fmla="*/ 2056124 w 2520000"/>
              <a:gd name="connsiteY160" fmla="*/ 2236786 h 2520000"/>
              <a:gd name="connsiteX161" fmla="*/ 1511211 w 2520000"/>
              <a:gd name="connsiteY161" fmla="*/ 1587385 h 2520000"/>
              <a:gd name="connsiteX162" fmla="*/ 1997451 w 2520000"/>
              <a:gd name="connsiteY162" fmla="*/ 2281807 h 2520000"/>
              <a:gd name="connsiteX163" fmla="*/ 1967961 w 2520000"/>
              <a:gd name="connsiteY163" fmla="*/ 2302456 h 2520000"/>
              <a:gd name="connsiteX164" fmla="*/ 1481723 w 2520000"/>
              <a:gd name="connsiteY164" fmla="*/ 1608035 h 2520000"/>
              <a:gd name="connsiteX165" fmla="*/ 1905589 w 2520000"/>
              <a:gd name="connsiteY165" fmla="*/ 2342192 h 2520000"/>
              <a:gd name="connsiteX166" fmla="*/ 1874412 w 2520000"/>
              <a:gd name="connsiteY166" fmla="*/ 2360192 h 2520000"/>
              <a:gd name="connsiteX167" fmla="*/ 1450548 w 2520000"/>
              <a:gd name="connsiteY167" fmla="*/ 1626039 h 2520000"/>
              <a:gd name="connsiteX168" fmla="*/ 1808813 w 2520000"/>
              <a:gd name="connsiteY168" fmla="*/ 2394341 h 2520000"/>
              <a:gd name="connsiteX169" fmla="*/ 1776185 w 2520000"/>
              <a:gd name="connsiteY169" fmla="*/ 2409555 h 2520000"/>
              <a:gd name="connsiteX170" fmla="*/ 1417919 w 2520000"/>
              <a:gd name="connsiteY170" fmla="*/ 1641250 h 2520000"/>
              <a:gd name="connsiteX171" fmla="*/ 1707860 w 2520000"/>
              <a:gd name="connsiteY171" fmla="*/ 2437856 h 2520000"/>
              <a:gd name="connsiteX172" fmla="*/ 1674031 w 2520000"/>
              <a:gd name="connsiteY172" fmla="*/ 2450169 h 2520000"/>
              <a:gd name="connsiteX173" fmla="*/ 1384091 w 2520000"/>
              <a:gd name="connsiteY173" fmla="*/ 1653568 h 2520000"/>
              <a:gd name="connsiteX174" fmla="*/ 1603499 w 2520000"/>
              <a:gd name="connsiteY174" fmla="*/ 2472408 h 2520000"/>
              <a:gd name="connsiteX175" fmla="*/ 1568725 w 2520000"/>
              <a:gd name="connsiteY175" fmla="*/ 2481726 h 2520000"/>
              <a:gd name="connsiteX176" fmla="*/ 1349315 w 2520000"/>
              <a:gd name="connsiteY176" fmla="*/ 1662879 h 2520000"/>
              <a:gd name="connsiteX177" fmla="*/ 1496523 w 2520000"/>
              <a:gd name="connsiteY177" fmla="*/ 2497732 h 2520000"/>
              <a:gd name="connsiteX178" fmla="*/ 1461070 w 2520000"/>
              <a:gd name="connsiteY178" fmla="*/ 2503984 h 2520000"/>
              <a:gd name="connsiteX179" fmla="*/ 1313863 w 2520000"/>
              <a:gd name="connsiteY179" fmla="*/ 1669130 h 2520000"/>
              <a:gd name="connsiteX180" fmla="*/ 1387748 w 2520000"/>
              <a:gd name="connsiteY180" fmla="*/ 2513637 h 2520000"/>
              <a:gd name="connsiteX181" fmla="*/ 1351885 w 2520000"/>
              <a:gd name="connsiteY181" fmla="*/ 2516774 h 2520000"/>
              <a:gd name="connsiteX182" fmla="*/ 1278000 w 2520000"/>
              <a:gd name="connsiteY182" fmla="*/ 1672266 h 2520000"/>
              <a:gd name="connsiteX183" fmla="*/ 1278000 w 2520000"/>
              <a:gd name="connsiteY183" fmla="*/ 2520000 h 2520000"/>
              <a:gd name="connsiteX184" fmla="*/ 1242000 w 2520000"/>
              <a:gd name="connsiteY184" fmla="*/ 2520000 h 2520000"/>
              <a:gd name="connsiteX185" fmla="*/ 1242002 w 2520000"/>
              <a:gd name="connsiteY185" fmla="*/ 1672022 h 2520000"/>
              <a:gd name="connsiteX186" fmla="*/ 1168137 w 2520000"/>
              <a:gd name="connsiteY186" fmla="*/ 2516303 h 2520000"/>
              <a:gd name="connsiteX187" fmla="*/ 1132273 w 2520000"/>
              <a:gd name="connsiteY187" fmla="*/ 2513166 h 2520000"/>
              <a:gd name="connsiteX188" fmla="*/ 1206179 w 2520000"/>
              <a:gd name="connsiteY188" fmla="*/ 1668416 h 2520000"/>
              <a:gd name="connsiteX189" fmla="*/ 1059012 w 2520000"/>
              <a:gd name="connsiteY189" fmla="*/ 2503045 h 2520000"/>
              <a:gd name="connsiteX190" fmla="*/ 1023559 w 2520000"/>
              <a:gd name="connsiteY190" fmla="*/ 2496794 h 2520000"/>
              <a:gd name="connsiteX191" fmla="*/ 1170806 w 2520000"/>
              <a:gd name="connsiteY191" fmla="*/ 1661718 h 2520000"/>
              <a:gd name="connsiteX192" fmla="*/ 951460 w 2520000"/>
              <a:gd name="connsiteY192" fmla="*/ 2480327 h 2520000"/>
              <a:gd name="connsiteX193" fmla="*/ 916686 w 2520000"/>
              <a:gd name="connsiteY193" fmla="*/ 2471010 h 2520000"/>
              <a:gd name="connsiteX194" fmla="*/ 1136159 w 2520000"/>
              <a:gd name="connsiteY194" fmla="*/ 1651925 h 2520000"/>
              <a:gd name="connsiteX195" fmla="*/ 846295 w 2520000"/>
              <a:gd name="connsiteY195" fmla="*/ 2448322 h 2520000"/>
              <a:gd name="connsiteX196" fmla="*/ 812466 w 2520000"/>
              <a:gd name="connsiteY196" fmla="*/ 2436009 h 2520000"/>
              <a:gd name="connsiteX197" fmla="*/ 1102487 w 2520000"/>
              <a:gd name="connsiteY197" fmla="*/ 1639184 h 2520000"/>
              <a:gd name="connsiteX198" fmla="*/ 744321 w 2520000"/>
              <a:gd name="connsiteY198" fmla="*/ 2407272 h 2520000"/>
              <a:gd name="connsiteX199" fmla="*/ 711694 w 2520000"/>
              <a:gd name="connsiteY199" fmla="*/ 2392058 h 2520000"/>
              <a:gd name="connsiteX200" fmla="*/ 1070059 w 2520000"/>
              <a:gd name="connsiteY200" fmla="*/ 1623541 h 2520000"/>
              <a:gd name="connsiteX201" fmla="*/ 646312 w 2520000"/>
              <a:gd name="connsiteY201" fmla="*/ 2357492 h 2520000"/>
              <a:gd name="connsiteX202" fmla="*/ 615135 w 2520000"/>
              <a:gd name="connsiteY202" fmla="*/ 2339492 h 2520000"/>
              <a:gd name="connsiteX203" fmla="*/ 1039124 w 2520000"/>
              <a:gd name="connsiteY203" fmla="*/ 1605123 h 2520000"/>
              <a:gd name="connsiteX204" fmla="*/ 553015 w 2520000"/>
              <a:gd name="connsiteY204" fmla="*/ 2299359 h 2520000"/>
              <a:gd name="connsiteX205" fmla="*/ 523525 w 2520000"/>
              <a:gd name="connsiteY205" fmla="*/ 2278710 h 2520000"/>
              <a:gd name="connsiteX206" fmla="*/ 1009901 w 2520000"/>
              <a:gd name="connsiteY206" fmla="*/ 1584093 h 2520000"/>
              <a:gd name="connsiteX207" fmla="*/ 465140 w 2520000"/>
              <a:gd name="connsiteY207" fmla="*/ 2233315 h 2520000"/>
              <a:gd name="connsiteX208" fmla="*/ 437562 w 2520000"/>
              <a:gd name="connsiteY208" fmla="*/ 2210175 h 2520000"/>
              <a:gd name="connsiteX209" fmla="*/ 982624 w 2520000"/>
              <a:gd name="connsiteY209" fmla="*/ 1560596 h 2520000"/>
              <a:gd name="connsiteX210" fmla="*/ 383355 w 2520000"/>
              <a:gd name="connsiteY210" fmla="*/ 2159864 h 2520000"/>
              <a:gd name="connsiteX211" fmla="*/ 357899 w 2520000"/>
              <a:gd name="connsiteY211" fmla="*/ 2134408 h 2520000"/>
              <a:gd name="connsiteX212" fmla="*/ 905948 w 2520000"/>
              <a:gd name="connsiteY212" fmla="*/ 1586360 h 2520000"/>
              <a:gd name="connsiteX213" fmla="*/ 312368 w 2520000"/>
              <a:gd name="connsiteY213" fmla="*/ 2084433 h 2520000"/>
              <a:gd name="connsiteX214" fmla="*/ 289228 w 2520000"/>
              <a:gd name="connsiteY214" fmla="*/ 2056855 h 2520000"/>
              <a:gd name="connsiteX215" fmla="*/ 974211 w 2520000"/>
              <a:gd name="connsiteY215" fmla="*/ 1482086 h 252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  <a:cxn ang="0">
                <a:pos x="connsiteX156" y="connsiteY156"/>
              </a:cxn>
              <a:cxn ang="0">
                <a:pos x="connsiteX157" y="connsiteY157"/>
              </a:cxn>
              <a:cxn ang="0">
                <a:pos x="connsiteX158" y="connsiteY158"/>
              </a:cxn>
              <a:cxn ang="0">
                <a:pos x="connsiteX159" y="connsiteY159"/>
              </a:cxn>
              <a:cxn ang="0">
                <a:pos x="connsiteX160" y="connsiteY160"/>
              </a:cxn>
              <a:cxn ang="0">
                <a:pos x="connsiteX161" y="connsiteY161"/>
              </a:cxn>
              <a:cxn ang="0">
                <a:pos x="connsiteX162" y="connsiteY162"/>
              </a:cxn>
              <a:cxn ang="0">
                <a:pos x="connsiteX163" y="connsiteY163"/>
              </a:cxn>
              <a:cxn ang="0">
                <a:pos x="connsiteX164" y="connsiteY164"/>
              </a:cxn>
              <a:cxn ang="0">
                <a:pos x="connsiteX165" y="connsiteY165"/>
              </a:cxn>
              <a:cxn ang="0">
                <a:pos x="connsiteX166" y="connsiteY166"/>
              </a:cxn>
              <a:cxn ang="0">
                <a:pos x="connsiteX167" y="connsiteY167"/>
              </a:cxn>
              <a:cxn ang="0">
                <a:pos x="connsiteX168" y="connsiteY168"/>
              </a:cxn>
              <a:cxn ang="0">
                <a:pos x="connsiteX169" y="connsiteY169"/>
              </a:cxn>
              <a:cxn ang="0">
                <a:pos x="connsiteX170" y="connsiteY170"/>
              </a:cxn>
              <a:cxn ang="0">
                <a:pos x="connsiteX171" y="connsiteY171"/>
              </a:cxn>
              <a:cxn ang="0">
                <a:pos x="connsiteX172" y="connsiteY172"/>
              </a:cxn>
              <a:cxn ang="0">
                <a:pos x="connsiteX173" y="connsiteY173"/>
              </a:cxn>
              <a:cxn ang="0">
                <a:pos x="connsiteX174" y="connsiteY174"/>
              </a:cxn>
              <a:cxn ang="0">
                <a:pos x="connsiteX175" y="connsiteY175"/>
              </a:cxn>
              <a:cxn ang="0">
                <a:pos x="connsiteX176" y="connsiteY176"/>
              </a:cxn>
              <a:cxn ang="0">
                <a:pos x="connsiteX177" y="connsiteY177"/>
              </a:cxn>
              <a:cxn ang="0">
                <a:pos x="connsiteX178" y="connsiteY178"/>
              </a:cxn>
              <a:cxn ang="0">
                <a:pos x="connsiteX179" y="connsiteY179"/>
              </a:cxn>
              <a:cxn ang="0">
                <a:pos x="connsiteX180" y="connsiteY180"/>
              </a:cxn>
              <a:cxn ang="0">
                <a:pos x="connsiteX181" y="connsiteY181"/>
              </a:cxn>
              <a:cxn ang="0">
                <a:pos x="connsiteX182" y="connsiteY182"/>
              </a:cxn>
              <a:cxn ang="0">
                <a:pos x="connsiteX183" y="connsiteY183"/>
              </a:cxn>
              <a:cxn ang="0">
                <a:pos x="connsiteX184" y="connsiteY184"/>
              </a:cxn>
              <a:cxn ang="0">
                <a:pos x="connsiteX185" y="connsiteY185"/>
              </a:cxn>
              <a:cxn ang="0">
                <a:pos x="connsiteX186" y="connsiteY186"/>
              </a:cxn>
              <a:cxn ang="0">
                <a:pos x="connsiteX187" y="connsiteY187"/>
              </a:cxn>
              <a:cxn ang="0">
                <a:pos x="connsiteX188" y="connsiteY188"/>
              </a:cxn>
              <a:cxn ang="0">
                <a:pos x="connsiteX189" y="connsiteY189"/>
              </a:cxn>
              <a:cxn ang="0">
                <a:pos x="connsiteX190" y="connsiteY190"/>
              </a:cxn>
              <a:cxn ang="0">
                <a:pos x="connsiteX191" y="connsiteY191"/>
              </a:cxn>
              <a:cxn ang="0">
                <a:pos x="connsiteX192" y="connsiteY192"/>
              </a:cxn>
              <a:cxn ang="0">
                <a:pos x="connsiteX193" y="connsiteY193"/>
              </a:cxn>
              <a:cxn ang="0">
                <a:pos x="connsiteX194" y="connsiteY194"/>
              </a:cxn>
              <a:cxn ang="0">
                <a:pos x="connsiteX195" y="connsiteY195"/>
              </a:cxn>
              <a:cxn ang="0">
                <a:pos x="connsiteX196" y="connsiteY196"/>
              </a:cxn>
              <a:cxn ang="0">
                <a:pos x="connsiteX197" y="connsiteY197"/>
              </a:cxn>
              <a:cxn ang="0">
                <a:pos x="connsiteX198" y="connsiteY198"/>
              </a:cxn>
              <a:cxn ang="0">
                <a:pos x="connsiteX199" y="connsiteY199"/>
              </a:cxn>
              <a:cxn ang="0">
                <a:pos x="connsiteX200" y="connsiteY200"/>
              </a:cxn>
              <a:cxn ang="0">
                <a:pos x="connsiteX201" y="connsiteY201"/>
              </a:cxn>
              <a:cxn ang="0">
                <a:pos x="connsiteX202" y="connsiteY202"/>
              </a:cxn>
              <a:cxn ang="0">
                <a:pos x="connsiteX203" y="connsiteY203"/>
              </a:cxn>
              <a:cxn ang="0">
                <a:pos x="connsiteX204" y="connsiteY204"/>
              </a:cxn>
              <a:cxn ang="0">
                <a:pos x="connsiteX205" y="connsiteY205"/>
              </a:cxn>
              <a:cxn ang="0">
                <a:pos x="connsiteX206" y="connsiteY206"/>
              </a:cxn>
              <a:cxn ang="0">
                <a:pos x="connsiteX207" y="connsiteY207"/>
              </a:cxn>
              <a:cxn ang="0">
                <a:pos x="connsiteX208" y="connsiteY208"/>
              </a:cxn>
              <a:cxn ang="0">
                <a:pos x="connsiteX209" y="connsiteY209"/>
              </a:cxn>
              <a:cxn ang="0">
                <a:pos x="connsiteX210" y="connsiteY210"/>
              </a:cxn>
              <a:cxn ang="0">
                <a:pos x="connsiteX211" y="connsiteY211"/>
              </a:cxn>
              <a:cxn ang="0">
                <a:pos x="connsiteX212" y="connsiteY212"/>
              </a:cxn>
              <a:cxn ang="0">
                <a:pos x="connsiteX213" y="connsiteY213"/>
              </a:cxn>
              <a:cxn ang="0">
                <a:pos x="connsiteX214" y="connsiteY214"/>
              </a:cxn>
              <a:cxn ang="0">
                <a:pos x="connsiteX215" y="connsiteY215"/>
              </a:cxn>
            </a:cxnLst>
            <a:rect l="l" t="t" r="r" b="b"/>
            <a:pathLst>
              <a:path w="2520000" h="2520000">
                <a:moveTo>
                  <a:pt x="238193" y="1997451"/>
                </a:moveTo>
                <a:lnTo>
                  <a:pt x="217544" y="1967962"/>
                </a:lnTo>
                <a:lnTo>
                  <a:pt x="911968" y="1481721"/>
                </a:lnTo>
                <a:lnTo>
                  <a:pt x="177808" y="1905589"/>
                </a:lnTo>
                <a:lnTo>
                  <a:pt x="159808" y="1874412"/>
                </a:lnTo>
                <a:lnTo>
                  <a:pt x="893967" y="1450545"/>
                </a:lnTo>
                <a:lnTo>
                  <a:pt x="125659" y="1808813"/>
                </a:lnTo>
                <a:lnTo>
                  <a:pt x="110445" y="1776186"/>
                </a:lnTo>
                <a:lnTo>
                  <a:pt x="878754" y="1417918"/>
                </a:lnTo>
                <a:lnTo>
                  <a:pt x="82144" y="1707860"/>
                </a:lnTo>
                <a:lnTo>
                  <a:pt x="69831" y="1674031"/>
                </a:lnTo>
                <a:lnTo>
                  <a:pt x="866437" y="1384090"/>
                </a:lnTo>
                <a:lnTo>
                  <a:pt x="47592" y="1603499"/>
                </a:lnTo>
                <a:lnTo>
                  <a:pt x="38275" y="1568725"/>
                </a:lnTo>
                <a:lnTo>
                  <a:pt x="857121" y="1349316"/>
                </a:lnTo>
                <a:lnTo>
                  <a:pt x="22268" y="1496523"/>
                </a:lnTo>
                <a:lnTo>
                  <a:pt x="16016" y="1461070"/>
                </a:lnTo>
                <a:lnTo>
                  <a:pt x="850870" y="1313863"/>
                </a:lnTo>
                <a:lnTo>
                  <a:pt x="6363" y="1387748"/>
                </a:lnTo>
                <a:lnTo>
                  <a:pt x="3226" y="1351885"/>
                </a:lnTo>
                <a:lnTo>
                  <a:pt x="847731" y="1278000"/>
                </a:lnTo>
                <a:lnTo>
                  <a:pt x="0" y="1278000"/>
                </a:lnTo>
                <a:lnTo>
                  <a:pt x="0" y="1242000"/>
                </a:lnTo>
                <a:lnTo>
                  <a:pt x="847733" y="1242001"/>
                </a:lnTo>
                <a:lnTo>
                  <a:pt x="3226" y="1168115"/>
                </a:lnTo>
                <a:lnTo>
                  <a:pt x="6363" y="1132252"/>
                </a:lnTo>
                <a:lnTo>
                  <a:pt x="850874" y="1206137"/>
                </a:lnTo>
                <a:lnTo>
                  <a:pt x="16017" y="1058930"/>
                </a:lnTo>
                <a:lnTo>
                  <a:pt x="22268" y="1023477"/>
                </a:lnTo>
                <a:lnTo>
                  <a:pt x="857120" y="1170684"/>
                </a:lnTo>
                <a:lnTo>
                  <a:pt x="38275" y="951275"/>
                </a:lnTo>
                <a:lnTo>
                  <a:pt x="47592" y="916501"/>
                </a:lnTo>
                <a:lnTo>
                  <a:pt x="866441" y="1135911"/>
                </a:lnTo>
                <a:lnTo>
                  <a:pt x="69831" y="845969"/>
                </a:lnTo>
                <a:lnTo>
                  <a:pt x="82144" y="812140"/>
                </a:lnTo>
                <a:lnTo>
                  <a:pt x="878751" y="1102082"/>
                </a:lnTo>
                <a:lnTo>
                  <a:pt x="110445" y="743815"/>
                </a:lnTo>
                <a:lnTo>
                  <a:pt x="125660" y="711187"/>
                </a:lnTo>
                <a:lnTo>
                  <a:pt x="893964" y="1069453"/>
                </a:lnTo>
                <a:lnTo>
                  <a:pt x="159808" y="645588"/>
                </a:lnTo>
                <a:lnTo>
                  <a:pt x="177808" y="614412"/>
                </a:lnTo>
                <a:lnTo>
                  <a:pt x="911961" y="1038275"/>
                </a:lnTo>
                <a:lnTo>
                  <a:pt x="217544" y="552039"/>
                </a:lnTo>
                <a:lnTo>
                  <a:pt x="238193" y="522549"/>
                </a:lnTo>
                <a:lnTo>
                  <a:pt x="932610" y="1008785"/>
                </a:lnTo>
                <a:lnTo>
                  <a:pt x="283214" y="463876"/>
                </a:lnTo>
                <a:lnTo>
                  <a:pt x="306354" y="436299"/>
                </a:lnTo>
                <a:lnTo>
                  <a:pt x="955755" y="981211"/>
                </a:lnTo>
                <a:lnTo>
                  <a:pt x="356317" y="381774"/>
                </a:lnTo>
                <a:lnTo>
                  <a:pt x="381773" y="356318"/>
                </a:lnTo>
                <a:lnTo>
                  <a:pt x="981211" y="955756"/>
                </a:lnTo>
                <a:lnTo>
                  <a:pt x="436299" y="306354"/>
                </a:lnTo>
                <a:lnTo>
                  <a:pt x="463876" y="283214"/>
                </a:lnTo>
                <a:lnTo>
                  <a:pt x="1008789" y="932616"/>
                </a:lnTo>
                <a:lnTo>
                  <a:pt x="522549" y="238193"/>
                </a:lnTo>
                <a:lnTo>
                  <a:pt x="552039" y="217544"/>
                </a:lnTo>
                <a:lnTo>
                  <a:pt x="1038278" y="911967"/>
                </a:lnTo>
                <a:lnTo>
                  <a:pt x="614411" y="177808"/>
                </a:lnTo>
                <a:lnTo>
                  <a:pt x="645588" y="159808"/>
                </a:lnTo>
                <a:lnTo>
                  <a:pt x="1069453" y="893963"/>
                </a:lnTo>
                <a:lnTo>
                  <a:pt x="711187" y="125659"/>
                </a:lnTo>
                <a:lnTo>
                  <a:pt x="743815" y="110445"/>
                </a:lnTo>
                <a:lnTo>
                  <a:pt x="1102082" y="878751"/>
                </a:lnTo>
                <a:lnTo>
                  <a:pt x="812140" y="82144"/>
                </a:lnTo>
                <a:lnTo>
                  <a:pt x="845969" y="69831"/>
                </a:lnTo>
                <a:lnTo>
                  <a:pt x="1135910" y="866436"/>
                </a:lnTo>
                <a:lnTo>
                  <a:pt x="916501" y="47592"/>
                </a:lnTo>
                <a:lnTo>
                  <a:pt x="951275" y="38275"/>
                </a:lnTo>
                <a:lnTo>
                  <a:pt x="1170683" y="857116"/>
                </a:lnTo>
                <a:lnTo>
                  <a:pt x="1023477" y="22268"/>
                </a:lnTo>
                <a:lnTo>
                  <a:pt x="1058929" y="16017"/>
                </a:lnTo>
                <a:lnTo>
                  <a:pt x="1206138" y="850877"/>
                </a:lnTo>
                <a:lnTo>
                  <a:pt x="1132253" y="6363"/>
                </a:lnTo>
                <a:lnTo>
                  <a:pt x="1168115" y="3226"/>
                </a:lnTo>
                <a:lnTo>
                  <a:pt x="1242000" y="847735"/>
                </a:lnTo>
                <a:lnTo>
                  <a:pt x="1242000" y="0"/>
                </a:lnTo>
                <a:lnTo>
                  <a:pt x="1278000" y="0"/>
                </a:lnTo>
                <a:lnTo>
                  <a:pt x="1278000" y="847501"/>
                </a:lnTo>
                <a:lnTo>
                  <a:pt x="1351906" y="2755"/>
                </a:lnTo>
                <a:lnTo>
                  <a:pt x="1387769" y="5893"/>
                </a:lnTo>
                <a:lnTo>
                  <a:pt x="1313905" y="850161"/>
                </a:lnTo>
                <a:lnTo>
                  <a:pt x="1461153" y="15078"/>
                </a:lnTo>
                <a:lnTo>
                  <a:pt x="1496605" y="21330"/>
                </a:lnTo>
                <a:lnTo>
                  <a:pt x="1349438" y="855956"/>
                </a:lnTo>
                <a:lnTo>
                  <a:pt x="1568910" y="36877"/>
                </a:lnTo>
                <a:lnTo>
                  <a:pt x="1603684" y="46194"/>
                </a:lnTo>
                <a:lnTo>
                  <a:pt x="1384338" y="864802"/>
                </a:lnTo>
                <a:lnTo>
                  <a:pt x="1674356" y="67983"/>
                </a:lnTo>
                <a:lnTo>
                  <a:pt x="1708185" y="80296"/>
                </a:lnTo>
                <a:lnTo>
                  <a:pt x="1418322" y="876690"/>
                </a:lnTo>
                <a:lnTo>
                  <a:pt x="1776692" y="108162"/>
                </a:lnTo>
                <a:lnTo>
                  <a:pt x="1809319" y="123377"/>
                </a:lnTo>
                <a:lnTo>
                  <a:pt x="1451151" y="891470"/>
                </a:lnTo>
                <a:lnTo>
                  <a:pt x="1875135" y="157108"/>
                </a:lnTo>
                <a:lnTo>
                  <a:pt x="1906312" y="175108"/>
                </a:lnTo>
                <a:lnTo>
                  <a:pt x="1482565" y="909059"/>
                </a:lnTo>
                <a:lnTo>
                  <a:pt x="1968938" y="214447"/>
                </a:lnTo>
                <a:lnTo>
                  <a:pt x="1998427" y="235096"/>
                </a:lnTo>
                <a:lnTo>
                  <a:pt x="1512322" y="929326"/>
                </a:lnTo>
                <a:lnTo>
                  <a:pt x="2057387" y="279743"/>
                </a:lnTo>
                <a:lnTo>
                  <a:pt x="2084964" y="302883"/>
                </a:lnTo>
                <a:lnTo>
                  <a:pt x="1540200" y="952109"/>
                </a:lnTo>
                <a:lnTo>
                  <a:pt x="2139809" y="352499"/>
                </a:lnTo>
                <a:lnTo>
                  <a:pt x="2165264" y="377956"/>
                </a:lnTo>
                <a:lnTo>
                  <a:pt x="1514438" y="1028782"/>
                </a:lnTo>
                <a:lnTo>
                  <a:pt x="2219660" y="437030"/>
                </a:lnTo>
                <a:lnTo>
                  <a:pt x="2242800" y="464608"/>
                </a:lnTo>
                <a:lnTo>
                  <a:pt x="1628988" y="979657"/>
                </a:lnTo>
                <a:lnTo>
                  <a:pt x="2281807" y="522549"/>
                </a:lnTo>
                <a:lnTo>
                  <a:pt x="2302456" y="552038"/>
                </a:lnTo>
                <a:lnTo>
                  <a:pt x="1608033" y="1038278"/>
                </a:lnTo>
                <a:lnTo>
                  <a:pt x="2342192" y="614412"/>
                </a:lnTo>
                <a:lnTo>
                  <a:pt x="2360192" y="645588"/>
                </a:lnTo>
                <a:lnTo>
                  <a:pt x="1626031" y="1069457"/>
                </a:lnTo>
                <a:lnTo>
                  <a:pt x="2394341" y="711188"/>
                </a:lnTo>
                <a:lnTo>
                  <a:pt x="2409555" y="743814"/>
                </a:lnTo>
                <a:lnTo>
                  <a:pt x="1641245" y="1102083"/>
                </a:lnTo>
                <a:lnTo>
                  <a:pt x="2437856" y="812140"/>
                </a:lnTo>
                <a:lnTo>
                  <a:pt x="2450169" y="845969"/>
                </a:lnTo>
                <a:lnTo>
                  <a:pt x="1653563" y="1135910"/>
                </a:lnTo>
                <a:lnTo>
                  <a:pt x="2472408" y="916501"/>
                </a:lnTo>
                <a:lnTo>
                  <a:pt x="2481726" y="951274"/>
                </a:lnTo>
                <a:lnTo>
                  <a:pt x="1662878" y="1170685"/>
                </a:lnTo>
                <a:lnTo>
                  <a:pt x="2497732" y="1023477"/>
                </a:lnTo>
                <a:lnTo>
                  <a:pt x="2503984" y="1058930"/>
                </a:lnTo>
                <a:lnTo>
                  <a:pt x="1669132" y="1206137"/>
                </a:lnTo>
                <a:lnTo>
                  <a:pt x="2513637" y="1132252"/>
                </a:lnTo>
                <a:lnTo>
                  <a:pt x="2516774" y="1168115"/>
                </a:lnTo>
                <a:lnTo>
                  <a:pt x="1672268" y="1242000"/>
                </a:lnTo>
                <a:lnTo>
                  <a:pt x="2520000" y="1242000"/>
                </a:lnTo>
                <a:lnTo>
                  <a:pt x="2520000" y="1278000"/>
                </a:lnTo>
                <a:lnTo>
                  <a:pt x="1672267" y="1278000"/>
                </a:lnTo>
                <a:lnTo>
                  <a:pt x="2516774" y="1351885"/>
                </a:lnTo>
                <a:lnTo>
                  <a:pt x="2513637" y="1387748"/>
                </a:lnTo>
                <a:lnTo>
                  <a:pt x="1669126" y="1313862"/>
                </a:lnTo>
                <a:lnTo>
                  <a:pt x="2503983" y="1461070"/>
                </a:lnTo>
                <a:lnTo>
                  <a:pt x="2497733" y="1496523"/>
                </a:lnTo>
                <a:lnTo>
                  <a:pt x="1662877" y="1349315"/>
                </a:lnTo>
                <a:lnTo>
                  <a:pt x="2481725" y="1568725"/>
                </a:lnTo>
                <a:lnTo>
                  <a:pt x="2472408" y="1603498"/>
                </a:lnTo>
                <a:lnTo>
                  <a:pt x="1653557" y="1384088"/>
                </a:lnTo>
                <a:lnTo>
                  <a:pt x="2450169" y="1674031"/>
                </a:lnTo>
                <a:lnTo>
                  <a:pt x="2437857" y="1707860"/>
                </a:lnTo>
                <a:lnTo>
                  <a:pt x="1641251" y="1417919"/>
                </a:lnTo>
                <a:lnTo>
                  <a:pt x="2409555" y="1776185"/>
                </a:lnTo>
                <a:lnTo>
                  <a:pt x="2394340" y="1808813"/>
                </a:lnTo>
                <a:lnTo>
                  <a:pt x="1626043" y="1450550"/>
                </a:lnTo>
                <a:lnTo>
                  <a:pt x="2360192" y="1874411"/>
                </a:lnTo>
                <a:lnTo>
                  <a:pt x="2342192" y="1905588"/>
                </a:lnTo>
                <a:lnTo>
                  <a:pt x="1608038" y="1481725"/>
                </a:lnTo>
                <a:lnTo>
                  <a:pt x="2302456" y="1967961"/>
                </a:lnTo>
                <a:lnTo>
                  <a:pt x="2281807" y="1997451"/>
                </a:lnTo>
                <a:lnTo>
                  <a:pt x="1587388" y="1511214"/>
                </a:lnTo>
                <a:lnTo>
                  <a:pt x="2236786" y="2056124"/>
                </a:lnTo>
                <a:lnTo>
                  <a:pt x="2213646" y="2083701"/>
                </a:lnTo>
                <a:lnTo>
                  <a:pt x="1564245" y="1538789"/>
                </a:lnTo>
                <a:lnTo>
                  <a:pt x="2163683" y="2138227"/>
                </a:lnTo>
                <a:lnTo>
                  <a:pt x="2138227" y="2163682"/>
                </a:lnTo>
                <a:lnTo>
                  <a:pt x="1538789" y="1564244"/>
                </a:lnTo>
                <a:lnTo>
                  <a:pt x="2083701" y="2213646"/>
                </a:lnTo>
                <a:lnTo>
                  <a:pt x="2056124" y="2236786"/>
                </a:lnTo>
                <a:lnTo>
                  <a:pt x="1511211" y="1587385"/>
                </a:lnTo>
                <a:lnTo>
                  <a:pt x="1997451" y="2281807"/>
                </a:lnTo>
                <a:lnTo>
                  <a:pt x="1967961" y="2302456"/>
                </a:lnTo>
                <a:lnTo>
                  <a:pt x="1481723" y="1608035"/>
                </a:lnTo>
                <a:lnTo>
                  <a:pt x="1905589" y="2342192"/>
                </a:lnTo>
                <a:lnTo>
                  <a:pt x="1874412" y="2360192"/>
                </a:lnTo>
                <a:lnTo>
                  <a:pt x="1450548" y="1626039"/>
                </a:lnTo>
                <a:lnTo>
                  <a:pt x="1808813" y="2394341"/>
                </a:lnTo>
                <a:lnTo>
                  <a:pt x="1776185" y="2409555"/>
                </a:lnTo>
                <a:lnTo>
                  <a:pt x="1417919" y="1641250"/>
                </a:lnTo>
                <a:lnTo>
                  <a:pt x="1707860" y="2437856"/>
                </a:lnTo>
                <a:lnTo>
                  <a:pt x="1674031" y="2450169"/>
                </a:lnTo>
                <a:lnTo>
                  <a:pt x="1384091" y="1653568"/>
                </a:lnTo>
                <a:lnTo>
                  <a:pt x="1603499" y="2472408"/>
                </a:lnTo>
                <a:lnTo>
                  <a:pt x="1568725" y="2481726"/>
                </a:lnTo>
                <a:lnTo>
                  <a:pt x="1349315" y="1662879"/>
                </a:lnTo>
                <a:lnTo>
                  <a:pt x="1496523" y="2497732"/>
                </a:lnTo>
                <a:lnTo>
                  <a:pt x="1461070" y="2503984"/>
                </a:lnTo>
                <a:lnTo>
                  <a:pt x="1313863" y="1669130"/>
                </a:lnTo>
                <a:lnTo>
                  <a:pt x="1387748" y="2513637"/>
                </a:lnTo>
                <a:lnTo>
                  <a:pt x="1351885" y="2516774"/>
                </a:lnTo>
                <a:lnTo>
                  <a:pt x="1278000" y="1672266"/>
                </a:lnTo>
                <a:lnTo>
                  <a:pt x="1278000" y="2520000"/>
                </a:lnTo>
                <a:lnTo>
                  <a:pt x="1242000" y="2520000"/>
                </a:lnTo>
                <a:lnTo>
                  <a:pt x="1242002" y="1672022"/>
                </a:lnTo>
                <a:lnTo>
                  <a:pt x="1168137" y="2516303"/>
                </a:lnTo>
                <a:lnTo>
                  <a:pt x="1132273" y="2513166"/>
                </a:lnTo>
                <a:lnTo>
                  <a:pt x="1206179" y="1668416"/>
                </a:lnTo>
                <a:lnTo>
                  <a:pt x="1059012" y="2503045"/>
                </a:lnTo>
                <a:lnTo>
                  <a:pt x="1023559" y="2496794"/>
                </a:lnTo>
                <a:lnTo>
                  <a:pt x="1170806" y="1661718"/>
                </a:lnTo>
                <a:lnTo>
                  <a:pt x="951460" y="2480327"/>
                </a:lnTo>
                <a:lnTo>
                  <a:pt x="916686" y="2471010"/>
                </a:lnTo>
                <a:lnTo>
                  <a:pt x="1136159" y="1651925"/>
                </a:lnTo>
                <a:lnTo>
                  <a:pt x="846295" y="2448322"/>
                </a:lnTo>
                <a:lnTo>
                  <a:pt x="812466" y="2436009"/>
                </a:lnTo>
                <a:lnTo>
                  <a:pt x="1102487" y="1639184"/>
                </a:lnTo>
                <a:lnTo>
                  <a:pt x="744321" y="2407272"/>
                </a:lnTo>
                <a:lnTo>
                  <a:pt x="711694" y="2392058"/>
                </a:lnTo>
                <a:lnTo>
                  <a:pt x="1070059" y="1623541"/>
                </a:lnTo>
                <a:lnTo>
                  <a:pt x="646312" y="2357492"/>
                </a:lnTo>
                <a:lnTo>
                  <a:pt x="615135" y="2339492"/>
                </a:lnTo>
                <a:lnTo>
                  <a:pt x="1039124" y="1605123"/>
                </a:lnTo>
                <a:lnTo>
                  <a:pt x="553015" y="2299359"/>
                </a:lnTo>
                <a:lnTo>
                  <a:pt x="523525" y="2278710"/>
                </a:lnTo>
                <a:lnTo>
                  <a:pt x="1009901" y="1584093"/>
                </a:lnTo>
                <a:lnTo>
                  <a:pt x="465140" y="2233315"/>
                </a:lnTo>
                <a:lnTo>
                  <a:pt x="437562" y="2210175"/>
                </a:lnTo>
                <a:lnTo>
                  <a:pt x="982624" y="1560596"/>
                </a:lnTo>
                <a:lnTo>
                  <a:pt x="383355" y="2159864"/>
                </a:lnTo>
                <a:lnTo>
                  <a:pt x="357899" y="2134408"/>
                </a:lnTo>
                <a:lnTo>
                  <a:pt x="905948" y="1586360"/>
                </a:lnTo>
                <a:lnTo>
                  <a:pt x="312368" y="2084433"/>
                </a:lnTo>
                <a:lnTo>
                  <a:pt x="289228" y="2056855"/>
                </a:lnTo>
                <a:lnTo>
                  <a:pt x="974211" y="1482086"/>
                </a:lnTo>
                <a:close/>
              </a:path>
            </a:pathLst>
          </a:cu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aphicFrame macro="">
        <xdr:nvGraphicFramePr>
          <xdr:cNvPr id="101" name="Диаграмма 1"/>
          <xdr:cNvGraphicFramePr/>
        </xdr:nvGraphicFramePr>
        <xdr:xfrm>
          <a:off x="2338572" y="1057275"/>
          <a:ext cx="1334943" cy="12811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03" name="Овал 5"/>
          <xdr:cNvSpPr/>
        </xdr:nvSpPr>
        <xdr:spPr>
          <a:xfrm>
            <a:off x="2620447" y="1313242"/>
            <a:ext cx="762289" cy="756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4" name="Овал 7"/>
          <xdr:cNvSpPr/>
        </xdr:nvSpPr>
        <xdr:spPr>
          <a:xfrm>
            <a:off x="2668168" y="1360844"/>
            <a:ext cx="666846" cy="660796"/>
          </a:xfrm>
          <a:prstGeom prst="ellipse">
            <a:avLst/>
          </a:prstGeom>
          <a:noFill/>
          <a:ln>
            <a:solidFill>
              <a:srgbClr val="4C9CB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18</xdr:col>
      <xdr:colOff>533400</xdr:colOff>
      <xdr:row>12</xdr:row>
      <xdr:rowOff>266700</xdr:rowOff>
    </xdr:from>
    <xdr:to>
      <xdr:col>20</xdr:col>
      <xdr:colOff>266702</xdr:colOff>
      <xdr:row>15</xdr:row>
      <xdr:rowOff>186600</xdr:rowOff>
    </xdr:to>
    <xdr:sp macro="" textlink="">
      <xdr:nvSpPr>
        <xdr:cNvPr id="105" name="Полилиния 67"/>
        <xdr:cNvSpPr/>
      </xdr:nvSpPr>
      <xdr:spPr>
        <a:xfrm>
          <a:off x="8162925" y="2524125"/>
          <a:ext cx="952502" cy="720000"/>
        </a:xfrm>
        <a:custGeom>
          <a:avLst/>
          <a:gdLst>
            <a:gd name="connsiteX0" fmla="*/ 400050 w 942975"/>
            <a:gd name="connsiteY0" fmla="*/ 0 h 704850"/>
            <a:gd name="connsiteX1" fmla="*/ 0 w 942975"/>
            <a:gd name="connsiteY1" fmla="*/ 400050 h 704850"/>
            <a:gd name="connsiteX2" fmla="*/ 0 w 942975"/>
            <a:gd name="connsiteY2" fmla="*/ 571500 h 704850"/>
            <a:gd name="connsiteX3" fmla="*/ 133350 w 942975"/>
            <a:gd name="connsiteY3" fmla="*/ 704850 h 704850"/>
            <a:gd name="connsiteX4" fmla="*/ 942975 w 942975"/>
            <a:gd name="connsiteY4" fmla="*/ 704850 h 704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42975" h="704850">
              <a:moveTo>
                <a:pt x="400050" y="0"/>
              </a:moveTo>
              <a:lnTo>
                <a:pt x="0" y="400050"/>
              </a:lnTo>
              <a:lnTo>
                <a:pt x="0" y="571500"/>
              </a:lnTo>
              <a:lnTo>
                <a:pt x="133350" y="704850"/>
              </a:lnTo>
              <a:lnTo>
                <a:pt x="942975" y="704850"/>
              </a:lnTo>
            </a:path>
          </a:pathLst>
        </a:custGeom>
        <a:noFill/>
        <a:ln>
          <a:solidFill>
            <a:srgbClr val="4C9CB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190500</xdr:colOff>
      <xdr:row>10</xdr:row>
      <xdr:rowOff>66675</xdr:rowOff>
    </xdr:from>
    <xdr:to>
      <xdr:col>20</xdr:col>
      <xdr:colOff>282285</xdr:colOff>
      <xdr:row>12</xdr:row>
      <xdr:rowOff>114300</xdr:rowOff>
    </xdr:to>
    <xdr:sp macro="" textlink="Processing!F3">
      <xdr:nvSpPr>
        <xdr:cNvPr id="106" name="TextBox 105"/>
        <xdr:cNvSpPr txBox="1"/>
      </xdr:nvSpPr>
      <xdr:spPr>
        <a:xfrm>
          <a:off x="8429625" y="2019300"/>
          <a:ext cx="70138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B67DC11C-44D2-452E-949E-E448A6A4CC16}" type="TxLink">
            <a:rPr lang="en-US" sz="1600" b="0" i="0" u="none" strike="noStrike">
              <a:solidFill>
                <a:srgbClr val="FFFFFF"/>
              </a:solidFill>
              <a:latin typeface="Calibri"/>
              <a:ea typeface="+mn-ea"/>
              <a:cs typeface="Calibri"/>
            </a:rPr>
            <a:pPr marL="0" indent="0" algn="ctr"/>
            <a:t>47%</a:t>
          </a:fld>
          <a:endParaRPr lang="en-US" sz="1600" b="0" i="0" u="none" strike="noStrike">
            <a:solidFill>
              <a:srgbClr val="FFFFFF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152400</xdr:colOff>
      <xdr:row>0</xdr:row>
      <xdr:rowOff>85725</xdr:rowOff>
    </xdr:from>
    <xdr:to>
      <xdr:col>24</xdr:col>
      <xdr:colOff>133350</xdr:colOff>
      <xdr:row>3</xdr:row>
      <xdr:rowOff>114300</xdr:rowOff>
    </xdr:to>
    <xdr:sp macro="" textlink="">
      <xdr:nvSpPr>
        <xdr:cNvPr id="69" name="TextBox 68"/>
        <xdr:cNvSpPr txBox="1"/>
      </xdr:nvSpPr>
      <xdr:spPr>
        <a:xfrm>
          <a:off x="10420350" y="85725"/>
          <a:ext cx="1200150" cy="6477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Please</a:t>
          </a:r>
          <a:r>
            <a:rPr lang="en-US" sz="1100" b="1" baseline="0"/>
            <a:t> select the fabric type here- for combinations</a:t>
          </a:r>
          <a:endParaRPr lang="en-US" sz="1100" b="1"/>
        </a:p>
      </xdr:txBody>
    </xdr:sp>
    <xdr:clientData/>
  </xdr:twoCellAnchor>
  <xdr:twoCellAnchor>
    <xdr:from>
      <xdr:col>20</xdr:col>
      <xdr:colOff>590550</xdr:colOff>
      <xdr:row>2</xdr:row>
      <xdr:rowOff>114301</xdr:rowOff>
    </xdr:from>
    <xdr:to>
      <xdr:col>22</xdr:col>
      <xdr:colOff>152400</xdr:colOff>
      <xdr:row>2</xdr:row>
      <xdr:rowOff>123826</xdr:rowOff>
    </xdr:to>
    <xdr:cxnSp macro="">
      <xdr:nvCxnSpPr>
        <xdr:cNvPr id="75" name="Straight Arrow Connector 74"/>
        <xdr:cNvCxnSpPr/>
      </xdr:nvCxnSpPr>
      <xdr:spPr>
        <a:xfrm rot="10800000">
          <a:off x="9639300" y="495301"/>
          <a:ext cx="78105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21</xdr:row>
      <xdr:rowOff>112059</xdr:rowOff>
    </xdr:from>
    <xdr:to>
      <xdr:col>1</xdr:col>
      <xdr:colOff>827819</xdr:colOff>
      <xdr:row>28</xdr:row>
      <xdr:rowOff>59671</xdr:rowOff>
    </xdr:to>
    <xdr:grpSp>
      <xdr:nvGrpSpPr>
        <xdr:cNvPr id="65" name="Группа 34"/>
        <xdr:cNvGrpSpPr/>
      </xdr:nvGrpSpPr>
      <xdr:grpSpPr>
        <a:xfrm>
          <a:off x="0" y="4922184"/>
          <a:ext cx="1435038" cy="1316831"/>
          <a:chOff x="2338572" y="1057275"/>
          <a:chExt cx="1334943" cy="1281112"/>
        </a:xfrm>
      </xdr:grpSpPr>
      <xdr:sp macro="" textlink="">
        <xdr:nvSpPr>
          <xdr:cNvPr id="74" name="Овал 9"/>
          <xdr:cNvSpPr/>
        </xdr:nvSpPr>
        <xdr:spPr>
          <a:xfrm>
            <a:off x="2478715" y="1170017"/>
            <a:ext cx="1045752" cy="1042451"/>
          </a:xfrm>
          <a:prstGeom prst="ellipse">
            <a:avLst/>
          </a:prstGeom>
          <a:noFill/>
          <a:ln w="22225">
            <a:solidFill>
              <a:srgbClr val="25C4FF"/>
            </a:solidFill>
          </a:ln>
          <a:effectLst>
            <a:glow rad="50800">
              <a:srgbClr val="1CCDFE">
                <a:alpha val="22000"/>
              </a:srgb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6" name="Прямоугольник 32"/>
          <xdr:cNvSpPr/>
        </xdr:nvSpPr>
        <xdr:spPr>
          <a:xfrm>
            <a:off x="3470409" y="1524000"/>
            <a:ext cx="149091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Прямоугольник 33"/>
          <xdr:cNvSpPr/>
        </xdr:nvSpPr>
        <xdr:spPr>
          <a:xfrm>
            <a:off x="2396983" y="1524000"/>
            <a:ext cx="149091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Полилиния 8"/>
          <xdr:cNvSpPr/>
        </xdr:nvSpPr>
        <xdr:spPr>
          <a:xfrm rot="7800000">
            <a:off x="2531792" y="1219261"/>
            <a:ext cx="939600" cy="943961"/>
          </a:xfrm>
          <a:custGeom>
            <a:avLst/>
            <a:gdLst>
              <a:gd name="connsiteX0" fmla="*/ 238193 w 2520000"/>
              <a:gd name="connsiteY0" fmla="*/ 1997451 h 2520000"/>
              <a:gd name="connsiteX1" fmla="*/ 217544 w 2520000"/>
              <a:gd name="connsiteY1" fmla="*/ 1967962 h 2520000"/>
              <a:gd name="connsiteX2" fmla="*/ 911968 w 2520000"/>
              <a:gd name="connsiteY2" fmla="*/ 1481721 h 2520000"/>
              <a:gd name="connsiteX3" fmla="*/ 177808 w 2520000"/>
              <a:gd name="connsiteY3" fmla="*/ 1905589 h 2520000"/>
              <a:gd name="connsiteX4" fmla="*/ 159808 w 2520000"/>
              <a:gd name="connsiteY4" fmla="*/ 1874412 h 2520000"/>
              <a:gd name="connsiteX5" fmla="*/ 893967 w 2520000"/>
              <a:gd name="connsiteY5" fmla="*/ 1450545 h 2520000"/>
              <a:gd name="connsiteX6" fmla="*/ 125659 w 2520000"/>
              <a:gd name="connsiteY6" fmla="*/ 1808813 h 2520000"/>
              <a:gd name="connsiteX7" fmla="*/ 110445 w 2520000"/>
              <a:gd name="connsiteY7" fmla="*/ 1776186 h 2520000"/>
              <a:gd name="connsiteX8" fmla="*/ 878754 w 2520000"/>
              <a:gd name="connsiteY8" fmla="*/ 1417918 h 2520000"/>
              <a:gd name="connsiteX9" fmla="*/ 82144 w 2520000"/>
              <a:gd name="connsiteY9" fmla="*/ 1707860 h 2520000"/>
              <a:gd name="connsiteX10" fmla="*/ 69831 w 2520000"/>
              <a:gd name="connsiteY10" fmla="*/ 1674031 h 2520000"/>
              <a:gd name="connsiteX11" fmla="*/ 866437 w 2520000"/>
              <a:gd name="connsiteY11" fmla="*/ 1384090 h 2520000"/>
              <a:gd name="connsiteX12" fmla="*/ 47592 w 2520000"/>
              <a:gd name="connsiteY12" fmla="*/ 1603499 h 2520000"/>
              <a:gd name="connsiteX13" fmla="*/ 38275 w 2520000"/>
              <a:gd name="connsiteY13" fmla="*/ 1568725 h 2520000"/>
              <a:gd name="connsiteX14" fmla="*/ 857121 w 2520000"/>
              <a:gd name="connsiteY14" fmla="*/ 1349316 h 2520000"/>
              <a:gd name="connsiteX15" fmla="*/ 22268 w 2520000"/>
              <a:gd name="connsiteY15" fmla="*/ 1496523 h 2520000"/>
              <a:gd name="connsiteX16" fmla="*/ 16016 w 2520000"/>
              <a:gd name="connsiteY16" fmla="*/ 1461070 h 2520000"/>
              <a:gd name="connsiteX17" fmla="*/ 850870 w 2520000"/>
              <a:gd name="connsiteY17" fmla="*/ 1313863 h 2520000"/>
              <a:gd name="connsiteX18" fmla="*/ 6363 w 2520000"/>
              <a:gd name="connsiteY18" fmla="*/ 1387748 h 2520000"/>
              <a:gd name="connsiteX19" fmla="*/ 3226 w 2520000"/>
              <a:gd name="connsiteY19" fmla="*/ 1351885 h 2520000"/>
              <a:gd name="connsiteX20" fmla="*/ 847731 w 2520000"/>
              <a:gd name="connsiteY20" fmla="*/ 1278000 h 2520000"/>
              <a:gd name="connsiteX21" fmla="*/ 0 w 2520000"/>
              <a:gd name="connsiteY21" fmla="*/ 1278000 h 2520000"/>
              <a:gd name="connsiteX22" fmla="*/ 0 w 2520000"/>
              <a:gd name="connsiteY22" fmla="*/ 1242000 h 2520000"/>
              <a:gd name="connsiteX23" fmla="*/ 847733 w 2520000"/>
              <a:gd name="connsiteY23" fmla="*/ 1242001 h 2520000"/>
              <a:gd name="connsiteX24" fmla="*/ 3226 w 2520000"/>
              <a:gd name="connsiteY24" fmla="*/ 1168115 h 2520000"/>
              <a:gd name="connsiteX25" fmla="*/ 6363 w 2520000"/>
              <a:gd name="connsiteY25" fmla="*/ 1132252 h 2520000"/>
              <a:gd name="connsiteX26" fmla="*/ 850874 w 2520000"/>
              <a:gd name="connsiteY26" fmla="*/ 1206137 h 2520000"/>
              <a:gd name="connsiteX27" fmla="*/ 16017 w 2520000"/>
              <a:gd name="connsiteY27" fmla="*/ 1058930 h 2520000"/>
              <a:gd name="connsiteX28" fmla="*/ 22268 w 2520000"/>
              <a:gd name="connsiteY28" fmla="*/ 1023477 h 2520000"/>
              <a:gd name="connsiteX29" fmla="*/ 857120 w 2520000"/>
              <a:gd name="connsiteY29" fmla="*/ 1170684 h 2520000"/>
              <a:gd name="connsiteX30" fmla="*/ 38275 w 2520000"/>
              <a:gd name="connsiteY30" fmla="*/ 951275 h 2520000"/>
              <a:gd name="connsiteX31" fmla="*/ 47592 w 2520000"/>
              <a:gd name="connsiteY31" fmla="*/ 916501 h 2520000"/>
              <a:gd name="connsiteX32" fmla="*/ 866441 w 2520000"/>
              <a:gd name="connsiteY32" fmla="*/ 1135911 h 2520000"/>
              <a:gd name="connsiteX33" fmla="*/ 69831 w 2520000"/>
              <a:gd name="connsiteY33" fmla="*/ 845969 h 2520000"/>
              <a:gd name="connsiteX34" fmla="*/ 82144 w 2520000"/>
              <a:gd name="connsiteY34" fmla="*/ 812140 h 2520000"/>
              <a:gd name="connsiteX35" fmla="*/ 878751 w 2520000"/>
              <a:gd name="connsiteY35" fmla="*/ 1102082 h 2520000"/>
              <a:gd name="connsiteX36" fmla="*/ 110445 w 2520000"/>
              <a:gd name="connsiteY36" fmla="*/ 743815 h 2520000"/>
              <a:gd name="connsiteX37" fmla="*/ 125660 w 2520000"/>
              <a:gd name="connsiteY37" fmla="*/ 711187 h 2520000"/>
              <a:gd name="connsiteX38" fmla="*/ 893964 w 2520000"/>
              <a:gd name="connsiteY38" fmla="*/ 1069453 h 2520000"/>
              <a:gd name="connsiteX39" fmla="*/ 159808 w 2520000"/>
              <a:gd name="connsiteY39" fmla="*/ 645588 h 2520000"/>
              <a:gd name="connsiteX40" fmla="*/ 177808 w 2520000"/>
              <a:gd name="connsiteY40" fmla="*/ 614412 h 2520000"/>
              <a:gd name="connsiteX41" fmla="*/ 911961 w 2520000"/>
              <a:gd name="connsiteY41" fmla="*/ 1038275 h 2520000"/>
              <a:gd name="connsiteX42" fmla="*/ 217544 w 2520000"/>
              <a:gd name="connsiteY42" fmla="*/ 552039 h 2520000"/>
              <a:gd name="connsiteX43" fmla="*/ 238193 w 2520000"/>
              <a:gd name="connsiteY43" fmla="*/ 522549 h 2520000"/>
              <a:gd name="connsiteX44" fmla="*/ 932610 w 2520000"/>
              <a:gd name="connsiteY44" fmla="*/ 1008785 h 2520000"/>
              <a:gd name="connsiteX45" fmla="*/ 283214 w 2520000"/>
              <a:gd name="connsiteY45" fmla="*/ 463876 h 2520000"/>
              <a:gd name="connsiteX46" fmla="*/ 306354 w 2520000"/>
              <a:gd name="connsiteY46" fmla="*/ 436299 h 2520000"/>
              <a:gd name="connsiteX47" fmla="*/ 955755 w 2520000"/>
              <a:gd name="connsiteY47" fmla="*/ 981211 h 2520000"/>
              <a:gd name="connsiteX48" fmla="*/ 356317 w 2520000"/>
              <a:gd name="connsiteY48" fmla="*/ 381774 h 2520000"/>
              <a:gd name="connsiteX49" fmla="*/ 381773 w 2520000"/>
              <a:gd name="connsiteY49" fmla="*/ 356318 h 2520000"/>
              <a:gd name="connsiteX50" fmla="*/ 981211 w 2520000"/>
              <a:gd name="connsiteY50" fmla="*/ 955756 h 2520000"/>
              <a:gd name="connsiteX51" fmla="*/ 436299 w 2520000"/>
              <a:gd name="connsiteY51" fmla="*/ 306354 h 2520000"/>
              <a:gd name="connsiteX52" fmla="*/ 463876 w 2520000"/>
              <a:gd name="connsiteY52" fmla="*/ 283214 h 2520000"/>
              <a:gd name="connsiteX53" fmla="*/ 1008789 w 2520000"/>
              <a:gd name="connsiteY53" fmla="*/ 932616 h 2520000"/>
              <a:gd name="connsiteX54" fmla="*/ 522549 w 2520000"/>
              <a:gd name="connsiteY54" fmla="*/ 238193 h 2520000"/>
              <a:gd name="connsiteX55" fmla="*/ 552039 w 2520000"/>
              <a:gd name="connsiteY55" fmla="*/ 217544 h 2520000"/>
              <a:gd name="connsiteX56" fmla="*/ 1038278 w 2520000"/>
              <a:gd name="connsiteY56" fmla="*/ 911967 h 2520000"/>
              <a:gd name="connsiteX57" fmla="*/ 614411 w 2520000"/>
              <a:gd name="connsiteY57" fmla="*/ 177808 h 2520000"/>
              <a:gd name="connsiteX58" fmla="*/ 645588 w 2520000"/>
              <a:gd name="connsiteY58" fmla="*/ 159808 h 2520000"/>
              <a:gd name="connsiteX59" fmla="*/ 1069453 w 2520000"/>
              <a:gd name="connsiteY59" fmla="*/ 893963 h 2520000"/>
              <a:gd name="connsiteX60" fmla="*/ 711187 w 2520000"/>
              <a:gd name="connsiteY60" fmla="*/ 125659 h 2520000"/>
              <a:gd name="connsiteX61" fmla="*/ 743815 w 2520000"/>
              <a:gd name="connsiteY61" fmla="*/ 110445 h 2520000"/>
              <a:gd name="connsiteX62" fmla="*/ 1102082 w 2520000"/>
              <a:gd name="connsiteY62" fmla="*/ 878751 h 2520000"/>
              <a:gd name="connsiteX63" fmla="*/ 812140 w 2520000"/>
              <a:gd name="connsiteY63" fmla="*/ 82144 h 2520000"/>
              <a:gd name="connsiteX64" fmla="*/ 845969 w 2520000"/>
              <a:gd name="connsiteY64" fmla="*/ 69831 h 2520000"/>
              <a:gd name="connsiteX65" fmla="*/ 1135910 w 2520000"/>
              <a:gd name="connsiteY65" fmla="*/ 866436 h 2520000"/>
              <a:gd name="connsiteX66" fmla="*/ 916501 w 2520000"/>
              <a:gd name="connsiteY66" fmla="*/ 47592 h 2520000"/>
              <a:gd name="connsiteX67" fmla="*/ 951275 w 2520000"/>
              <a:gd name="connsiteY67" fmla="*/ 38275 h 2520000"/>
              <a:gd name="connsiteX68" fmla="*/ 1170683 w 2520000"/>
              <a:gd name="connsiteY68" fmla="*/ 857116 h 2520000"/>
              <a:gd name="connsiteX69" fmla="*/ 1023477 w 2520000"/>
              <a:gd name="connsiteY69" fmla="*/ 22268 h 2520000"/>
              <a:gd name="connsiteX70" fmla="*/ 1058929 w 2520000"/>
              <a:gd name="connsiteY70" fmla="*/ 16017 h 2520000"/>
              <a:gd name="connsiteX71" fmla="*/ 1206138 w 2520000"/>
              <a:gd name="connsiteY71" fmla="*/ 850877 h 2520000"/>
              <a:gd name="connsiteX72" fmla="*/ 1132253 w 2520000"/>
              <a:gd name="connsiteY72" fmla="*/ 6363 h 2520000"/>
              <a:gd name="connsiteX73" fmla="*/ 1168115 w 2520000"/>
              <a:gd name="connsiteY73" fmla="*/ 3226 h 2520000"/>
              <a:gd name="connsiteX74" fmla="*/ 1242000 w 2520000"/>
              <a:gd name="connsiteY74" fmla="*/ 847735 h 2520000"/>
              <a:gd name="connsiteX75" fmla="*/ 1242000 w 2520000"/>
              <a:gd name="connsiteY75" fmla="*/ 0 h 2520000"/>
              <a:gd name="connsiteX76" fmla="*/ 1278000 w 2520000"/>
              <a:gd name="connsiteY76" fmla="*/ 0 h 2520000"/>
              <a:gd name="connsiteX77" fmla="*/ 1278000 w 2520000"/>
              <a:gd name="connsiteY77" fmla="*/ 847501 h 2520000"/>
              <a:gd name="connsiteX78" fmla="*/ 1351906 w 2520000"/>
              <a:gd name="connsiteY78" fmla="*/ 2755 h 2520000"/>
              <a:gd name="connsiteX79" fmla="*/ 1387769 w 2520000"/>
              <a:gd name="connsiteY79" fmla="*/ 5893 h 2520000"/>
              <a:gd name="connsiteX80" fmla="*/ 1313905 w 2520000"/>
              <a:gd name="connsiteY80" fmla="*/ 850161 h 2520000"/>
              <a:gd name="connsiteX81" fmla="*/ 1461153 w 2520000"/>
              <a:gd name="connsiteY81" fmla="*/ 15078 h 2520000"/>
              <a:gd name="connsiteX82" fmla="*/ 1496605 w 2520000"/>
              <a:gd name="connsiteY82" fmla="*/ 21330 h 2520000"/>
              <a:gd name="connsiteX83" fmla="*/ 1349438 w 2520000"/>
              <a:gd name="connsiteY83" fmla="*/ 855956 h 2520000"/>
              <a:gd name="connsiteX84" fmla="*/ 1568910 w 2520000"/>
              <a:gd name="connsiteY84" fmla="*/ 36877 h 2520000"/>
              <a:gd name="connsiteX85" fmla="*/ 1603684 w 2520000"/>
              <a:gd name="connsiteY85" fmla="*/ 46194 h 2520000"/>
              <a:gd name="connsiteX86" fmla="*/ 1384338 w 2520000"/>
              <a:gd name="connsiteY86" fmla="*/ 864802 h 2520000"/>
              <a:gd name="connsiteX87" fmla="*/ 1674356 w 2520000"/>
              <a:gd name="connsiteY87" fmla="*/ 67983 h 2520000"/>
              <a:gd name="connsiteX88" fmla="*/ 1708185 w 2520000"/>
              <a:gd name="connsiteY88" fmla="*/ 80296 h 2520000"/>
              <a:gd name="connsiteX89" fmla="*/ 1418322 w 2520000"/>
              <a:gd name="connsiteY89" fmla="*/ 876690 h 2520000"/>
              <a:gd name="connsiteX90" fmla="*/ 1776692 w 2520000"/>
              <a:gd name="connsiteY90" fmla="*/ 108162 h 2520000"/>
              <a:gd name="connsiteX91" fmla="*/ 1809319 w 2520000"/>
              <a:gd name="connsiteY91" fmla="*/ 123377 h 2520000"/>
              <a:gd name="connsiteX92" fmla="*/ 1451151 w 2520000"/>
              <a:gd name="connsiteY92" fmla="*/ 891470 h 2520000"/>
              <a:gd name="connsiteX93" fmla="*/ 1875135 w 2520000"/>
              <a:gd name="connsiteY93" fmla="*/ 157108 h 2520000"/>
              <a:gd name="connsiteX94" fmla="*/ 1906312 w 2520000"/>
              <a:gd name="connsiteY94" fmla="*/ 175108 h 2520000"/>
              <a:gd name="connsiteX95" fmla="*/ 1482565 w 2520000"/>
              <a:gd name="connsiteY95" fmla="*/ 909059 h 2520000"/>
              <a:gd name="connsiteX96" fmla="*/ 1968938 w 2520000"/>
              <a:gd name="connsiteY96" fmla="*/ 214447 h 2520000"/>
              <a:gd name="connsiteX97" fmla="*/ 1998427 w 2520000"/>
              <a:gd name="connsiteY97" fmla="*/ 235096 h 2520000"/>
              <a:gd name="connsiteX98" fmla="*/ 1512322 w 2520000"/>
              <a:gd name="connsiteY98" fmla="*/ 929326 h 2520000"/>
              <a:gd name="connsiteX99" fmla="*/ 2057387 w 2520000"/>
              <a:gd name="connsiteY99" fmla="*/ 279743 h 2520000"/>
              <a:gd name="connsiteX100" fmla="*/ 2084964 w 2520000"/>
              <a:gd name="connsiteY100" fmla="*/ 302883 h 2520000"/>
              <a:gd name="connsiteX101" fmla="*/ 1540200 w 2520000"/>
              <a:gd name="connsiteY101" fmla="*/ 952109 h 2520000"/>
              <a:gd name="connsiteX102" fmla="*/ 2139809 w 2520000"/>
              <a:gd name="connsiteY102" fmla="*/ 352499 h 2520000"/>
              <a:gd name="connsiteX103" fmla="*/ 2165264 w 2520000"/>
              <a:gd name="connsiteY103" fmla="*/ 377956 h 2520000"/>
              <a:gd name="connsiteX104" fmla="*/ 1514438 w 2520000"/>
              <a:gd name="connsiteY104" fmla="*/ 1028782 h 2520000"/>
              <a:gd name="connsiteX105" fmla="*/ 2219660 w 2520000"/>
              <a:gd name="connsiteY105" fmla="*/ 437030 h 2520000"/>
              <a:gd name="connsiteX106" fmla="*/ 2242800 w 2520000"/>
              <a:gd name="connsiteY106" fmla="*/ 464608 h 2520000"/>
              <a:gd name="connsiteX107" fmla="*/ 1628988 w 2520000"/>
              <a:gd name="connsiteY107" fmla="*/ 979657 h 2520000"/>
              <a:gd name="connsiteX108" fmla="*/ 2281807 w 2520000"/>
              <a:gd name="connsiteY108" fmla="*/ 522549 h 2520000"/>
              <a:gd name="connsiteX109" fmla="*/ 2302456 w 2520000"/>
              <a:gd name="connsiteY109" fmla="*/ 552038 h 2520000"/>
              <a:gd name="connsiteX110" fmla="*/ 1608033 w 2520000"/>
              <a:gd name="connsiteY110" fmla="*/ 1038278 h 2520000"/>
              <a:gd name="connsiteX111" fmla="*/ 2342192 w 2520000"/>
              <a:gd name="connsiteY111" fmla="*/ 614412 h 2520000"/>
              <a:gd name="connsiteX112" fmla="*/ 2360192 w 2520000"/>
              <a:gd name="connsiteY112" fmla="*/ 645588 h 2520000"/>
              <a:gd name="connsiteX113" fmla="*/ 1626031 w 2520000"/>
              <a:gd name="connsiteY113" fmla="*/ 1069457 h 2520000"/>
              <a:gd name="connsiteX114" fmla="*/ 2394341 w 2520000"/>
              <a:gd name="connsiteY114" fmla="*/ 711188 h 2520000"/>
              <a:gd name="connsiteX115" fmla="*/ 2409555 w 2520000"/>
              <a:gd name="connsiteY115" fmla="*/ 743814 h 2520000"/>
              <a:gd name="connsiteX116" fmla="*/ 1641245 w 2520000"/>
              <a:gd name="connsiteY116" fmla="*/ 1102083 h 2520000"/>
              <a:gd name="connsiteX117" fmla="*/ 2437856 w 2520000"/>
              <a:gd name="connsiteY117" fmla="*/ 812140 h 2520000"/>
              <a:gd name="connsiteX118" fmla="*/ 2450169 w 2520000"/>
              <a:gd name="connsiteY118" fmla="*/ 845969 h 2520000"/>
              <a:gd name="connsiteX119" fmla="*/ 1653563 w 2520000"/>
              <a:gd name="connsiteY119" fmla="*/ 1135910 h 2520000"/>
              <a:gd name="connsiteX120" fmla="*/ 2472408 w 2520000"/>
              <a:gd name="connsiteY120" fmla="*/ 916501 h 2520000"/>
              <a:gd name="connsiteX121" fmla="*/ 2481726 w 2520000"/>
              <a:gd name="connsiteY121" fmla="*/ 951274 h 2520000"/>
              <a:gd name="connsiteX122" fmla="*/ 1662878 w 2520000"/>
              <a:gd name="connsiteY122" fmla="*/ 1170685 h 2520000"/>
              <a:gd name="connsiteX123" fmla="*/ 2497732 w 2520000"/>
              <a:gd name="connsiteY123" fmla="*/ 1023477 h 2520000"/>
              <a:gd name="connsiteX124" fmla="*/ 2503984 w 2520000"/>
              <a:gd name="connsiteY124" fmla="*/ 1058930 h 2520000"/>
              <a:gd name="connsiteX125" fmla="*/ 1669132 w 2520000"/>
              <a:gd name="connsiteY125" fmla="*/ 1206137 h 2520000"/>
              <a:gd name="connsiteX126" fmla="*/ 2513637 w 2520000"/>
              <a:gd name="connsiteY126" fmla="*/ 1132252 h 2520000"/>
              <a:gd name="connsiteX127" fmla="*/ 2516774 w 2520000"/>
              <a:gd name="connsiteY127" fmla="*/ 1168115 h 2520000"/>
              <a:gd name="connsiteX128" fmla="*/ 1672268 w 2520000"/>
              <a:gd name="connsiteY128" fmla="*/ 1242000 h 2520000"/>
              <a:gd name="connsiteX129" fmla="*/ 2520000 w 2520000"/>
              <a:gd name="connsiteY129" fmla="*/ 1242000 h 2520000"/>
              <a:gd name="connsiteX130" fmla="*/ 2520000 w 2520000"/>
              <a:gd name="connsiteY130" fmla="*/ 1278000 h 2520000"/>
              <a:gd name="connsiteX131" fmla="*/ 1672267 w 2520000"/>
              <a:gd name="connsiteY131" fmla="*/ 1278000 h 2520000"/>
              <a:gd name="connsiteX132" fmla="*/ 2516774 w 2520000"/>
              <a:gd name="connsiteY132" fmla="*/ 1351885 h 2520000"/>
              <a:gd name="connsiteX133" fmla="*/ 2513637 w 2520000"/>
              <a:gd name="connsiteY133" fmla="*/ 1387748 h 2520000"/>
              <a:gd name="connsiteX134" fmla="*/ 1669126 w 2520000"/>
              <a:gd name="connsiteY134" fmla="*/ 1313862 h 2520000"/>
              <a:gd name="connsiteX135" fmla="*/ 2503983 w 2520000"/>
              <a:gd name="connsiteY135" fmla="*/ 1461070 h 2520000"/>
              <a:gd name="connsiteX136" fmla="*/ 2497733 w 2520000"/>
              <a:gd name="connsiteY136" fmla="*/ 1496523 h 2520000"/>
              <a:gd name="connsiteX137" fmla="*/ 1662877 w 2520000"/>
              <a:gd name="connsiteY137" fmla="*/ 1349315 h 2520000"/>
              <a:gd name="connsiteX138" fmla="*/ 2481725 w 2520000"/>
              <a:gd name="connsiteY138" fmla="*/ 1568725 h 2520000"/>
              <a:gd name="connsiteX139" fmla="*/ 2472408 w 2520000"/>
              <a:gd name="connsiteY139" fmla="*/ 1603498 h 2520000"/>
              <a:gd name="connsiteX140" fmla="*/ 1653557 w 2520000"/>
              <a:gd name="connsiteY140" fmla="*/ 1384088 h 2520000"/>
              <a:gd name="connsiteX141" fmla="*/ 2450169 w 2520000"/>
              <a:gd name="connsiteY141" fmla="*/ 1674031 h 2520000"/>
              <a:gd name="connsiteX142" fmla="*/ 2437857 w 2520000"/>
              <a:gd name="connsiteY142" fmla="*/ 1707860 h 2520000"/>
              <a:gd name="connsiteX143" fmla="*/ 1641251 w 2520000"/>
              <a:gd name="connsiteY143" fmla="*/ 1417919 h 2520000"/>
              <a:gd name="connsiteX144" fmla="*/ 2409555 w 2520000"/>
              <a:gd name="connsiteY144" fmla="*/ 1776185 h 2520000"/>
              <a:gd name="connsiteX145" fmla="*/ 2394340 w 2520000"/>
              <a:gd name="connsiteY145" fmla="*/ 1808813 h 2520000"/>
              <a:gd name="connsiteX146" fmla="*/ 1626043 w 2520000"/>
              <a:gd name="connsiteY146" fmla="*/ 1450550 h 2520000"/>
              <a:gd name="connsiteX147" fmla="*/ 2360192 w 2520000"/>
              <a:gd name="connsiteY147" fmla="*/ 1874411 h 2520000"/>
              <a:gd name="connsiteX148" fmla="*/ 2342192 w 2520000"/>
              <a:gd name="connsiteY148" fmla="*/ 1905588 h 2520000"/>
              <a:gd name="connsiteX149" fmla="*/ 1608038 w 2520000"/>
              <a:gd name="connsiteY149" fmla="*/ 1481725 h 2520000"/>
              <a:gd name="connsiteX150" fmla="*/ 2302456 w 2520000"/>
              <a:gd name="connsiteY150" fmla="*/ 1967961 h 2520000"/>
              <a:gd name="connsiteX151" fmla="*/ 2281807 w 2520000"/>
              <a:gd name="connsiteY151" fmla="*/ 1997451 h 2520000"/>
              <a:gd name="connsiteX152" fmla="*/ 1587388 w 2520000"/>
              <a:gd name="connsiteY152" fmla="*/ 1511214 h 2520000"/>
              <a:gd name="connsiteX153" fmla="*/ 2236786 w 2520000"/>
              <a:gd name="connsiteY153" fmla="*/ 2056124 h 2520000"/>
              <a:gd name="connsiteX154" fmla="*/ 2213646 w 2520000"/>
              <a:gd name="connsiteY154" fmla="*/ 2083701 h 2520000"/>
              <a:gd name="connsiteX155" fmla="*/ 1564245 w 2520000"/>
              <a:gd name="connsiteY155" fmla="*/ 1538789 h 2520000"/>
              <a:gd name="connsiteX156" fmla="*/ 2163683 w 2520000"/>
              <a:gd name="connsiteY156" fmla="*/ 2138227 h 2520000"/>
              <a:gd name="connsiteX157" fmla="*/ 2138227 w 2520000"/>
              <a:gd name="connsiteY157" fmla="*/ 2163682 h 2520000"/>
              <a:gd name="connsiteX158" fmla="*/ 1538789 w 2520000"/>
              <a:gd name="connsiteY158" fmla="*/ 1564244 h 2520000"/>
              <a:gd name="connsiteX159" fmla="*/ 2083701 w 2520000"/>
              <a:gd name="connsiteY159" fmla="*/ 2213646 h 2520000"/>
              <a:gd name="connsiteX160" fmla="*/ 2056124 w 2520000"/>
              <a:gd name="connsiteY160" fmla="*/ 2236786 h 2520000"/>
              <a:gd name="connsiteX161" fmla="*/ 1511211 w 2520000"/>
              <a:gd name="connsiteY161" fmla="*/ 1587385 h 2520000"/>
              <a:gd name="connsiteX162" fmla="*/ 1997451 w 2520000"/>
              <a:gd name="connsiteY162" fmla="*/ 2281807 h 2520000"/>
              <a:gd name="connsiteX163" fmla="*/ 1967961 w 2520000"/>
              <a:gd name="connsiteY163" fmla="*/ 2302456 h 2520000"/>
              <a:gd name="connsiteX164" fmla="*/ 1481723 w 2520000"/>
              <a:gd name="connsiteY164" fmla="*/ 1608035 h 2520000"/>
              <a:gd name="connsiteX165" fmla="*/ 1905589 w 2520000"/>
              <a:gd name="connsiteY165" fmla="*/ 2342192 h 2520000"/>
              <a:gd name="connsiteX166" fmla="*/ 1874412 w 2520000"/>
              <a:gd name="connsiteY166" fmla="*/ 2360192 h 2520000"/>
              <a:gd name="connsiteX167" fmla="*/ 1450548 w 2520000"/>
              <a:gd name="connsiteY167" fmla="*/ 1626039 h 2520000"/>
              <a:gd name="connsiteX168" fmla="*/ 1808813 w 2520000"/>
              <a:gd name="connsiteY168" fmla="*/ 2394341 h 2520000"/>
              <a:gd name="connsiteX169" fmla="*/ 1776185 w 2520000"/>
              <a:gd name="connsiteY169" fmla="*/ 2409555 h 2520000"/>
              <a:gd name="connsiteX170" fmla="*/ 1417919 w 2520000"/>
              <a:gd name="connsiteY170" fmla="*/ 1641250 h 2520000"/>
              <a:gd name="connsiteX171" fmla="*/ 1707860 w 2520000"/>
              <a:gd name="connsiteY171" fmla="*/ 2437856 h 2520000"/>
              <a:gd name="connsiteX172" fmla="*/ 1674031 w 2520000"/>
              <a:gd name="connsiteY172" fmla="*/ 2450169 h 2520000"/>
              <a:gd name="connsiteX173" fmla="*/ 1384091 w 2520000"/>
              <a:gd name="connsiteY173" fmla="*/ 1653568 h 2520000"/>
              <a:gd name="connsiteX174" fmla="*/ 1603499 w 2520000"/>
              <a:gd name="connsiteY174" fmla="*/ 2472408 h 2520000"/>
              <a:gd name="connsiteX175" fmla="*/ 1568725 w 2520000"/>
              <a:gd name="connsiteY175" fmla="*/ 2481726 h 2520000"/>
              <a:gd name="connsiteX176" fmla="*/ 1349315 w 2520000"/>
              <a:gd name="connsiteY176" fmla="*/ 1662879 h 2520000"/>
              <a:gd name="connsiteX177" fmla="*/ 1496523 w 2520000"/>
              <a:gd name="connsiteY177" fmla="*/ 2497732 h 2520000"/>
              <a:gd name="connsiteX178" fmla="*/ 1461070 w 2520000"/>
              <a:gd name="connsiteY178" fmla="*/ 2503984 h 2520000"/>
              <a:gd name="connsiteX179" fmla="*/ 1313863 w 2520000"/>
              <a:gd name="connsiteY179" fmla="*/ 1669130 h 2520000"/>
              <a:gd name="connsiteX180" fmla="*/ 1387748 w 2520000"/>
              <a:gd name="connsiteY180" fmla="*/ 2513637 h 2520000"/>
              <a:gd name="connsiteX181" fmla="*/ 1351885 w 2520000"/>
              <a:gd name="connsiteY181" fmla="*/ 2516774 h 2520000"/>
              <a:gd name="connsiteX182" fmla="*/ 1278000 w 2520000"/>
              <a:gd name="connsiteY182" fmla="*/ 1672266 h 2520000"/>
              <a:gd name="connsiteX183" fmla="*/ 1278000 w 2520000"/>
              <a:gd name="connsiteY183" fmla="*/ 2520000 h 2520000"/>
              <a:gd name="connsiteX184" fmla="*/ 1242000 w 2520000"/>
              <a:gd name="connsiteY184" fmla="*/ 2520000 h 2520000"/>
              <a:gd name="connsiteX185" fmla="*/ 1242002 w 2520000"/>
              <a:gd name="connsiteY185" fmla="*/ 1672022 h 2520000"/>
              <a:gd name="connsiteX186" fmla="*/ 1168137 w 2520000"/>
              <a:gd name="connsiteY186" fmla="*/ 2516303 h 2520000"/>
              <a:gd name="connsiteX187" fmla="*/ 1132273 w 2520000"/>
              <a:gd name="connsiteY187" fmla="*/ 2513166 h 2520000"/>
              <a:gd name="connsiteX188" fmla="*/ 1206179 w 2520000"/>
              <a:gd name="connsiteY188" fmla="*/ 1668416 h 2520000"/>
              <a:gd name="connsiteX189" fmla="*/ 1059012 w 2520000"/>
              <a:gd name="connsiteY189" fmla="*/ 2503045 h 2520000"/>
              <a:gd name="connsiteX190" fmla="*/ 1023559 w 2520000"/>
              <a:gd name="connsiteY190" fmla="*/ 2496794 h 2520000"/>
              <a:gd name="connsiteX191" fmla="*/ 1170806 w 2520000"/>
              <a:gd name="connsiteY191" fmla="*/ 1661718 h 2520000"/>
              <a:gd name="connsiteX192" fmla="*/ 951460 w 2520000"/>
              <a:gd name="connsiteY192" fmla="*/ 2480327 h 2520000"/>
              <a:gd name="connsiteX193" fmla="*/ 916686 w 2520000"/>
              <a:gd name="connsiteY193" fmla="*/ 2471010 h 2520000"/>
              <a:gd name="connsiteX194" fmla="*/ 1136159 w 2520000"/>
              <a:gd name="connsiteY194" fmla="*/ 1651925 h 2520000"/>
              <a:gd name="connsiteX195" fmla="*/ 846295 w 2520000"/>
              <a:gd name="connsiteY195" fmla="*/ 2448322 h 2520000"/>
              <a:gd name="connsiteX196" fmla="*/ 812466 w 2520000"/>
              <a:gd name="connsiteY196" fmla="*/ 2436009 h 2520000"/>
              <a:gd name="connsiteX197" fmla="*/ 1102487 w 2520000"/>
              <a:gd name="connsiteY197" fmla="*/ 1639184 h 2520000"/>
              <a:gd name="connsiteX198" fmla="*/ 744321 w 2520000"/>
              <a:gd name="connsiteY198" fmla="*/ 2407272 h 2520000"/>
              <a:gd name="connsiteX199" fmla="*/ 711694 w 2520000"/>
              <a:gd name="connsiteY199" fmla="*/ 2392058 h 2520000"/>
              <a:gd name="connsiteX200" fmla="*/ 1070059 w 2520000"/>
              <a:gd name="connsiteY200" fmla="*/ 1623541 h 2520000"/>
              <a:gd name="connsiteX201" fmla="*/ 646312 w 2520000"/>
              <a:gd name="connsiteY201" fmla="*/ 2357492 h 2520000"/>
              <a:gd name="connsiteX202" fmla="*/ 615135 w 2520000"/>
              <a:gd name="connsiteY202" fmla="*/ 2339492 h 2520000"/>
              <a:gd name="connsiteX203" fmla="*/ 1039124 w 2520000"/>
              <a:gd name="connsiteY203" fmla="*/ 1605123 h 2520000"/>
              <a:gd name="connsiteX204" fmla="*/ 553015 w 2520000"/>
              <a:gd name="connsiteY204" fmla="*/ 2299359 h 2520000"/>
              <a:gd name="connsiteX205" fmla="*/ 523525 w 2520000"/>
              <a:gd name="connsiteY205" fmla="*/ 2278710 h 2520000"/>
              <a:gd name="connsiteX206" fmla="*/ 1009901 w 2520000"/>
              <a:gd name="connsiteY206" fmla="*/ 1584093 h 2520000"/>
              <a:gd name="connsiteX207" fmla="*/ 465140 w 2520000"/>
              <a:gd name="connsiteY207" fmla="*/ 2233315 h 2520000"/>
              <a:gd name="connsiteX208" fmla="*/ 437562 w 2520000"/>
              <a:gd name="connsiteY208" fmla="*/ 2210175 h 2520000"/>
              <a:gd name="connsiteX209" fmla="*/ 982624 w 2520000"/>
              <a:gd name="connsiteY209" fmla="*/ 1560596 h 2520000"/>
              <a:gd name="connsiteX210" fmla="*/ 383355 w 2520000"/>
              <a:gd name="connsiteY210" fmla="*/ 2159864 h 2520000"/>
              <a:gd name="connsiteX211" fmla="*/ 357899 w 2520000"/>
              <a:gd name="connsiteY211" fmla="*/ 2134408 h 2520000"/>
              <a:gd name="connsiteX212" fmla="*/ 905948 w 2520000"/>
              <a:gd name="connsiteY212" fmla="*/ 1586360 h 2520000"/>
              <a:gd name="connsiteX213" fmla="*/ 312368 w 2520000"/>
              <a:gd name="connsiteY213" fmla="*/ 2084433 h 2520000"/>
              <a:gd name="connsiteX214" fmla="*/ 289228 w 2520000"/>
              <a:gd name="connsiteY214" fmla="*/ 2056855 h 2520000"/>
              <a:gd name="connsiteX215" fmla="*/ 974211 w 2520000"/>
              <a:gd name="connsiteY215" fmla="*/ 1482086 h 252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  <a:cxn ang="0">
                <a:pos x="connsiteX156" y="connsiteY156"/>
              </a:cxn>
              <a:cxn ang="0">
                <a:pos x="connsiteX157" y="connsiteY157"/>
              </a:cxn>
              <a:cxn ang="0">
                <a:pos x="connsiteX158" y="connsiteY158"/>
              </a:cxn>
              <a:cxn ang="0">
                <a:pos x="connsiteX159" y="connsiteY159"/>
              </a:cxn>
              <a:cxn ang="0">
                <a:pos x="connsiteX160" y="connsiteY160"/>
              </a:cxn>
              <a:cxn ang="0">
                <a:pos x="connsiteX161" y="connsiteY161"/>
              </a:cxn>
              <a:cxn ang="0">
                <a:pos x="connsiteX162" y="connsiteY162"/>
              </a:cxn>
              <a:cxn ang="0">
                <a:pos x="connsiteX163" y="connsiteY163"/>
              </a:cxn>
              <a:cxn ang="0">
                <a:pos x="connsiteX164" y="connsiteY164"/>
              </a:cxn>
              <a:cxn ang="0">
                <a:pos x="connsiteX165" y="connsiteY165"/>
              </a:cxn>
              <a:cxn ang="0">
                <a:pos x="connsiteX166" y="connsiteY166"/>
              </a:cxn>
              <a:cxn ang="0">
                <a:pos x="connsiteX167" y="connsiteY167"/>
              </a:cxn>
              <a:cxn ang="0">
                <a:pos x="connsiteX168" y="connsiteY168"/>
              </a:cxn>
              <a:cxn ang="0">
                <a:pos x="connsiteX169" y="connsiteY169"/>
              </a:cxn>
              <a:cxn ang="0">
                <a:pos x="connsiteX170" y="connsiteY170"/>
              </a:cxn>
              <a:cxn ang="0">
                <a:pos x="connsiteX171" y="connsiteY171"/>
              </a:cxn>
              <a:cxn ang="0">
                <a:pos x="connsiteX172" y="connsiteY172"/>
              </a:cxn>
              <a:cxn ang="0">
                <a:pos x="connsiteX173" y="connsiteY173"/>
              </a:cxn>
              <a:cxn ang="0">
                <a:pos x="connsiteX174" y="connsiteY174"/>
              </a:cxn>
              <a:cxn ang="0">
                <a:pos x="connsiteX175" y="connsiteY175"/>
              </a:cxn>
              <a:cxn ang="0">
                <a:pos x="connsiteX176" y="connsiteY176"/>
              </a:cxn>
              <a:cxn ang="0">
                <a:pos x="connsiteX177" y="connsiteY177"/>
              </a:cxn>
              <a:cxn ang="0">
                <a:pos x="connsiteX178" y="connsiteY178"/>
              </a:cxn>
              <a:cxn ang="0">
                <a:pos x="connsiteX179" y="connsiteY179"/>
              </a:cxn>
              <a:cxn ang="0">
                <a:pos x="connsiteX180" y="connsiteY180"/>
              </a:cxn>
              <a:cxn ang="0">
                <a:pos x="connsiteX181" y="connsiteY181"/>
              </a:cxn>
              <a:cxn ang="0">
                <a:pos x="connsiteX182" y="connsiteY182"/>
              </a:cxn>
              <a:cxn ang="0">
                <a:pos x="connsiteX183" y="connsiteY183"/>
              </a:cxn>
              <a:cxn ang="0">
                <a:pos x="connsiteX184" y="connsiteY184"/>
              </a:cxn>
              <a:cxn ang="0">
                <a:pos x="connsiteX185" y="connsiteY185"/>
              </a:cxn>
              <a:cxn ang="0">
                <a:pos x="connsiteX186" y="connsiteY186"/>
              </a:cxn>
              <a:cxn ang="0">
                <a:pos x="connsiteX187" y="connsiteY187"/>
              </a:cxn>
              <a:cxn ang="0">
                <a:pos x="connsiteX188" y="connsiteY188"/>
              </a:cxn>
              <a:cxn ang="0">
                <a:pos x="connsiteX189" y="connsiteY189"/>
              </a:cxn>
              <a:cxn ang="0">
                <a:pos x="connsiteX190" y="connsiteY190"/>
              </a:cxn>
              <a:cxn ang="0">
                <a:pos x="connsiteX191" y="connsiteY191"/>
              </a:cxn>
              <a:cxn ang="0">
                <a:pos x="connsiteX192" y="connsiteY192"/>
              </a:cxn>
              <a:cxn ang="0">
                <a:pos x="connsiteX193" y="connsiteY193"/>
              </a:cxn>
              <a:cxn ang="0">
                <a:pos x="connsiteX194" y="connsiteY194"/>
              </a:cxn>
              <a:cxn ang="0">
                <a:pos x="connsiteX195" y="connsiteY195"/>
              </a:cxn>
              <a:cxn ang="0">
                <a:pos x="connsiteX196" y="connsiteY196"/>
              </a:cxn>
              <a:cxn ang="0">
                <a:pos x="connsiteX197" y="connsiteY197"/>
              </a:cxn>
              <a:cxn ang="0">
                <a:pos x="connsiteX198" y="connsiteY198"/>
              </a:cxn>
              <a:cxn ang="0">
                <a:pos x="connsiteX199" y="connsiteY199"/>
              </a:cxn>
              <a:cxn ang="0">
                <a:pos x="connsiteX200" y="connsiteY200"/>
              </a:cxn>
              <a:cxn ang="0">
                <a:pos x="connsiteX201" y="connsiteY201"/>
              </a:cxn>
              <a:cxn ang="0">
                <a:pos x="connsiteX202" y="connsiteY202"/>
              </a:cxn>
              <a:cxn ang="0">
                <a:pos x="connsiteX203" y="connsiteY203"/>
              </a:cxn>
              <a:cxn ang="0">
                <a:pos x="connsiteX204" y="connsiteY204"/>
              </a:cxn>
              <a:cxn ang="0">
                <a:pos x="connsiteX205" y="connsiteY205"/>
              </a:cxn>
              <a:cxn ang="0">
                <a:pos x="connsiteX206" y="connsiteY206"/>
              </a:cxn>
              <a:cxn ang="0">
                <a:pos x="connsiteX207" y="connsiteY207"/>
              </a:cxn>
              <a:cxn ang="0">
                <a:pos x="connsiteX208" y="connsiteY208"/>
              </a:cxn>
              <a:cxn ang="0">
                <a:pos x="connsiteX209" y="connsiteY209"/>
              </a:cxn>
              <a:cxn ang="0">
                <a:pos x="connsiteX210" y="connsiteY210"/>
              </a:cxn>
              <a:cxn ang="0">
                <a:pos x="connsiteX211" y="connsiteY211"/>
              </a:cxn>
              <a:cxn ang="0">
                <a:pos x="connsiteX212" y="connsiteY212"/>
              </a:cxn>
              <a:cxn ang="0">
                <a:pos x="connsiteX213" y="connsiteY213"/>
              </a:cxn>
              <a:cxn ang="0">
                <a:pos x="connsiteX214" y="connsiteY214"/>
              </a:cxn>
              <a:cxn ang="0">
                <a:pos x="connsiteX215" y="connsiteY215"/>
              </a:cxn>
            </a:cxnLst>
            <a:rect l="l" t="t" r="r" b="b"/>
            <a:pathLst>
              <a:path w="2520000" h="2520000">
                <a:moveTo>
                  <a:pt x="238193" y="1997451"/>
                </a:moveTo>
                <a:lnTo>
                  <a:pt x="217544" y="1967962"/>
                </a:lnTo>
                <a:lnTo>
                  <a:pt x="911968" y="1481721"/>
                </a:lnTo>
                <a:lnTo>
                  <a:pt x="177808" y="1905589"/>
                </a:lnTo>
                <a:lnTo>
                  <a:pt x="159808" y="1874412"/>
                </a:lnTo>
                <a:lnTo>
                  <a:pt x="893967" y="1450545"/>
                </a:lnTo>
                <a:lnTo>
                  <a:pt x="125659" y="1808813"/>
                </a:lnTo>
                <a:lnTo>
                  <a:pt x="110445" y="1776186"/>
                </a:lnTo>
                <a:lnTo>
                  <a:pt x="878754" y="1417918"/>
                </a:lnTo>
                <a:lnTo>
                  <a:pt x="82144" y="1707860"/>
                </a:lnTo>
                <a:lnTo>
                  <a:pt x="69831" y="1674031"/>
                </a:lnTo>
                <a:lnTo>
                  <a:pt x="866437" y="1384090"/>
                </a:lnTo>
                <a:lnTo>
                  <a:pt x="47592" y="1603499"/>
                </a:lnTo>
                <a:lnTo>
                  <a:pt x="38275" y="1568725"/>
                </a:lnTo>
                <a:lnTo>
                  <a:pt x="857121" y="1349316"/>
                </a:lnTo>
                <a:lnTo>
                  <a:pt x="22268" y="1496523"/>
                </a:lnTo>
                <a:lnTo>
                  <a:pt x="16016" y="1461070"/>
                </a:lnTo>
                <a:lnTo>
                  <a:pt x="850870" y="1313863"/>
                </a:lnTo>
                <a:lnTo>
                  <a:pt x="6363" y="1387748"/>
                </a:lnTo>
                <a:lnTo>
                  <a:pt x="3226" y="1351885"/>
                </a:lnTo>
                <a:lnTo>
                  <a:pt x="847731" y="1278000"/>
                </a:lnTo>
                <a:lnTo>
                  <a:pt x="0" y="1278000"/>
                </a:lnTo>
                <a:lnTo>
                  <a:pt x="0" y="1242000"/>
                </a:lnTo>
                <a:lnTo>
                  <a:pt x="847733" y="1242001"/>
                </a:lnTo>
                <a:lnTo>
                  <a:pt x="3226" y="1168115"/>
                </a:lnTo>
                <a:lnTo>
                  <a:pt x="6363" y="1132252"/>
                </a:lnTo>
                <a:lnTo>
                  <a:pt x="850874" y="1206137"/>
                </a:lnTo>
                <a:lnTo>
                  <a:pt x="16017" y="1058930"/>
                </a:lnTo>
                <a:lnTo>
                  <a:pt x="22268" y="1023477"/>
                </a:lnTo>
                <a:lnTo>
                  <a:pt x="857120" y="1170684"/>
                </a:lnTo>
                <a:lnTo>
                  <a:pt x="38275" y="951275"/>
                </a:lnTo>
                <a:lnTo>
                  <a:pt x="47592" y="916501"/>
                </a:lnTo>
                <a:lnTo>
                  <a:pt x="866441" y="1135911"/>
                </a:lnTo>
                <a:lnTo>
                  <a:pt x="69831" y="845969"/>
                </a:lnTo>
                <a:lnTo>
                  <a:pt x="82144" y="812140"/>
                </a:lnTo>
                <a:lnTo>
                  <a:pt x="878751" y="1102082"/>
                </a:lnTo>
                <a:lnTo>
                  <a:pt x="110445" y="743815"/>
                </a:lnTo>
                <a:lnTo>
                  <a:pt x="125660" y="711187"/>
                </a:lnTo>
                <a:lnTo>
                  <a:pt x="893964" y="1069453"/>
                </a:lnTo>
                <a:lnTo>
                  <a:pt x="159808" y="645588"/>
                </a:lnTo>
                <a:lnTo>
                  <a:pt x="177808" y="614412"/>
                </a:lnTo>
                <a:lnTo>
                  <a:pt x="911961" y="1038275"/>
                </a:lnTo>
                <a:lnTo>
                  <a:pt x="217544" y="552039"/>
                </a:lnTo>
                <a:lnTo>
                  <a:pt x="238193" y="522549"/>
                </a:lnTo>
                <a:lnTo>
                  <a:pt x="932610" y="1008785"/>
                </a:lnTo>
                <a:lnTo>
                  <a:pt x="283214" y="463876"/>
                </a:lnTo>
                <a:lnTo>
                  <a:pt x="306354" y="436299"/>
                </a:lnTo>
                <a:lnTo>
                  <a:pt x="955755" y="981211"/>
                </a:lnTo>
                <a:lnTo>
                  <a:pt x="356317" y="381774"/>
                </a:lnTo>
                <a:lnTo>
                  <a:pt x="381773" y="356318"/>
                </a:lnTo>
                <a:lnTo>
                  <a:pt x="981211" y="955756"/>
                </a:lnTo>
                <a:lnTo>
                  <a:pt x="436299" y="306354"/>
                </a:lnTo>
                <a:lnTo>
                  <a:pt x="463876" y="283214"/>
                </a:lnTo>
                <a:lnTo>
                  <a:pt x="1008789" y="932616"/>
                </a:lnTo>
                <a:lnTo>
                  <a:pt x="522549" y="238193"/>
                </a:lnTo>
                <a:lnTo>
                  <a:pt x="552039" y="217544"/>
                </a:lnTo>
                <a:lnTo>
                  <a:pt x="1038278" y="911967"/>
                </a:lnTo>
                <a:lnTo>
                  <a:pt x="614411" y="177808"/>
                </a:lnTo>
                <a:lnTo>
                  <a:pt x="645588" y="159808"/>
                </a:lnTo>
                <a:lnTo>
                  <a:pt x="1069453" y="893963"/>
                </a:lnTo>
                <a:lnTo>
                  <a:pt x="711187" y="125659"/>
                </a:lnTo>
                <a:lnTo>
                  <a:pt x="743815" y="110445"/>
                </a:lnTo>
                <a:lnTo>
                  <a:pt x="1102082" y="878751"/>
                </a:lnTo>
                <a:lnTo>
                  <a:pt x="812140" y="82144"/>
                </a:lnTo>
                <a:lnTo>
                  <a:pt x="845969" y="69831"/>
                </a:lnTo>
                <a:lnTo>
                  <a:pt x="1135910" y="866436"/>
                </a:lnTo>
                <a:lnTo>
                  <a:pt x="916501" y="47592"/>
                </a:lnTo>
                <a:lnTo>
                  <a:pt x="951275" y="38275"/>
                </a:lnTo>
                <a:lnTo>
                  <a:pt x="1170683" y="857116"/>
                </a:lnTo>
                <a:lnTo>
                  <a:pt x="1023477" y="22268"/>
                </a:lnTo>
                <a:lnTo>
                  <a:pt x="1058929" y="16017"/>
                </a:lnTo>
                <a:lnTo>
                  <a:pt x="1206138" y="850877"/>
                </a:lnTo>
                <a:lnTo>
                  <a:pt x="1132253" y="6363"/>
                </a:lnTo>
                <a:lnTo>
                  <a:pt x="1168115" y="3226"/>
                </a:lnTo>
                <a:lnTo>
                  <a:pt x="1242000" y="847735"/>
                </a:lnTo>
                <a:lnTo>
                  <a:pt x="1242000" y="0"/>
                </a:lnTo>
                <a:lnTo>
                  <a:pt x="1278000" y="0"/>
                </a:lnTo>
                <a:lnTo>
                  <a:pt x="1278000" y="847501"/>
                </a:lnTo>
                <a:lnTo>
                  <a:pt x="1351906" y="2755"/>
                </a:lnTo>
                <a:lnTo>
                  <a:pt x="1387769" y="5893"/>
                </a:lnTo>
                <a:lnTo>
                  <a:pt x="1313905" y="850161"/>
                </a:lnTo>
                <a:lnTo>
                  <a:pt x="1461153" y="15078"/>
                </a:lnTo>
                <a:lnTo>
                  <a:pt x="1496605" y="21330"/>
                </a:lnTo>
                <a:lnTo>
                  <a:pt x="1349438" y="855956"/>
                </a:lnTo>
                <a:lnTo>
                  <a:pt x="1568910" y="36877"/>
                </a:lnTo>
                <a:lnTo>
                  <a:pt x="1603684" y="46194"/>
                </a:lnTo>
                <a:lnTo>
                  <a:pt x="1384338" y="864802"/>
                </a:lnTo>
                <a:lnTo>
                  <a:pt x="1674356" y="67983"/>
                </a:lnTo>
                <a:lnTo>
                  <a:pt x="1708185" y="80296"/>
                </a:lnTo>
                <a:lnTo>
                  <a:pt x="1418322" y="876690"/>
                </a:lnTo>
                <a:lnTo>
                  <a:pt x="1776692" y="108162"/>
                </a:lnTo>
                <a:lnTo>
                  <a:pt x="1809319" y="123377"/>
                </a:lnTo>
                <a:lnTo>
                  <a:pt x="1451151" y="891470"/>
                </a:lnTo>
                <a:lnTo>
                  <a:pt x="1875135" y="157108"/>
                </a:lnTo>
                <a:lnTo>
                  <a:pt x="1906312" y="175108"/>
                </a:lnTo>
                <a:lnTo>
                  <a:pt x="1482565" y="909059"/>
                </a:lnTo>
                <a:lnTo>
                  <a:pt x="1968938" y="214447"/>
                </a:lnTo>
                <a:lnTo>
                  <a:pt x="1998427" y="235096"/>
                </a:lnTo>
                <a:lnTo>
                  <a:pt x="1512322" y="929326"/>
                </a:lnTo>
                <a:lnTo>
                  <a:pt x="2057387" y="279743"/>
                </a:lnTo>
                <a:lnTo>
                  <a:pt x="2084964" y="302883"/>
                </a:lnTo>
                <a:lnTo>
                  <a:pt x="1540200" y="952109"/>
                </a:lnTo>
                <a:lnTo>
                  <a:pt x="2139809" y="352499"/>
                </a:lnTo>
                <a:lnTo>
                  <a:pt x="2165264" y="377956"/>
                </a:lnTo>
                <a:lnTo>
                  <a:pt x="1514438" y="1028782"/>
                </a:lnTo>
                <a:lnTo>
                  <a:pt x="2219660" y="437030"/>
                </a:lnTo>
                <a:lnTo>
                  <a:pt x="2242800" y="464608"/>
                </a:lnTo>
                <a:lnTo>
                  <a:pt x="1628988" y="979657"/>
                </a:lnTo>
                <a:lnTo>
                  <a:pt x="2281807" y="522549"/>
                </a:lnTo>
                <a:lnTo>
                  <a:pt x="2302456" y="552038"/>
                </a:lnTo>
                <a:lnTo>
                  <a:pt x="1608033" y="1038278"/>
                </a:lnTo>
                <a:lnTo>
                  <a:pt x="2342192" y="614412"/>
                </a:lnTo>
                <a:lnTo>
                  <a:pt x="2360192" y="645588"/>
                </a:lnTo>
                <a:lnTo>
                  <a:pt x="1626031" y="1069457"/>
                </a:lnTo>
                <a:lnTo>
                  <a:pt x="2394341" y="711188"/>
                </a:lnTo>
                <a:lnTo>
                  <a:pt x="2409555" y="743814"/>
                </a:lnTo>
                <a:lnTo>
                  <a:pt x="1641245" y="1102083"/>
                </a:lnTo>
                <a:lnTo>
                  <a:pt x="2437856" y="812140"/>
                </a:lnTo>
                <a:lnTo>
                  <a:pt x="2450169" y="845969"/>
                </a:lnTo>
                <a:lnTo>
                  <a:pt x="1653563" y="1135910"/>
                </a:lnTo>
                <a:lnTo>
                  <a:pt x="2472408" y="916501"/>
                </a:lnTo>
                <a:lnTo>
                  <a:pt x="2481726" y="951274"/>
                </a:lnTo>
                <a:lnTo>
                  <a:pt x="1662878" y="1170685"/>
                </a:lnTo>
                <a:lnTo>
                  <a:pt x="2497732" y="1023477"/>
                </a:lnTo>
                <a:lnTo>
                  <a:pt x="2503984" y="1058930"/>
                </a:lnTo>
                <a:lnTo>
                  <a:pt x="1669132" y="1206137"/>
                </a:lnTo>
                <a:lnTo>
                  <a:pt x="2513637" y="1132252"/>
                </a:lnTo>
                <a:lnTo>
                  <a:pt x="2516774" y="1168115"/>
                </a:lnTo>
                <a:lnTo>
                  <a:pt x="1672268" y="1242000"/>
                </a:lnTo>
                <a:lnTo>
                  <a:pt x="2520000" y="1242000"/>
                </a:lnTo>
                <a:lnTo>
                  <a:pt x="2520000" y="1278000"/>
                </a:lnTo>
                <a:lnTo>
                  <a:pt x="1672267" y="1278000"/>
                </a:lnTo>
                <a:lnTo>
                  <a:pt x="2516774" y="1351885"/>
                </a:lnTo>
                <a:lnTo>
                  <a:pt x="2513637" y="1387748"/>
                </a:lnTo>
                <a:lnTo>
                  <a:pt x="1669126" y="1313862"/>
                </a:lnTo>
                <a:lnTo>
                  <a:pt x="2503983" y="1461070"/>
                </a:lnTo>
                <a:lnTo>
                  <a:pt x="2497733" y="1496523"/>
                </a:lnTo>
                <a:lnTo>
                  <a:pt x="1662877" y="1349315"/>
                </a:lnTo>
                <a:lnTo>
                  <a:pt x="2481725" y="1568725"/>
                </a:lnTo>
                <a:lnTo>
                  <a:pt x="2472408" y="1603498"/>
                </a:lnTo>
                <a:lnTo>
                  <a:pt x="1653557" y="1384088"/>
                </a:lnTo>
                <a:lnTo>
                  <a:pt x="2450169" y="1674031"/>
                </a:lnTo>
                <a:lnTo>
                  <a:pt x="2437857" y="1707860"/>
                </a:lnTo>
                <a:lnTo>
                  <a:pt x="1641251" y="1417919"/>
                </a:lnTo>
                <a:lnTo>
                  <a:pt x="2409555" y="1776185"/>
                </a:lnTo>
                <a:lnTo>
                  <a:pt x="2394340" y="1808813"/>
                </a:lnTo>
                <a:lnTo>
                  <a:pt x="1626043" y="1450550"/>
                </a:lnTo>
                <a:lnTo>
                  <a:pt x="2360192" y="1874411"/>
                </a:lnTo>
                <a:lnTo>
                  <a:pt x="2342192" y="1905588"/>
                </a:lnTo>
                <a:lnTo>
                  <a:pt x="1608038" y="1481725"/>
                </a:lnTo>
                <a:lnTo>
                  <a:pt x="2302456" y="1967961"/>
                </a:lnTo>
                <a:lnTo>
                  <a:pt x="2281807" y="1997451"/>
                </a:lnTo>
                <a:lnTo>
                  <a:pt x="1587388" y="1511214"/>
                </a:lnTo>
                <a:lnTo>
                  <a:pt x="2236786" y="2056124"/>
                </a:lnTo>
                <a:lnTo>
                  <a:pt x="2213646" y="2083701"/>
                </a:lnTo>
                <a:lnTo>
                  <a:pt x="1564245" y="1538789"/>
                </a:lnTo>
                <a:lnTo>
                  <a:pt x="2163683" y="2138227"/>
                </a:lnTo>
                <a:lnTo>
                  <a:pt x="2138227" y="2163682"/>
                </a:lnTo>
                <a:lnTo>
                  <a:pt x="1538789" y="1564244"/>
                </a:lnTo>
                <a:lnTo>
                  <a:pt x="2083701" y="2213646"/>
                </a:lnTo>
                <a:lnTo>
                  <a:pt x="2056124" y="2236786"/>
                </a:lnTo>
                <a:lnTo>
                  <a:pt x="1511211" y="1587385"/>
                </a:lnTo>
                <a:lnTo>
                  <a:pt x="1997451" y="2281807"/>
                </a:lnTo>
                <a:lnTo>
                  <a:pt x="1967961" y="2302456"/>
                </a:lnTo>
                <a:lnTo>
                  <a:pt x="1481723" y="1608035"/>
                </a:lnTo>
                <a:lnTo>
                  <a:pt x="1905589" y="2342192"/>
                </a:lnTo>
                <a:lnTo>
                  <a:pt x="1874412" y="2360192"/>
                </a:lnTo>
                <a:lnTo>
                  <a:pt x="1450548" y="1626039"/>
                </a:lnTo>
                <a:lnTo>
                  <a:pt x="1808813" y="2394341"/>
                </a:lnTo>
                <a:lnTo>
                  <a:pt x="1776185" y="2409555"/>
                </a:lnTo>
                <a:lnTo>
                  <a:pt x="1417919" y="1641250"/>
                </a:lnTo>
                <a:lnTo>
                  <a:pt x="1707860" y="2437856"/>
                </a:lnTo>
                <a:lnTo>
                  <a:pt x="1674031" y="2450169"/>
                </a:lnTo>
                <a:lnTo>
                  <a:pt x="1384091" y="1653568"/>
                </a:lnTo>
                <a:lnTo>
                  <a:pt x="1603499" y="2472408"/>
                </a:lnTo>
                <a:lnTo>
                  <a:pt x="1568725" y="2481726"/>
                </a:lnTo>
                <a:lnTo>
                  <a:pt x="1349315" y="1662879"/>
                </a:lnTo>
                <a:lnTo>
                  <a:pt x="1496523" y="2497732"/>
                </a:lnTo>
                <a:lnTo>
                  <a:pt x="1461070" y="2503984"/>
                </a:lnTo>
                <a:lnTo>
                  <a:pt x="1313863" y="1669130"/>
                </a:lnTo>
                <a:lnTo>
                  <a:pt x="1387748" y="2513637"/>
                </a:lnTo>
                <a:lnTo>
                  <a:pt x="1351885" y="2516774"/>
                </a:lnTo>
                <a:lnTo>
                  <a:pt x="1278000" y="1672266"/>
                </a:lnTo>
                <a:lnTo>
                  <a:pt x="1278000" y="2520000"/>
                </a:lnTo>
                <a:lnTo>
                  <a:pt x="1242000" y="2520000"/>
                </a:lnTo>
                <a:lnTo>
                  <a:pt x="1242002" y="1672022"/>
                </a:lnTo>
                <a:lnTo>
                  <a:pt x="1168137" y="2516303"/>
                </a:lnTo>
                <a:lnTo>
                  <a:pt x="1132273" y="2513166"/>
                </a:lnTo>
                <a:lnTo>
                  <a:pt x="1206179" y="1668416"/>
                </a:lnTo>
                <a:lnTo>
                  <a:pt x="1059012" y="2503045"/>
                </a:lnTo>
                <a:lnTo>
                  <a:pt x="1023559" y="2496794"/>
                </a:lnTo>
                <a:lnTo>
                  <a:pt x="1170806" y="1661718"/>
                </a:lnTo>
                <a:lnTo>
                  <a:pt x="951460" y="2480327"/>
                </a:lnTo>
                <a:lnTo>
                  <a:pt x="916686" y="2471010"/>
                </a:lnTo>
                <a:lnTo>
                  <a:pt x="1136159" y="1651925"/>
                </a:lnTo>
                <a:lnTo>
                  <a:pt x="846295" y="2448322"/>
                </a:lnTo>
                <a:lnTo>
                  <a:pt x="812466" y="2436009"/>
                </a:lnTo>
                <a:lnTo>
                  <a:pt x="1102487" y="1639184"/>
                </a:lnTo>
                <a:lnTo>
                  <a:pt x="744321" y="2407272"/>
                </a:lnTo>
                <a:lnTo>
                  <a:pt x="711694" y="2392058"/>
                </a:lnTo>
                <a:lnTo>
                  <a:pt x="1070059" y="1623541"/>
                </a:lnTo>
                <a:lnTo>
                  <a:pt x="646312" y="2357492"/>
                </a:lnTo>
                <a:lnTo>
                  <a:pt x="615135" y="2339492"/>
                </a:lnTo>
                <a:lnTo>
                  <a:pt x="1039124" y="1605123"/>
                </a:lnTo>
                <a:lnTo>
                  <a:pt x="553015" y="2299359"/>
                </a:lnTo>
                <a:lnTo>
                  <a:pt x="523525" y="2278710"/>
                </a:lnTo>
                <a:lnTo>
                  <a:pt x="1009901" y="1584093"/>
                </a:lnTo>
                <a:lnTo>
                  <a:pt x="465140" y="2233315"/>
                </a:lnTo>
                <a:lnTo>
                  <a:pt x="437562" y="2210175"/>
                </a:lnTo>
                <a:lnTo>
                  <a:pt x="982624" y="1560596"/>
                </a:lnTo>
                <a:lnTo>
                  <a:pt x="383355" y="2159864"/>
                </a:lnTo>
                <a:lnTo>
                  <a:pt x="357899" y="2134408"/>
                </a:lnTo>
                <a:lnTo>
                  <a:pt x="905948" y="1586360"/>
                </a:lnTo>
                <a:lnTo>
                  <a:pt x="312368" y="2084433"/>
                </a:lnTo>
                <a:lnTo>
                  <a:pt x="289228" y="2056855"/>
                </a:lnTo>
                <a:lnTo>
                  <a:pt x="974211" y="1482086"/>
                </a:lnTo>
                <a:close/>
              </a:path>
            </a:pathLst>
          </a:cu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aphicFrame macro="">
        <xdr:nvGraphicFramePr>
          <xdr:cNvPr id="79" name="Диаграмма 1"/>
          <xdr:cNvGraphicFramePr/>
        </xdr:nvGraphicFramePr>
        <xdr:xfrm>
          <a:off x="2338572" y="1057275"/>
          <a:ext cx="1334943" cy="12811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80" name="Овал 5"/>
          <xdr:cNvSpPr/>
        </xdr:nvSpPr>
        <xdr:spPr>
          <a:xfrm>
            <a:off x="2620447" y="1313242"/>
            <a:ext cx="762289" cy="756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1" name="Овал 7"/>
          <xdr:cNvSpPr/>
        </xdr:nvSpPr>
        <xdr:spPr>
          <a:xfrm>
            <a:off x="2668168" y="1360844"/>
            <a:ext cx="666846" cy="660796"/>
          </a:xfrm>
          <a:prstGeom prst="ellipse">
            <a:avLst/>
          </a:prstGeom>
          <a:noFill/>
          <a:ln>
            <a:solidFill>
              <a:srgbClr val="4C9CB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410135</xdr:colOff>
      <xdr:row>21</xdr:row>
      <xdr:rowOff>174811</xdr:rowOff>
    </xdr:from>
    <xdr:to>
      <xdr:col>19</xdr:col>
      <xdr:colOff>150984</xdr:colOff>
      <xdr:row>28</xdr:row>
      <xdr:rowOff>122423</xdr:rowOff>
    </xdr:to>
    <xdr:grpSp>
      <xdr:nvGrpSpPr>
        <xdr:cNvPr id="82" name="Группа 34"/>
        <xdr:cNvGrpSpPr/>
      </xdr:nvGrpSpPr>
      <xdr:grpSpPr>
        <a:xfrm>
          <a:off x="7291948" y="4984936"/>
          <a:ext cx="1431536" cy="1316831"/>
          <a:chOff x="2338572" y="1057275"/>
          <a:chExt cx="1334943" cy="1281112"/>
        </a:xfrm>
      </xdr:grpSpPr>
      <xdr:sp macro="" textlink="">
        <xdr:nvSpPr>
          <xdr:cNvPr id="83" name="Овал 9"/>
          <xdr:cNvSpPr/>
        </xdr:nvSpPr>
        <xdr:spPr>
          <a:xfrm>
            <a:off x="2478715" y="1170017"/>
            <a:ext cx="1045752" cy="1042451"/>
          </a:xfrm>
          <a:prstGeom prst="ellipse">
            <a:avLst/>
          </a:prstGeom>
          <a:noFill/>
          <a:ln w="22225">
            <a:solidFill>
              <a:srgbClr val="25C4FF"/>
            </a:solidFill>
          </a:ln>
          <a:effectLst>
            <a:glow rad="50800">
              <a:srgbClr val="1CCDFE">
                <a:alpha val="22000"/>
              </a:srgb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4" name="Прямоугольник 32"/>
          <xdr:cNvSpPr/>
        </xdr:nvSpPr>
        <xdr:spPr>
          <a:xfrm>
            <a:off x="3470409" y="1524000"/>
            <a:ext cx="149091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Прямоугольник 33"/>
          <xdr:cNvSpPr/>
        </xdr:nvSpPr>
        <xdr:spPr>
          <a:xfrm>
            <a:off x="2396983" y="1524000"/>
            <a:ext cx="149091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7" name="Полилиния 8"/>
          <xdr:cNvSpPr/>
        </xdr:nvSpPr>
        <xdr:spPr>
          <a:xfrm rot="7800000">
            <a:off x="2531792" y="1219261"/>
            <a:ext cx="939600" cy="943961"/>
          </a:xfrm>
          <a:custGeom>
            <a:avLst/>
            <a:gdLst>
              <a:gd name="connsiteX0" fmla="*/ 238193 w 2520000"/>
              <a:gd name="connsiteY0" fmla="*/ 1997451 h 2520000"/>
              <a:gd name="connsiteX1" fmla="*/ 217544 w 2520000"/>
              <a:gd name="connsiteY1" fmla="*/ 1967962 h 2520000"/>
              <a:gd name="connsiteX2" fmla="*/ 911968 w 2520000"/>
              <a:gd name="connsiteY2" fmla="*/ 1481721 h 2520000"/>
              <a:gd name="connsiteX3" fmla="*/ 177808 w 2520000"/>
              <a:gd name="connsiteY3" fmla="*/ 1905589 h 2520000"/>
              <a:gd name="connsiteX4" fmla="*/ 159808 w 2520000"/>
              <a:gd name="connsiteY4" fmla="*/ 1874412 h 2520000"/>
              <a:gd name="connsiteX5" fmla="*/ 893967 w 2520000"/>
              <a:gd name="connsiteY5" fmla="*/ 1450545 h 2520000"/>
              <a:gd name="connsiteX6" fmla="*/ 125659 w 2520000"/>
              <a:gd name="connsiteY6" fmla="*/ 1808813 h 2520000"/>
              <a:gd name="connsiteX7" fmla="*/ 110445 w 2520000"/>
              <a:gd name="connsiteY7" fmla="*/ 1776186 h 2520000"/>
              <a:gd name="connsiteX8" fmla="*/ 878754 w 2520000"/>
              <a:gd name="connsiteY8" fmla="*/ 1417918 h 2520000"/>
              <a:gd name="connsiteX9" fmla="*/ 82144 w 2520000"/>
              <a:gd name="connsiteY9" fmla="*/ 1707860 h 2520000"/>
              <a:gd name="connsiteX10" fmla="*/ 69831 w 2520000"/>
              <a:gd name="connsiteY10" fmla="*/ 1674031 h 2520000"/>
              <a:gd name="connsiteX11" fmla="*/ 866437 w 2520000"/>
              <a:gd name="connsiteY11" fmla="*/ 1384090 h 2520000"/>
              <a:gd name="connsiteX12" fmla="*/ 47592 w 2520000"/>
              <a:gd name="connsiteY12" fmla="*/ 1603499 h 2520000"/>
              <a:gd name="connsiteX13" fmla="*/ 38275 w 2520000"/>
              <a:gd name="connsiteY13" fmla="*/ 1568725 h 2520000"/>
              <a:gd name="connsiteX14" fmla="*/ 857121 w 2520000"/>
              <a:gd name="connsiteY14" fmla="*/ 1349316 h 2520000"/>
              <a:gd name="connsiteX15" fmla="*/ 22268 w 2520000"/>
              <a:gd name="connsiteY15" fmla="*/ 1496523 h 2520000"/>
              <a:gd name="connsiteX16" fmla="*/ 16016 w 2520000"/>
              <a:gd name="connsiteY16" fmla="*/ 1461070 h 2520000"/>
              <a:gd name="connsiteX17" fmla="*/ 850870 w 2520000"/>
              <a:gd name="connsiteY17" fmla="*/ 1313863 h 2520000"/>
              <a:gd name="connsiteX18" fmla="*/ 6363 w 2520000"/>
              <a:gd name="connsiteY18" fmla="*/ 1387748 h 2520000"/>
              <a:gd name="connsiteX19" fmla="*/ 3226 w 2520000"/>
              <a:gd name="connsiteY19" fmla="*/ 1351885 h 2520000"/>
              <a:gd name="connsiteX20" fmla="*/ 847731 w 2520000"/>
              <a:gd name="connsiteY20" fmla="*/ 1278000 h 2520000"/>
              <a:gd name="connsiteX21" fmla="*/ 0 w 2520000"/>
              <a:gd name="connsiteY21" fmla="*/ 1278000 h 2520000"/>
              <a:gd name="connsiteX22" fmla="*/ 0 w 2520000"/>
              <a:gd name="connsiteY22" fmla="*/ 1242000 h 2520000"/>
              <a:gd name="connsiteX23" fmla="*/ 847733 w 2520000"/>
              <a:gd name="connsiteY23" fmla="*/ 1242001 h 2520000"/>
              <a:gd name="connsiteX24" fmla="*/ 3226 w 2520000"/>
              <a:gd name="connsiteY24" fmla="*/ 1168115 h 2520000"/>
              <a:gd name="connsiteX25" fmla="*/ 6363 w 2520000"/>
              <a:gd name="connsiteY25" fmla="*/ 1132252 h 2520000"/>
              <a:gd name="connsiteX26" fmla="*/ 850874 w 2520000"/>
              <a:gd name="connsiteY26" fmla="*/ 1206137 h 2520000"/>
              <a:gd name="connsiteX27" fmla="*/ 16017 w 2520000"/>
              <a:gd name="connsiteY27" fmla="*/ 1058930 h 2520000"/>
              <a:gd name="connsiteX28" fmla="*/ 22268 w 2520000"/>
              <a:gd name="connsiteY28" fmla="*/ 1023477 h 2520000"/>
              <a:gd name="connsiteX29" fmla="*/ 857120 w 2520000"/>
              <a:gd name="connsiteY29" fmla="*/ 1170684 h 2520000"/>
              <a:gd name="connsiteX30" fmla="*/ 38275 w 2520000"/>
              <a:gd name="connsiteY30" fmla="*/ 951275 h 2520000"/>
              <a:gd name="connsiteX31" fmla="*/ 47592 w 2520000"/>
              <a:gd name="connsiteY31" fmla="*/ 916501 h 2520000"/>
              <a:gd name="connsiteX32" fmla="*/ 866441 w 2520000"/>
              <a:gd name="connsiteY32" fmla="*/ 1135911 h 2520000"/>
              <a:gd name="connsiteX33" fmla="*/ 69831 w 2520000"/>
              <a:gd name="connsiteY33" fmla="*/ 845969 h 2520000"/>
              <a:gd name="connsiteX34" fmla="*/ 82144 w 2520000"/>
              <a:gd name="connsiteY34" fmla="*/ 812140 h 2520000"/>
              <a:gd name="connsiteX35" fmla="*/ 878751 w 2520000"/>
              <a:gd name="connsiteY35" fmla="*/ 1102082 h 2520000"/>
              <a:gd name="connsiteX36" fmla="*/ 110445 w 2520000"/>
              <a:gd name="connsiteY36" fmla="*/ 743815 h 2520000"/>
              <a:gd name="connsiteX37" fmla="*/ 125660 w 2520000"/>
              <a:gd name="connsiteY37" fmla="*/ 711187 h 2520000"/>
              <a:gd name="connsiteX38" fmla="*/ 893964 w 2520000"/>
              <a:gd name="connsiteY38" fmla="*/ 1069453 h 2520000"/>
              <a:gd name="connsiteX39" fmla="*/ 159808 w 2520000"/>
              <a:gd name="connsiteY39" fmla="*/ 645588 h 2520000"/>
              <a:gd name="connsiteX40" fmla="*/ 177808 w 2520000"/>
              <a:gd name="connsiteY40" fmla="*/ 614412 h 2520000"/>
              <a:gd name="connsiteX41" fmla="*/ 911961 w 2520000"/>
              <a:gd name="connsiteY41" fmla="*/ 1038275 h 2520000"/>
              <a:gd name="connsiteX42" fmla="*/ 217544 w 2520000"/>
              <a:gd name="connsiteY42" fmla="*/ 552039 h 2520000"/>
              <a:gd name="connsiteX43" fmla="*/ 238193 w 2520000"/>
              <a:gd name="connsiteY43" fmla="*/ 522549 h 2520000"/>
              <a:gd name="connsiteX44" fmla="*/ 932610 w 2520000"/>
              <a:gd name="connsiteY44" fmla="*/ 1008785 h 2520000"/>
              <a:gd name="connsiteX45" fmla="*/ 283214 w 2520000"/>
              <a:gd name="connsiteY45" fmla="*/ 463876 h 2520000"/>
              <a:gd name="connsiteX46" fmla="*/ 306354 w 2520000"/>
              <a:gd name="connsiteY46" fmla="*/ 436299 h 2520000"/>
              <a:gd name="connsiteX47" fmla="*/ 955755 w 2520000"/>
              <a:gd name="connsiteY47" fmla="*/ 981211 h 2520000"/>
              <a:gd name="connsiteX48" fmla="*/ 356317 w 2520000"/>
              <a:gd name="connsiteY48" fmla="*/ 381774 h 2520000"/>
              <a:gd name="connsiteX49" fmla="*/ 381773 w 2520000"/>
              <a:gd name="connsiteY49" fmla="*/ 356318 h 2520000"/>
              <a:gd name="connsiteX50" fmla="*/ 981211 w 2520000"/>
              <a:gd name="connsiteY50" fmla="*/ 955756 h 2520000"/>
              <a:gd name="connsiteX51" fmla="*/ 436299 w 2520000"/>
              <a:gd name="connsiteY51" fmla="*/ 306354 h 2520000"/>
              <a:gd name="connsiteX52" fmla="*/ 463876 w 2520000"/>
              <a:gd name="connsiteY52" fmla="*/ 283214 h 2520000"/>
              <a:gd name="connsiteX53" fmla="*/ 1008789 w 2520000"/>
              <a:gd name="connsiteY53" fmla="*/ 932616 h 2520000"/>
              <a:gd name="connsiteX54" fmla="*/ 522549 w 2520000"/>
              <a:gd name="connsiteY54" fmla="*/ 238193 h 2520000"/>
              <a:gd name="connsiteX55" fmla="*/ 552039 w 2520000"/>
              <a:gd name="connsiteY55" fmla="*/ 217544 h 2520000"/>
              <a:gd name="connsiteX56" fmla="*/ 1038278 w 2520000"/>
              <a:gd name="connsiteY56" fmla="*/ 911967 h 2520000"/>
              <a:gd name="connsiteX57" fmla="*/ 614411 w 2520000"/>
              <a:gd name="connsiteY57" fmla="*/ 177808 h 2520000"/>
              <a:gd name="connsiteX58" fmla="*/ 645588 w 2520000"/>
              <a:gd name="connsiteY58" fmla="*/ 159808 h 2520000"/>
              <a:gd name="connsiteX59" fmla="*/ 1069453 w 2520000"/>
              <a:gd name="connsiteY59" fmla="*/ 893963 h 2520000"/>
              <a:gd name="connsiteX60" fmla="*/ 711187 w 2520000"/>
              <a:gd name="connsiteY60" fmla="*/ 125659 h 2520000"/>
              <a:gd name="connsiteX61" fmla="*/ 743815 w 2520000"/>
              <a:gd name="connsiteY61" fmla="*/ 110445 h 2520000"/>
              <a:gd name="connsiteX62" fmla="*/ 1102082 w 2520000"/>
              <a:gd name="connsiteY62" fmla="*/ 878751 h 2520000"/>
              <a:gd name="connsiteX63" fmla="*/ 812140 w 2520000"/>
              <a:gd name="connsiteY63" fmla="*/ 82144 h 2520000"/>
              <a:gd name="connsiteX64" fmla="*/ 845969 w 2520000"/>
              <a:gd name="connsiteY64" fmla="*/ 69831 h 2520000"/>
              <a:gd name="connsiteX65" fmla="*/ 1135910 w 2520000"/>
              <a:gd name="connsiteY65" fmla="*/ 866436 h 2520000"/>
              <a:gd name="connsiteX66" fmla="*/ 916501 w 2520000"/>
              <a:gd name="connsiteY66" fmla="*/ 47592 h 2520000"/>
              <a:gd name="connsiteX67" fmla="*/ 951275 w 2520000"/>
              <a:gd name="connsiteY67" fmla="*/ 38275 h 2520000"/>
              <a:gd name="connsiteX68" fmla="*/ 1170683 w 2520000"/>
              <a:gd name="connsiteY68" fmla="*/ 857116 h 2520000"/>
              <a:gd name="connsiteX69" fmla="*/ 1023477 w 2520000"/>
              <a:gd name="connsiteY69" fmla="*/ 22268 h 2520000"/>
              <a:gd name="connsiteX70" fmla="*/ 1058929 w 2520000"/>
              <a:gd name="connsiteY70" fmla="*/ 16017 h 2520000"/>
              <a:gd name="connsiteX71" fmla="*/ 1206138 w 2520000"/>
              <a:gd name="connsiteY71" fmla="*/ 850877 h 2520000"/>
              <a:gd name="connsiteX72" fmla="*/ 1132253 w 2520000"/>
              <a:gd name="connsiteY72" fmla="*/ 6363 h 2520000"/>
              <a:gd name="connsiteX73" fmla="*/ 1168115 w 2520000"/>
              <a:gd name="connsiteY73" fmla="*/ 3226 h 2520000"/>
              <a:gd name="connsiteX74" fmla="*/ 1242000 w 2520000"/>
              <a:gd name="connsiteY74" fmla="*/ 847735 h 2520000"/>
              <a:gd name="connsiteX75" fmla="*/ 1242000 w 2520000"/>
              <a:gd name="connsiteY75" fmla="*/ 0 h 2520000"/>
              <a:gd name="connsiteX76" fmla="*/ 1278000 w 2520000"/>
              <a:gd name="connsiteY76" fmla="*/ 0 h 2520000"/>
              <a:gd name="connsiteX77" fmla="*/ 1278000 w 2520000"/>
              <a:gd name="connsiteY77" fmla="*/ 847501 h 2520000"/>
              <a:gd name="connsiteX78" fmla="*/ 1351906 w 2520000"/>
              <a:gd name="connsiteY78" fmla="*/ 2755 h 2520000"/>
              <a:gd name="connsiteX79" fmla="*/ 1387769 w 2520000"/>
              <a:gd name="connsiteY79" fmla="*/ 5893 h 2520000"/>
              <a:gd name="connsiteX80" fmla="*/ 1313905 w 2520000"/>
              <a:gd name="connsiteY80" fmla="*/ 850161 h 2520000"/>
              <a:gd name="connsiteX81" fmla="*/ 1461153 w 2520000"/>
              <a:gd name="connsiteY81" fmla="*/ 15078 h 2520000"/>
              <a:gd name="connsiteX82" fmla="*/ 1496605 w 2520000"/>
              <a:gd name="connsiteY82" fmla="*/ 21330 h 2520000"/>
              <a:gd name="connsiteX83" fmla="*/ 1349438 w 2520000"/>
              <a:gd name="connsiteY83" fmla="*/ 855956 h 2520000"/>
              <a:gd name="connsiteX84" fmla="*/ 1568910 w 2520000"/>
              <a:gd name="connsiteY84" fmla="*/ 36877 h 2520000"/>
              <a:gd name="connsiteX85" fmla="*/ 1603684 w 2520000"/>
              <a:gd name="connsiteY85" fmla="*/ 46194 h 2520000"/>
              <a:gd name="connsiteX86" fmla="*/ 1384338 w 2520000"/>
              <a:gd name="connsiteY86" fmla="*/ 864802 h 2520000"/>
              <a:gd name="connsiteX87" fmla="*/ 1674356 w 2520000"/>
              <a:gd name="connsiteY87" fmla="*/ 67983 h 2520000"/>
              <a:gd name="connsiteX88" fmla="*/ 1708185 w 2520000"/>
              <a:gd name="connsiteY88" fmla="*/ 80296 h 2520000"/>
              <a:gd name="connsiteX89" fmla="*/ 1418322 w 2520000"/>
              <a:gd name="connsiteY89" fmla="*/ 876690 h 2520000"/>
              <a:gd name="connsiteX90" fmla="*/ 1776692 w 2520000"/>
              <a:gd name="connsiteY90" fmla="*/ 108162 h 2520000"/>
              <a:gd name="connsiteX91" fmla="*/ 1809319 w 2520000"/>
              <a:gd name="connsiteY91" fmla="*/ 123377 h 2520000"/>
              <a:gd name="connsiteX92" fmla="*/ 1451151 w 2520000"/>
              <a:gd name="connsiteY92" fmla="*/ 891470 h 2520000"/>
              <a:gd name="connsiteX93" fmla="*/ 1875135 w 2520000"/>
              <a:gd name="connsiteY93" fmla="*/ 157108 h 2520000"/>
              <a:gd name="connsiteX94" fmla="*/ 1906312 w 2520000"/>
              <a:gd name="connsiteY94" fmla="*/ 175108 h 2520000"/>
              <a:gd name="connsiteX95" fmla="*/ 1482565 w 2520000"/>
              <a:gd name="connsiteY95" fmla="*/ 909059 h 2520000"/>
              <a:gd name="connsiteX96" fmla="*/ 1968938 w 2520000"/>
              <a:gd name="connsiteY96" fmla="*/ 214447 h 2520000"/>
              <a:gd name="connsiteX97" fmla="*/ 1998427 w 2520000"/>
              <a:gd name="connsiteY97" fmla="*/ 235096 h 2520000"/>
              <a:gd name="connsiteX98" fmla="*/ 1512322 w 2520000"/>
              <a:gd name="connsiteY98" fmla="*/ 929326 h 2520000"/>
              <a:gd name="connsiteX99" fmla="*/ 2057387 w 2520000"/>
              <a:gd name="connsiteY99" fmla="*/ 279743 h 2520000"/>
              <a:gd name="connsiteX100" fmla="*/ 2084964 w 2520000"/>
              <a:gd name="connsiteY100" fmla="*/ 302883 h 2520000"/>
              <a:gd name="connsiteX101" fmla="*/ 1540200 w 2520000"/>
              <a:gd name="connsiteY101" fmla="*/ 952109 h 2520000"/>
              <a:gd name="connsiteX102" fmla="*/ 2139809 w 2520000"/>
              <a:gd name="connsiteY102" fmla="*/ 352499 h 2520000"/>
              <a:gd name="connsiteX103" fmla="*/ 2165264 w 2520000"/>
              <a:gd name="connsiteY103" fmla="*/ 377956 h 2520000"/>
              <a:gd name="connsiteX104" fmla="*/ 1514438 w 2520000"/>
              <a:gd name="connsiteY104" fmla="*/ 1028782 h 2520000"/>
              <a:gd name="connsiteX105" fmla="*/ 2219660 w 2520000"/>
              <a:gd name="connsiteY105" fmla="*/ 437030 h 2520000"/>
              <a:gd name="connsiteX106" fmla="*/ 2242800 w 2520000"/>
              <a:gd name="connsiteY106" fmla="*/ 464608 h 2520000"/>
              <a:gd name="connsiteX107" fmla="*/ 1628988 w 2520000"/>
              <a:gd name="connsiteY107" fmla="*/ 979657 h 2520000"/>
              <a:gd name="connsiteX108" fmla="*/ 2281807 w 2520000"/>
              <a:gd name="connsiteY108" fmla="*/ 522549 h 2520000"/>
              <a:gd name="connsiteX109" fmla="*/ 2302456 w 2520000"/>
              <a:gd name="connsiteY109" fmla="*/ 552038 h 2520000"/>
              <a:gd name="connsiteX110" fmla="*/ 1608033 w 2520000"/>
              <a:gd name="connsiteY110" fmla="*/ 1038278 h 2520000"/>
              <a:gd name="connsiteX111" fmla="*/ 2342192 w 2520000"/>
              <a:gd name="connsiteY111" fmla="*/ 614412 h 2520000"/>
              <a:gd name="connsiteX112" fmla="*/ 2360192 w 2520000"/>
              <a:gd name="connsiteY112" fmla="*/ 645588 h 2520000"/>
              <a:gd name="connsiteX113" fmla="*/ 1626031 w 2520000"/>
              <a:gd name="connsiteY113" fmla="*/ 1069457 h 2520000"/>
              <a:gd name="connsiteX114" fmla="*/ 2394341 w 2520000"/>
              <a:gd name="connsiteY114" fmla="*/ 711188 h 2520000"/>
              <a:gd name="connsiteX115" fmla="*/ 2409555 w 2520000"/>
              <a:gd name="connsiteY115" fmla="*/ 743814 h 2520000"/>
              <a:gd name="connsiteX116" fmla="*/ 1641245 w 2520000"/>
              <a:gd name="connsiteY116" fmla="*/ 1102083 h 2520000"/>
              <a:gd name="connsiteX117" fmla="*/ 2437856 w 2520000"/>
              <a:gd name="connsiteY117" fmla="*/ 812140 h 2520000"/>
              <a:gd name="connsiteX118" fmla="*/ 2450169 w 2520000"/>
              <a:gd name="connsiteY118" fmla="*/ 845969 h 2520000"/>
              <a:gd name="connsiteX119" fmla="*/ 1653563 w 2520000"/>
              <a:gd name="connsiteY119" fmla="*/ 1135910 h 2520000"/>
              <a:gd name="connsiteX120" fmla="*/ 2472408 w 2520000"/>
              <a:gd name="connsiteY120" fmla="*/ 916501 h 2520000"/>
              <a:gd name="connsiteX121" fmla="*/ 2481726 w 2520000"/>
              <a:gd name="connsiteY121" fmla="*/ 951274 h 2520000"/>
              <a:gd name="connsiteX122" fmla="*/ 1662878 w 2520000"/>
              <a:gd name="connsiteY122" fmla="*/ 1170685 h 2520000"/>
              <a:gd name="connsiteX123" fmla="*/ 2497732 w 2520000"/>
              <a:gd name="connsiteY123" fmla="*/ 1023477 h 2520000"/>
              <a:gd name="connsiteX124" fmla="*/ 2503984 w 2520000"/>
              <a:gd name="connsiteY124" fmla="*/ 1058930 h 2520000"/>
              <a:gd name="connsiteX125" fmla="*/ 1669132 w 2520000"/>
              <a:gd name="connsiteY125" fmla="*/ 1206137 h 2520000"/>
              <a:gd name="connsiteX126" fmla="*/ 2513637 w 2520000"/>
              <a:gd name="connsiteY126" fmla="*/ 1132252 h 2520000"/>
              <a:gd name="connsiteX127" fmla="*/ 2516774 w 2520000"/>
              <a:gd name="connsiteY127" fmla="*/ 1168115 h 2520000"/>
              <a:gd name="connsiteX128" fmla="*/ 1672268 w 2520000"/>
              <a:gd name="connsiteY128" fmla="*/ 1242000 h 2520000"/>
              <a:gd name="connsiteX129" fmla="*/ 2520000 w 2520000"/>
              <a:gd name="connsiteY129" fmla="*/ 1242000 h 2520000"/>
              <a:gd name="connsiteX130" fmla="*/ 2520000 w 2520000"/>
              <a:gd name="connsiteY130" fmla="*/ 1278000 h 2520000"/>
              <a:gd name="connsiteX131" fmla="*/ 1672267 w 2520000"/>
              <a:gd name="connsiteY131" fmla="*/ 1278000 h 2520000"/>
              <a:gd name="connsiteX132" fmla="*/ 2516774 w 2520000"/>
              <a:gd name="connsiteY132" fmla="*/ 1351885 h 2520000"/>
              <a:gd name="connsiteX133" fmla="*/ 2513637 w 2520000"/>
              <a:gd name="connsiteY133" fmla="*/ 1387748 h 2520000"/>
              <a:gd name="connsiteX134" fmla="*/ 1669126 w 2520000"/>
              <a:gd name="connsiteY134" fmla="*/ 1313862 h 2520000"/>
              <a:gd name="connsiteX135" fmla="*/ 2503983 w 2520000"/>
              <a:gd name="connsiteY135" fmla="*/ 1461070 h 2520000"/>
              <a:gd name="connsiteX136" fmla="*/ 2497733 w 2520000"/>
              <a:gd name="connsiteY136" fmla="*/ 1496523 h 2520000"/>
              <a:gd name="connsiteX137" fmla="*/ 1662877 w 2520000"/>
              <a:gd name="connsiteY137" fmla="*/ 1349315 h 2520000"/>
              <a:gd name="connsiteX138" fmla="*/ 2481725 w 2520000"/>
              <a:gd name="connsiteY138" fmla="*/ 1568725 h 2520000"/>
              <a:gd name="connsiteX139" fmla="*/ 2472408 w 2520000"/>
              <a:gd name="connsiteY139" fmla="*/ 1603498 h 2520000"/>
              <a:gd name="connsiteX140" fmla="*/ 1653557 w 2520000"/>
              <a:gd name="connsiteY140" fmla="*/ 1384088 h 2520000"/>
              <a:gd name="connsiteX141" fmla="*/ 2450169 w 2520000"/>
              <a:gd name="connsiteY141" fmla="*/ 1674031 h 2520000"/>
              <a:gd name="connsiteX142" fmla="*/ 2437857 w 2520000"/>
              <a:gd name="connsiteY142" fmla="*/ 1707860 h 2520000"/>
              <a:gd name="connsiteX143" fmla="*/ 1641251 w 2520000"/>
              <a:gd name="connsiteY143" fmla="*/ 1417919 h 2520000"/>
              <a:gd name="connsiteX144" fmla="*/ 2409555 w 2520000"/>
              <a:gd name="connsiteY144" fmla="*/ 1776185 h 2520000"/>
              <a:gd name="connsiteX145" fmla="*/ 2394340 w 2520000"/>
              <a:gd name="connsiteY145" fmla="*/ 1808813 h 2520000"/>
              <a:gd name="connsiteX146" fmla="*/ 1626043 w 2520000"/>
              <a:gd name="connsiteY146" fmla="*/ 1450550 h 2520000"/>
              <a:gd name="connsiteX147" fmla="*/ 2360192 w 2520000"/>
              <a:gd name="connsiteY147" fmla="*/ 1874411 h 2520000"/>
              <a:gd name="connsiteX148" fmla="*/ 2342192 w 2520000"/>
              <a:gd name="connsiteY148" fmla="*/ 1905588 h 2520000"/>
              <a:gd name="connsiteX149" fmla="*/ 1608038 w 2520000"/>
              <a:gd name="connsiteY149" fmla="*/ 1481725 h 2520000"/>
              <a:gd name="connsiteX150" fmla="*/ 2302456 w 2520000"/>
              <a:gd name="connsiteY150" fmla="*/ 1967961 h 2520000"/>
              <a:gd name="connsiteX151" fmla="*/ 2281807 w 2520000"/>
              <a:gd name="connsiteY151" fmla="*/ 1997451 h 2520000"/>
              <a:gd name="connsiteX152" fmla="*/ 1587388 w 2520000"/>
              <a:gd name="connsiteY152" fmla="*/ 1511214 h 2520000"/>
              <a:gd name="connsiteX153" fmla="*/ 2236786 w 2520000"/>
              <a:gd name="connsiteY153" fmla="*/ 2056124 h 2520000"/>
              <a:gd name="connsiteX154" fmla="*/ 2213646 w 2520000"/>
              <a:gd name="connsiteY154" fmla="*/ 2083701 h 2520000"/>
              <a:gd name="connsiteX155" fmla="*/ 1564245 w 2520000"/>
              <a:gd name="connsiteY155" fmla="*/ 1538789 h 2520000"/>
              <a:gd name="connsiteX156" fmla="*/ 2163683 w 2520000"/>
              <a:gd name="connsiteY156" fmla="*/ 2138227 h 2520000"/>
              <a:gd name="connsiteX157" fmla="*/ 2138227 w 2520000"/>
              <a:gd name="connsiteY157" fmla="*/ 2163682 h 2520000"/>
              <a:gd name="connsiteX158" fmla="*/ 1538789 w 2520000"/>
              <a:gd name="connsiteY158" fmla="*/ 1564244 h 2520000"/>
              <a:gd name="connsiteX159" fmla="*/ 2083701 w 2520000"/>
              <a:gd name="connsiteY159" fmla="*/ 2213646 h 2520000"/>
              <a:gd name="connsiteX160" fmla="*/ 2056124 w 2520000"/>
              <a:gd name="connsiteY160" fmla="*/ 2236786 h 2520000"/>
              <a:gd name="connsiteX161" fmla="*/ 1511211 w 2520000"/>
              <a:gd name="connsiteY161" fmla="*/ 1587385 h 2520000"/>
              <a:gd name="connsiteX162" fmla="*/ 1997451 w 2520000"/>
              <a:gd name="connsiteY162" fmla="*/ 2281807 h 2520000"/>
              <a:gd name="connsiteX163" fmla="*/ 1967961 w 2520000"/>
              <a:gd name="connsiteY163" fmla="*/ 2302456 h 2520000"/>
              <a:gd name="connsiteX164" fmla="*/ 1481723 w 2520000"/>
              <a:gd name="connsiteY164" fmla="*/ 1608035 h 2520000"/>
              <a:gd name="connsiteX165" fmla="*/ 1905589 w 2520000"/>
              <a:gd name="connsiteY165" fmla="*/ 2342192 h 2520000"/>
              <a:gd name="connsiteX166" fmla="*/ 1874412 w 2520000"/>
              <a:gd name="connsiteY166" fmla="*/ 2360192 h 2520000"/>
              <a:gd name="connsiteX167" fmla="*/ 1450548 w 2520000"/>
              <a:gd name="connsiteY167" fmla="*/ 1626039 h 2520000"/>
              <a:gd name="connsiteX168" fmla="*/ 1808813 w 2520000"/>
              <a:gd name="connsiteY168" fmla="*/ 2394341 h 2520000"/>
              <a:gd name="connsiteX169" fmla="*/ 1776185 w 2520000"/>
              <a:gd name="connsiteY169" fmla="*/ 2409555 h 2520000"/>
              <a:gd name="connsiteX170" fmla="*/ 1417919 w 2520000"/>
              <a:gd name="connsiteY170" fmla="*/ 1641250 h 2520000"/>
              <a:gd name="connsiteX171" fmla="*/ 1707860 w 2520000"/>
              <a:gd name="connsiteY171" fmla="*/ 2437856 h 2520000"/>
              <a:gd name="connsiteX172" fmla="*/ 1674031 w 2520000"/>
              <a:gd name="connsiteY172" fmla="*/ 2450169 h 2520000"/>
              <a:gd name="connsiteX173" fmla="*/ 1384091 w 2520000"/>
              <a:gd name="connsiteY173" fmla="*/ 1653568 h 2520000"/>
              <a:gd name="connsiteX174" fmla="*/ 1603499 w 2520000"/>
              <a:gd name="connsiteY174" fmla="*/ 2472408 h 2520000"/>
              <a:gd name="connsiteX175" fmla="*/ 1568725 w 2520000"/>
              <a:gd name="connsiteY175" fmla="*/ 2481726 h 2520000"/>
              <a:gd name="connsiteX176" fmla="*/ 1349315 w 2520000"/>
              <a:gd name="connsiteY176" fmla="*/ 1662879 h 2520000"/>
              <a:gd name="connsiteX177" fmla="*/ 1496523 w 2520000"/>
              <a:gd name="connsiteY177" fmla="*/ 2497732 h 2520000"/>
              <a:gd name="connsiteX178" fmla="*/ 1461070 w 2520000"/>
              <a:gd name="connsiteY178" fmla="*/ 2503984 h 2520000"/>
              <a:gd name="connsiteX179" fmla="*/ 1313863 w 2520000"/>
              <a:gd name="connsiteY179" fmla="*/ 1669130 h 2520000"/>
              <a:gd name="connsiteX180" fmla="*/ 1387748 w 2520000"/>
              <a:gd name="connsiteY180" fmla="*/ 2513637 h 2520000"/>
              <a:gd name="connsiteX181" fmla="*/ 1351885 w 2520000"/>
              <a:gd name="connsiteY181" fmla="*/ 2516774 h 2520000"/>
              <a:gd name="connsiteX182" fmla="*/ 1278000 w 2520000"/>
              <a:gd name="connsiteY182" fmla="*/ 1672266 h 2520000"/>
              <a:gd name="connsiteX183" fmla="*/ 1278000 w 2520000"/>
              <a:gd name="connsiteY183" fmla="*/ 2520000 h 2520000"/>
              <a:gd name="connsiteX184" fmla="*/ 1242000 w 2520000"/>
              <a:gd name="connsiteY184" fmla="*/ 2520000 h 2520000"/>
              <a:gd name="connsiteX185" fmla="*/ 1242002 w 2520000"/>
              <a:gd name="connsiteY185" fmla="*/ 1672022 h 2520000"/>
              <a:gd name="connsiteX186" fmla="*/ 1168137 w 2520000"/>
              <a:gd name="connsiteY186" fmla="*/ 2516303 h 2520000"/>
              <a:gd name="connsiteX187" fmla="*/ 1132273 w 2520000"/>
              <a:gd name="connsiteY187" fmla="*/ 2513166 h 2520000"/>
              <a:gd name="connsiteX188" fmla="*/ 1206179 w 2520000"/>
              <a:gd name="connsiteY188" fmla="*/ 1668416 h 2520000"/>
              <a:gd name="connsiteX189" fmla="*/ 1059012 w 2520000"/>
              <a:gd name="connsiteY189" fmla="*/ 2503045 h 2520000"/>
              <a:gd name="connsiteX190" fmla="*/ 1023559 w 2520000"/>
              <a:gd name="connsiteY190" fmla="*/ 2496794 h 2520000"/>
              <a:gd name="connsiteX191" fmla="*/ 1170806 w 2520000"/>
              <a:gd name="connsiteY191" fmla="*/ 1661718 h 2520000"/>
              <a:gd name="connsiteX192" fmla="*/ 951460 w 2520000"/>
              <a:gd name="connsiteY192" fmla="*/ 2480327 h 2520000"/>
              <a:gd name="connsiteX193" fmla="*/ 916686 w 2520000"/>
              <a:gd name="connsiteY193" fmla="*/ 2471010 h 2520000"/>
              <a:gd name="connsiteX194" fmla="*/ 1136159 w 2520000"/>
              <a:gd name="connsiteY194" fmla="*/ 1651925 h 2520000"/>
              <a:gd name="connsiteX195" fmla="*/ 846295 w 2520000"/>
              <a:gd name="connsiteY195" fmla="*/ 2448322 h 2520000"/>
              <a:gd name="connsiteX196" fmla="*/ 812466 w 2520000"/>
              <a:gd name="connsiteY196" fmla="*/ 2436009 h 2520000"/>
              <a:gd name="connsiteX197" fmla="*/ 1102487 w 2520000"/>
              <a:gd name="connsiteY197" fmla="*/ 1639184 h 2520000"/>
              <a:gd name="connsiteX198" fmla="*/ 744321 w 2520000"/>
              <a:gd name="connsiteY198" fmla="*/ 2407272 h 2520000"/>
              <a:gd name="connsiteX199" fmla="*/ 711694 w 2520000"/>
              <a:gd name="connsiteY199" fmla="*/ 2392058 h 2520000"/>
              <a:gd name="connsiteX200" fmla="*/ 1070059 w 2520000"/>
              <a:gd name="connsiteY200" fmla="*/ 1623541 h 2520000"/>
              <a:gd name="connsiteX201" fmla="*/ 646312 w 2520000"/>
              <a:gd name="connsiteY201" fmla="*/ 2357492 h 2520000"/>
              <a:gd name="connsiteX202" fmla="*/ 615135 w 2520000"/>
              <a:gd name="connsiteY202" fmla="*/ 2339492 h 2520000"/>
              <a:gd name="connsiteX203" fmla="*/ 1039124 w 2520000"/>
              <a:gd name="connsiteY203" fmla="*/ 1605123 h 2520000"/>
              <a:gd name="connsiteX204" fmla="*/ 553015 w 2520000"/>
              <a:gd name="connsiteY204" fmla="*/ 2299359 h 2520000"/>
              <a:gd name="connsiteX205" fmla="*/ 523525 w 2520000"/>
              <a:gd name="connsiteY205" fmla="*/ 2278710 h 2520000"/>
              <a:gd name="connsiteX206" fmla="*/ 1009901 w 2520000"/>
              <a:gd name="connsiteY206" fmla="*/ 1584093 h 2520000"/>
              <a:gd name="connsiteX207" fmla="*/ 465140 w 2520000"/>
              <a:gd name="connsiteY207" fmla="*/ 2233315 h 2520000"/>
              <a:gd name="connsiteX208" fmla="*/ 437562 w 2520000"/>
              <a:gd name="connsiteY208" fmla="*/ 2210175 h 2520000"/>
              <a:gd name="connsiteX209" fmla="*/ 982624 w 2520000"/>
              <a:gd name="connsiteY209" fmla="*/ 1560596 h 2520000"/>
              <a:gd name="connsiteX210" fmla="*/ 383355 w 2520000"/>
              <a:gd name="connsiteY210" fmla="*/ 2159864 h 2520000"/>
              <a:gd name="connsiteX211" fmla="*/ 357899 w 2520000"/>
              <a:gd name="connsiteY211" fmla="*/ 2134408 h 2520000"/>
              <a:gd name="connsiteX212" fmla="*/ 905948 w 2520000"/>
              <a:gd name="connsiteY212" fmla="*/ 1586360 h 2520000"/>
              <a:gd name="connsiteX213" fmla="*/ 312368 w 2520000"/>
              <a:gd name="connsiteY213" fmla="*/ 2084433 h 2520000"/>
              <a:gd name="connsiteX214" fmla="*/ 289228 w 2520000"/>
              <a:gd name="connsiteY214" fmla="*/ 2056855 h 2520000"/>
              <a:gd name="connsiteX215" fmla="*/ 974211 w 2520000"/>
              <a:gd name="connsiteY215" fmla="*/ 1482086 h 252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  <a:cxn ang="0">
                <a:pos x="connsiteX156" y="connsiteY156"/>
              </a:cxn>
              <a:cxn ang="0">
                <a:pos x="connsiteX157" y="connsiteY157"/>
              </a:cxn>
              <a:cxn ang="0">
                <a:pos x="connsiteX158" y="connsiteY158"/>
              </a:cxn>
              <a:cxn ang="0">
                <a:pos x="connsiteX159" y="connsiteY159"/>
              </a:cxn>
              <a:cxn ang="0">
                <a:pos x="connsiteX160" y="connsiteY160"/>
              </a:cxn>
              <a:cxn ang="0">
                <a:pos x="connsiteX161" y="connsiteY161"/>
              </a:cxn>
              <a:cxn ang="0">
                <a:pos x="connsiteX162" y="connsiteY162"/>
              </a:cxn>
              <a:cxn ang="0">
                <a:pos x="connsiteX163" y="connsiteY163"/>
              </a:cxn>
              <a:cxn ang="0">
                <a:pos x="connsiteX164" y="connsiteY164"/>
              </a:cxn>
              <a:cxn ang="0">
                <a:pos x="connsiteX165" y="connsiteY165"/>
              </a:cxn>
              <a:cxn ang="0">
                <a:pos x="connsiteX166" y="connsiteY166"/>
              </a:cxn>
              <a:cxn ang="0">
                <a:pos x="connsiteX167" y="connsiteY167"/>
              </a:cxn>
              <a:cxn ang="0">
                <a:pos x="connsiteX168" y="connsiteY168"/>
              </a:cxn>
              <a:cxn ang="0">
                <a:pos x="connsiteX169" y="connsiteY169"/>
              </a:cxn>
              <a:cxn ang="0">
                <a:pos x="connsiteX170" y="connsiteY170"/>
              </a:cxn>
              <a:cxn ang="0">
                <a:pos x="connsiteX171" y="connsiteY171"/>
              </a:cxn>
              <a:cxn ang="0">
                <a:pos x="connsiteX172" y="connsiteY172"/>
              </a:cxn>
              <a:cxn ang="0">
                <a:pos x="connsiteX173" y="connsiteY173"/>
              </a:cxn>
              <a:cxn ang="0">
                <a:pos x="connsiteX174" y="connsiteY174"/>
              </a:cxn>
              <a:cxn ang="0">
                <a:pos x="connsiteX175" y="connsiteY175"/>
              </a:cxn>
              <a:cxn ang="0">
                <a:pos x="connsiteX176" y="connsiteY176"/>
              </a:cxn>
              <a:cxn ang="0">
                <a:pos x="connsiteX177" y="connsiteY177"/>
              </a:cxn>
              <a:cxn ang="0">
                <a:pos x="connsiteX178" y="connsiteY178"/>
              </a:cxn>
              <a:cxn ang="0">
                <a:pos x="connsiteX179" y="connsiteY179"/>
              </a:cxn>
              <a:cxn ang="0">
                <a:pos x="connsiteX180" y="connsiteY180"/>
              </a:cxn>
              <a:cxn ang="0">
                <a:pos x="connsiteX181" y="connsiteY181"/>
              </a:cxn>
              <a:cxn ang="0">
                <a:pos x="connsiteX182" y="connsiteY182"/>
              </a:cxn>
              <a:cxn ang="0">
                <a:pos x="connsiteX183" y="connsiteY183"/>
              </a:cxn>
              <a:cxn ang="0">
                <a:pos x="connsiteX184" y="connsiteY184"/>
              </a:cxn>
              <a:cxn ang="0">
                <a:pos x="connsiteX185" y="connsiteY185"/>
              </a:cxn>
              <a:cxn ang="0">
                <a:pos x="connsiteX186" y="connsiteY186"/>
              </a:cxn>
              <a:cxn ang="0">
                <a:pos x="connsiteX187" y="connsiteY187"/>
              </a:cxn>
              <a:cxn ang="0">
                <a:pos x="connsiteX188" y="connsiteY188"/>
              </a:cxn>
              <a:cxn ang="0">
                <a:pos x="connsiteX189" y="connsiteY189"/>
              </a:cxn>
              <a:cxn ang="0">
                <a:pos x="connsiteX190" y="connsiteY190"/>
              </a:cxn>
              <a:cxn ang="0">
                <a:pos x="connsiteX191" y="connsiteY191"/>
              </a:cxn>
              <a:cxn ang="0">
                <a:pos x="connsiteX192" y="connsiteY192"/>
              </a:cxn>
              <a:cxn ang="0">
                <a:pos x="connsiteX193" y="connsiteY193"/>
              </a:cxn>
              <a:cxn ang="0">
                <a:pos x="connsiteX194" y="connsiteY194"/>
              </a:cxn>
              <a:cxn ang="0">
                <a:pos x="connsiteX195" y="connsiteY195"/>
              </a:cxn>
              <a:cxn ang="0">
                <a:pos x="connsiteX196" y="connsiteY196"/>
              </a:cxn>
              <a:cxn ang="0">
                <a:pos x="connsiteX197" y="connsiteY197"/>
              </a:cxn>
              <a:cxn ang="0">
                <a:pos x="connsiteX198" y="connsiteY198"/>
              </a:cxn>
              <a:cxn ang="0">
                <a:pos x="connsiteX199" y="connsiteY199"/>
              </a:cxn>
              <a:cxn ang="0">
                <a:pos x="connsiteX200" y="connsiteY200"/>
              </a:cxn>
              <a:cxn ang="0">
                <a:pos x="connsiteX201" y="connsiteY201"/>
              </a:cxn>
              <a:cxn ang="0">
                <a:pos x="connsiteX202" y="connsiteY202"/>
              </a:cxn>
              <a:cxn ang="0">
                <a:pos x="connsiteX203" y="connsiteY203"/>
              </a:cxn>
              <a:cxn ang="0">
                <a:pos x="connsiteX204" y="connsiteY204"/>
              </a:cxn>
              <a:cxn ang="0">
                <a:pos x="connsiteX205" y="connsiteY205"/>
              </a:cxn>
              <a:cxn ang="0">
                <a:pos x="connsiteX206" y="connsiteY206"/>
              </a:cxn>
              <a:cxn ang="0">
                <a:pos x="connsiteX207" y="connsiteY207"/>
              </a:cxn>
              <a:cxn ang="0">
                <a:pos x="connsiteX208" y="connsiteY208"/>
              </a:cxn>
              <a:cxn ang="0">
                <a:pos x="connsiteX209" y="connsiteY209"/>
              </a:cxn>
              <a:cxn ang="0">
                <a:pos x="connsiteX210" y="connsiteY210"/>
              </a:cxn>
              <a:cxn ang="0">
                <a:pos x="connsiteX211" y="connsiteY211"/>
              </a:cxn>
              <a:cxn ang="0">
                <a:pos x="connsiteX212" y="connsiteY212"/>
              </a:cxn>
              <a:cxn ang="0">
                <a:pos x="connsiteX213" y="connsiteY213"/>
              </a:cxn>
              <a:cxn ang="0">
                <a:pos x="connsiteX214" y="connsiteY214"/>
              </a:cxn>
              <a:cxn ang="0">
                <a:pos x="connsiteX215" y="connsiteY215"/>
              </a:cxn>
            </a:cxnLst>
            <a:rect l="l" t="t" r="r" b="b"/>
            <a:pathLst>
              <a:path w="2520000" h="2520000">
                <a:moveTo>
                  <a:pt x="238193" y="1997451"/>
                </a:moveTo>
                <a:lnTo>
                  <a:pt x="217544" y="1967962"/>
                </a:lnTo>
                <a:lnTo>
                  <a:pt x="911968" y="1481721"/>
                </a:lnTo>
                <a:lnTo>
                  <a:pt x="177808" y="1905589"/>
                </a:lnTo>
                <a:lnTo>
                  <a:pt x="159808" y="1874412"/>
                </a:lnTo>
                <a:lnTo>
                  <a:pt x="893967" y="1450545"/>
                </a:lnTo>
                <a:lnTo>
                  <a:pt x="125659" y="1808813"/>
                </a:lnTo>
                <a:lnTo>
                  <a:pt x="110445" y="1776186"/>
                </a:lnTo>
                <a:lnTo>
                  <a:pt x="878754" y="1417918"/>
                </a:lnTo>
                <a:lnTo>
                  <a:pt x="82144" y="1707860"/>
                </a:lnTo>
                <a:lnTo>
                  <a:pt x="69831" y="1674031"/>
                </a:lnTo>
                <a:lnTo>
                  <a:pt x="866437" y="1384090"/>
                </a:lnTo>
                <a:lnTo>
                  <a:pt x="47592" y="1603499"/>
                </a:lnTo>
                <a:lnTo>
                  <a:pt x="38275" y="1568725"/>
                </a:lnTo>
                <a:lnTo>
                  <a:pt x="857121" y="1349316"/>
                </a:lnTo>
                <a:lnTo>
                  <a:pt x="22268" y="1496523"/>
                </a:lnTo>
                <a:lnTo>
                  <a:pt x="16016" y="1461070"/>
                </a:lnTo>
                <a:lnTo>
                  <a:pt x="850870" y="1313863"/>
                </a:lnTo>
                <a:lnTo>
                  <a:pt x="6363" y="1387748"/>
                </a:lnTo>
                <a:lnTo>
                  <a:pt x="3226" y="1351885"/>
                </a:lnTo>
                <a:lnTo>
                  <a:pt x="847731" y="1278000"/>
                </a:lnTo>
                <a:lnTo>
                  <a:pt x="0" y="1278000"/>
                </a:lnTo>
                <a:lnTo>
                  <a:pt x="0" y="1242000"/>
                </a:lnTo>
                <a:lnTo>
                  <a:pt x="847733" y="1242001"/>
                </a:lnTo>
                <a:lnTo>
                  <a:pt x="3226" y="1168115"/>
                </a:lnTo>
                <a:lnTo>
                  <a:pt x="6363" y="1132252"/>
                </a:lnTo>
                <a:lnTo>
                  <a:pt x="850874" y="1206137"/>
                </a:lnTo>
                <a:lnTo>
                  <a:pt x="16017" y="1058930"/>
                </a:lnTo>
                <a:lnTo>
                  <a:pt x="22268" y="1023477"/>
                </a:lnTo>
                <a:lnTo>
                  <a:pt x="857120" y="1170684"/>
                </a:lnTo>
                <a:lnTo>
                  <a:pt x="38275" y="951275"/>
                </a:lnTo>
                <a:lnTo>
                  <a:pt x="47592" y="916501"/>
                </a:lnTo>
                <a:lnTo>
                  <a:pt x="866441" y="1135911"/>
                </a:lnTo>
                <a:lnTo>
                  <a:pt x="69831" y="845969"/>
                </a:lnTo>
                <a:lnTo>
                  <a:pt x="82144" y="812140"/>
                </a:lnTo>
                <a:lnTo>
                  <a:pt x="878751" y="1102082"/>
                </a:lnTo>
                <a:lnTo>
                  <a:pt x="110445" y="743815"/>
                </a:lnTo>
                <a:lnTo>
                  <a:pt x="125660" y="711187"/>
                </a:lnTo>
                <a:lnTo>
                  <a:pt x="893964" y="1069453"/>
                </a:lnTo>
                <a:lnTo>
                  <a:pt x="159808" y="645588"/>
                </a:lnTo>
                <a:lnTo>
                  <a:pt x="177808" y="614412"/>
                </a:lnTo>
                <a:lnTo>
                  <a:pt x="911961" y="1038275"/>
                </a:lnTo>
                <a:lnTo>
                  <a:pt x="217544" y="552039"/>
                </a:lnTo>
                <a:lnTo>
                  <a:pt x="238193" y="522549"/>
                </a:lnTo>
                <a:lnTo>
                  <a:pt x="932610" y="1008785"/>
                </a:lnTo>
                <a:lnTo>
                  <a:pt x="283214" y="463876"/>
                </a:lnTo>
                <a:lnTo>
                  <a:pt x="306354" y="436299"/>
                </a:lnTo>
                <a:lnTo>
                  <a:pt x="955755" y="981211"/>
                </a:lnTo>
                <a:lnTo>
                  <a:pt x="356317" y="381774"/>
                </a:lnTo>
                <a:lnTo>
                  <a:pt x="381773" y="356318"/>
                </a:lnTo>
                <a:lnTo>
                  <a:pt x="981211" y="955756"/>
                </a:lnTo>
                <a:lnTo>
                  <a:pt x="436299" y="306354"/>
                </a:lnTo>
                <a:lnTo>
                  <a:pt x="463876" y="283214"/>
                </a:lnTo>
                <a:lnTo>
                  <a:pt x="1008789" y="932616"/>
                </a:lnTo>
                <a:lnTo>
                  <a:pt x="522549" y="238193"/>
                </a:lnTo>
                <a:lnTo>
                  <a:pt x="552039" y="217544"/>
                </a:lnTo>
                <a:lnTo>
                  <a:pt x="1038278" y="911967"/>
                </a:lnTo>
                <a:lnTo>
                  <a:pt x="614411" y="177808"/>
                </a:lnTo>
                <a:lnTo>
                  <a:pt x="645588" y="159808"/>
                </a:lnTo>
                <a:lnTo>
                  <a:pt x="1069453" y="893963"/>
                </a:lnTo>
                <a:lnTo>
                  <a:pt x="711187" y="125659"/>
                </a:lnTo>
                <a:lnTo>
                  <a:pt x="743815" y="110445"/>
                </a:lnTo>
                <a:lnTo>
                  <a:pt x="1102082" y="878751"/>
                </a:lnTo>
                <a:lnTo>
                  <a:pt x="812140" y="82144"/>
                </a:lnTo>
                <a:lnTo>
                  <a:pt x="845969" y="69831"/>
                </a:lnTo>
                <a:lnTo>
                  <a:pt x="1135910" y="866436"/>
                </a:lnTo>
                <a:lnTo>
                  <a:pt x="916501" y="47592"/>
                </a:lnTo>
                <a:lnTo>
                  <a:pt x="951275" y="38275"/>
                </a:lnTo>
                <a:lnTo>
                  <a:pt x="1170683" y="857116"/>
                </a:lnTo>
                <a:lnTo>
                  <a:pt x="1023477" y="22268"/>
                </a:lnTo>
                <a:lnTo>
                  <a:pt x="1058929" y="16017"/>
                </a:lnTo>
                <a:lnTo>
                  <a:pt x="1206138" y="850877"/>
                </a:lnTo>
                <a:lnTo>
                  <a:pt x="1132253" y="6363"/>
                </a:lnTo>
                <a:lnTo>
                  <a:pt x="1168115" y="3226"/>
                </a:lnTo>
                <a:lnTo>
                  <a:pt x="1242000" y="847735"/>
                </a:lnTo>
                <a:lnTo>
                  <a:pt x="1242000" y="0"/>
                </a:lnTo>
                <a:lnTo>
                  <a:pt x="1278000" y="0"/>
                </a:lnTo>
                <a:lnTo>
                  <a:pt x="1278000" y="847501"/>
                </a:lnTo>
                <a:lnTo>
                  <a:pt x="1351906" y="2755"/>
                </a:lnTo>
                <a:lnTo>
                  <a:pt x="1387769" y="5893"/>
                </a:lnTo>
                <a:lnTo>
                  <a:pt x="1313905" y="850161"/>
                </a:lnTo>
                <a:lnTo>
                  <a:pt x="1461153" y="15078"/>
                </a:lnTo>
                <a:lnTo>
                  <a:pt x="1496605" y="21330"/>
                </a:lnTo>
                <a:lnTo>
                  <a:pt x="1349438" y="855956"/>
                </a:lnTo>
                <a:lnTo>
                  <a:pt x="1568910" y="36877"/>
                </a:lnTo>
                <a:lnTo>
                  <a:pt x="1603684" y="46194"/>
                </a:lnTo>
                <a:lnTo>
                  <a:pt x="1384338" y="864802"/>
                </a:lnTo>
                <a:lnTo>
                  <a:pt x="1674356" y="67983"/>
                </a:lnTo>
                <a:lnTo>
                  <a:pt x="1708185" y="80296"/>
                </a:lnTo>
                <a:lnTo>
                  <a:pt x="1418322" y="876690"/>
                </a:lnTo>
                <a:lnTo>
                  <a:pt x="1776692" y="108162"/>
                </a:lnTo>
                <a:lnTo>
                  <a:pt x="1809319" y="123377"/>
                </a:lnTo>
                <a:lnTo>
                  <a:pt x="1451151" y="891470"/>
                </a:lnTo>
                <a:lnTo>
                  <a:pt x="1875135" y="157108"/>
                </a:lnTo>
                <a:lnTo>
                  <a:pt x="1906312" y="175108"/>
                </a:lnTo>
                <a:lnTo>
                  <a:pt x="1482565" y="909059"/>
                </a:lnTo>
                <a:lnTo>
                  <a:pt x="1968938" y="214447"/>
                </a:lnTo>
                <a:lnTo>
                  <a:pt x="1998427" y="235096"/>
                </a:lnTo>
                <a:lnTo>
                  <a:pt x="1512322" y="929326"/>
                </a:lnTo>
                <a:lnTo>
                  <a:pt x="2057387" y="279743"/>
                </a:lnTo>
                <a:lnTo>
                  <a:pt x="2084964" y="302883"/>
                </a:lnTo>
                <a:lnTo>
                  <a:pt x="1540200" y="952109"/>
                </a:lnTo>
                <a:lnTo>
                  <a:pt x="2139809" y="352499"/>
                </a:lnTo>
                <a:lnTo>
                  <a:pt x="2165264" y="377956"/>
                </a:lnTo>
                <a:lnTo>
                  <a:pt x="1514438" y="1028782"/>
                </a:lnTo>
                <a:lnTo>
                  <a:pt x="2219660" y="437030"/>
                </a:lnTo>
                <a:lnTo>
                  <a:pt x="2242800" y="464608"/>
                </a:lnTo>
                <a:lnTo>
                  <a:pt x="1628988" y="979657"/>
                </a:lnTo>
                <a:lnTo>
                  <a:pt x="2281807" y="522549"/>
                </a:lnTo>
                <a:lnTo>
                  <a:pt x="2302456" y="552038"/>
                </a:lnTo>
                <a:lnTo>
                  <a:pt x="1608033" y="1038278"/>
                </a:lnTo>
                <a:lnTo>
                  <a:pt x="2342192" y="614412"/>
                </a:lnTo>
                <a:lnTo>
                  <a:pt x="2360192" y="645588"/>
                </a:lnTo>
                <a:lnTo>
                  <a:pt x="1626031" y="1069457"/>
                </a:lnTo>
                <a:lnTo>
                  <a:pt x="2394341" y="711188"/>
                </a:lnTo>
                <a:lnTo>
                  <a:pt x="2409555" y="743814"/>
                </a:lnTo>
                <a:lnTo>
                  <a:pt x="1641245" y="1102083"/>
                </a:lnTo>
                <a:lnTo>
                  <a:pt x="2437856" y="812140"/>
                </a:lnTo>
                <a:lnTo>
                  <a:pt x="2450169" y="845969"/>
                </a:lnTo>
                <a:lnTo>
                  <a:pt x="1653563" y="1135910"/>
                </a:lnTo>
                <a:lnTo>
                  <a:pt x="2472408" y="916501"/>
                </a:lnTo>
                <a:lnTo>
                  <a:pt x="2481726" y="951274"/>
                </a:lnTo>
                <a:lnTo>
                  <a:pt x="1662878" y="1170685"/>
                </a:lnTo>
                <a:lnTo>
                  <a:pt x="2497732" y="1023477"/>
                </a:lnTo>
                <a:lnTo>
                  <a:pt x="2503984" y="1058930"/>
                </a:lnTo>
                <a:lnTo>
                  <a:pt x="1669132" y="1206137"/>
                </a:lnTo>
                <a:lnTo>
                  <a:pt x="2513637" y="1132252"/>
                </a:lnTo>
                <a:lnTo>
                  <a:pt x="2516774" y="1168115"/>
                </a:lnTo>
                <a:lnTo>
                  <a:pt x="1672268" y="1242000"/>
                </a:lnTo>
                <a:lnTo>
                  <a:pt x="2520000" y="1242000"/>
                </a:lnTo>
                <a:lnTo>
                  <a:pt x="2520000" y="1278000"/>
                </a:lnTo>
                <a:lnTo>
                  <a:pt x="1672267" y="1278000"/>
                </a:lnTo>
                <a:lnTo>
                  <a:pt x="2516774" y="1351885"/>
                </a:lnTo>
                <a:lnTo>
                  <a:pt x="2513637" y="1387748"/>
                </a:lnTo>
                <a:lnTo>
                  <a:pt x="1669126" y="1313862"/>
                </a:lnTo>
                <a:lnTo>
                  <a:pt x="2503983" y="1461070"/>
                </a:lnTo>
                <a:lnTo>
                  <a:pt x="2497733" y="1496523"/>
                </a:lnTo>
                <a:lnTo>
                  <a:pt x="1662877" y="1349315"/>
                </a:lnTo>
                <a:lnTo>
                  <a:pt x="2481725" y="1568725"/>
                </a:lnTo>
                <a:lnTo>
                  <a:pt x="2472408" y="1603498"/>
                </a:lnTo>
                <a:lnTo>
                  <a:pt x="1653557" y="1384088"/>
                </a:lnTo>
                <a:lnTo>
                  <a:pt x="2450169" y="1674031"/>
                </a:lnTo>
                <a:lnTo>
                  <a:pt x="2437857" y="1707860"/>
                </a:lnTo>
                <a:lnTo>
                  <a:pt x="1641251" y="1417919"/>
                </a:lnTo>
                <a:lnTo>
                  <a:pt x="2409555" y="1776185"/>
                </a:lnTo>
                <a:lnTo>
                  <a:pt x="2394340" y="1808813"/>
                </a:lnTo>
                <a:lnTo>
                  <a:pt x="1626043" y="1450550"/>
                </a:lnTo>
                <a:lnTo>
                  <a:pt x="2360192" y="1874411"/>
                </a:lnTo>
                <a:lnTo>
                  <a:pt x="2342192" y="1905588"/>
                </a:lnTo>
                <a:lnTo>
                  <a:pt x="1608038" y="1481725"/>
                </a:lnTo>
                <a:lnTo>
                  <a:pt x="2302456" y="1967961"/>
                </a:lnTo>
                <a:lnTo>
                  <a:pt x="2281807" y="1997451"/>
                </a:lnTo>
                <a:lnTo>
                  <a:pt x="1587388" y="1511214"/>
                </a:lnTo>
                <a:lnTo>
                  <a:pt x="2236786" y="2056124"/>
                </a:lnTo>
                <a:lnTo>
                  <a:pt x="2213646" y="2083701"/>
                </a:lnTo>
                <a:lnTo>
                  <a:pt x="1564245" y="1538789"/>
                </a:lnTo>
                <a:lnTo>
                  <a:pt x="2163683" y="2138227"/>
                </a:lnTo>
                <a:lnTo>
                  <a:pt x="2138227" y="2163682"/>
                </a:lnTo>
                <a:lnTo>
                  <a:pt x="1538789" y="1564244"/>
                </a:lnTo>
                <a:lnTo>
                  <a:pt x="2083701" y="2213646"/>
                </a:lnTo>
                <a:lnTo>
                  <a:pt x="2056124" y="2236786"/>
                </a:lnTo>
                <a:lnTo>
                  <a:pt x="1511211" y="1587385"/>
                </a:lnTo>
                <a:lnTo>
                  <a:pt x="1997451" y="2281807"/>
                </a:lnTo>
                <a:lnTo>
                  <a:pt x="1967961" y="2302456"/>
                </a:lnTo>
                <a:lnTo>
                  <a:pt x="1481723" y="1608035"/>
                </a:lnTo>
                <a:lnTo>
                  <a:pt x="1905589" y="2342192"/>
                </a:lnTo>
                <a:lnTo>
                  <a:pt x="1874412" y="2360192"/>
                </a:lnTo>
                <a:lnTo>
                  <a:pt x="1450548" y="1626039"/>
                </a:lnTo>
                <a:lnTo>
                  <a:pt x="1808813" y="2394341"/>
                </a:lnTo>
                <a:lnTo>
                  <a:pt x="1776185" y="2409555"/>
                </a:lnTo>
                <a:lnTo>
                  <a:pt x="1417919" y="1641250"/>
                </a:lnTo>
                <a:lnTo>
                  <a:pt x="1707860" y="2437856"/>
                </a:lnTo>
                <a:lnTo>
                  <a:pt x="1674031" y="2450169"/>
                </a:lnTo>
                <a:lnTo>
                  <a:pt x="1384091" y="1653568"/>
                </a:lnTo>
                <a:lnTo>
                  <a:pt x="1603499" y="2472408"/>
                </a:lnTo>
                <a:lnTo>
                  <a:pt x="1568725" y="2481726"/>
                </a:lnTo>
                <a:lnTo>
                  <a:pt x="1349315" y="1662879"/>
                </a:lnTo>
                <a:lnTo>
                  <a:pt x="1496523" y="2497732"/>
                </a:lnTo>
                <a:lnTo>
                  <a:pt x="1461070" y="2503984"/>
                </a:lnTo>
                <a:lnTo>
                  <a:pt x="1313863" y="1669130"/>
                </a:lnTo>
                <a:lnTo>
                  <a:pt x="1387748" y="2513637"/>
                </a:lnTo>
                <a:lnTo>
                  <a:pt x="1351885" y="2516774"/>
                </a:lnTo>
                <a:lnTo>
                  <a:pt x="1278000" y="1672266"/>
                </a:lnTo>
                <a:lnTo>
                  <a:pt x="1278000" y="2520000"/>
                </a:lnTo>
                <a:lnTo>
                  <a:pt x="1242000" y="2520000"/>
                </a:lnTo>
                <a:lnTo>
                  <a:pt x="1242002" y="1672022"/>
                </a:lnTo>
                <a:lnTo>
                  <a:pt x="1168137" y="2516303"/>
                </a:lnTo>
                <a:lnTo>
                  <a:pt x="1132273" y="2513166"/>
                </a:lnTo>
                <a:lnTo>
                  <a:pt x="1206179" y="1668416"/>
                </a:lnTo>
                <a:lnTo>
                  <a:pt x="1059012" y="2503045"/>
                </a:lnTo>
                <a:lnTo>
                  <a:pt x="1023559" y="2496794"/>
                </a:lnTo>
                <a:lnTo>
                  <a:pt x="1170806" y="1661718"/>
                </a:lnTo>
                <a:lnTo>
                  <a:pt x="951460" y="2480327"/>
                </a:lnTo>
                <a:lnTo>
                  <a:pt x="916686" y="2471010"/>
                </a:lnTo>
                <a:lnTo>
                  <a:pt x="1136159" y="1651925"/>
                </a:lnTo>
                <a:lnTo>
                  <a:pt x="846295" y="2448322"/>
                </a:lnTo>
                <a:lnTo>
                  <a:pt x="812466" y="2436009"/>
                </a:lnTo>
                <a:lnTo>
                  <a:pt x="1102487" y="1639184"/>
                </a:lnTo>
                <a:lnTo>
                  <a:pt x="744321" y="2407272"/>
                </a:lnTo>
                <a:lnTo>
                  <a:pt x="711694" y="2392058"/>
                </a:lnTo>
                <a:lnTo>
                  <a:pt x="1070059" y="1623541"/>
                </a:lnTo>
                <a:lnTo>
                  <a:pt x="646312" y="2357492"/>
                </a:lnTo>
                <a:lnTo>
                  <a:pt x="615135" y="2339492"/>
                </a:lnTo>
                <a:lnTo>
                  <a:pt x="1039124" y="1605123"/>
                </a:lnTo>
                <a:lnTo>
                  <a:pt x="553015" y="2299359"/>
                </a:lnTo>
                <a:lnTo>
                  <a:pt x="523525" y="2278710"/>
                </a:lnTo>
                <a:lnTo>
                  <a:pt x="1009901" y="1584093"/>
                </a:lnTo>
                <a:lnTo>
                  <a:pt x="465140" y="2233315"/>
                </a:lnTo>
                <a:lnTo>
                  <a:pt x="437562" y="2210175"/>
                </a:lnTo>
                <a:lnTo>
                  <a:pt x="982624" y="1560596"/>
                </a:lnTo>
                <a:lnTo>
                  <a:pt x="383355" y="2159864"/>
                </a:lnTo>
                <a:lnTo>
                  <a:pt x="357899" y="2134408"/>
                </a:lnTo>
                <a:lnTo>
                  <a:pt x="905948" y="1586360"/>
                </a:lnTo>
                <a:lnTo>
                  <a:pt x="312368" y="2084433"/>
                </a:lnTo>
                <a:lnTo>
                  <a:pt x="289228" y="2056855"/>
                </a:lnTo>
                <a:lnTo>
                  <a:pt x="974211" y="1482086"/>
                </a:lnTo>
                <a:close/>
              </a:path>
            </a:pathLst>
          </a:cu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aphicFrame macro="">
        <xdr:nvGraphicFramePr>
          <xdr:cNvPr id="88" name="Диаграмма 1"/>
          <xdr:cNvGraphicFramePr/>
        </xdr:nvGraphicFramePr>
        <xdr:xfrm>
          <a:off x="2338572" y="1057275"/>
          <a:ext cx="1334943" cy="12811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89" name="Овал 5"/>
          <xdr:cNvSpPr/>
        </xdr:nvSpPr>
        <xdr:spPr>
          <a:xfrm>
            <a:off x="2620447" y="1313242"/>
            <a:ext cx="762289" cy="756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0" name="Овал 7"/>
          <xdr:cNvSpPr/>
        </xdr:nvSpPr>
        <xdr:spPr>
          <a:xfrm>
            <a:off x="2668168" y="1360844"/>
            <a:ext cx="666846" cy="660796"/>
          </a:xfrm>
          <a:prstGeom prst="ellipse">
            <a:avLst/>
          </a:prstGeom>
          <a:noFill/>
          <a:ln>
            <a:solidFill>
              <a:srgbClr val="4C9CB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506506</xdr:colOff>
      <xdr:row>21</xdr:row>
      <xdr:rowOff>125506</xdr:rowOff>
    </xdr:from>
    <xdr:to>
      <xdr:col>15</xdr:col>
      <xdr:colOff>124091</xdr:colOff>
      <xdr:row>28</xdr:row>
      <xdr:rowOff>73118</xdr:rowOff>
    </xdr:to>
    <xdr:grpSp>
      <xdr:nvGrpSpPr>
        <xdr:cNvPr id="91" name="Группа 34"/>
        <xdr:cNvGrpSpPr/>
      </xdr:nvGrpSpPr>
      <xdr:grpSpPr>
        <a:xfrm>
          <a:off x="4959444" y="4935631"/>
          <a:ext cx="1439241" cy="1316831"/>
          <a:chOff x="2338572" y="1057275"/>
          <a:chExt cx="1334943" cy="1281112"/>
        </a:xfrm>
      </xdr:grpSpPr>
      <xdr:sp macro="" textlink="">
        <xdr:nvSpPr>
          <xdr:cNvPr id="92" name="Овал 9"/>
          <xdr:cNvSpPr/>
        </xdr:nvSpPr>
        <xdr:spPr>
          <a:xfrm>
            <a:off x="2478715" y="1170017"/>
            <a:ext cx="1045752" cy="1042451"/>
          </a:xfrm>
          <a:prstGeom prst="ellipse">
            <a:avLst/>
          </a:prstGeom>
          <a:noFill/>
          <a:ln w="22225">
            <a:solidFill>
              <a:srgbClr val="25C4FF"/>
            </a:solidFill>
          </a:ln>
          <a:effectLst>
            <a:glow rad="50800">
              <a:srgbClr val="1CCDFE">
                <a:alpha val="22000"/>
              </a:srgb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93" name="Прямоугольник 32"/>
          <xdr:cNvSpPr/>
        </xdr:nvSpPr>
        <xdr:spPr>
          <a:xfrm>
            <a:off x="3470409" y="1524000"/>
            <a:ext cx="149091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4" name="Прямоугольник 33"/>
          <xdr:cNvSpPr/>
        </xdr:nvSpPr>
        <xdr:spPr>
          <a:xfrm>
            <a:off x="2396983" y="1524000"/>
            <a:ext cx="149091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Полилиния 8"/>
          <xdr:cNvSpPr/>
        </xdr:nvSpPr>
        <xdr:spPr>
          <a:xfrm rot="7800000">
            <a:off x="2531792" y="1219261"/>
            <a:ext cx="939600" cy="943961"/>
          </a:xfrm>
          <a:custGeom>
            <a:avLst/>
            <a:gdLst>
              <a:gd name="connsiteX0" fmla="*/ 238193 w 2520000"/>
              <a:gd name="connsiteY0" fmla="*/ 1997451 h 2520000"/>
              <a:gd name="connsiteX1" fmla="*/ 217544 w 2520000"/>
              <a:gd name="connsiteY1" fmla="*/ 1967962 h 2520000"/>
              <a:gd name="connsiteX2" fmla="*/ 911968 w 2520000"/>
              <a:gd name="connsiteY2" fmla="*/ 1481721 h 2520000"/>
              <a:gd name="connsiteX3" fmla="*/ 177808 w 2520000"/>
              <a:gd name="connsiteY3" fmla="*/ 1905589 h 2520000"/>
              <a:gd name="connsiteX4" fmla="*/ 159808 w 2520000"/>
              <a:gd name="connsiteY4" fmla="*/ 1874412 h 2520000"/>
              <a:gd name="connsiteX5" fmla="*/ 893967 w 2520000"/>
              <a:gd name="connsiteY5" fmla="*/ 1450545 h 2520000"/>
              <a:gd name="connsiteX6" fmla="*/ 125659 w 2520000"/>
              <a:gd name="connsiteY6" fmla="*/ 1808813 h 2520000"/>
              <a:gd name="connsiteX7" fmla="*/ 110445 w 2520000"/>
              <a:gd name="connsiteY7" fmla="*/ 1776186 h 2520000"/>
              <a:gd name="connsiteX8" fmla="*/ 878754 w 2520000"/>
              <a:gd name="connsiteY8" fmla="*/ 1417918 h 2520000"/>
              <a:gd name="connsiteX9" fmla="*/ 82144 w 2520000"/>
              <a:gd name="connsiteY9" fmla="*/ 1707860 h 2520000"/>
              <a:gd name="connsiteX10" fmla="*/ 69831 w 2520000"/>
              <a:gd name="connsiteY10" fmla="*/ 1674031 h 2520000"/>
              <a:gd name="connsiteX11" fmla="*/ 866437 w 2520000"/>
              <a:gd name="connsiteY11" fmla="*/ 1384090 h 2520000"/>
              <a:gd name="connsiteX12" fmla="*/ 47592 w 2520000"/>
              <a:gd name="connsiteY12" fmla="*/ 1603499 h 2520000"/>
              <a:gd name="connsiteX13" fmla="*/ 38275 w 2520000"/>
              <a:gd name="connsiteY13" fmla="*/ 1568725 h 2520000"/>
              <a:gd name="connsiteX14" fmla="*/ 857121 w 2520000"/>
              <a:gd name="connsiteY14" fmla="*/ 1349316 h 2520000"/>
              <a:gd name="connsiteX15" fmla="*/ 22268 w 2520000"/>
              <a:gd name="connsiteY15" fmla="*/ 1496523 h 2520000"/>
              <a:gd name="connsiteX16" fmla="*/ 16016 w 2520000"/>
              <a:gd name="connsiteY16" fmla="*/ 1461070 h 2520000"/>
              <a:gd name="connsiteX17" fmla="*/ 850870 w 2520000"/>
              <a:gd name="connsiteY17" fmla="*/ 1313863 h 2520000"/>
              <a:gd name="connsiteX18" fmla="*/ 6363 w 2520000"/>
              <a:gd name="connsiteY18" fmla="*/ 1387748 h 2520000"/>
              <a:gd name="connsiteX19" fmla="*/ 3226 w 2520000"/>
              <a:gd name="connsiteY19" fmla="*/ 1351885 h 2520000"/>
              <a:gd name="connsiteX20" fmla="*/ 847731 w 2520000"/>
              <a:gd name="connsiteY20" fmla="*/ 1278000 h 2520000"/>
              <a:gd name="connsiteX21" fmla="*/ 0 w 2520000"/>
              <a:gd name="connsiteY21" fmla="*/ 1278000 h 2520000"/>
              <a:gd name="connsiteX22" fmla="*/ 0 w 2520000"/>
              <a:gd name="connsiteY22" fmla="*/ 1242000 h 2520000"/>
              <a:gd name="connsiteX23" fmla="*/ 847733 w 2520000"/>
              <a:gd name="connsiteY23" fmla="*/ 1242001 h 2520000"/>
              <a:gd name="connsiteX24" fmla="*/ 3226 w 2520000"/>
              <a:gd name="connsiteY24" fmla="*/ 1168115 h 2520000"/>
              <a:gd name="connsiteX25" fmla="*/ 6363 w 2520000"/>
              <a:gd name="connsiteY25" fmla="*/ 1132252 h 2520000"/>
              <a:gd name="connsiteX26" fmla="*/ 850874 w 2520000"/>
              <a:gd name="connsiteY26" fmla="*/ 1206137 h 2520000"/>
              <a:gd name="connsiteX27" fmla="*/ 16017 w 2520000"/>
              <a:gd name="connsiteY27" fmla="*/ 1058930 h 2520000"/>
              <a:gd name="connsiteX28" fmla="*/ 22268 w 2520000"/>
              <a:gd name="connsiteY28" fmla="*/ 1023477 h 2520000"/>
              <a:gd name="connsiteX29" fmla="*/ 857120 w 2520000"/>
              <a:gd name="connsiteY29" fmla="*/ 1170684 h 2520000"/>
              <a:gd name="connsiteX30" fmla="*/ 38275 w 2520000"/>
              <a:gd name="connsiteY30" fmla="*/ 951275 h 2520000"/>
              <a:gd name="connsiteX31" fmla="*/ 47592 w 2520000"/>
              <a:gd name="connsiteY31" fmla="*/ 916501 h 2520000"/>
              <a:gd name="connsiteX32" fmla="*/ 866441 w 2520000"/>
              <a:gd name="connsiteY32" fmla="*/ 1135911 h 2520000"/>
              <a:gd name="connsiteX33" fmla="*/ 69831 w 2520000"/>
              <a:gd name="connsiteY33" fmla="*/ 845969 h 2520000"/>
              <a:gd name="connsiteX34" fmla="*/ 82144 w 2520000"/>
              <a:gd name="connsiteY34" fmla="*/ 812140 h 2520000"/>
              <a:gd name="connsiteX35" fmla="*/ 878751 w 2520000"/>
              <a:gd name="connsiteY35" fmla="*/ 1102082 h 2520000"/>
              <a:gd name="connsiteX36" fmla="*/ 110445 w 2520000"/>
              <a:gd name="connsiteY36" fmla="*/ 743815 h 2520000"/>
              <a:gd name="connsiteX37" fmla="*/ 125660 w 2520000"/>
              <a:gd name="connsiteY37" fmla="*/ 711187 h 2520000"/>
              <a:gd name="connsiteX38" fmla="*/ 893964 w 2520000"/>
              <a:gd name="connsiteY38" fmla="*/ 1069453 h 2520000"/>
              <a:gd name="connsiteX39" fmla="*/ 159808 w 2520000"/>
              <a:gd name="connsiteY39" fmla="*/ 645588 h 2520000"/>
              <a:gd name="connsiteX40" fmla="*/ 177808 w 2520000"/>
              <a:gd name="connsiteY40" fmla="*/ 614412 h 2520000"/>
              <a:gd name="connsiteX41" fmla="*/ 911961 w 2520000"/>
              <a:gd name="connsiteY41" fmla="*/ 1038275 h 2520000"/>
              <a:gd name="connsiteX42" fmla="*/ 217544 w 2520000"/>
              <a:gd name="connsiteY42" fmla="*/ 552039 h 2520000"/>
              <a:gd name="connsiteX43" fmla="*/ 238193 w 2520000"/>
              <a:gd name="connsiteY43" fmla="*/ 522549 h 2520000"/>
              <a:gd name="connsiteX44" fmla="*/ 932610 w 2520000"/>
              <a:gd name="connsiteY44" fmla="*/ 1008785 h 2520000"/>
              <a:gd name="connsiteX45" fmla="*/ 283214 w 2520000"/>
              <a:gd name="connsiteY45" fmla="*/ 463876 h 2520000"/>
              <a:gd name="connsiteX46" fmla="*/ 306354 w 2520000"/>
              <a:gd name="connsiteY46" fmla="*/ 436299 h 2520000"/>
              <a:gd name="connsiteX47" fmla="*/ 955755 w 2520000"/>
              <a:gd name="connsiteY47" fmla="*/ 981211 h 2520000"/>
              <a:gd name="connsiteX48" fmla="*/ 356317 w 2520000"/>
              <a:gd name="connsiteY48" fmla="*/ 381774 h 2520000"/>
              <a:gd name="connsiteX49" fmla="*/ 381773 w 2520000"/>
              <a:gd name="connsiteY49" fmla="*/ 356318 h 2520000"/>
              <a:gd name="connsiteX50" fmla="*/ 981211 w 2520000"/>
              <a:gd name="connsiteY50" fmla="*/ 955756 h 2520000"/>
              <a:gd name="connsiteX51" fmla="*/ 436299 w 2520000"/>
              <a:gd name="connsiteY51" fmla="*/ 306354 h 2520000"/>
              <a:gd name="connsiteX52" fmla="*/ 463876 w 2520000"/>
              <a:gd name="connsiteY52" fmla="*/ 283214 h 2520000"/>
              <a:gd name="connsiteX53" fmla="*/ 1008789 w 2520000"/>
              <a:gd name="connsiteY53" fmla="*/ 932616 h 2520000"/>
              <a:gd name="connsiteX54" fmla="*/ 522549 w 2520000"/>
              <a:gd name="connsiteY54" fmla="*/ 238193 h 2520000"/>
              <a:gd name="connsiteX55" fmla="*/ 552039 w 2520000"/>
              <a:gd name="connsiteY55" fmla="*/ 217544 h 2520000"/>
              <a:gd name="connsiteX56" fmla="*/ 1038278 w 2520000"/>
              <a:gd name="connsiteY56" fmla="*/ 911967 h 2520000"/>
              <a:gd name="connsiteX57" fmla="*/ 614411 w 2520000"/>
              <a:gd name="connsiteY57" fmla="*/ 177808 h 2520000"/>
              <a:gd name="connsiteX58" fmla="*/ 645588 w 2520000"/>
              <a:gd name="connsiteY58" fmla="*/ 159808 h 2520000"/>
              <a:gd name="connsiteX59" fmla="*/ 1069453 w 2520000"/>
              <a:gd name="connsiteY59" fmla="*/ 893963 h 2520000"/>
              <a:gd name="connsiteX60" fmla="*/ 711187 w 2520000"/>
              <a:gd name="connsiteY60" fmla="*/ 125659 h 2520000"/>
              <a:gd name="connsiteX61" fmla="*/ 743815 w 2520000"/>
              <a:gd name="connsiteY61" fmla="*/ 110445 h 2520000"/>
              <a:gd name="connsiteX62" fmla="*/ 1102082 w 2520000"/>
              <a:gd name="connsiteY62" fmla="*/ 878751 h 2520000"/>
              <a:gd name="connsiteX63" fmla="*/ 812140 w 2520000"/>
              <a:gd name="connsiteY63" fmla="*/ 82144 h 2520000"/>
              <a:gd name="connsiteX64" fmla="*/ 845969 w 2520000"/>
              <a:gd name="connsiteY64" fmla="*/ 69831 h 2520000"/>
              <a:gd name="connsiteX65" fmla="*/ 1135910 w 2520000"/>
              <a:gd name="connsiteY65" fmla="*/ 866436 h 2520000"/>
              <a:gd name="connsiteX66" fmla="*/ 916501 w 2520000"/>
              <a:gd name="connsiteY66" fmla="*/ 47592 h 2520000"/>
              <a:gd name="connsiteX67" fmla="*/ 951275 w 2520000"/>
              <a:gd name="connsiteY67" fmla="*/ 38275 h 2520000"/>
              <a:gd name="connsiteX68" fmla="*/ 1170683 w 2520000"/>
              <a:gd name="connsiteY68" fmla="*/ 857116 h 2520000"/>
              <a:gd name="connsiteX69" fmla="*/ 1023477 w 2520000"/>
              <a:gd name="connsiteY69" fmla="*/ 22268 h 2520000"/>
              <a:gd name="connsiteX70" fmla="*/ 1058929 w 2520000"/>
              <a:gd name="connsiteY70" fmla="*/ 16017 h 2520000"/>
              <a:gd name="connsiteX71" fmla="*/ 1206138 w 2520000"/>
              <a:gd name="connsiteY71" fmla="*/ 850877 h 2520000"/>
              <a:gd name="connsiteX72" fmla="*/ 1132253 w 2520000"/>
              <a:gd name="connsiteY72" fmla="*/ 6363 h 2520000"/>
              <a:gd name="connsiteX73" fmla="*/ 1168115 w 2520000"/>
              <a:gd name="connsiteY73" fmla="*/ 3226 h 2520000"/>
              <a:gd name="connsiteX74" fmla="*/ 1242000 w 2520000"/>
              <a:gd name="connsiteY74" fmla="*/ 847735 h 2520000"/>
              <a:gd name="connsiteX75" fmla="*/ 1242000 w 2520000"/>
              <a:gd name="connsiteY75" fmla="*/ 0 h 2520000"/>
              <a:gd name="connsiteX76" fmla="*/ 1278000 w 2520000"/>
              <a:gd name="connsiteY76" fmla="*/ 0 h 2520000"/>
              <a:gd name="connsiteX77" fmla="*/ 1278000 w 2520000"/>
              <a:gd name="connsiteY77" fmla="*/ 847501 h 2520000"/>
              <a:gd name="connsiteX78" fmla="*/ 1351906 w 2520000"/>
              <a:gd name="connsiteY78" fmla="*/ 2755 h 2520000"/>
              <a:gd name="connsiteX79" fmla="*/ 1387769 w 2520000"/>
              <a:gd name="connsiteY79" fmla="*/ 5893 h 2520000"/>
              <a:gd name="connsiteX80" fmla="*/ 1313905 w 2520000"/>
              <a:gd name="connsiteY80" fmla="*/ 850161 h 2520000"/>
              <a:gd name="connsiteX81" fmla="*/ 1461153 w 2520000"/>
              <a:gd name="connsiteY81" fmla="*/ 15078 h 2520000"/>
              <a:gd name="connsiteX82" fmla="*/ 1496605 w 2520000"/>
              <a:gd name="connsiteY82" fmla="*/ 21330 h 2520000"/>
              <a:gd name="connsiteX83" fmla="*/ 1349438 w 2520000"/>
              <a:gd name="connsiteY83" fmla="*/ 855956 h 2520000"/>
              <a:gd name="connsiteX84" fmla="*/ 1568910 w 2520000"/>
              <a:gd name="connsiteY84" fmla="*/ 36877 h 2520000"/>
              <a:gd name="connsiteX85" fmla="*/ 1603684 w 2520000"/>
              <a:gd name="connsiteY85" fmla="*/ 46194 h 2520000"/>
              <a:gd name="connsiteX86" fmla="*/ 1384338 w 2520000"/>
              <a:gd name="connsiteY86" fmla="*/ 864802 h 2520000"/>
              <a:gd name="connsiteX87" fmla="*/ 1674356 w 2520000"/>
              <a:gd name="connsiteY87" fmla="*/ 67983 h 2520000"/>
              <a:gd name="connsiteX88" fmla="*/ 1708185 w 2520000"/>
              <a:gd name="connsiteY88" fmla="*/ 80296 h 2520000"/>
              <a:gd name="connsiteX89" fmla="*/ 1418322 w 2520000"/>
              <a:gd name="connsiteY89" fmla="*/ 876690 h 2520000"/>
              <a:gd name="connsiteX90" fmla="*/ 1776692 w 2520000"/>
              <a:gd name="connsiteY90" fmla="*/ 108162 h 2520000"/>
              <a:gd name="connsiteX91" fmla="*/ 1809319 w 2520000"/>
              <a:gd name="connsiteY91" fmla="*/ 123377 h 2520000"/>
              <a:gd name="connsiteX92" fmla="*/ 1451151 w 2520000"/>
              <a:gd name="connsiteY92" fmla="*/ 891470 h 2520000"/>
              <a:gd name="connsiteX93" fmla="*/ 1875135 w 2520000"/>
              <a:gd name="connsiteY93" fmla="*/ 157108 h 2520000"/>
              <a:gd name="connsiteX94" fmla="*/ 1906312 w 2520000"/>
              <a:gd name="connsiteY94" fmla="*/ 175108 h 2520000"/>
              <a:gd name="connsiteX95" fmla="*/ 1482565 w 2520000"/>
              <a:gd name="connsiteY95" fmla="*/ 909059 h 2520000"/>
              <a:gd name="connsiteX96" fmla="*/ 1968938 w 2520000"/>
              <a:gd name="connsiteY96" fmla="*/ 214447 h 2520000"/>
              <a:gd name="connsiteX97" fmla="*/ 1998427 w 2520000"/>
              <a:gd name="connsiteY97" fmla="*/ 235096 h 2520000"/>
              <a:gd name="connsiteX98" fmla="*/ 1512322 w 2520000"/>
              <a:gd name="connsiteY98" fmla="*/ 929326 h 2520000"/>
              <a:gd name="connsiteX99" fmla="*/ 2057387 w 2520000"/>
              <a:gd name="connsiteY99" fmla="*/ 279743 h 2520000"/>
              <a:gd name="connsiteX100" fmla="*/ 2084964 w 2520000"/>
              <a:gd name="connsiteY100" fmla="*/ 302883 h 2520000"/>
              <a:gd name="connsiteX101" fmla="*/ 1540200 w 2520000"/>
              <a:gd name="connsiteY101" fmla="*/ 952109 h 2520000"/>
              <a:gd name="connsiteX102" fmla="*/ 2139809 w 2520000"/>
              <a:gd name="connsiteY102" fmla="*/ 352499 h 2520000"/>
              <a:gd name="connsiteX103" fmla="*/ 2165264 w 2520000"/>
              <a:gd name="connsiteY103" fmla="*/ 377956 h 2520000"/>
              <a:gd name="connsiteX104" fmla="*/ 1514438 w 2520000"/>
              <a:gd name="connsiteY104" fmla="*/ 1028782 h 2520000"/>
              <a:gd name="connsiteX105" fmla="*/ 2219660 w 2520000"/>
              <a:gd name="connsiteY105" fmla="*/ 437030 h 2520000"/>
              <a:gd name="connsiteX106" fmla="*/ 2242800 w 2520000"/>
              <a:gd name="connsiteY106" fmla="*/ 464608 h 2520000"/>
              <a:gd name="connsiteX107" fmla="*/ 1628988 w 2520000"/>
              <a:gd name="connsiteY107" fmla="*/ 979657 h 2520000"/>
              <a:gd name="connsiteX108" fmla="*/ 2281807 w 2520000"/>
              <a:gd name="connsiteY108" fmla="*/ 522549 h 2520000"/>
              <a:gd name="connsiteX109" fmla="*/ 2302456 w 2520000"/>
              <a:gd name="connsiteY109" fmla="*/ 552038 h 2520000"/>
              <a:gd name="connsiteX110" fmla="*/ 1608033 w 2520000"/>
              <a:gd name="connsiteY110" fmla="*/ 1038278 h 2520000"/>
              <a:gd name="connsiteX111" fmla="*/ 2342192 w 2520000"/>
              <a:gd name="connsiteY111" fmla="*/ 614412 h 2520000"/>
              <a:gd name="connsiteX112" fmla="*/ 2360192 w 2520000"/>
              <a:gd name="connsiteY112" fmla="*/ 645588 h 2520000"/>
              <a:gd name="connsiteX113" fmla="*/ 1626031 w 2520000"/>
              <a:gd name="connsiteY113" fmla="*/ 1069457 h 2520000"/>
              <a:gd name="connsiteX114" fmla="*/ 2394341 w 2520000"/>
              <a:gd name="connsiteY114" fmla="*/ 711188 h 2520000"/>
              <a:gd name="connsiteX115" fmla="*/ 2409555 w 2520000"/>
              <a:gd name="connsiteY115" fmla="*/ 743814 h 2520000"/>
              <a:gd name="connsiteX116" fmla="*/ 1641245 w 2520000"/>
              <a:gd name="connsiteY116" fmla="*/ 1102083 h 2520000"/>
              <a:gd name="connsiteX117" fmla="*/ 2437856 w 2520000"/>
              <a:gd name="connsiteY117" fmla="*/ 812140 h 2520000"/>
              <a:gd name="connsiteX118" fmla="*/ 2450169 w 2520000"/>
              <a:gd name="connsiteY118" fmla="*/ 845969 h 2520000"/>
              <a:gd name="connsiteX119" fmla="*/ 1653563 w 2520000"/>
              <a:gd name="connsiteY119" fmla="*/ 1135910 h 2520000"/>
              <a:gd name="connsiteX120" fmla="*/ 2472408 w 2520000"/>
              <a:gd name="connsiteY120" fmla="*/ 916501 h 2520000"/>
              <a:gd name="connsiteX121" fmla="*/ 2481726 w 2520000"/>
              <a:gd name="connsiteY121" fmla="*/ 951274 h 2520000"/>
              <a:gd name="connsiteX122" fmla="*/ 1662878 w 2520000"/>
              <a:gd name="connsiteY122" fmla="*/ 1170685 h 2520000"/>
              <a:gd name="connsiteX123" fmla="*/ 2497732 w 2520000"/>
              <a:gd name="connsiteY123" fmla="*/ 1023477 h 2520000"/>
              <a:gd name="connsiteX124" fmla="*/ 2503984 w 2520000"/>
              <a:gd name="connsiteY124" fmla="*/ 1058930 h 2520000"/>
              <a:gd name="connsiteX125" fmla="*/ 1669132 w 2520000"/>
              <a:gd name="connsiteY125" fmla="*/ 1206137 h 2520000"/>
              <a:gd name="connsiteX126" fmla="*/ 2513637 w 2520000"/>
              <a:gd name="connsiteY126" fmla="*/ 1132252 h 2520000"/>
              <a:gd name="connsiteX127" fmla="*/ 2516774 w 2520000"/>
              <a:gd name="connsiteY127" fmla="*/ 1168115 h 2520000"/>
              <a:gd name="connsiteX128" fmla="*/ 1672268 w 2520000"/>
              <a:gd name="connsiteY128" fmla="*/ 1242000 h 2520000"/>
              <a:gd name="connsiteX129" fmla="*/ 2520000 w 2520000"/>
              <a:gd name="connsiteY129" fmla="*/ 1242000 h 2520000"/>
              <a:gd name="connsiteX130" fmla="*/ 2520000 w 2520000"/>
              <a:gd name="connsiteY130" fmla="*/ 1278000 h 2520000"/>
              <a:gd name="connsiteX131" fmla="*/ 1672267 w 2520000"/>
              <a:gd name="connsiteY131" fmla="*/ 1278000 h 2520000"/>
              <a:gd name="connsiteX132" fmla="*/ 2516774 w 2520000"/>
              <a:gd name="connsiteY132" fmla="*/ 1351885 h 2520000"/>
              <a:gd name="connsiteX133" fmla="*/ 2513637 w 2520000"/>
              <a:gd name="connsiteY133" fmla="*/ 1387748 h 2520000"/>
              <a:gd name="connsiteX134" fmla="*/ 1669126 w 2520000"/>
              <a:gd name="connsiteY134" fmla="*/ 1313862 h 2520000"/>
              <a:gd name="connsiteX135" fmla="*/ 2503983 w 2520000"/>
              <a:gd name="connsiteY135" fmla="*/ 1461070 h 2520000"/>
              <a:gd name="connsiteX136" fmla="*/ 2497733 w 2520000"/>
              <a:gd name="connsiteY136" fmla="*/ 1496523 h 2520000"/>
              <a:gd name="connsiteX137" fmla="*/ 1662877 w 2520000"/>
              <a:gd name="connsiteY137" fmla="*/ 1349315 h 2520000"/>
              <a:gd name="connsiteX138" fmla="*/ 2481725 w 2520000"/>
              <a:gd name="connsiteY138" fmla="*/ 1568725 h 2520000"/>
              <a:gd name="connsiteX139" fmla="*/ 2472408 w 2520000"/>
              <a:gd name="connsiteY139" fmla="*/ 1603498 h 2520000"/>
              <a:gd name="connsiteX140" fmla="*/ 1653557 w 2520000"/>
              <a:gd name="connsiteY140" fmla="*/ 1384088 h 2520000"/>
              <a:gd name="connsiteX141" fmla="*/ 2450169 w 2520000"/>
              <a:gd name="connsiteY141" fmla="*/ 1674031 h 2520000"/>
              <a:gd name="connsiteX142" fmla="*/ 2437857 w 2520000"/>
              <a:gd name="connsiteY142" fmla="*/ 1707860 h 2520000"/>
              <a:gd name="connsiteX143" fmla="*/ 1641251 w 2520000"/>
              <a:gd name="connsiteY143" fmla="*/ 1417919 h 2520000"/>
              <a:gd name="connsiteX144" fmla="*/ 2409555 w 2520000"/>
              <a:gd name="connsiteY144" fmla="*/ 1776185 h 2520000"/>
              <a:gd name="connsiteX145" fmla="*/ 2394340 w 2520000"/>
              <a:gd name="connsiteY145" fmla="*/ 1808813 h 2520000"/>
              <a:gd name="connsiteX146" fmla="*/ 1626043 w 2520000"/>
              <a:gd name="connsiteY146" fmla="*/ 1450550 h 2520000"/>
              <a:gd name="connsiteX147" fmla="*/ 2360192 w 2520000"/>
              <a:gd name="connsiteY147" fmla="*/ 1874411 h 2520000"/>
              <a:gd name="connsiteX148" fmla="*/ 2342192 w 2520000"/>
              <a:gd name="connsiteY148" fmla="*/ 1905588 h 2520000"/>
              <a:gd name="connsiteX149" fmla="*/ 1608038 w 2520000"/>
              <a:gd name="connsiteY149" fmla="*/ 1481725 h 2520000"/>
              <a:gd name="connsiteX150" fmla="*/ 2302456 w 2520000"/>
              <a:gd name="connsiteY150" fmla="*/ 1967961 h 2520000"/>
              <a:gd name="connsiteX151" fmla="*/ 2281807 w 2520000"/>
              <a:gd name="connsiteY151" fmla="*/ 1997451 h 2520000"/>
              <a:gd name="connsiteX152" fmla="*/ 1587388 w 2520000"/>
              <a:gd name="connsiteY152" fmla="*/ 1511214 h 2520000"/>
              <a:gd name="connsiteX153" fmla="*/ 2236786 w 2520000"/>
              <a:gd name="connsiteY153" fmla="*/ 2056124 h 2520000"/>
              <a:gd name="connsiteX154" fmla="*/ 2213646 w 2520000"/>
              <a:gd name="connsiteY154" fmla="*/ 2083701 h 2520000"/>
              <a:gd name="connsiteX155" fmla="*/ 1564245 w 2520000"/>
              <a:gd name="connsiteY155" fmla="*/ 1538789 h 2520000"/>
              <a:gd name="connsiteX156" fmla="*/ 2163683 w 2520000"/>
              <a:gd name="connsiteY156" fmla="*/ 2138227 h 2520000"/>
              <a:gd name="connsiteX157" fmla="*/ 2138227 w 2520000"/>
              <a:gd name="connsiteY157" fmla="*/ 2163682 h 2520000"/>
              <a:gd name="connsiteX158" fmla="*/ 1538789 w 2520000"/>
              <a:gd name="connsiteY158" fmla="*/ 1564244 h 2520000"/>
              <a:gd name="connsiteX159" fmla="*/ 2083701 w 2520000"/>
              <a:gd name="connsiteY159" fmla="*/ 2213646 h 2520000"/>
              <a:gd name="connsiteX160" fmla="*/ 2056124 w 2520000"/>
              <a:gd name="connsiteY160" fmla="*/ 2236786 h 2520000"/>
              <a:gd name="connsiteX161" fmla="*/ 1511211 w 2520000"/>
              <a:gd name="connsiteY161" fmla="*/ 1587385 h 2520000"/>
              <a:gd name="connsiteX162" fmla="*/ 1997451 w 2520000"/>
              <a:gd name="connsiteY162" fmla="*/ 2281807 h 2520000"/>
              <a:gd name="connsiteX163" fmla="*/ 1967961 w 2520000"/>
              <a:gd name="connsiteY163" fmla="*/ 2302456 h 2520000"/>
              <a:gd name="connsiteX164" fmla="*/ 1481723 w 2520000"/>
              <a:gd name="connsiteY164" fmla="*/ 1608035 h 2520000"/>
              <a:gd name="connsiteX165" fmla="*/ 1905589 w 2520000"/>
              <a:gd name="connsiteY165" fmla="*/ 2342192 h 2520000"/>
              <a:gd name="connsiteX166" fmla="*/ 1874412 w 2520000"/>
              <a:gd name="connsiteY166" fmla="*/ 2360192 h 2520000"/>
              <a:gd name="connsiteX167" fmla="*/ 1450548 w 2520000"/>
              <a:gd name="connsiteY167" fmla="*/ 1626039 h 2520000"/>
              <a:gd name="connsiteX168" fmla="*/ 1808813 w 2520000"/>
              <a:gd name="connsiteY168" fmla="*/ 2394341 h 2520000"/>
              <a:gd name="connsiteX169" fmla="*/ 1776185 w 2520000"/>
              <a:gd name="connsiteY169" fmla="*/ 2409555 h 2520000"/>
              <a:gd name="connsiteX170" fmla="*/ 1417919 w 2520000"/>
              <a:gd name="connsiteY170" fmla="*/ 1641250 h 2520000"/>
              <a:gd name="connsiteX171" fmla="*/ 1707860 w 2520000"/>
              <a:gd name="connsiteY171" fmla="*/ 2437856 h 2520000"/>
              <a:gd name="connsiteX172" fmla="*/ 1674031 w 2520000"/>
              <a:gd name="connsiteY172" fmla="*/ 2450169 h 2520000"/>
              <a:gd name="connsiteX173" fmla="*/ 1384091 w 2520000"/>
              <a:gd name="connsiteY173" fmla="*/ 1653568 h 2520000"/>
              <a:gd name="connsiteX174" fmla="*/ 1603499 w 2520000"/>
              <a:gd name="connsiteY174" fmla="*/ 2472408 h 2520000"/>
              <a:gd name="connsiteX175" fmla="*/ 1568725 w 2520000"/>
              <a:gd name="connsiteY175" fmla="*/ 2481726 h 2520000"/>
              <a:gd name="connsiteX176" fmla="*/ 1349315 w 2520000"/>
              <a:gd name="connsiteY176" fmla="*/ 1662879 h 2520000"/>
              <a:gd name="connsiteX177" fmla="*/ 1496523 w 2520000"/>
              <a:gd name="connsiteY177" fmla="*/ 2497732 h 2520000"/>
              <a:gd name="connsiteX178" fmla="*/ 1461070 w 2520000"/>
              <a:gd name="connsiteY178" fmla="*/ 2503984 h 2520000"/>
              <a:gd name="connsiteX179" fmla="*/ 1313863 w 2520000"/>
              <a:gd name="connsiteY179" fmla="*/ 1669130 h 2520000"/>
              <a:gd name="connsiteX180" fmla="*/ 1387748 w 2520000"/>
              <a:gd name="connsiteY180" fmla="*/ 2513637 h 2520000"/>
              <a:gd name="connsiteX181" fmla="*/ 1351885 w 2520000"/>
              <a:gd name="connsiteY181" fmla="*/ 2516774 h 2520000"/>
              <a:gd name="connsiteX182" fmla="*/ 1278000 w 2520000"/>
              <a:gd name="connsiteY182" fmla="*/ 1672266 h 2520000"/>
              <a:gd name="connsiteX183" fmla="*/ 1278000 w 2520000"/>
              <a:gd name="connsiteY183" fmla="*/ 2520000 h 2520000"/>
              <a:gd name="connsiteX184" fmla="*/ 1242000 w 2520000"/>
              <a:gd name="connsiteY184" fmla="*/ 2520000 h 2520000"/>
              <a:gd name="connsiteX185" fmla="*/ 1242002 w 2520000"/>
              <a:gd name="connsiteY185" fmla="*/ 1672022 h 2520000"/>
              <a:gd name="connsiteX186" fmla="*/ 1168137 w 2520000"/>
              <a:gd name="connsiteY186" fmla="*/ 2516303 h 2520000"/>
              <a:gd name="connsiteX187" fmla="*/ 1132273 w 2520000"/>
              <a:gd name="connsiteY187" fmla="*/ 2513166 h 2520000"/>
              <a:gd name="connsiteX188" fmla="*/ 1206179 w 2520000"/>
              <a:gd name="connsiteY188" fmla="*/ 1668416 h 2520000"/>
              <a:gd name="connsiteX189" fmla="*/ 1059012 w 2520000"/>
              <a:gd name="connsiteY189" fmla="*/ 2503045 h 2520000"/>
              <a:gd name="connsiteX190" fmla="*/ 1023559 w 2520000"/>
              <a:gd name="connsiteY190" fmla="*/ 2496794 h 2520000"/>
              <a:gd name="connsiteX191" fmla="*/ 1170806 w 2520000"/>
              <a:gd name="connsiteY191" fmla="*/ 1661718 h 2520000"/>
              <a:gd name="connsiteX192" fmla="*/ 951460 w 2520000"/>
              <a:gd name="connsiteY192" fmla="*/ 2480327 h 2520000"/>
              <a:gd name="connsiteX193" fmla="*/ 916686 w 2520000"/>
              <a:gd name="connsiteY193" fmla="*/ 2471010 h 2520000"/>
              <a:gd name="connsiteX194" fmla="*/ 1136159 w 2520000"/>
              <a:gd name="connsiteY194" fmla="*/ 1651925 h 2520000"/>
              <a:gd name="connsiteX195" fmla="*/ 846295 w 2520000"/>
              <a:gd name="connsiteY195" fmla="*/ 2448322 h 2520000"/>
              <a:gd name="connsiteX196" fmla="*/ 812466 w 2520000"/>
              <a:gd name="connsiteY196" fmla="*/ 2436009 h 2520000"/>
              <a:gd name="connsiteX197" fmla="*/ 1102487 w 2520000"/>
              <a:gd name="connsiteY197" fmla="*/ 1639184 h 2520000"/>
              <a:gd name="connsiteX198" fmla="*/ 744321 w 2520000"/>
              <a:gd name="connsiteY198" fmla="*/ 2407272 h 2520000"/>
              <a:gd name="connsiteX199" fmla="*/ 711694 w 2520000"/>
              <a:gd name="connsiteY199" fmla="*/ 2392058 h 2520000"/>
              <a:gd name="connsiteX200" fmla="*/ 1070059 w 2520000"/>
              <a:gd name="connsiteY200" fmla="*/ 1623541 h 2520000"/>
              <a:gd name="connsiteX201" fmla="*/ 646312 w 2520000"/>
              <a:gd name="connsiteY201" fmla="*/ 2357492 h 2520000"/>
              <a:gd name="connsiteX202" fmla="*/ 615135 w 2520000"/>
              <a:gd name="connsiteY202" fmla="*/ 2339492 h 2520000"/>
              <a:gd name="connsiteX203" fmla="*/ 1039124 w 2520000"/>
              <a:gd name="connsiteY203" fmla="*/ 1605123 h 2520000"/>
              <a:gd name="connsiteX204" fmla="*/ 553015 w 2520000"/>
              <a:gd name="connsiteY204" fmla="*/ 2299359 h 2520000"/>
              <a:gd name="connsiteX205" fmla="*/ 523525 w 2520000"/>
              <a:gd name="connsiteY205" fmla="*/ 2278710 h 2520000"/>
              <a:gd name="connsiteX206" fmla="*/ 1009901 w 2520000"/>
              <a:gd name="connsiteY206" fmla="*/ 1584093 h 2520000"/>
              <a:gd name="connsiteX207" fmla="*/ 465140 w 2520000"/>
              <a:gd name="connsiteY207" fmla="*/ 2233315 h 2520000"/>
              <a:gd name="connsiteX208" fmla="*/ 437562 w 2520000"/>
              <a:gd name="connsiteY208" fmla="*/ 2210175 h 2520000"/>
              <a:gd name="connsiteX209" fmla="*/ 982624 w 2520000"/>
              <a:gd name="connsiteY209" fmla="*/ 1560596 h 2520000"/>
              <a:gd name="connsiteX210" fmla="*/ 383355 w 2520000"/>
              <a:gd name="connsiteY210" fmla="*/ 2159864 h 2520000"/>
              <a:gd name="connsiteX211" fmla="*/ 357899 w 2520000"/>
              <a:gd name="connsiteY211" fmla="*/ 2134408 h 2520000"/>
              <a:gd name="connsiteX212" fmla="*/ 905948 w 2520000"/>
              <a:gd name="connsiteY212" fmla="*/ 1586360 h 2520000"/>
              <a:gd name="connsiteX213" fmla="*/ 312368 w 2520000"/>
              <a:gd name="connsiteY213" fmla="*/ 2084433 h 2520000"/>
              <a:gd name="connsiteX214" fmla="*/ 289228 w 2520000"/>
              <a:gd name="connsiteY214" fmla="*/ 2056855 h 2520000"/>
              <a:gd name="connsiteX215" fmla="*/ 974211 w 2520000"/>
              <a:gd name="connsiteY215" fmla="*/ 1482086 h 252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  <a:cxn ang="0">
                <a:pos x="connsiteX156" y="connsiteY156"/>
              </a:cxn>
              <a:cxn ang="0">
                <a:pos x="connsiteX157" y="connsiteY157"/>
              </a:cxn>
              <a:cxn ang="0">
                <a:pos x="connsiteX158" y="connsiteY158"/>
              </a:cxn>
              <a:cxn ang="0">
                <a:pos x="connsiteX159" y="connsiteY159"/>
              </a:cxn>
              <a:cxn ang="0">
                <a:pos x="connsiteX160" y="connsiteY160"/>
              </a:cxn>
              <a:cxn ang="0">
                <a:pos x="connsiteX161" y="connsiteY161"/>
              </a:cxn>
              <a:cxn ang="0">
                <a:pos x="connsiteX162" y="connsiteY162"/>
              </a:cxn>
              <a:cxn ang="0">
                <a:pos x="connsiteX163" y="connsiteY163"/>
              </a:cxn>
              <a:cxn ang="0">
                <a:pos x="connsiteX164" y="connsiteY164"/>
              </a:cxn>
              <a:cxn ang="0">
                <a:pos x="connsiteX165" y="connsiteY165"/>
              </a:cxn>
              <a:cxn ang="0">
                <a:pos x="connsiteX166" y="connsiteY166"/>
              </a:cxn>
              <a:cxn ang="0">
                <a:pos x="connsiteX167" y="connsiteY167"/>
              </a:cxn>
              <a:cxn ang="0">
                <a:pos x="connsiteX168" y="connsiteY168"/>
              </a:cxn>
              <a:cxn ang="0">
                <a:pos x="connsiteX169" y="connsiteY169"/>
              </a:cxn>
              <a:cxn ang="0">
                <a:pos x="connsiteX170" y="connsiteY170"/>
              </a:cxn>
              <a:cxn ang="0">
                <a:pos x="connsiteX171" y="connsiteY171"/>
              </a:cxn>
              <a:cxn ang="0">
                <a:pos x="connsiteX172" y="connsiteY172"/>
              </a:cxn>
              <a:cxn ang="0">
                <a:pos x="connsiteX173" y="connsiteY173"/>
              </a:cxn>
              <a:cxn ang="0">
                <a:pos x="connsiteX174" y="connsiteY174"/>
              </a:cxn>
              <a:cxn ang="0">
                <a:pos x="connsiteX175" y="connsiteY175"/>
              </a:cxn>
              <a:cxn ang="0">
                <a:pos x="connsiteX176" y="connsiteY176"/>
              </a:cxn>
              <a:cxn ang="0">
                <a:pos x="connsiteX177" y="connsiteY177"/>
              </a:cxn>
              <a:cxn ang="0">
                <a:pos x="connsiteX178" y="connsiteY178"/>
              </a:cxn>
              <a:cxn ang="0">
                <a:pos x="connsiteX179" y="connsiteY179"/>
              </a:cxn>
              <a:cxn ang="0">
                <a:pos x="connsiteX180" y="connsiteY180"/>
              </a:cxn>
              <a:cxn ang="0">
                <a:pos x="connsiteX181" y="connsiteY181"/>
              </a:cxn>
              <a:cxn ang="0">
                <a:pos x="connsiteX182" y="connsiteY182"/>
              </a:cxn>
              <a:cxn ang="0">
                <a:pos x="connsiteX183" y="connsiteY183"/>
              </a:cxn>
              <a:cxn ang="0">
                <a:pos x="connsiteX184" y="connsiteY184"/>
              </a:cxn>
              <a:cxn ang="0">
                <a:pos x="connsiteX185" y="connsiteY185"/>
              </a:cxn>
              <a:cxn ang="0">
                <a:pos x="connsiteX186" y="connsiteY186"/>
              </a:cxn>
              <a:cxn ang="0">
                <a:pos x="connsiteX187" y="connsiteY187"/>
              </a:cxn>
              <a:cxn ang="0">
                <a:pos x="connsiteX188" y="connsiteY188"/>
              </a:cxn>
              <a:cxn ang="0">
                <a:pos x="connsiteX189" y="connsiteY189"/>
              </a:cxn>
              <a:cxn ang="0">
                <a:pos x="connsiteX190" y="connsiteY190"/>
              </a:cxn>
              <a:cxn ang="0">
                <a:pos x="connsiteX191" y="connsiteY191"/>
              </a:cxn>
              <a:cxn ang="0">
                <a:pos x="connsiteX192" y="connsiteY192"/>
              </a:cxn>
              <a:cxn ang="0">
                <a:pos x="connsiteX193" y="connsiteY193"/>
              </a:cxn>
              <a:cxn ang="0">
                <a:pos x="connsiteX194" y="connsiteY194"/>
              </a:cxn>
              <a:cxn ang="0">
                <a:pos x="connsiteX195" y="connsiteY195"/>
              </a:cxn>
              <a:cxn ang="0">
                <a:pos x="connsiteX196" y="connsiteY196"/>
              </a:cxn>
              <a:cxn ang="0">
                <a:pos x="connsiteX197" y="connsiteY197"/>
              </a:cxn>
              <a:cxn ang="0">
                <a:pos x="connsiteX198" y="connsiteY198"/>
              </a:cxn>
              <a:cxn ang="0">
                <a:pos x="connsiteX199" y="connsiteY199"/>
              </a:cxn>
              <a:cxn ang="0">
                <a:pos x="connsiteX200" y="connsiteY200"/>
              </a:cxn>
              <a:cxn ang="0">
                <a:pos x="connsiteX201" y="connsiteY201"/>
              </a:cxn>
              <a:cxn ang="0">
                <a:pos x="connsiteX202" y="connsiteY202"/>
              </a:cxn>
              <a:cxn ang="0">
                <a:pos x="connsiteX203" y="connsiteY203"/>
              </a:cxn>
              <a:cxn ang="0">
                <a:pos x="connsiteX204" y="connsiteY204"/>
              </a:cxn>
              <a:cxn ang="0">
                <a:pos x="connsiteX205" y="connsiteY205"/>
              </a:cxn>
              <a:cxn ang="0">
                <a:pos x="connsiteX206" y="connsiteY206"/>
              </a:cxn>
              <a:cxn ang="0">
                <a:pos x="connsiteX207" y="connsiteY207"/>
              </a:cxn>
              <a:cxn ang="0">
                <a:pos x="connsiteX208" y="connsiteY208"/>
              </a:cxn>
              <a:cxn ang="0">
                <a:pos x="connsiteX209" y="connsiteY209"/>
              </a:cxn>
              <a:cxn ang="0">
                <a:pos x="connsiteX210" y="connsiteY210"/>
              </a:cxn>
              <a:cxn ang="0">
                <a:pos x="connsiteX211" y="connsiteY211"/>
              </a:cxn>
              <a:cxn ang="0">
                <a:pos x="connsiteX212" y="connsiteY212"/>
              </a:cxn>
              <a:cxn ang="0">
                <a:pos x="connsiteX213" y="connsiteY213"/>
              </a:cxn>
              <a:cxn ang="0">
                <a:pos x="connsiteX214" y="connsiteY214"/>
              </a:cxn>
              <a:cxn ang="0">
                <a:pos x="connsiteX215" y="connsiteY215"/>
              </a:cxn>
            </a:cxnLst>
            <a:rect l="l" t="t" r="r" b="b"/>
            <a:pathLst>
              <a:path w="2520000" h="2520000">
                <a:moveTo>
                  <a:pt x="238193" y="1997451"/>
                </a:moveTo>
                <a:lnTo>
                  <a:pt x="217544" y="1967962"/>
                </a:lnTo>
                <a:lnTo>
                  <a:pt x="911968" y="1481721"/>
                </a:lnTo>
                <a:lnTo>
                  <a:pt x="177808" y="1905589"/>
                </a:lnTo>
                <a:lnTo>
                  <a:pt x="159808" y="1874412"/>
                </a:lnTo>
                <a:lnTo>
                  <a:pt x="893967" y="1450545"/>
                </a:lnTo>
                <a:lnTo>
                  <a:pt x="125659" y="1808813"/>
                </a:lnTo>
                <a:lnTo>
                  <a:pt x="110445" y="1776186"/>
                </a:lnTo>
                <a:lnTo>
                  <a:pt x="878754" y="1417918"/>
                </a:lnTo>
                <a:lnTo>
                  <a:pt x="82144" y="1707860"/>
                </a:lnTo>
                <a:lnTo>
                  <a:pt x="69831" y="1674031"/>
                </a:lnTo>
                <a:lnTo>
                  <a:pt x="866437" y="1384090"/>
                </a:lnTo>
                <a:lnTo>
                  <a:pt x="47592" y="1603499"/>
                </a:lnTo>
                <a:lnTo>
                  <a:pt x="38275" y="1568725"/>
                </a:lnTo>
                <a:lnTo>
                  <a:pt x="857121" y="1349316"/>
                </a:lnTo>
                <a:lnTo>
                  <a:pt x="22268" y="1496523"/>
                </a:lnTo>
                <a:lnTo>
                  <a:pt x="16016" y="1461070"/>
                </a:lnTo>
                <a:lnTo>
                  <a:pt x="850870" y="1313863"/>
                </a:lnTo>
                <a:lnTo>
                  <a:pt x="6363" y="1387748"/>
                </a:lnTo>
                <a:lnTo>
                  <a:pt x="3226" y="1351885"/>
                </a:lnTo>
                <a:lnTo>
                  <a:pt x="847731" y="1278000"/>
                </a:lnTo>
                <a:lnTo>
                  <a:pt x="0" y="1278000"/>
                </a:lnTo>
                <a:lnTo>
                  <a:pt x="0" y="1242000"/>
                </a:lnTo>
                <a:lnTo>
                  <a:pt x="847733" y="1242001"/>
                </a:lnTo>
                <a:lnTo>
                  <a:pt x="3226" y="1168115"/>
                </a:lnTo>
                <a:lnTo>
                  <a:pt x="6363" y="1132252"/>
                </a:lnTo>
                <a:lnTo>
                  <a:pt x="850874" y="1206137"/>
                </a:lnTo>
                <a:lnTo>
                  <a:pt x="16017" y="1058930"/>
                </a:lnTo>
                <a:lnTo>
                  <a:pt x="22268" y="1023477"/>
                </a:lnTo>
                <a:lnTo>
                  <a:pt x="857120" y="1170684"/>
                </a:lnTo>
                <a:lnTo>
                  <a:pt x="38275" y="951275"/>
                </a:lnTo>
                <a:lnTo>
                  <a:pt x="47592" y="916501"/>
                </a:lnTo>
                <a:lnTo>
                  <a:pt x="866441" y="1135911"/>
                </a:lnTo>
                <a:lnTo>
                  <a:pt x="69831" y="845969"/>
                </a:lnTo>
                <a:lnTo>
                  <a:pt x="82144" y="812140"/>
                </a:lnTo>
                <a:lnTo>
                  <a:pt x="878751" y="1102082"/>
                </a:lnTo>
                <a:lnTo>
                  <a:pt x="110445" y="743815"/>
                </a:lnTo>
                <a:lnTo>
                  <a:pt x="125660" y="711187"/>
                </a:lnTo>
                <a:lnTo>
                  <a:pt x="893964" y="1069453"/>
                </a:lnTo>
                <a:lnTo>
                  <a:pt x="159808" y="645588"/>
                </a:lnTo>
                <a:lnTo>
                  <a:pt x="177808" y="614412"/>
                </a:lnTo>
                <a:lnTo>
                  <a:pt x="911961" y="1038275"/>
                </a:lnTo>
                <a:lnTo>
                  <a:pt x="217544" y="552039"/>
                </a:lnTo>
                <a:lnTo>
                  <a:pt x="238193" y="522549"/>
                </a:lnTo>
                <a:lnTo>
                  <a:pt x="932610" y="1008785"/>
                </a:lnTo>
                <a:lnTo>
                  <a:pt x="283214" y="463876"/>
                </a:lnTo>
                <a:lnTo>
                  <a:pt x="306354" y="436299"/>
                </a:lnTo>
                <a:lnTo>
                  <a:pt x="955755" y="981211"/>
                </a:lnTo>
                <a:lnTo>
                  <a:pt x="356317" y="381774"/>
                </a:lnTo>
                <a:lnTo>
                  <a:pt x="381773" y="356318"/>
                </a:lnTo>
                <a:lnTo>
                  <a:pt x="981211" y="955756"/>
                </a:lnTo>
                <a:lnTo>
                  <a:pt x="436299" y="306354"/>
                </a:lnTo>
                <a:lnTo>
                  <a:pt x="463876" y="283214"/>
                </a:lnTo>
                <a:lnTo>
                  <a:pt x="1008789" y="932616"/>
                </a:lnTo>
                <a:lnTo>
                  <a:pt x="522549" y="238193"/>
                </a:lnTo>
                <a:lnTo>
                  <a:pt x="552039" y="217544"/>
                </a:lnTo>
                <a:lnTo>
                  <a:pt x="1038278" y="911967"/>
                </a:lnTo>
                <a:lnTo>
                  <a:pt x="614411" y="177808"/>
                </a:lnTo>
                <a:lnTo>
                  <a:pt x="645588" y="159808"/>
                </a:lnTo>
                <a:lnTo>
                  <a:pt x="1069453" y="893963"/>
                </a:lnTo>
                <a:lnTo>
                  <a:pt x="711187" y="125659"/>
                </a:lnTo>
                <a:lnTo>
                  <a:pt x="743815" y="110445"/>
                </a:lnTo>
                <a:lnTo>
                  <a:pt x="1102082" y="878751"/>
                </a:lnTo>
                <a:lnTo>
                  <a:pt x="812140" y="82144"/>
                </a:lnTo>
                <a:lnTo>
                  <a:pt x="845969" y="69831"/>
                </a:lnTo>
                <a:lnTo>
                  <a:pt x="1135910" y="866436"/>
                </a:lnTo>
                <a:lnTo>
                  <a:pt x="916501" y="47592"/>
                </a:lnTo>
                <a:lnTo>
                  <a:pt x="951275" y="38275"/>
                </a:lnTo>
                <a:lnTo>
                  <a:pt x="1170683" y="857116"/>
                </a:lnTo>
                <a:lnTo>
                  <a:pt x="1023477" y="22268"/>
                </a:lnTo>
                <a:lnTo>
                  <a:pt x="1058929" y="16017"/>
                </a:lnTo>
                <a:lnTo>
                  <a:pt x="1206138" y="850877"/>
                </a:lnTo>
                <a:lnTo>
                  <a:pt x="1132253" y="6363"/>
                </a:lnTo>
                <a:lnTo>
                  <a:pt x="1168115" y="3226"/>
                </a:lnTo>
                <a:lnTo>
                  <a:pt x="1242000" y="847735"/>
                </a:lnTo>
                <a:lnTo>
                  <a:pt x="1242000" y="0"/>
                </a:lnTo>
                <a:lnTo>
                  <a:pt x="1278000" y="0"/>
                </a:lnTo>
                <a:lnTo>
                  <a:pt x="1278000" y="847501"/>
                </a:lnTo>
                <a:lnTo>
                  <a:pt x="1351906" y="2755"/>
                </a:lnTo>
                <a:lnTo>
                  <a:pt x="1387769" y="5893"/>
                </a:lnTo>
                <a:lnTo>
                  <a:pt x="1313905" y="850161"/>
                </a:lnTo>
                <a:lnTo>
                  <a:pt x="1461153" y="15078"/>
                </a:lnTo>
                <a:lnTo>
                  <a:pt x="1496605" y="21330"/>
                </a:lnTo>
                <a:lnTo>
                  <a:pt x="1349438" y="855956"/>
                </a:lnTo>
                <a:lnTo>
                  <a:pt x="1568910" y="36877"/>
                </a:lnTo>
                <a:lnTo>
                  <a:pt x="1603684" y="46194"/>
                </a:lnTo>
                <a:lnTo>
                  <a:pt x="1384338" y="864802"/>
                </a:lnTo>
                <a:lnTo>
                  <a:pt x="1674356" y="67983"/>
                </a:lnTo>
                <a:lnTo>
                  <a:pt x="1708185" y="80296"/>
                </a:lnTo>
                <a:lnTo>
                  <a:pt x="1418322" y="876690"/>
                </a:lnTo>
                <a:lnTo>
                  <a:pt x="1776692" y="108162"/>
                </a:lnTo>
                <a:lnTo>
                  <a:pt x="1809319" y="123377"/>
                </a:lnTo>
                <a:lnTo>
                  <a:pt x="1451151" y="891470"/>
                </a:lnTo>
                <a:lnTo>
                  <a:pt x="1875135" y="157108"/>
                </a:lnTo>
                <a:lnTo>
                  <a:pt x="1906312" y="175108"/>
                </a:lnTo>
                <a:lnTo>
                  <a:pt x="1482565" y="909059"/>
                </a:lnTo>
                <a:lnTo>
                  <a:pt x="1968938" y="214447"/>
                </a:lnTo>
                <a:lnTo>
                  <a:pt x="1998427" y="235096"/>
                </a:lnTo>
                <a:lnTo>
                  <a:pt x="1512322" y="929326"/>
                </a:lnTo>
                <a:lnTo>
                  <a:pt x="2057387" y="279743"/>
                </a:lnTo>
                <a:lnTo>
                  <a:pt x="2084964" y="302883"/>
                </a:lnTo>
                <a:lnTo>
                  <a:pt x="1540200" y="952109"/>
                </a:lnTo>
                <a:lnTo>
                  <a:pt x="2139809" y="352499"/>
                </a:lnTo>
                <a:lnTo>
                  <a:pt x="2165264" y="377956"/>
                </a:lnTo>
                <a:lnTo>
                  <a:pt x="1514438" y="1028782"/>
                </a:lnTo>
                <a:lnTo>
                  <a:pt x="2219660" y="437030"/>
                </a:lnTo>
                <a:lnTo>
                  <a:pt x="2242800" y="464608"/>
                </a:lnTo>
                <a:lnTo>
                  <a:pt x="1628988" y="979657"/>
                </a:lnTo>
                <a:lnTo>
                  <a:pt x="2281807" y="522549"/>
                </a:lnTo>
                <a:lnTo>
                  <a:pt x="2302456" y="552038"/>
                </a:lnTo>
                <a:lnTo>
                  <a:pt x="1608033" y="1038278"/>
                </a:lnTo>
                <a:lnTo>
                  <a:pt x="2342192" y="614412"/>
                </a:lnTo>
                <a:lnTo>
                  <a:pt x="2360192" y="645588"/>
                </a:lnTo>
                <a:lnTo>
                  <a:pt x="1626031" y="1069457"/>
                </a:lnTo>
                <a:lnTo>
                  <a:pt x="2394341" y="711188"/>
                </a:lnTo>
                <a:lnTo>
                  <a:pt x="2409555" y="743814"/>
                </a:lnTo>
                <a:lnTo>
                  <a:pt x="1641245" y="1102083"/>
                </a:lnTo>
                <a:lnTo>
                  <a:pt x="2437856" y="812140"/>
                </a:lnTo>
                <a:lnTo>
                  <a:pt x="2450169" y="845969"/>
                </a:lnTo>
                <a:lnTo>
                  <a:pt x="1653563" y="1135910"/>
                </a:lnTo>
                <a:lnTo>
                  <a:pt x="2472408" y="916501"/>
                </a:lnTo>
                <a:lnTo>
                  <a:pt x="2481726" y="951274"/>
                </a:lnTo>
                <a:lnTo>
                  <a:pt x="1662878" y="1170685"/>
                </a:lnTo>
                <a:lnTo>
                  <a:pt x="2497732" y="1023477"/>
                </a:lnTo>
                <a:lnTo>
                  <a:pt x="2503984" y="1058930"/>
                </a:lnTo>
                <a:lnTo>
                  <a:pt x="1669132" y="1206137"/>
                </a:lnTo>
                <a:lnTo>
                  <a:pt x="2513637" y="1132252"/>
                </a:lnTo>
                <a:lnTo>
                  <a:pt x="2516774" y="1168115"/>
                </a:lnTo>
                <a:lnTo>
                  <a:pt x="1672268" y="1242000"/>
                </a:lnTo>
                <a:lnTo>
                  <a:pt x="2520000" y="1242000"/>
                </a:lnTo>
                <a:lnTo>
                  <a:pt x="2520000" y="1278000"/>
                </a:lnTo>
                <a:lnTo>
                  <a:pt x="1672267" y="1278000"/>
                </a:lnTo>
                <a:lnTo>
                  <a:pt x="2516774" y="1351885"/>
                </a:lnTo>
                <a:lnTo>
                  <a:pt x="2513637" y="1387748"/>
                </a:lnTo>
                <a:lnTo>
                  <a:pt x="1669126" y="1313862"/>
                </a:lnTo>
                <a:lnTo>
                  <a:pt x="2503983" y="1461070"/>
                </a:lnTo>
                <a:lnTo>
                  <a:pt x="2497733" y="1496523"/>
                </a:lnTo>
                <a:lnTo>
                  <a:pt x="1662877" y="1349315"/>
                </a:lnTo>
                <a:lnTo>
                  <a:pt x="2481725" y="1568725"/>
                </a:lnTo>
                <a:lnTo>
                  <a:pt x="2472408" y="1603498"/>
                </a:lnTo>
                <a:lnTo>
                  <a:pt x="1653557" y="1384088"/>
                </a:lnTo>
                <a:lnTo>
                  <a:pt x="2450169" y="1674031"/>
                </a:lnTo>
                <a:lnTo>
                  <a:pt x="2437857" y="1707860"/>
                </a:lnTo>
                <a:lnTo>
                  <a:pt x="1641251" y="1417919"/>
                </a:lnTo>
                <a:lnTo>
                  <a:pt x="2409555" y="1776185"/>
                </a:lnTo>
                <a:lnTo>
                  <a:pt x="2394340" y="1808813"/>
                </a:lnTo>
                <a:lnTo>
                  <a:pt x="1626043" y="1450550"/>
                </a:lnTo>
                <a:lnTo>
                  <a:pt x="2360192" y="1874411"/>
                </a:lnTo>
                <a:lnTo>
                  <a:pt x="2342192" y="1905588"/>
                </a:lnTo>
                <a:lnTo>
                  <a:pt x="1608038" y="1481725"/>
                </a:lnTo>
                <a:lnTo>
                  <a:pt x="2302456" y="1967961"/>
                </a:lnTo>
                <a:lnTo>
                  <a:pt x="2281807" y="1997451"/>
                </a:lnTo>
                <a:lnTo>
                  <a:pt x="1587388" y="1511214"/>
                </a:lnTo>
                <a:lnTo>
                  <a:pt x="2236786" y="2056124"/>
                </a:lnTo>
                <a:lnTo>
                  <a:pt x="2213646" y="2083701"/>
                </a:lnTo>
                <a:lnTo>
                  <a:pt x="1564245" y="1538789"/>
                </a:lnTo>
                <a:lnTo>
                  <a:pt x="2163683" y="2138227"/>
                </a:lnTo>
                <a:lnTo>
                  <a:pt x="2138227" y="2163682"/>
                </a:lnTo>
                <a:lnTo>
                  <a:pt x="1538789" y="1564244"/>
                </a:lnTo>
                <a:lnTo>
                  <a:pt x="2083701" y="2213646"/>
                </a:lnTo>
                <a:lnTo>
                  <a:pt x="2056124" y="2236786"/>
                </a:lnTo>
                <a:lnTo>
                  <a:pt x="1511211" y="1587385"/>
                </a:lnTo>
                <a:lnTo>
                  <a:pt x="1997451" y="2281807"/>
                </a:lnTo>
                <a:lnTo>
                  <a:pt x="1967961" y="2302456"/>
                </a:lnTo>
                <a:lnTo>
                  <a:pt x="1481723" y="1608035"/>
                </a:lnTo>
                <a:lnTo>
                  <a:pt x="1905589" y="2342192"/>
                </a:lnTo>
                <a:lnTo>
                  <a:pt x="1874412" y="2360192"/>
                </a:lnTo>
                <a:lnTo>
                  <a:pt x="1450548" y="1626039"/>
                </a:lnTo>
                <a:lnTo>
                  <a:pt x="1808813" y="2394341"/>
                </a:lnTo>
                <a:lnTo>
                  <a:pt x="1776185" y="2409555"/>
                </a:lnTo>
                <a:lnTo>
                  <a:pt x="1417919" y="1641250"/>
                </a:lnTo>
                <a:lnTo>
                  <a:pt x="1707860" y="2437856"/>
                </a:lnTo>
                <a:lnTo>
                  <a:pt x="1674031" y="2450169"/>
                </a:lnTo>
                <a:lnTo>
                  <a:pt x="1384091" y="1653568"/>
                </a:lnTo>
                <a:lnTo>
                  <a:pt x="1603499" y="2472408"/>
                </a:lnTo>
                <a:lnTo>
                  <a:pt x="1568725" y="2481726"/>
                </a:lnTo>
                <a:lnTo>
                  <a:pt x="1349315" y="1662879"/>
                </a:lnTo>
                <a:lnTo>
                  <a:pt x="1496523" y="2497732"/>
                </a:lnTo>
                <a:lnTo>
                  <a:pt x="1461070" y="2503984"/>
                </a:lnTo>
                <a:lnTo>
                  <a:pt x="1313863" y="1669130"/>
                </a:lnTo>
                <a:lnTo>
                  <a:pt x="1387748" y="2513637"/>
                </a:lnTo>
                <a:lnTo>
                  <a:pt x="1351885" y="2516774"/>
                </a:lnTo>
                <a:lnTo>
                  <a:pt x="1278000" y="1672266"/>
                </a:lnTo>
                <a:lnTo>
                  <a:pt x="1278000" y="2520000"/>
                </a:lnTo>
                <a:lnTo>
                  <a:pt x="1242000" y="2520000"/>
                </a:lnTo>
                <a:lnTo>
                  <a:pt x="1242002" y="1672022"/>
                </a:lnTo>
                <a:lnTo>
                  <a:pt x="1168137" y="2516303"/>
                </a:lnTo>
                <a:lnTo>
                  <a:pt x="1132273" y="2513166"/>
                </a:lnTo>
                <a:lnTo>
                  <a:pt x="1206179" y="1668416"/>
                </a:lnTo>
                <a:lnTo>
                  <a:pt x="1059012" y="2503045"/>
                </a:lnTo>
                <a:lnTo>
                  <a:pt x="1023559" y="2496794"/>
                </a:lnTo>
                <a:lnTo>
                  <a:pt x="1170806" y="1661718"/>
                </a:lnTo>
                <a:lnTo>
                  <a:pt x="951460" y="2480327"/>
                </a:lnTo>
                <a:lnTo>
                  <a:pt x="916686" y="2471010"/>
                </a:lnTo>
                <a:lnTo>
                  <a:pt x="1136159" y="1651925"/>
                </a:lnTo>
                <a:lnTo>
                  <a:pt x="846295" y="2448322"/>
                </a:lnTo>
                <a:lnTo>
                  <a:pt x="812466" y="2436009"/>
                </a:lnTo>
                <a:lnTo>
                  <a:pt x="1102487" y="1639184"/>
                </a:lnTo>
                <a:lnTo>
                  <a:pt x="744321" y="2407272"/>
                </a:lnTo>
                <a:lnTo>
                  <a:pt x="711694" y="2392058"/>
                </a:lnTo>
                <a:lnTo>
                  <a:pt x="1070059" y="1623541"/>
                </a:lnTo>
                <a:lnTo>
                  <a:pt x="646312" y="2357492"/>
                </a:lnTo>
                <a:lnTo>
                  <a:pt x="615135" y="2339492"/>
                </a:lnTo>
                <a:lnTo>
                  <a:pt x="1039124" y="1605123"/>
                </a:lnTo>
                <a:lnTo>
                  <a:pt x="553015" y="2299359"/>
                </a:lnTo>
                <a:lnTo>
                  <a:pt x="523525" y="2278710"/>
                </a:lnTo>
                <a:lnTo>
                  <a:pt x="1009901" y="1584093"/>
                </a:lnTo>
                <a:lnTo>
                  <a:pt x="465140" y="2233315"/>
                </a:lnTo>
                <a:lnTo>
                  <a:pt x="437562" y="2210175"/>
                </a:lnTo>
                <a:lnTo>
                  <a:pt x="982624" y="1560596"/>
                </a:lnTo>
                <a:lnTo>
                  <a:pt x="383355" y="2159864"/>
                </a:lnTo>
                <a:lnTo>
                  <a:pt x="357899" y="2134408"/>
                </a:lnTo>
                <a:lnTo>
                  <a:pt x="905948" y="1586360"/>
                </a:lnTo>
                <a:lnTo>
                  <a:pt x="312368" y="2084433"/>
                </a:lnTo>
                <a:lnTo>
                  <a:pt x="289228" y="2056855"/>
                </a:lnTo>
                <a:lnTo>
                  <a:pt x="974211" y="1482086"/>
                </a:lnTo>
                <a:close/>
              </a:path>
            </a:pathLst>
          </a:cu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aphicFrame macro="">
        <xdr:nvGraphicFramePr>
          <xdr:cNvPr id="107" name="Диаграмма 1"/>
          <xdr:cNvGraphicFramePr/>
        </xdr:nvGraphicFramePr>
        <xdr:xfrm>
          <a:off x="2338572" y="1057275"/>
          <a:ext cx="1334943" cy="12811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108" name="Овал 5"/>
          <xdr:cNvSpPr/>
        </xdr:nvSpPr>
        <xdr:spPr>
          <a:xfrm>
            <a:off x="2620447" y="1313242"/>
            <a:ext cx="762289" cy="756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9" name="Овал 7"/>
          <xdr:cNvSpPr/>
        </xdr:nvSpPr>
        <xdr:spPr>
          <a:xfrm>
            <a:off x="2668168" y="1360844"/>
            <a:ext cx="666846" cy="660796"/>
          </a:xfrm>
          <a:prstGeom prst="ellipse">
            <a:avLst/>
          </a:prstGeom>
          <a:noFill/>
          <a:ln>
            <a:solidFill>
              <a:srgbClr val="4C9CB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333935</xdr:colOff>
      <xdr:row>21</xdr:row>
      <xdr:rowOff>76201</xdr:rowOff>
    </xdr:from>
    <xdr:to>
      <xdr:col>9</xdr:col>
      <xdr:colOff>287695</xdr:colOff>
      <xdr:row>28</xdr:row>
      <xdr:rowOff>23813</xdr:rowOff>
    </xdr:to>
    <xdr:grpSp>
      <xdr:nvGrpSpPr>
        <xdr:cNvPr id="110" name="Группа 34"/>
        <xdr:cNvGrpSpPr/>
      </xdr:nvGrpSpPr>
      <xdr:grpSpPr>
        <a:xfrm>
          <a:off x="2512779" y="4886326"/>
          <a:ext cx="1442041" cy="1316831"/>
          <a:chOff x="2338572" y="1057275"/>
          <a:chExt cx="1334943" cy="1281112"/>
        </a:xfrm>
      </xdr:grpSpPr>
      <xdr:sp macro="" textlink="">
        <xdr:nvSpPr>
          <xdr:cNvPr id="111" name="Овал 9"/>
          <xdr:cNvSpPr/>
        </xdr:nvSpPr>
        <xdr:spPr>
          <a:xfrm>
            <a:off x="2478715" y="1170017"/>
            <a:ext cx="1045752" cy="1042451"/>
          </a:xfrm>
          <a:prstGeom prst="ellipse">
            <a:avLst/>
          </a:prstGeom>
          <a:noFill/>
          <a:ln w="22225">
            <a:solidFill>
              <a:srgbClr val="25C4FF"/>
            </a:solidFill>
          </a:ln>
          <a:effectLst>
            <a:glow rad="50800">
              <a:srgbClr val="1CCDFE">
                <a:alpha val="22000"/>
              </a:srgb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2" name="Прямоугольник 32"/>
          <xdr:cNvSpPr/>
        </xdr:nvSpPr>
        <xdr:spPr>
          <a:xfrm>
            <a:off x="3470409" y="1524000"/>
            <a:ext cx="149091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3" name="Прямоугольник 33"/>
          <xdr:cNvSpPr/>
        </xdr:nvSpPr>
        <xdr:spPr>
          <a:xfrm>
            <a:off x="2396983" y="1524000"/>
            <a:ext cx="149091" cy="289892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4" name="Полилиния 8"/>
          <xdr:cNvSpPr/>
        </xdr:nvSpPr>
        <xdr:spPr>
          <a:xfrm rot="7800000">
            <a:off x="2531792" y="1219261"/>
            <a:ext cx="939600" cy="943961"/>
          </a:xfrm>
          <a:custGeom>
            <a:avLst/>
            <a:gdLst>
              <a:gd name="connsiteX0" fmla="*/ 238193 w 2520000"/>
              <a:gd name="connsiteY0" fmla="*/ 1997451 h 2520000"/>
              <a:gd name="connsiteX1" fmla="*/ 217544 w 2520000"/>
              <a:gd name="connsiteY1" fmla="*/ 1967962 h 2520000"/>
              <a:gd name="connsiteX2" fmla="*/ 911968 w 2520000"/>
              <a:gd name="connsiteY2" fmla="*/ 1481721 h 2520000"/>
              <a:gd name="connsiteX3" fmla="*/ 177808 w 2520000"/>
              <a:gd name="connsiteY3" fmla="*/ 1905589 h 2520000"/>
              <a:gd name="connsiteX4" fmla="*/ 159808 w 2520000"/>
              <a:gd name="connsiteY4" fmla="*/ 1874412 h 2520000"/>
              <a:gd name="connsiteX5" fmla="*/ 893967 w 2520000"/>
              <a:gd name="connsiteY5" fmla="*/ 1450545 h 2520000"/>
              <a:gd name="connsiteX6" fmla="*/ 125659 w 2520000"/>
              <a:gd name="connsiteY6" fmla="*/ 1808813 h 2520000"/>
              <a:gd name="connsiteX7" fmla="*/ 110445 w 2520000"/>
              <a:gd name="connsiteY7" fmla="*/ 1776186 h 2520000"/>
              <a:gd name="connsiteX8" fmla="*/ 878754 w 2520000"/>
              <a:gd name="connsiteY8" fmla="*/ 1417918 h 2520000"/>
              <a:gd name="connsiteX9" fmla="*/ 82144 w 2520000"/>
              <a:gd name="connsiteY9" fmla="*/ 1707860 h 2520000"/>
              <a:gd name="connsiteX10" fmla="*/ 69831 w 2520000"/>
              <a:gd name="connsiteY10" fmla="*/ 1674031 h 2520000"/>
              <a:gd name="connsiteX11" fmla="*/ 866437 w 2520000"/>
              <a:gd name="connsiteY11" fmla="*/ 1384090 h 2520000"/>
              <a:gd name="connsiteX12" fmla="*/ 47592 w 2520000"/>
              <a:gd name="connsiteY12" fmla="*/ 1603499 h 2520000"/>
              <a:gd name="connsiteX13" fmla="*/ 38275 w 2520000"/>
              <a:gd name="connsiteY13" fmla="*/ 1568725 h 2520000"/>
              <a:gd name="connsiteX14" fmla="*/ 857121 w 2520000"/>
              <a:gd name="connsiteY14" fmla="*/ 1349316 h 2520000"/>
              <a:gd name="connsiteX15" fmla="*/ 22268 w 2520000"/>
              <a:gd name="connsiteY15" fmla="*/ 1496523 h 2520000"/>
              <a:gd name="connsiteX16" fmla="*/ 16016 w 2520000"/>
              <a:gd name="connsiteY16" fmla="*/ 1461070 h 2520000"/>
              <a:gd name="connsiteX17" fmla="*/ 850870 w 2520000"/>
              <a:gd name="connsiteY17" fmla="*/ 1313863 h 2520000"/>
              <a:gd name="connsiteX18" fmla="*/ 6363 w 2520000"/>
              <a:gd name="connsiteY18" fmla="*/ 1387748 h 2520000"/>
              <a:gd name="connsiteX19" fmla="*/ 3226 w 2520000"/>
              <a:gd name="connsiteY19" fmla="*/ 1351885 h 2520000"/>
              <a:gd name="connsiteX20" fmla="*/ 847731 w 2520000"/>
              <a:gd name="connsiteY20" fmla="*/ 1278000 h 2520000"/>
              <a:gd name="connsiteX21" fmla="*/ 0 w 2520000"/>
              <a:gd name="connsiteY21" fmla="*/ 1278000 h 2520000"/>
              <a:gd name="connsiteX22" fmla="*/ 0 w 2520000"/>
              <a:gd name="connsiteY22" fmla="*/ 1242000 h 2520000"/>
              <a:gd name="connsiteX23" fmla="*/ 847733 w 2520000"/>
              <a:gd name="connsiteY23" fmla="*/ 1242001 h 2520000"/>
              <a:gd name="connsiteX24" fmla="*/ 3226 w 2520000"/>
              <a:gd name="connsiteY24" fmla="*/ 1168115 h 2520000"/>
              <a:gd name="connsiteX25" fmla="*/ 6363 w 2520000"/>
              <a:gd name="connsiteY25" fmla="*/ 1132252 h 2520000"/>
              <a:gd name="connsiteX26" fmla="*/ 850874 w 2520000"/>
              <a:gd name="connsiteY26" fmla="*/ 1206137 h 2520000"/>
              <a:gd name="connsiteX27" fmla="*/ 16017 w 2520000"/>
              <a:gd name="connsiteY27" fmla="*/ 1058930 h 2520000"/>
              <a:gd name="connsiteX28" fmla="*/ 22268 w 2520000"/>
              <a:gd name="connsiteY28" fmla="*/ 1023477 h 2520000"/>
              <a:gd name="connsiteX29" fmla="*/ 857120 w 2520000"/>
              <a:gd name="connsiteY29" fmla="*/ 1170684 h 2520000"/>
              <a:gd name="connsiteX30" fmla="*/ 38275 w 2520000"/>
              <a:gd name="connsiteY30" fmla="*/ 951275 h 2520000"/>
              <a:gd name="connsiteX31" fmla="*/ 47592 w 2520000"/>
              <a:gd name="connsiteY31" fmla="*/ 916501 h 2520000"/>
              <a:gd name="connsiteX32" fmla="*/ 866441 w 2520000"/>
              <a:gd name="connsiteY32" fmla="*/ 1135911 h 2520000"/>
              <a:gd name="connsiteX33" fmla="*/ 69831 w 2520000"/>
              <a:gd name="connsiteY33" fmla="*/ 845969 h 2520000"/>
              <a:gd name="connsiteX34" fmla="*/ 82144 w 2520000"/>
              <a:gd name="connsiteY34" fmla="*/ 812140 h 2520000"/>
              <a:gd name="connsiteX35" fmla="*/ 878751 w 2520000"/>
              <a:gd name="connsiteY35" fmla="*/ 1102082 h 2520000"/>
              <a:gd name="connsiteX36" fmla="*/ 110445 w 2520000"/>
              <a:gd name="connsiteY36" fmla="*/ 743815 h 2520000"/>
              <a:gd name="connsiteX37" fmla="*/ 125660 w 2520000"/>
              <a:gd name="connsiteY37" fmla="*/ 711187 h 2520000"/>
              <a:gd name="connsiteX38" fmla="*/ 893964 w 2520000"/>
              <a:gd name="connsiteY38" fmla="*/ 1069453 h 2520000"/>
              <a:gd name="connsiteX39" fmla="*/ 159808 w 2520000"/>
              <a:gd name="connsiteY39" fmla="*/ 645588 h 2520000"/>
              <a:gd name="connsiteX40" fmla="*/ 177808 w 2520000"/>
              <a:gd name="connsiteY40" fmla="*/ 614412 h 2520000"/>
              <a:gd name="connsiteX41" fmla="*/ 911961 w 2520000"/>
              <a:gd name="connsiteY41" fmla="*/ 1038275 h 2520000"/>
              <a:gd name="connsiteX42" fmla="*/ 217544 w 2520000"/>
              <a:gd name="connsiteY42" fmla="*/ 552039 h 2520000"/>
              <a:gd name="connsiteX43" fmla="*/ 238193 w 2520000"/>
              <a:gd name="connsiteY43" fmla="*/ 522549 h 2520000"/>
              <a:gd name="connsiteX44" fmla="*/ 932610 w 2520000"/>
              <a:gd name="connsiteY44" fmla="*/ 1008785 h 2520000"/>
              <a:gd name="connsiteX45" fmla="*/ 283214 w 2520000"/>
              <a:gd name="connsiteY45" fmla="*/ 463876 h 2520000"/>
              <a:gd name="connsiteX46" fmla="*/ 306354 w 2520000"/>
              <a:gd name="connsiteY46" fmla="*/ 436299 h 2520000"/>
              <a:gd name="connsiteX47" fmla="*/ 955755 w 2520000"/>
              <a:gd name="connsiteY47" fmla="*/ 981211 h 2520000"/>
              <a:gd name="connsiteX48" fmla="*/ 356317 w 2520000"/>
              <a:gd name="connsiteY48" fmla="*/ 381774 h 2520000"/>
              <a:gd name="connsiteX49" fmla="*/ 381773 w 2520000"/>
              <a:gd name="connsiteY49" fmla="*/ 356318 h 2520000"/>
              <a:gd name="connsiteX50" fmla="*/ 981211 w 2520000"/>
              <a:gd name="connsiteY50" fmla="*/ 955756 h 2520000"/>
              <a:gd name="connsiteX51" fmla="*/ 436299 w 2520000"/>
              <a:gd name="connsiteY51" fmla="*/ 306354 h 2520000"/>
              <a:gd name="connsiteX52" fmla="*/ 463876 w 2520000"/>
              <a:gd name="connsiteY52" fmla="*/ 283214 h 2520000"/>
              <a:gd name="connsiteX53" fmla="*/ 1008789 w 2520000"/>
              <a:gd name="connsiteY53" fmla="*/ 932616 h 2520000"/>
              <a:gd name="connsiteX54" fmla="*/ 522549 w 2520000"/>
              <a:gd name="connsiteY54" fmla="*/ 238193 h 2520000"/>
              <a:gd name="connsiteX55" fmla="*/ 552039 w 2520000"/>
              <a:gd name="connsiteY55" fmla="*/ 217544 h 2520000"/>
              <a:gd name="connsiteX56" fmla="*/ 1038278 w 2520000"/>
              <a:gd name="connsiteY56" fmla="*/ 911967 h 2520000"/>
              <a:gd name="connsiteX57" fmla="*/ 614411 w 2520000"/>
              <a:gd name="connsiteY57" fmla="*/ 177808 h 2520000"/>
              <a:gd name="connsiteX58" fmla="*/ 645588 w 2520000"/>
              <a:gd name="connsiteY58" fmla="*/ 159808 h 2520000"/>
              <a:gd name="connsiteX59" fmla="*/ 1069453 w 2520000"/>
              <a:gd name="connsiteY59" fmla="*/ 893963 h 2520000"/>
              <a:gd name="connsiteX60" fmla="*/ 711187 w 2520000"/>
              <a:gd name="connsiteY60" fmla="*/ 125659 h 2520000"/>
              <a:gd name="connsiteX61" fmla="*/ 743815 w 2520000"/>
              <a:gd name="connsiteY61" fmla="*/ 110445 h 2520000"/>
              <a:gd name="connsiteX62" fmla="*/ 1102082 w 2520000"/>
              <a:gd name="connsiteY62" fmla="*/ 878751 h 2520000"/>
              <a:gd name="connsiteX63" fmla="*/ 812140 w 2520000"/>
              <a:gd name="connsiteY63" fmla="*/ 82144 h 2520000"/>
              <a:gd name="connsiteX64" fmla="*/ 845969 w 2520000"/>
              <a:gd name="connsiteY64" fmla="*/ 69831 h 2520000"/>
              <a:gd name="connsiteX65" fmla="*/ 1135910 w 2520000"/>
              <a:gd name="connsiteY65" fmla="*/ 866436 h 2520000"/>
              <a:gd name="connsiteX66" fmla="*/ 916501 w 2520000"/>
              <a:gd name="connsiteY66" fmla="*/ 47592 h 2520000"/>
              <a:gd name="connsiteX67" fmla="*/ 951275 w 2520000"/>
              <a:gd name="connsiteY67" fmla="*/ 38275 h 2520000"/>
              <a:gd name="connsiteX68" fmla="*/ 1170683 w 2520000"/>
              <a:gd name="connsiteY68" fmla="*/ 857116 h 2520000"/>
              <a:gd name="connsiteX69" fmla="*/ 1023477 w 2520000"/>
              <a:gd name="connsiteY69" fmla="*/ 22268 h 2520000"/>
              <a:gd name="connsiteX70" fmla="*/ 1058929 w 2520000"/>
              <a:gd name="connsiteY70" fmla="*/ 16017 h 2520000"/>
              <a:gd name="connsiteX71" fmla="*/ 1206138 w 2520000"/>
              <a:gd name="connsiteY71" fmla="*/ 850877 h 2520000"/>
              <a:gd name="connsiteX72" fmla="*/ 1132253 w 2520000"/>
              <a:gd name="connsiteY72" fmla="*/ 6363 h 2520000"/>
              <a:gd name="connsiteX73" fmla="*/ 1168115 w 2520000"/>
              <a:gd name="connsiteY73" fmla="*/ 3226 h 2520000"/>
              <a:gd name="connsiteX74" fmla="*/ 1242000 w 2520000"/>
              <a:gd name="connsiteY74" fmla="*/ 847735 h 2520000"/>
              <a:gd name="connsiteX75" fmla="*/ 1242000 w 2520000"/>
              <a:gd name="connsiteY75" fmla="*/ 0 h 2520000"/>
              <a:gd name="connsiteX76" fmla="*/ 1278000 w 2520000"/>
              <a:gd name="connsiteY76" fmla="*/ 0 h 2520000"/>
              <a:gd name="connsiteX77" fmla="*/ 1278000 w 2520000"/>
              <a:gd name="connsiteY77" fmla="*/ 847501 h 2520000"/>
              <a:gd name="connsiteX78" fmla="*/ 1351906 w 2520000"/>
              <a:gd name="connsiteY78" fmla="*/ 2755 h 2520000"/>
              <a:gd name="connsiteX79" fmla="*/ 1387769 w 2520000"/>
              <a:gd name="connsiteY79" fmla="*/ 5893 h 2520000"/>
              <a:gd name="connsiteX80" fmla="*/ 1313905 w 2520000"/>
              <a:gd name="connsiteY80" fmla="*/ 850161 h 2520000"/>
              <a:gd name="connsiteX81" fmla="*/ 1461153 w 2520000"/>
              <a:gd name="connsiteY81" fmla="*/ 15078 h 2520000"/>
              <a:gd name="connsiteX82" fmla="*/ 1496605 w 2520000"/>
              <a:gd name="connsiteY82" fmla="*/ 21330 h 2520000"/>
              <a:gd name="connsiteX83" fmla="*/ 1349438 w 2520000"/>
              <a:gd name="connsiteY83" fmla="*/ 855956 h 2520000"/>
              <a:gd name="connsiteX84" fmla="*/ 1568910 w 2520000"/>
              <a:gd name="connsiteY84" fmla="*/ 36877 h 2520000"/>
              <a:gd name="connsiteX85" fmla="*/ 1603684 w 2520000"/>
              <a:gd name="connsiteY85" fmla="*/ 46194 h 2520000"/>
              <a:gd name="connsiteX86" fmla="*/ 1384338 w 2520000"/>
              <a:gd name="connsiteY86" fmla="*/ 864802 h 2520000"/>
              <a:gd name="connsiteX87" fmla="*/ 1674356 w 2520000"/>
              <a:gd name="connsiteY87" fmla="*/ 67983 h 2520000"/>
              <a:gd name="connsiteX88" fmla="*/ 1708185 w 2520000"/>
              <a:gd name="connsiteY88" fmla="*/ 80296 h 2520000"/>
              <a:gd name="connsiteX89" fmla="*/ 1418322 w 2520000"/>
              <a:gd name="connsiteY89" fmla="*/ 876690 h 2520000"/>
              <a:gd name="connsiteX90" fmla="*/ 1776692 w 2520000"/>
              <a:gd name="connsiteY90" fmla="*/ 108162 h 2520000"/>
              <a:gd name="connsiteX91" fmla="*/ 1809319 w 2520000"/>
              <a:gd name="connsiteY91" fmla="*/ 123377 h 2520000"/>
              <a:gd name="connsiteX92" fmla="*/ 1451151 w 2520000"/>
              <a:gd name="connsiteY92" fmla="*/ 891470 h 2520000"/>
              <a:gd name="connsiteX93" fmla="*/ 1875135 w 2520000"/>
              <a:gd name="connsiteY93" fmla="*/ 157108 h 2520000"/>
              <a:gd name="connsiteX94" fmla="*/ 1906312 w 2520000"/>
              <a:gd name="connsiteY94" fmla="*/ 175108 h 2520000"/>
              <a:gd name="connsiteX95" fmla="*/ 1482565 w 2520000"/>
              <a:gd name="connsiteY95" fmla="*/ 909059 h 2520000"/>
              <a:gd name="connsiteX96" fmla="*/ 1968938 w 2520000"/>
              <a:gd name="connsiteY96" fmla="*/ 214447 h 2520000"/>
              <a:gd name="connsiteX97" fmla="*/ 1998427 w 2520000"/>
              <a:gd name="connsiteY97" fmla="*/ 235096 h 2520000"/>
              <a:gd name="connsiteX98" fmla="*/ 1512322 w 2520000"/>
              <a:gd name="connsiteY98" fmla="*/ 929326 h 2520000"/>
              <a:gd name="connsiteX99" fmla="*/ 2057387 w 2520000"/>
              <a:gd name="connsiteY99" fmla="*/ 279743 h 2520000"/>
              <a:gd name="connsiteX100" fmla="*/ 2084964 w 2520000"/>
              <a:gd name="connsiteY100" fmla="*/ 302883 h 2520000"/>
              <a:gd name="connsiteX101" fmla="*/ 1540200 w 2520000"/>
              <a:gd name="connsiteY101" fmla="*/ 952109 h 2520000"/>
              <a:gd name="connsiteX102" fmla="*/ 2139809 w 2520000"/>
              <a:gd name="connsiteY102" fmla="*/ 352499 h 2520000"/>
              <a:gd name="connsiteX103" fmla="*/ 2165264 w 2520000"/>
              <a:gd name="connsiteY103" fmla="*/ 377956 h 2520000"/>
              <a:gd name="connsiteX104" fmla="*/ 1514438 w 2520000"/>
              <a:gd name="connsiteY104" fmla="*/ 1028782 h 2520000"/>
              <a:gd name="connsiteX105" fmla="*/ 2219660 w 2520000"/>
              <a:gd name="connsiteY105" fmla="*/ 437030 h 2520000"/>
              <a:gd name="connsiteX106" fmla="*/ 2242800 w 2520000"/>
              <a:gd name="connsiteY106" fmla="*/ 464608 h 2520000"/>
              <a:gd name="connsiteX107" fmla="*/ 1628988 w 2520000"/>
              <a:gd name="connsiteY107" fmla="*/ 979657 h 2520000"/>
              <a:gd name="connsiteX108" fmla="*/ 2281807 w 2520000"/>
              <a:gd name="connsiteY108" fmla="*/ 522549 h 2520000"/>
              <a:gd name="connsiteX109" fmla="*/ 2302456 w 2520000"/>
              <a:gd name="connsiteY109" fmla="*/ 552038 h 2520000"/>
              <a:gd name="connsiteX110" fmla="*/ 1608033 w 2520000"/>
              <a:gd name="connsiteY110" fmla="*/ 1038278 h 2520000"/>
              <a:gd name="connsiteX111" fmla="*/ 2342192 w 2520000"/>
              <a:gd name="connsiteY111" fmla="*/ 614412 h 2520000"/>
              <a:gd name="connsiteX112" fmla="*/ 2360192 w 2520000"/>
              <a:gd name="connsiteY112" fmla="*/ 645588 h 2520000"/>
              <a:gd name="connsiteX113" fmla="*/ 1626031 w 2520000"/>
              <a:gd name="connsiteY113" fmla="*/ 1069457 h 2520000"/>
              <a:gd name="connsiteX114" fmla="*/ 2394341 w 2520000"/>
              <a:gd name="connsiteY114" fmla="*/ 711188 h 2520000"/>
              <a:gd name="connsiteX115" fmla="*/ 2409555 w 2520000"/>
              <a:gd name="connsiteY115" fmla="*/ 743814 h 2520000"/>
              <a:gd name="connsiteX116" fmla="*/ 1641245 w 2520000"/>
              <a:gd name="connsiteY116" fmla="*/ 1102083 h 2520000"/>
              <a:gd name="connsiteX117" fmla="*/ 2437856 w 2520000"/>
              <a:gd name="connsiteY117" fmla="*/ 812140 h 2520000"/>
              <a:gd name="connsiteX118" fmla="*/ 2450169 w 2520000"/>
              <a:gd name="connsiteY118" fmla="*/ 845969 h 2520000"/>
              <a:gd name="connsiteX119" fmla="*/ 1653563 w 2520000"/>
              <a:gd name="connsiteY119" fmla="*/ 1135910 h 2520000"/>
              <a:gd name="connsiteX120" fmla="*/ 2472408 w 2520000"/>
              <a:gd name="connsiteY120" fmla="*/ 916501 h 2520000"/>
              <a:gd name="connsiteX121" fmla="*/ 2481726 w 2520000"/>
              <a:gd name="connsiteY121" fmla="*/ 951274 h 2520000"/>
              <a:gd name="connsiteX122" fmla="*/ 1662878 w 2520000"/>
              <a:gd name="connsiteY122" fmla="*/ 1170685 h 2520000"/>
              <a:gd name="connsiteX123" fmla="*/ 2497732 w 2520000"/>
              <a:gd name="connsiteY123" fmla="*/ 1023477 h 2520000"/>
              <a:gd name="connsiteX124" fmla="*/ 2503984 w 2520000"/>
              <a:gd name="connsiteY124" fmla="*/ 1058930 h 2520000"/>
              <a:gd name="connsiteX125" fmla="*/ 1669132 w 2520000"/>
              <a:gd name="connsiteY125" fmla="*/ 1206137 h 2520000"/>
              <a:gd name="connsiteX126" fmla="*/ 2513637 w 2520000"/>
              <a:gd name="connsiteY126" fmla="*/ 1132252 h 2520000"/>
              <a:gd name="connsiteX127" fmla="*/ 2516774 w 2520000"/>
              <a:gd name="connsiteY127" fmla="*/ 1168115 h 2520000"/>
              <a:gd name="connsiteX128" fmla="*/ 1672268 w 2520000"/>
              <a:gd name="connsiteY128" fmla="*/ 1242000 h 2520000"/>
              <a:gd name="connsiteX129" fmla="*/ 2520000 w 2520000"/>
              <a:gd name="connsiteY129" fmla="*/ 1242000 h 2520000"/>
              <a:gd name="connsiteX130" fmla="*/ 2520000 w 2520000"/>
              <a:gd name="connsiteY130" fmla="*/ 1278000 h 2520000"/>
              <a:gd name="connsiteX131" fmla="*/ 1672267 w 2520000"/>
              <a:gd name="connsiteY131" fmla="*/ 1278000 h 2520000"/>
              <a:gd name="connsiteX132" fmla="*/ 2516774 w 2520000"/>
              <a:gd name="connsiteY132" fmla="*/ 1351885 h 2520000"/>
              <a:gd name="connsiteX133" fmla="*/ 2513637 w 2520000"/>
              <a:gd name="connsiteY133" fmla="*/ 1387748 h 2520000"/>
              <a:gd name="connsiteX134" fmla="*/ 1669126 w 2520000"/>
              <a:gd name="connsiteY134" fmla="*/ 1313862 h 2520000"/>
              <a:gd name="connsiteX135" fmla="*/ 2503983 w 2520000"/>
              <a:gd name="connsiteY135" fmla="*/ 1461070 h 2520000"/>
              <a:gd name="connsiteX136" fmla="*/ 2497733 w 2520000"/>
              <a:gd name="connsiteY136" fmla="*/ 1496523 h 2520000"/>
              <a:gd name="connsiteX137" fmla="*/ 1662877 w 2520000"/>
              <a:gd name="connsiteY137" fmla="*/ 1349315 h 2520000"/>
              <a:gd name="connsiteX138" fmla="*/ 2481725 w 2520000"/>
              <a:gd name="connsiteY138" fmla="*/ 1568725 h 2520000"/>
              <a:gd name="connsiteX139" fmla="*/ 2472408 w 2520000"/>
              <a:gd name="connsiteY139" fmla="*/ 1603498 h 2520000"/>
              <a:gd name="connsiteX140" fmla="*/ 1653557 w 2520000"/>
              <a:gd name="connsiteY140" fmla="*/ 1384088 h 2520000"/>
              <a:gd name="connsiteX141" fmla="*/ 2450169 w 2520000"/>
              <a:gd name="connsiteY141" fmla="*/ 1674031 h 2520000"/>
              <a:gd name="connsiteX142" fmla="*/ 2437857 w 2520000"/>
              <a:gd name="connsiteY142" fmla="*/ 1707860 h 2520000"/>
              <a:gd name="connsiteX143" fmla="*/ 1641251 w 2520000"/>
              <a:gd name="connsiteY143" fmla="*/ 1417919 h 2520000"/>
              <a:gd name="connsiteX144" fmla="*/ 2409555 w 2520000"/>
              <a:gd name="connsiteY144" fmla="*/ 1776185 h 2520000"/>
              <a:gd name="connsiteX145" fmla="*/ 2394340 w 2520000"/>
              <a:gd name="connsiteY145" fmla="*/ 1808813 h 2520000"/>
              <a:gd name="connsiteX146" fmla="*/ 1626043 w 2520000"/>
              <a:gd name="connsiteY146" fmla="*/ 1450550 h 2520000"/>
              <a:gd name="connsiteX147" fmla="*/ 2360192 w 2520000"/>
              <a:gd name="connsiteY147" fmla="*/ 1874411 h 2520000"/>
              <a:gd name="connsiteX148" fmla="*/ 2342192 w 2520000"/>
              <a:gd name="connsiteY148" fmla="*/ 1905588 h 2520000"/>
              <a:gd name="connsiteX149" fmla="*/ 1608038 w 2520000"/>
              <a:gd name="connsiteY149" fmla="*/ 1481725 h 2520000"/>
              <a:gd name="connsiteX150" fmla="*/ 2302456 w 2520000"/>
              <a:gd name="connsiteY150" fmla="*/ 1967961 h 2520000"/>
              <a:gd name="connsiteX151" fmla="*/ 2281807 w 2520000"/>
              <a:gd name="connsiteY151" fmla="*/ 1997451 h 2520000"/>
              <a:gd name="connsiteX152" fmla="*/ 1587388 w 2520000"/>
              <a:gd name="connsiteY152" fmla="*/ 1511214 h 2520000"/>
              <a:gd name="connsiteX153" fmla="*/ 2236786 w 2520000"/>
              <a:gd name="connsiteY153" fmla="*/ 2056124 h 2520000"/>
              <a:gd name="connsiteX154" fmla="*/ 2213646 w 2520000"/>
              <a:gd name="connsiteY154" fmla="*/ 2083701 h 2520000"/>
              <a:gd name="connsiteX155" fmla="*/ 1564245 w 2520000"/>
              <a:gd name="connsiteY155" fmla="*/ 1538789 h 2520000"/>
              <a:gd name="connsiteX156" fmla="*/ 2163683 w 2520000"/>
              <a:gd name="connsiteY156" fmla="*/ 2138227 h 2520000"/>
              <a:gd name="connsiteX157" fmla="*/ 2138227 w 2520000"/>
              <a:gd name="connsiteY157" fmla="*/ 2163682 h 2520000"/>
              <a:gd name="connsiteX158" fmla="*/ 1538789 w 2520000"/>
              <a:gd name="connsiteY158" fmla="*/ 1564244 h 2520000"/>
              <a:gd name="connsiteX159" fmla="*/ 2083701 w 2520000"/>
              <a:gd name="connsiteY159" fmla="*/ 2213646 h 2520000"/>
              <a:gd name="connsiteX160" fmla="*/ 2056124 w 2520000"/>
              <a:gd name="connsiteY160" fmla="*/ 2236786 h 2520000"/>
              <a:gd name="connsiteX161" fmla="*/ 1511211 w 2520000"/>
              <a:gd name="connsiteY161" fmla="*/ 1587385 h 2520000"/>
              <a:gd name="connsiteX162" fmla="*/ 1997451 w 2520000"/>
              <a:gd name="connsiteY162" fmla="*/ 2281807 h 2520000"/>
              <a:gd name="connsiteX163" fmla="*/ 1967961 w 2520000"/>
              <a:gd name="connsiteY163" fmla="*/ 2302456 h 2520000"/>
              <a:gd name="connsiteX164" fmla="*/ 1481723 w 2520000"/>
              <a:gd name="connsiteY164" fmla="*/ 1608035 h 2520000"/>
              <a:gd name="connsiteX165" fmla="*/ 1905589 w 2520000"/>
              <a:gd name="connsiteY165" fmla="*/ 2342192 h 2520000"/>
              <a:gd name="connsiteX166" fmla="*/ 1874412 w 2520000"/>
              <a:gd name="connsiteY166" fmla="*/ 2360192 h 2520000"/>
              <a:gd name="connsiteX167" fmla="*/ 1450548 w 2520000"/>
              <a:gd name="connsiteY167" fmla="*/ 1626039 h 2520000"/>
              <a:gd name="connsiteX168" fmla="*/ 1808813 w 2520000"/>
              <a:gd name="connsiteY168" fmla="*/ 2394341 h 2520000"/>
              <a:gd name="connsiteX169" fmla="*/ 1776185 w 2520000"/>
              <a:gd name="connsiteY169" fmla="*/ 2409555 h 2520000"/>
              <a:gd name="connsiteX170" fmla="*/ 1417919 w 2520000"/>
              <a:gd name="connsiteY170" fmla="*/ 1641250 h 2520000"/>
              <a:gd name="connsiteX171" fmla="*/ 1707860 w 2520000"/>
              <a:gd name="connsiteY171" fmla="*/ 2437856 h 2520000"/>
              <a:gd name="connsiteX172" fmla="*/ 1674031 w 2520000"/>
              <a:gd name="connsiteY172" fmla="*/ 2450169 h 2520000"/>
              <a:gd name="connsiteX173" fmla="*/ 1384091 w 2520000"/>
              <a:gd name="connsiteY173" fmla="*/ 1653568 h 2520000"/>
              <a:gd name="connsiteX174" fmla="*/ 1603499 w 2520000"/>
              <a:gd name="connsiteY174" fmla="*/ 2472408 h 2520000"/>
              <a:gd name="connsiteX175" fmla="*/ 1568725 w 2520000"/>
              <a:gd name="connsiteY175" fmla="*/ 2481726 h 2520000"/>
              <a:gd name="connsiteX176" fmla="*/ 1349315 w 2520000"/>
              <a:gd name="connsiteY176" fmla="*/ 1662879 h 2520000"/>
              <a:gd name="connsiteX177" fmla="*/ 1496523 w 2520000"/>
              <a:gd name="connsiteY177" fmla="*/ 2497732 h 2520000"/>
              <a:gd name="connsiteX178" fmla="*/ 1461070 w 2520000"/>
              <a:gd name="connsiteY178" fmla="*/ 2503984 h 2520000"/>
              <a:gd name="connsiteX179" fmla="*/ 1313863 w 2520000"/>
              <a:gd name="connsiteY179" fmla="*/ 1669130 h 2520000"/>
              <a:gd name="connsiteX180" fmla="*/ 1387748 w 2520000"/>
              <a:gd name="connsiteY180" fmla="*/ 2513637 h 2520000"/>
              <a:gd name="connsiteX181" fmla="*/ 1351885 w 2520000"/>
              <a:gd name="connsiteY181" fmla="*/ 2516774 h 2520000"/>
              <a:gd name="connsiteX182" fmla="*/ 1278000 w 2520000"/>
              <a:gd name="connsiteY182" fmla="*/ 1672266 h 2520000"/>
              <a:gd name="connsiteX183" fmla="*/ 1278000 w 2520000"/>
              <a:gd name="connsiteY183" fmla="*/ 2520000 h 2520000"/>
              <a:gd name="connsiteX184" fmla="*/ 1242000 w 2520000"/>
              <a:gd name="connsiteY184" fmla="*/ 2520000 h 2520000"/>
              <a:gd name="connsiteX185" fmla="*/ 1242002 w 2520000"/>
              <a:gd name="connsiteY185" fmla="*/ 1672022 h 2520000"/>
              <a:gd name="connsiteX186" fmla="*/ 1168137 w 2520000"/>
              <a:gd name="connsiteY186" fmla="*/ 2516303 h 2520000"/>
              <a:gd name="connsiteX187" fmla="*/ 1132273 w 2520000"/>
              <a:gd name="connsiteY187" fmla="*/ 2513166 h 2520000"/>
              <a:gd name="connsiteX188" fmla="*/ 1206179 w 2520000"/>
              <a:gd name="connsiteY188" fmla="*/ 1668416 h 2520000"/>
              <a:gd name="connsiteX189" fmla="*/ 1059012 w 2520000"/>
              <a:gd name="connsiteY189" fmla="*/ 2503045 h 2520000"/>
              <a:gd name="connsiteX190" fmla="*/ 1023559 w 2520000"/>
              <a:gd name="connsiteY190" fmla="*/ 2496794 h 2520000"/>
              <a:gd name="connsiteX191" fmla="*/ 1170806 w 2520000"/>
              <a:gd name="connsiteY191" fmla="*/ 1661718 h 2520000"/>
              <a:gd name="connsiteX192" fmla="*/ 951460 w 2520000"/>
              <a:gd name="connsiteY192" fmla="*/ 2480327 h 2520000"/>
              <a:gd name="connsiteX193" fmla="*/ 916686 w 2520000"/>
              <a:gd name="connsiteY193" fmla="*/ 2471010 h 2520000"/>
              <a:gd name="connsiteX194" fmla="*/ 1136159 w 2520000"/>
              <a:gd name="connsiteY194" fmla="*/ 1651925 h 2520000"/>
              <a:gd name="connsiteX195" fmla="*/ 846295 w 2520000"/>
              <a:gd name="connsiteY195" fmla="*/ 2448322 h 2520000"/>
              <a:gd name="connsiteX196" fmla="*/ 812466 w 2520000"/>
              <a:gd name="connsiteY196" fmla="*/ 2436009 h 2520000"/>
              <a:gd name="connsiteX197" fmla="*/ 1102487 w 2520000"/>
              <a:gd name="connsiteY197" fmla="*/ 1639184 h 2520000"/>
              <a:gd name="connsiteX198" fmla="*/ 744321 w 2520000"/>
              <a:gd name="connsiteY198" fmla="*/ 2407272 h 2520000"/>
              <a:gd name="connsiteX199" fmla="*/ 711694 w 2520000"/>
              <a:gd name="connsiteY199" fmla="*/ 2392058 h 2520000"/>
              <a:gd name="connsiteX200" fmla="*/ 1070059 w 2520000"/>
              <a:gd name="connsiteY200" fmla="*/ 1623541 h 2520000"/>
              <a:gd name="connsiteX201" fmla="*/ 646312 w 2520000"/>
              <a:gd name="connsiteY201" fmla="*/ 2357492 h 2520000"/>
              <a:gd name="connsiteX202" fmla="*/ 615135 w 2520000"/>
              <a:gd name="connsiteY202" fmla="*/ 2339492 h 2520000"/>
              <a:gd name="connsiteX203" fmla="*/ 1039124 w 2520000"/>
              <a:gd name="connsiteY203" fmla="*/ 1605123 h 2520000"/>
              <a:gd name="connsiteX204" fmla="*/ 553015 w 2520000"/>
              <a:gd name="connsiteY204" fmla="*/ 2299359 h 2520000"/>
              <a:gd name="connsiteX205" fmla="*/ 523525 w 2520000"/>
              <a:gd name="connsiteY205" fmla="*/ 2278710 h 2520000"/>
              <a:gd name="connsiteX206" fmla="*/ 1009901 w 2520000"/>
              <a:gd name="connsiteY206" fmla="*/ 1584093 h 2520000"/>
              <a:gd name="connsiteX207" fmla="*/ 465140 w 2520000"/>
              <a:gd name="connsiteY207" fmla="*/ 2233315 h 2520000"/>
              <a:gd name="connsiteX208" fmla="*/ 437562 w 2520000"/>
              <a:gd name="connsiteY208" fmla="*/ 2210175 h 2520000"/>
              <a:gd name="connsiteX209" fmla="*/ 982624 w 2520000"/>
              <a:gd name="connsiteY209" fmla="*/ 1560596 h 2520000"/>
              <a:gd name="connsiteX210" fmla="*/ 383355 w 2520000"/>
              <a:gd name="connsiteY210" fmla="*/ 2159864 h 2520000"/>
              <a:gd name="connsiteX211" fmla="*/ 357899 w 2520000"/>
              <a:gd name="connsiteY211" fmla="*/ 2134408 h 2520000"/>
              <a:gd name="connsiteX212" fmla="*/ 905948 w 2520000"/>
              <a:gd name="connsiteY212" fmla="*/ 1586360 h 2520000"/>
              <a:gd name="connsiteX213" fmla="*/ 312368 w 2520000"/>
              <a:gd name="connsiteY213" fmla="*/ 2084433 h 2520000"/>
              <a:gd name="connsiteX214" fmla="*/ 289228 w 2520000"/>
              <a:gd name="connsiteY214" fmla="*/ 2056855 h 2520000"/>
              <a:gd name="connsiteX215" fmla="*/ 974211 w 2520000"/>
              <a:gd name="connsiteY215" fmla="*/ 1482086 h 252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  <a:cxn ang="0">
                <a:pos x="connsiteX156" y="connsiteY156"/>
              </a:cxn>
              <a:cxn ang="0">
                <a:pos x="connsiteX157" y="connsiteY157"/>
              </a:cxn>
              <a:cxn ang="0">
                <a:pos x="connsiteX158" y="connsiteY158"/>
              </a:cxn>
              <a:cxn ang="0">
                <a:pos x="connsiteX159" y="connsiteY159"/>
              </a:cxn>
              <a:cxn ang="0">
                <a:pos x="connsiteX160" y="connsiteY160"/>
              </a:cxn>
              <a:cxn ang="0">
                <a:pos x="connsiteX161" y="connsiteY161"/>
              </a:cxn>
              <a:cxn ang="0">
                <a:pos x="connsiteX162" y="connsiteY162"/>
              </a:cxn>
              <a:cxn ang="0">
                <a:pos x="connsiteX163" y="connsiteY163"/>
              </a:cxn>
              <a:cxn ang="0">
                <a:pos x="connsiteX164" y="connsiteY164"/>
              </a:cxn>
              <a:cxn ang="0">
                <a:pos x="connsiteX165" y="connsiteY165"/>
              </a:cxn>
              <a:cxn ang="0">
                <a:pos x="connsiteX166" y="connsiteY166"/>
              </a:cxn>
              <a:cxn ang="0">
                <a:pos x="connsiteX167" y="connsiteY167"/>
              </a:cxn>
              <a:cxn ang="0">
                <a:pos x="connsiteX168" y="connsiteY168"/>
              </a:cxn>
              <a:cxn ang="0">
                <a:pos x="connsiteX169" y="connsiteY169"/>
              </a:cxn>
              <a:cxn ang="0">
                <a:pos x="connsiteX170" y="connsiteY170"/>
              </a:cxn>
              <a:cxn ang="0">
                <a:pos x="connsiteX171" y="connsiteY171"/>
              </a:cxn>
              <a:cxn ang="0">
                <a:pos x="connsiteX172" y="connsiteY172"/>
              </a:cxn>
              <a:cxn ang="0">
                <a:pos x="connsiteX173" y="connsiteY173"/>
              </a:cxn>
              <a:cxn ang="0">
                <a:pos x="connsiteX174" y="connsiteY174"/>
              </a:cxn>
              <a:cxn ang="0">
                <a:pos x="connsiteX175" y="connsiteY175"/>
              </a:cxn>
              <a:cxn ang="0">
                <a:pos x="connsiteX176" y="connsiteY176"/>
              </a:cxn>
              <a:cxn ang="0">
                <a:pos x="connsiteX177" y="connsiteY177"/>
              </a:cxn>
              <a:cxn ang="0">
                <a:pos x="connsiteX178" y="connsiteY178"/>
              </a:cxn>
              <a:cxn ang="0">
                <a:pos x="connsiteX179" y="connsiteY179"/>
              </a:cxn>
              <a:cxn ang="0">
                <a:pos x="connsiteX180" y="connsiteY180"/>
              </a:cxn>
              <a:cxn ang="0">
                <a:pos x="connsiteX181" y="connsiteY181"/>
              </a:cxn>
              <a:cxn ang="0">
                <a:pos x="connsiteX182" y="connsiteY182"/>
              </a:cxn>
              <a:cxn ang="0">
                <a:pos x="connsiteX183" y="connsiteY183"/>
              </a:cxn>
              <a:cxn ang="0">
                <a:pos x="connsiteX184" y="connsiteY184"/>
              </a:cxn>
              <a:cxn ang="0">
                <a:pos x="connsiteX185" y="connsiteY185"/>
              </a:cxn>
              <a:cxn ang="0">
                <a:pos x="connsiteX186" y="connsiteY186"/>
              </a:cxn>
              <a:cxn ang="0">
                <a:pos x="connsiteX187" y="connsiteY187"/>
              </a:cxn>
              <a:cxn ang="0">
                <a:pos x="connsiteX188" y="connsiteY188"/>
              </a:cxn>
              <a:cxn ang="0">
                <a:pos x="connsiteX189" y="connsiteY189"/>
              </a:cxn>
              <a:cxn ang="0">
                <a:pos x="connsiteX190" y="connsiteY190"/>
              </a:cxn>
              <a:cxn ang="0">
                <a:pos x="connsiteX191" y="connsiteY191"/>
              </a:cxn>
              <a:cxn ang="0">
                <a:pos x="connsiteX192" y="connsiteY192"/>
              </a:cxn>
              <a:cxn ang="0">
                <a:pos x="connsiteX193" y="connsiteY193"/>
              </a:cxn>
              <a:cxn ang="0">
                <a:pos x="connsiteX194" y="connsiteY194"/>
              </a:cxn>
              <a:cxn ang="0">
                <a:pos x="connsiteX195" y="connsiteY195"/>
              </a:cxn>
              <a:cxn ang="0">
                <a:pos x="connsiteX196" y="connsiteY196"/>
              </a:cxn>
              <a:cxn ang="0">
                <a:pos x="connsiteX197" y="connsiteY197"/>
              </a:cxn>
              <a:cxn ang="0">
                <a:pos x="connsiteX198" y="connsiteY198"/>
              </a:cxn>
              <a:cxn ang="0">
                <a:pos x="connsiteX199" y="connsiteY199"/>
              </a:cxn>
              <a:cxn ang="0">
                <a:pos x="connsiteX200" y="connsiteY200"/>
              </a:cxn>
              <a:cxn ang="0">
                <a:pos x="connsiteX201" y="connsiteY201"/>
              </a:cxn>
              <a:cxn ang="0">
                <a:pos x="connsiteX202" y="connsiteY202"/>
              </a:cxn>
              <a:cxn ang="0">
                <a:pos x="connsiteX203" y="connsiteY203"/>
              </a:cxn>
              <a:cxn ang="0">
                <a:pos x="connsiteX204" y="connsiteY204"/>
              </a:cxn>
              <a:cxn ang="0">
                <a:pos x="connsiteX205" y="connsiteY205"/>
              </a:cxn>
              <a:cxn ang="0">
                <a:pos x="connsiteX206" y="connsiteY206"/>
              </a:cxn>
              <a:cxn ang="0">
                <a:pos x="connsiteX207" y="connsiteY207"/>
              </a:cxn>
              <a:cxn ang="0">
                <a:pos x="connsiteX208" y="connsiteY208"/>
              </a:cxn>
              <a:cxn ang="0">
                <a:pos x="connsiteX209" y="connsiteY209"/>
              </a:cxn>
              <a:cxn ang="0">
                <a:pos x="connsiteX210" y="connsiteY210"/>
              </a:cxn>
              <a:cxn ang="0">
                <a:pos x="connsiteX211" y="connsiteY211"/>
              </a:cxn>
              <a:cxn ang="0">
                <a:pos x="connsiteX212" y="connsiteY212"/>
              </a:cxn>
              <a:cxn ang="0">
                <a:pos x="connsiteX213" y="connsiteY213"/>
              </a:cxn>
              <a:cxn ang="0">
                <a:pos x="connsiteX214" y="connsiteY214"/>
              </a:cxn>
              <a:cxn ang="0">
                <a:pos x="connsiteX215" y="connsiteY215"/>
              </a:cxn>
            </a:cxnLst>
            <a:rect l="l" t="t" r="r" b="b"/>
            <a:pathLst>
              <a:path w="2520000" h="2520000">
                <a:moveTo>
                  <a:pt x="238193" y="1997451"/>
                </a:moveTo>
                <a:lnTo>
                  <a:pt x="217544" y="1967962"/>
                </a:lnTo>
                <a:lnTo>
                  <a:pt x="911968" y="1481721"/>
                </a:lnTo>
                <a:lnTo>
                  <a:pt x="177808" y="1905589"/>
                </a:lnTo>
                <a:lnTo>
                  <a:pt x="159808" y="1874412"/>
                </a:lnTo>
                <a:lnTo>
                  <a:pt x="893967" y="1450545"/>
                </a:lnTo>
                <a:lnTo>
                  <a:pt x="125659" y="1808813"/>
                </a:lnTo>
                <a:lnTo>
                  <a:pt x="110445" y="1776186"/>
                </a:lnTo>
                <a:lnTo>
                  <a:pt x="878754" y="1417918"/>
                </a:lnTo>
                <a:lnTo>
                  <a:pt x="82144" y="1707860"/>
                </a:lnTo>
                <a:lnTo>
                  <a:pt x="69831" y="1674031"/>
                </a:lnTo>
                <a:lnTo>
                  <a:pt x="866437" y="1384090"/>
                </a:lnTo>
                <a:lnTo>
                  <a:pt x="47592" y="1603499"/>
                </a:lnTo>
                <a:lnTo>
                  <a:pt x="38275" y="1568725"/>
                </a:lnTo>
                <a:lnTo>
                  <a:pt x="857121" y="1349316"/>
                </a:lnTo>
                <a:lnTo>
                  <a:pt x="22268" y="1496523"/>
                </a:lnTo>
                <a:lnTo>
                  <a:pt x="16016" y="1461070"/>
                </a:lnTo>
                <a:lnTo>
                  <a:pt x="850870" y="1313863"/>
                </a:lnTo>
                <a:lnTo>
                  <a:pt x="6363" y="1387748"/>
                </a:lnTo>
                <a:lnTo>
                  <a:pt x="3226" y="1351885"/>
                </a:lnTo>
                <a:lnTo>
                  <a:pt x="847731" y="1278000"/>
                </a:lnTo>
                <a:lnTo>
                  <a:pt x="0" y="1278000"/>
                </a:lnTo>
                <a:lnTo>
                  <a:pt x="0" y="1242000"/>
                </a:lnTo>
                <a:lnTo>
                  <a:pt x="847733" y="1242001"/>
                </a:lnTo>
                <a:lnTo>
                  <a:pt x="3226" y="1168115"/>
                </a:lnTo>
                <a:lnTo>
                  <a:pt x="6363" y="1132252"/>
                </a:lnTo>
                <a:lnTo>
                  <a:pt x="850874" y="1206137"/>
                </a:lnTo>
                <a:lnTo>
                  <a:pt x="16017" y="1058930"/>
                </a:lnTo>
                <a:lnTo>
                  <a:pt x="22268" y="1023477"/>
                </a:lnTo>
                <a:lnTo>
                  <a:pt x="857120" y="1170684"/>
                </a:lnTo>
                <a:lnTo>
                  <a:pt x="38275" y="951275"/>
                </a:lnTo>
                <a:lnTo>
                  <a:pt x="47592" y="916501"/>
                </a:lnTo>
                <a:lnTo>
                  <a:pt x="866441" y="1135911"/>
                </a:lnTo>
                <a:lnTo>
                  <a:pt x="69831" y="845969"/>
                </a:lnTo>
                <a:lnTo>
                  <a:pt x="82144" y="812140"/>
                </a:lnTo>
                <a:lnTo>
                  <a:pt x="878751" y="1102082"/>
                </a:lnTo>
                <a:lnTo>
                  <a:pt x="110445" y="743815"/>
                </a:lnTo>
                <a:lnTo>
                  <a:pt x="125660" y="711187"/>
                </a:lnTo>
                <a:lnTo>
                  <a:pt x="893964" y="1069453"/>
                </a:lnTo>
                <a:lnTo>
                  <a:pt x="159808" y="645588"/>
                </a:lnTo>
                <a:lnTo>
                  <a:pt x="177808" y="614412"/>
                </a:lnTo>
                <a:lnTo>
                  <a:pt x="911961" y="1038275"/>
                </a:lnTo>
                <a:lnTo>
                  <a:pt x="217544" y="552039"/>
                </a:lnTo>
                <a:lnTo>
                  <a:pt x="238193" y="522549"/>
                </a:lnTo>
                <a:lnTo>
                  <a:pt x="932610" y="1008785"/>
                </a:lnTo>
                <a:lnTo>
                  <a:pt x="283214" y="463876"/>
                </a:lnTo>
                <a:lnTo>
                  <a:pt x="306354" y="436299"/>
                </a:lnTo>
                <a:lnTo>
                  <a:pt x="955755" y="981211"/>
                </a:lnTo>
                <a:lnTo>
                  <a:pt x="356317" y="381774"/>
                </a:lnTo>
                <a:lnTo>
                  <a:pt x="381773" y="356318"/>
                </a:lnTo>
                <a:lnTo>
                  <a:pt x="981211" y="955756"/>
                </a:lnTo>
                <a:lnTo>
                  <a:pt x="436299" y="306354"/>
                </a:lnTo>
                <a:lnTo>
                  <a:pt x="463876" y="283214"/>
                </a:lnTo>
                <a:lnTo>
                  <a:pt x="1008789" y="932616"/>
                </a:lnTo>
                <a:lnTo>
                  <a:pt x="522549" y="238193"/>
                </a:lnTo>
                <a:lnTo>
                  <a:pt x="552039" y="217544"/>
                </a:lnTo>
                <a:lnTo>
                  <a:pt x="1038278" y="911967"/>
                </a:lnTo>
                <a:lnTo>
                  <a:pt x="614411" y="177808"/>
                </a:lnTo>
                <a:lnTo>
                  <a:pt x="645588" y="159808"/>
                </a:lnTo>
                <a:lnTo>
                  <a:pt x="1069453" y="893963"/>
                </a:lnTo>
                <a:lnTo>
                  <a:pt x="711187" y="125659"/>
                </a:lnTo>
                <a:lnTo>
                  <a:pt x="743815" y="110445"/>
                </a:lnTo>
                <a:lnTo>
                  <a:pt x="1102082" y="878751"/>
                </a:lnTo>
                <a:lnTo>
                  <a:pt x="812140" y="82144"/>
                </a:lnTo>
                <a:lnTo>
                  <a:pt x="845969" y="69831"/>
                </a:lnTo>
                <a:lnTo>
                  <a:pt x="1135910" y="866436"/>
                </a:lnTo>
                <a:lnTo>
                  <a:pt x="916501" y="47592"/>
                </a:lnTo>
                <a:lnTo>
                  <a:pt x="951275" y="38275"/>
                </a:lnTo>
                <a:lnTo>
                  <a:pt x="1170683" y="857116"/>
                </a:lnTo>
                <a:lnTo>
                  <a:pt x="1023477" y="22268"/>
                </a:lnTo>
                <a:lnTo>
                  <a:pt x="1058929" y="16017"/>
                </a:lnTo>
                <a:lnTo>
                  <a:pt x="1206138" y="850877"/>
                </a:lnTo>
                <a:lnTo>
                  <a:pt x="1132253" y="6363"/>
                </a:lnTo>
                <a:lnTo>
                  <a:pt x="1168115" y="3226"/>
                </a:lnTo>
                <a:lnTo>
                  <a:pt x="1242000" y="847735"/>
                </a:lnTo>
                <a:lnTo>
                  <a:pt x="1242000" y="0"/>
                </a:lnTo>
                <a:lnTo>
                  <a:pt x="1278000" y="0"/>
                </a:lnTo>
                <a:lnTo>
                  <a:pt x="1278000" y="847501"/>
                </a:lnTo>
                <a:lnTo>
                  <a:pt x="1351906" y="2755"/>
                </a:lnTo>
                <a:lnTo>
                  <a:pt x="1387769" y="5893"/>
                </a:lnTo>
                <a:lnTo>
                  <a:pt x="1313905" y="850161"/>
                </a:lnTo>
                <a:lnTo>
                  <a:pt x="1461153" y="15078"/>
                </a:lnTo>
                <a:lnTo>
                  <a:pt x="1496605" y="21330"/>
                </a:lnTo>
                <a:lnTo>
                  <a:pt x="1349438" y="855956"/>
                </a:lnTo>
                <a:lnTo>
                  <a:pt x="1568910" y="36877"/>
                </a:lnTo>
                <a:lnTo>
                  <a:pt x="1603684" y="46194"/>
                </a:lnTo>
                <a:lnTo>
                  <a:pt x="1384338" y="864802"/>
                </a:lnTo>
                <a:lnTo>
                  <a:pt x="1674356" y="67983"/>
                </a:lnTo>
                <a:lnTo>
                  <a:pt x="1708185" y="80296"/>
                </a:lnTo>
                <a:lnTo>
                  <a:pt x="1418322" y="876690"/>
                </a:lnTo>
                <a:lnTo>
                  <a:pt x="1776692" y="108162"/>
                </a:lnTo>
                <a:lnTo>
                  <a:pt x="1809319" y="123377"/>
                </a:lnTo>
                <a:lnTo>
                  <a:pt x="1451151" y="891470"/>
                </a:lnTo>
                <a:lnTo>
                  <a:pt x="1875135" y="157108"/>
                </a:lnTo>
                <a:lnTo>
                  <a:pt x="1906312" y="175108"/>
                </a:lnTo>
                <a:lnTo>
                  <a:pt x="1482565" y="909059"/>
                </a:lnTo>
                <a:lnTo>
                  <a:pt x="1968938" y="214447"/>
                </a:lnTo>
                <a:lnTo>
                  <a:pt x="1998427" y="235096"/>
                </a:lnTo>
                <a:lnTo>
                  <a:pt x="1512322" y="929326"/>
                </a:lnTo>
                <a:lnTo>
                  <a:pt x="2057387" y="279743"/>
                </a:lnTo>
                <a:lnTo>
                  <a:pt x="2084964" y="302883"/>
                </a:lnTo>
                <a:lnTo>
                  <a:pt x="1540200" y="952109"/>
                </a:lnTo>
                <a:lnTo>
                  <a:pt x="2139809" y="352499"/>
                </a:lnTo>
                <a:lnTo>
                  <a:pt x="2165264" y="377956"/>
                </a:lnTo>
                <a:lnTo>
                  <a:pt x="1514438" y="1028782"/>
                </a:lnTo>
                <a:lnTo>
                  <a:pt x="2219660" y="437030"/>
                </a:lnTo>
                <a:lnTo>
                  <a:pt x="2242800" y="464608"/>
                </a:lnTo>
                <a:lnTo>
                  <a:pt x="1628988" y="979657"/>
                </a:lnTo>
                <a:lnTo>
                  <a:pt x="2281807" y="522549"/>
                </a:lnTo>
                <a:lnTo>
                  <a:pt x="2302456" y="552038"/>
                </a:lnTo>
                <a:lnTo>
                  <a:pt x="1608033" y="1038278"/>
                </a:lnTo>
                <a:lnTo>
                  <a:pt x="2342192" y="614412"/>
                </a:lnTo>
                <a:lnTo>
                  <a:pt x="2360192" y="645588"/>
                </a:lnTo>
                <a:lnTo>
                  <a:pt x="1626031" y="1069457"/>
                </a:lnTo>
                <a:lnTo>
                  <a:pt x="2394341" y="711188"/>
                </a:lnTo>
                <a:lnTo>
                  <a:pt x="2409555" y="743814"/>
                </a:lnTo>
                <a:lnTo>
                  <a:pt x="1641245" y="1102083"/>
                </a:lnTo>
                <a:lnTo>
                  <a:pt x="2437856" y="812140"/>
                </a:lnTo>
                <a:lnTo>
                  <a:pt x="2450169" y="845969"/>
                </a:lnTo>
                <a:lnTo>
                  <a:pt x="1653563" y="1135910"/>
                </a:lnTo>
                <a:lnTo>
                  <a:pt x="2472408" y="916501"/>
                </a:lnTo>
                <a:lnTo>
                  <a:pt x="2481726" y="951274"/>
                </a:lnTo>
                <a:lnTo>
                  <a:pt x="1662878" y="1170685"/>
                </a:lnTo>
                <a:lnTo>
                  <a:pt x="2497732" y="1023477"/>
                </a:lnTo>
                <a:lnTo>
                  <a:pt x="2503984" y="1058930"/>
                </a:lnTo>
                <a:lnTo>
                  <a:pt x="1669132" y="1206137"/>
                </a:lnTo>
                <a:lnTo>
                  <a:pt x="2513637" y="1132252"/>
                </a:lnTo>
                <a:lnTo>
                  <a:pt x="2516774" y="1168115"/>
                </a:lnTo>
                <a:lnTo>
                  <a:pt x="1672268" y="1242000"/>
                </a:lnTo>
                <a:lnTo>
                  <a:pt x="2520000" y="1242000"/>
                </a:lnTo>
                <a:lnTo>
                  <a:pt x="2520000" y="1278000"/>
                </a:lnTo>
                <a:lnTo>
                  <a:pt x="1672267" y="1278000"/>
                </a:lnTo>
                <a:lnTo>
                  <a:pt x="2516774" y="1351885"/>
                </a:lnTo>
                <a:lnTo>
                  <a:pt x="2513637" y="1387748"/>
                </a:lnTo>
                <a:lnTo>
                  <a:pt x="1669126" y="1313862"/>
                </a:lnTo>
                <a:lnTo>
                  <a:pt x="2503983" y="1461070"/>
                </a:lnTo>
                <a:lnTo>
                  <a:pt x="2497733" y="1496523"/>
                </a:lnTo>
                <a:lnTo>
                  <a:pt x="1662877" y="1349315"/>
                </a:lnTo>
                <a:lnTo>
                  <a:pt x="2481725" y="1568725"/>
                </a:lnTo>
                <a:lnTo>
                  <a:pt x="2472408" y="1603498"/>
                </a:lnTo>
                <a:lnTo>
                  <a:pt x="1653557" y="1384088"/>
                </a:lnTo>
                <a:lnTo>
                  <a:pt x="2450169" y="1674031"/>
                </a:lnTo>
                <a:lnTo>
                  <a:pt x="2437857" y="1707860"/>
                </a:lnTo>
                <a:lnTo>
                  <a:pt x="1641251" y="1417919"/>
                </a:lnTo>
                <a:lnTo>
                  <a:pt x="2409555" y="1776185"/>
                </a:lnTo>
                <a:lnTo>
                  <a:pt x="2394340" y="1808813"/>
                </a:lnTo>
                <a:lnTo>
                  <a:pt x="1626043" y="1450550"/>
                </a:lnTo>
                <a:lnTo>
                  <a:pt x="2360192" y="1874411"/>
                </a:lnTo>
                <a:lnTo>
                  <a:pt x="2342192" y="1905588"/>
                </a:lnTo>
                <a:lnTo>
                  <a:pt x="1608038" y="1481725"/>
                </a:lnTo>
                <a:lnTo>
                  <a:pt x="2302456" y="1967961"/>
                </a:lnTo>
                <a:lnTo>
                  <a:pt x="2281807" y="1997451"/>
                </a:lnTo>
                <a:lnTo>
                  <a:pt x="1587388" y="1511214"/>
                </a:lnTo>
                <a:lnTo>
                  <a:pt x="2236786" y="2056124"/>
                </a:lnTo>
                <a:lnTo>
                  <a:pt x="2213646" y="2083701"/>
                </a:lnTo>
                <a:lnTo>
                  <a:pt x="1564245" y="1538789"/>
                </a:lnTo>
                <a:lnTo>
                  <a:pt x="2163683" y="2138227"/>
                </a:lnTo>
                <a:lnTo>
                  <a:pt x="2138227" y="2163682"/>
                </a:lnTo>
                <a:lnTo>
                  <a:pt x="1538789" y="1564244"/>
                </a:lnTo>
                <a:lnTo>
                  <a:pt x="2083701" y="2213646"/>
                </a:lnTo>
                <a:lnTo>
                  <a:pt x="2056124" y="2236786"/>
                </a:lnTo>
                <a:lnTo>
                  <a:pt x="1511211" y="1587385"/>
                </a:lnTo>
                <a:lnTo>
                  <a:pt x="1997451" y="2281807"/>
                </a:lnTo>
                <a:lnTo>
                  <a:pt x="1967961" y="2302456"/>
                </a:lnTo>
                <a:lnTo>
                  <a:pt x="1481723" y="1608035"/>
                </a:lnTo>
                <a:lnTo>
                  <a:pt x="1905589" y="2342192"/>
                </a:lnTo>
                <a:lnTo>
                  <a:pt x="1874412" y="2360192"/>
                </a:lnTo>
                <a:lnTo>
                  <a:pt x="1450548" y="1626039"/>
                </a:lnTo>
                <a:lnTo>
                  <a:pt x="1808813" y="2394341"/>
                </a:lnTo>
                <a:lnTo>
                  <a:pt x="1776185" y="2409555"/>
                </a:lnTo>
                <a:lnTo>
                  <a:pt x="1417919" y="1641250"/>
                </a:lnTo>
                <a:lnTo>
                  <a:pt x="1707860" y="2437856"/>
                </a:lnTo>
                <a:lnTo>
                  <a:pt x="1674031" y="2450169"/>
                </a:lnTo>
                <a:lnTo>
                  <a:pt x="1384091" y="1653568"/>
                </a:lnTo>
                <a:lnTo>
                  <a:pt x="1603499" y="2472408"/>
                </a:lnTo>
                <a:lnTo>
                  <a:pt x="1568725" y="2481726"/>
                </a:lnTo>
                <a:lnTo>
                  <a:pt x="1349315" y="1662879"/>
                </a:lnTo>
                <a:lnTo>
                  <a:pt x="1496523" y="2497732"/>
                </a:lnTo>
                <a:lnTo>
                  <a:pt x="1461070" y="2503984"/>
                </a:lnTo>
                <a:lnTo>
                  <a:pt x="1313863" y="1669130"/>
                </a:lnTo>
                <a:lnTo>
                  <a:pt x="1387748" y="2513637"/>
                </a:lnTo>
                <a:lnTo>
                  <a:pt x="1351885" y="2516774"/>
                </a:lnTo>
                <a:lnTo>
                  <a:pt x="1278000" y="1672266"/>
                </a:lnTo>
                <a:lnTo>
                  <a:pt x="1278000" y="2520000"/>
                </a:lnTo>
                <a:lnTo>
                  <a:pt x="1242000" y="2520000"/>
                </a:lnTo>
                <a:lnTo>
                  <a:pt x="1242002" y="1672022"/>
                </a:lnTo>
                <a:lnTo>
                  <a:pt x="1168137" y="2516303"/>
                </a:lnTo>
                <a:lnTo>
                  <a:pt x="1132273" y="2513166"/>
                </a:lnTo>
                <a:lnTo>
                  <a:pt x="1206179" y="1668416"/>
                </a:lnTo>
                <a:lnTo>
                  <a:pt x="1059012" y="2503045"/>
                </a:lnTo>
                <a:lnTo>
                  <a:pt x="1023559" y="2496794"/>
                </a:lnTo>
                <a:lnTo>
                  <a:pt x="1170806" y="1661718"/>
                </a:lnTo>
                <a:lnTo>
                  <a:pt x="951460" y="2480327"/>
                </a:lnTo>
                <a:lnTo>
                  <a:pt x="916686" y="2471010"/>
                </a:lnTo>
                <a:lnTo>
                  <a:pt x="1136159" y="1651925"/>
                </a:lnTo>
                <a:lnTo>
                  <a:pt x="846295" y="2448322"/>
                </a:lnTo>
                <a:lnTo>
                  <a:pt x="812466" y="2436009"/>
                </a:lnTo>
                <a:lnTo>
                  <a:pt x="1102487" y="1639184"/>
                </a:lnTo>
                <a:lnTo>
                  <a:pt x="744321" y="2407272"/>
                </a:lnTo>
                <a:lnTo>
                  <a:pt x="711694" y="2392058"/>
                </a:lnTo>
                <a:lnTo>
                  <a:pt x="1070059" y="1623541"/>
                </a:lnTo>
                <a:lnTo>
                  <a:pt x="646312" y="2357492"/>
                </a:lnTo>
                <a:lnTo>
                  <a:pt x="615135" y="2339492"/>
                </a:lnTo>
                <a:lnTo>
                  <a:pt x="1039124" y="1605123"/>
                </a:lnTo>
                <a:lnTo>
                  <a:pt x="553015" y="2299359"/>
                </a:lnTo>
                <a:lnTo>
                  <a:pt x="523525" y="2278710"/>
                </a:lnTo>
                <a:lnTo>
                  <a:pt x="1009901" y="1584093"/>
                </a:lnTo>
                <a:lnTo>
                  <a:pt x="465140" y="2233315"/>
                </a:lnTo>
                <a:lnTo>
                  <a:pt x="437562" y="2210175"/>
                </a:lnTo>
                <a:lnTo>
                  <a:pt x="982624" y="1560596"/>
                </a:lnTo>
                <a:lnTo>
                  <a:pt x="383355" y="2159864"/>
                </a:lnTo>
                <a:lnTo>
                  <a:pt x="357899" y="2134408"/>
                </a:lnTo>
                <a:lnTo>
                  <a:pt x="905948" y="1586360"/>
                </a:lnTo>
                <a:lnTo>
                  <a:pt x="312368" y="2084433"/>
                </a:lnTo>
                <a:lnTo>
                  <a:pt x="289228" y="2056855"/>
                </a:lnTo>
                <a:lnTo>
                  <a:pt x="974211" y="1482086"/>
                </a:lnTo>
                <a:close/>
              </a:path>
            </a:pathLst>
          </a:cu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aphicFrame macro="">
        <xdr:nvGraphicFramePr>
          <xdr:cNvPr id="115" name="Диаграмма 1"/>
          <xdr:cNvGraphicFramePr/>
        </xdr:nvGraphicFramePr>
        <xdr:xfrm>
          <a:off x="2338572" y="1057275"/>
          <a:ext cx="1334943" cy="12811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116" name="Овал 5"/>
          <xdr:cNvSpPr/>
        </xdr:nvSpPr>
        <xdr:spPr>
          <a:xfrm>
            <a:off x="2620447" y="1313242"/>
            <a:ext cx="762289" cy="756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7" name="Овал 7"/>
          <xdr:cNvSpPr/>
        </xdr:nvSpPr>
        <xdr:spPr>
          <a:xfrm>
            <a:off x="2668168" y="1360844"/>
            <a:ext cx="666846" cy="660796"/>
          </a:xfrm>
          <a:prstGeom prst="ellipse">
            <a:avLst/>
          </a:prstGeom>
          <a:noFill/>
          <a:ln>
            <a:solidFill>
              <a:srgbClr val="4C9CB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336177</xdr:colOff>
      <xdr:row>23</xdr:row>
      <xdr:rowOff>190501</xdr:rowOff>
    </xdr:from>
    <xdr:to>
      <xdr:col>1</xdr:col>
      <xdr:colOff>510888</xdr:colOff>
      <xdr:row>25</xdr:row>
      <xdr:rowOff>161926</xdr:rowOff>
    </xdr:to>
    <xdr:sp macro="" textlink="Processing!B8">
      <xdr:nvSpPr>
        <xdr:cNvPr id="118" name="TextBox 117"/>
        <xdr:cNvSpPr txBox="1"/>
      </xdr:nvSpPr>
      <xdr:spPr>
        <a:xfrm>
          <a:off x="336177" y="5087472"/>
          <a:ext cx="779829" cy="3636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3066222F-051C-45FC-8C03-B781A19AF283}" type="TxLink">
            <a:rPr lang="en-US" sz="1600" b="0" i="0" u="none" strike="noStrike">
              <a:solidFill>
                <a:srgbClr val="FFFFFF"/>
              </a:solidFill>
              <a:latin typeface="Calibri"/>
              <a:ea typeface="+mn-ea"/>
              <a:cs typeface="Calibri"/>
            </a:rPr>
            <a:pPr marL="0" indent="0" algn="ctr"/>
            <a:t>11%</a:t>
          </a:fld>
          <a:endParaRPr lang="en-US" sz="1600" b="0" i="0" u="none" strike="noStrike">
            <a:solidFill>
              <a:srgbClr val="FFFFFF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246529</xdr:colOff>
      <xdr:row>23</xdr:row>
      <xdr:rowOff>179293</xdr:rowOff>
    </xdr:from>
    <xdr:to>
      <xdr:col>14</xdr:col>
      <xdr:colOff>421240</xdr:colOff>
      <xdr:row>25</xdr:row>
      <xdr:rowOff>150718</xdr:rowOff>
    </xdr:to>
    <xdr:sp macro="" textlink="Processing!B10">
      <xdr:nvSpPr>
        <xdr:cNvPr id="119" name="TextBox 118"/>
        <xdr:cNvSpPr txBox="1"/>
      </xdr:nvSpPr>
      <xdr:spPr>
        <a:xfrm>
          <a:off x="5277970" y="5076264"/>
          <a:ext cx="779829" cy="3636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46CBCE4-0EC3-4929-9CC0-0C5B79C3E62B}" type="TxLink">
            <a:rPr lang="en-US" sz="1600" b="0" i="0" u="none" strike="noStrike">
              <a:solidFill>
                <a:srgbClr val="FFFFFF"/>
              </a:solidFill>
              <a:latin typeface="Calibri"/>
              <a:ea typeface="+mn-ea"/>
              <a:cs typeface="Calibri"/>
            </a:rPr>
            <a:pPr marL="0" indent="0" algn="ctr"/>
            <a:t>9%</a:t>
          </a:fld>
          <a:endParaRPr lang="en-US" sz="1600" b="0" i="0" u="none" strike="noStrike">
            <a:solidFill>
              <a:srgbClr val="FFFFFF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73958</xdr:colOff>
      <xdr:row>23</xdr:row>
      <xdr:rowOff>174811</xdr:rowOff>
    </xdr:from>
    <xdr:to>
      <xdr:col>8</xdr:col>
      <xdr:colOff>80582</xdr:colOff>
      <xdr:row>25</xdr:row>
      <xdr:rowOff>146236</xdr:rowOff>
    </xdr:to>
    <xdr:sp macro="" textlink="Processing!B9">
      <xdr:nvSpPr>
        <xdr:cNvPr id="120" name="TextBox 119"/>
        <xdr:cNvSpPr txBox="1"/>
      </xdr:nvSpPr>
      <xdr:spPr>
        <a:xfrm>
          <a:off x="2785782" y="5071782"/>
          <a:ext cx="779829" cy="3636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DC50E3ED-1AFC-48EC-820E-A26FE5EACE27}" type="TxLink">
            <a:rPr lang="en-US" sz="1600" b="0" i="0" u="none" strike="noStrike">
              <a:solidFill>
                <a:srgbClr val="FFFFFF"/>
              </a:solidFill>
              <a:latin typeface="Calibri"/>
              <a:ea typeface="+mn-ea"/>
              <a:cs typeface="Calibri"/>
            </a:rPr>
            <a:pPr marL="0" indent="0" algn="ctr"/>
            <a:t>11%</a:t>
          </a:fld>
          <a:endParaRPr lang="en-US" sz="1600" b="0" i="0" u="none" strike="noStrike">
            <a:solidFill>
              <a:srgbClr val="FFFFFF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264459</xdr:colOff>
      <xdr:row>24</xdr:row>
      <xdr:rowOff>62753</xdr:rowOff>
    </xdr:from>
    <xdr:to>
      <xdr:col>18</xdr:col>
      <xdr:colOff>439170</xdr:colOff>
      <xdr:row>26</xdr:row>
      <xdr:rowOff>45383</xdr:rowOff>
    </xdr:to>
    <xdr:sp macro="" textlink="Processing!B11">
      <xdr:nvSpPr>
        <xdr:cNvPr id="121" name="TextBox 120"/>
        <xdr:cNvSpPr txBox="1"/>
      </xdr:nvSpPr>
      <xdr:spPr>
        <a:xfrm>
          <a:off x="7593106" y="5161429"/>
          <a:ext cx="779829" cy="3636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DA54C3C2-398D-42C0-8941-52D26AC4003F}" type="TxLink">
            <a:rPr lang="en-US" sz="1600" b="0" i="0" u="none" strike="noStrike">
              <a:solidFill>
                <a:srgbClr val="FFFFFF"/>
              </a:solidFill>
              <a:latin typeface="Calibri"/>
              <a:ea typeface="+mn-ea"/>
              <a:cs typeface="Calibri"/>
            </a:rPr>
            <a:pPr marL="0" indent="0" algn="ctr"/>
            <a:t>9%</a:t>
          </a:fld>
          <a:endParaRPr lang="en-US" sz="1600" b="0" i="0" u="none" strike="noStrike">
            <a:solidFill>
              <a:srgbClr val="FFFFFF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lzer%20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malesh"/>
      <sheetName val="plain+cond"/>
      <sheetName val="GEO"/>
      <sheetName val="divyanshu"/>
      <sheetName val="Summary"/>
      <sheetName val="Dashboard"/>
    </sheetNames>
    <sheetDataSet>
      <sheetData sheetId="0">
        <row r="12">
          <cell r="F12">
            <v>0.14172839506172841</v>
          </cell>
          <cell r="L12">
            <v>4.5061728395061729E-2</v>
          </cell>
        </row>
      </sheetData>
      <sheetData sheetId="1">
        <row r="39">
          <cell r="B39">
            <v>0.20146403564608528</v>
          </cell>
        </row>
        <row r="57">
          <cell r="B57">
            <v>0.17600254614894972</v>
          </cell>
        </row>
      </sheetData>
      <sheetData sheetId="2">
        <row r="9">
          <cell r="B9">
            <v>0.10852959898154042</v>
          </cell>
        </row>
        <row r="25">
          <cell r="E25">
            <v>8.7046467218332271E-2</v>
          </cell>
        </row>
        <row r="37">
          <cell r="M37">
            <v>61.19999999999709</v>
          </cell>
        </row>
        <row r="38">
          <cell r="M38">
            <v>60.600000000002183</v>
          </cell>
        </row>
        <row r="39">
          <cell r="E39">
            <v>9.7867600254614898E-2</v>
          </cell>
          <cell r="M39">
            <v>51.80000000000291</v>
          </cell>
        </row>
        <row r="40">
          <cell r="M40">
            <v>56</v>
          </cell>
        </row>
        <row r="52">
          <cell r="E52">
            <v>0.16438574156588159</v>
          </cell>
        </row>
        <row r="62">
          <cell r="E62">
            <v>7.6543602800763846E-2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XFD44"/>
  <sheetViews>
    <sheetView showGridLines="0" zoomScale="80" zoomScaleNormal="80" workbookViewId="0">
      <selection activeCell="T2" sqref="T2:U6"/>
    </sheetView>
  </sheetViews>
  <sheetFormatPr defaultRowHeight="15"/>
  <cols>
    <col min="1" max="1" width="9.140625" style="1" customWidth="1"/>
    <col min="2" max="2" width="12.5703125" style="1" customWidth="1"/>
    <col min="3" max="3" width="11" style="1" customWidth="1"/>
    <col min="4" max="4" width="5.5703125" style="1" customWidth="1"/>
    <col min="5" max="5" width="2.5703125" style="1" customWidth="1"/>
    <col min="6" max="6" width="4.5703125" style="1" customWidth="1"/>
    <col min="7" max="7" width="2.5703125" style="1" customWidth="1"/>
    <col min="8" max="8" width="4.5703125" style="1" customWidth="1"/>
    <col min="9" max="9" width="2.5703125" style="1" customWidth="1"/>
    <col min="10" max="10" width="4.5703125" style="1" customWidth="1"/>
    <col min="11" max="11" width="2.5703125" style="1" customWidth="1"/>
    <col min="12" max="12" width="4.5703125" style="1" customWidth="1"/>
    <col min="13" max="13" width="9.140625" style="1"/>
    <col min="14" max="14" width="9.140625" style="1" customWidth="1"/>
    <col min="15" max="16" width="9.140625" style="1"/>
    <col min="17" max="17" width="7.140625" style="1" customWidth="1"/>
    <col min="18" max="19" width="9.140625" style="1"/>
    <col min="20" max="20" width="10.28515625" style="1" bestFit="1" customWidth="1"/>
    <col min="21" max="27" width="9.140625" style="1"/>
    <col min="28" max="28" width="13" style="1" customWidth="1"/>
    <col min="29" max="16384" width="9.140625" style="1"/>
  </cols>
  <sheetData>
    <row r="1" spans="2:25 16383:16384" ht="15.75" thickBot="1"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1"/>
      <c r="XFC1" s="27" t="s">
        <v>32</v>
      </c>
      <c r="XFD1" t="s">
        <v>33</v>
      </c>
    </row>
    <row r="2" spans="2:25 16383:16384">
      <c r="B2" s="294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39" t="s">
        <v>30</v>
      </c>
      <c r="U2" s="340" t="s">
        <v>31</v>
      </c>
      <c r="V2" s="295"/>
      <c r="XFC2" s="158" t="s">
        <v>34</v>
      </c>
      <c r="XFD2" s="29">
        <f>Processing!XEX3</f>
        <v>0.11443218202874855</v>
      </c>
    </row>
    <row r="3" spans="2:25 16383:16384" ht="18.75">
      <c r="B3" s="294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89"/>
      <c r="Q3" s="389"/>
      <c r="R3" s="31"/>
      <c r="S3" s="31"/>
      <c r="T3" s="341" t="s">
        <v>28</v>
      </c>
      <c r="U3" s="342" t="s">
        <v>34</v>
      </c>
      <c r="V3" s="295"/>
      <c r="XFC3" s="158" t="s">
        <v>35</v>
      </c>
      <c r="XFD3" s="29">
        <f>Processing!XEX4</f>
        <v>0.10872170781893005</v>
      </c>
    </row>
    <row r="4" spans="2:25 16383:16384">
      <c r="B4" s="294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41" t="s">
        <v>25</v>
      </c>
      <c r="U4" s="342" t="s">
        <v>35</v>
      </c>
      <c r="V4" s="295"/>
      <c r="XFC4" s="158" t="s">
        <v>36</v>
      </c>
      <c r="XFD4" s="29">
        <f>Processing!XEX5</f>
        <v>0.18582219393167834</v>
      </c>
    </row>
    <row r="5" spans="2:25 16383:16384">
      <c r="B5" s="294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41" t="s">
        <v>26</v>
      </c>
      <c r="U5" s="342" t="s">
        <v>227</v>
      </c>
      <c r="V5" s="295"/>
      <c r="XFC5" s="158" t="s">
        <v>37</v>
      </c>
      <c r="XFD5" s="29">
        <f>Processing!XEX6</f>
        <v>9.0694223424570342E-2</v>
      </c>
    </row>
    <row r="6" spans="2:25 16383:16384" ht="15.75" thickBot="1">
      <c r="B6" s="294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43" t="s">
        <v>29</v>
      </c>
      <c r="U6" s="344" t="s">
        <v>37</v>
      </c>
      <c r="V6" s="295"/>
      <c r="XFC6" s="291" t="s">
        <v>227</v>
      </c>
      <c r="XFD6" s="29">
        <f>Processing!XEX7</f>
        <v>0.155</v>
      </c>
    </row>
    <row r="7" spans="2:25 16383:16384" ht="15.75" thickBot="1">
      <c r="B7" s="294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295"/>
      <c r="W7" s="331" t="s">
        <v>244</v>
      </c>
      <c r="XFC7" s="291" t="s">
        <v>228</v>
      </c>
      <c r="XFD7" s="29">
        <f>Processing!XEX8</f>
        <v>0.11520833333333333</v>
      </c>
    </row>
    <row r="8" spans="2:25 16383:16384">
      <c r="B8" s="294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299"/>
      <c r="T8" s="300"/>
      <c r="U8" s="300"/>
      <c r="V8" s="301"/>
      <c r="W8" s="332">
        <f>Processing!F3*11</f>
        <v>5.1573292459947382</v>
      </c>
    </row>
    <row r="9" spans="2:25 16383:16384">
      <c r="B9" s="294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294"/>
      <c r="T9" s="31"/>
      <c r="U9" s="31"/>
      <c r="V9" s="295"/>
    </row>
    <row r="10" spans="2:25 16383:16384">
      <c r="B10" s="294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94"/>
      <c r="T10" s="31"/>
      <c r="U10" s="31"/>
      <c r="V10" s="295"/>
    </row>
    <row r="11" spans="2:25 16383:16384">
      <c r="B11" s="294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94"/>
      <c r="T11" s="31"/>
      <c r="U11" s="31"/>
      <c r="V11" s="31"/>
    </row>
    <row r="12" spans="2:25 16383:16384" ht="9" customHeight="1">
      <c r="B12" s="294"/>
      <c r="C12" s="31"/>
      <c r="D12" s="193"/>
      <c r="E12" s="193"/>
      <c r="F12" s="193"/>
      <c r="G12" s="193"/>
      <c r="H12" s="31"/>
      <c r="I12" s="31"/>
      <c r="J12" s="193"/>
      <c r="K12" s="193"/>
      <c r="L12" s="193"/>
      <c r="M12" s="31"/>
      <c r="N12" s="193"/>
      <c r="O12" s="193"/>
      <c r="P12" s="193"/>
      <c r="Q12" s="193"/>
      <c r="R12" s="31"/>
      <c r="S12" s="294"/>
      <c r="T12" s="31"/>
      <c r="U12" s="31"/>
      <c r="V12" s="31"/>
      <c r="W12" s="378" t="s">
        <v>251</v>
      </c>
      <c r="X12" s="378"/>
      <c r="Y12" s="378"/>
    </row>
    <row r="13" spans="2:25 16383:16384" s="30" customFormat="1" ht="37.5" customHeight="1">
      <c r="B13" s="302"/>
      <c r="C13" s="32"/>
      <c r="D13" s="392" t="str">
        <f>CONCATENATE(T3,"  ",U3)</f>
        <v>Loom  1  Plain</v>
      </c>
      <c r="E13" s="393"/>
      <c r="F13" s="393"/>
      <c r="G13" s="393"/>
      <c r="H13" s="194"/>
      <c r="I13" s="194"/>
      <c r="J13" s="394" t="str">
        <f>CONCATENATE(T4,"  ",U4)</f>
        <v>Loom 2  Ventilated without interlock</v>
      </c>
      <c r="K13" s="394"/>
      <c r="L13" s="394"/>
      <c r="M13" s="194"/>
      <c r="N13" s="395" t="str">
        <f>CONCATENATE(T5,"  ",U5)</f>
        <v>Loom 3  Ventilated with Interlock</v>
      </c>
      <c r="O13" s="195"/>
      <c r="P13" s="396" t="str">
        <f>CONCATENATE(T6," ",U6)</f>
        <v>Loom 4 GEO</v>
      </c>
      <c r="Q13" s="396"/>
      <c r="R13" s="32"/>
      <c r="S13" s="302"/>
      <c r="T13" s="32"/>
      <c r="U13" s="32"/>
      <c r="V13" s="32"/>
      <c r="W13" s="379">
        <f>0.75-(Processing!F3*11)/11</f>
        <v>0.2811518867277511</v>
      </c>
      <c r="X13" s="379"/>
      <c r="Y13" s="379"/>
    </row>
    <row r="14" spans="2:25 16383:16384" ht="10.5" customHeight="1">
      <c r="B14" s="294"/>
      <c r="C14" s="31"/>
      <c r="D14" s="196"/>
      <c r="E14" s="196"/>
      <c r="F14" s="196"/>
      <c r="G14" s="196"/>
      <c r="H14" s="196"/>
      <c r="I14" s="196"/>
      <c r="J14" s="394"/>
      <c r="K14" s="394"/>
      <c r="L14" s="394"/>
      <c r="M14" s="196"/>
      <c r="N14" s="395"/>
      <c r="O14" s="196"/>
      <c r="P14" s="196"/>
      <c r="Q14" s="196"/>
      <c r="R14" s="196"/>
      <c r="S14" s="294"/>
      <c r="T14" s="31"/>
      <c r="U14" s="31"/>
      <c r="V14" s="295"/>
    </row>
    <row r="15" spans="2:25 16383:16384" ht="15.75" thickBot="1">
      <c r="B15" s="390" t="s">
        <v>27</v>
      </c>
      <c r="C15" s="39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91"/>
      <c r="O15" s="391"/>
      <c r="P15" s="391"/>
      <c r="Q15" s="391"/>
      <c r="R15" s="31"/>
      <c r="S15" s="294"/>
      <c r="T15" s="31"/>
      <c r="U15" s="31"/>
      <c r="V15" s="295"/>
    </row>
    <row r="16" spans="2:25 16383:16384" ht="37.5" customHeight="1" thickBot="1">
      <c r="B16" s="296"/>
      <c r="C16" s="297"/>
      <c r="D16" s="297"/>
      <c r="E16" s="297"/>
      <c r="F16" s="303"/>
      <c r="G16" s="304"/>
      <c r="H16" s="305" t="s">
        <v>46</v>
      </c>
      <c r="I16" s="306"/>
      <c r="J16" s="306"/>
      <c r="K16" s="306"/>
      <c r="L16" s="306"/>
      <c r="M16" s="305" t="s">
        <v>46</v>
      </c>
      <c r="N16" s="306"/>
      <c r="O16" s="305" t="s">
        <v>46</v>
      </c>
      <c r="P16" s="304"/>
      <c r="Q16" s="388" t="s">
        <v>47</v>
      </c>
      <c r="R16" s="388"/>
      <c r="S16" s="307"/>
      <c r="T16" s="384" t="s">
        <v>44</v>
      </c>
      <c r="U16" s="384"/>
      <c r="V16" s="385"/>
    </row>
    <row r="18" spans="1:25">
      <c r="B18" s="24" t="s">
        <v>229</v>
      </c>
      <c r="C18" s="24"/>
      <c r="D18" s="24"/>
      <c r="E18" s="24"/>
      <c r="F18" s="24"/>
      <c r="G18" s="24"/>
      <c r="H18" s="24"/>
      <c r="I18" s="24" t="s">
        <v>230</v>
      </c>
      <c r="J18" s="24"/>
      <c r="K18" s="24"/>
      <c r="L18" s="24"/>
      <c r="M18" s="24"/>
      <c r="N18" s="24"/>
      <c r="O18" s="24"/>
      <c r="P18" s="24" t="s">
        <v>231</v>
      </c>
      <c r="Q18" s="24"/>
      <c r="R18" s="24"/>
      <c r="S18" s="24"/>
      <c r="T18" s="24"/>
      <c r="U18" s="24"/>
    </row>
    <row r="19" spans="1:25">
      <c r="A19" s="333"/>
      <c r="B19" s="1">
        <f>((Processing!$F$3)/4)*5</f>
        <v>0.58606014159031117</v>
      </c>
      <c r="H19" s="1">
        <f>1-B19</f>
        <v>0.41393985840968883</v>
      </c>
      <c r="I19" s="1">
        <f>((Processing!$F$3)/4)*6</f>
        <v>0.70327216990837349</v>
      </c>
      <c r="O19" s="1">
        <f>1-I19</f>
        <v>0.29672783009162651</v>
      </c>
      <c r="P19" s="1">
        <f>((Processing!$F$3)/4)*7</f>
        <v>0.8204841982264357</v>
      </c>
      <c r="S19" s="334"/>
      <c r="T19" s="334"/>
      <c r="U19" s="24"/>
      <c r="V19" s="293">
        <f>1-P19</f>
        <v>0.1795158017735643</v>
      </c>
    </row>
    <row r="20" spans="1:25">
      <c r="A20" s="335" t="s">
        <v>30</v>
      </c>
      <c r="B20" s="336" t="s">
        <v>31</v>
      </c>
      <c r="C20" s="2"/>
      <c r="D20" s="386" t="str">
        <f>A20</f>
        <v>Loom No.s</v>
      </c>
      <c r="E20" s="386"/>
      <c r="F20" s="386"/>
      <c r="G20" s="386" t="str">
        <f>B20</f>
        <v>Fabric Type</v>
      </c>
      <c r="H20" s="386"/>
      <c r="I20" s="386"/>
      <c r="J20" s="386"/>
      <c r="K20" s="337"/>
      <c r="L20" s="337"/>
      <c r="M20" s="337"/>
      <c r="N20" s="335" t="s">
        <v>30</v>
      </c>
      <c r="O20" s="336" t="s">
        <v>31</v>
      </c>
      <c r="P20" s="337"/>
      <c r="Q20" s="337"/>
      <c r="R20" s="335" t="s">
        <v>30</v>
      </c>
      <c r="S20" s="336" t="s">
        <v>31</v>
      </c>
      <c r="T20" s="334"/>
      <c r="U20" s="24"/>
    </row>
    <row r="21" spans="1:25" s="30" customFormat="1" ht="36.75" customHeight="1" thickBot="1">
      <c r="A21" s="366" t="s">
        <v>254</v>
      </c>
      <c r="B21" s="367" t="s">
        <v>34</v>
      </c>
      <c r="C21" s="368"/>
      <c r="D21" s="387" t="s">
        <v>249</v>
      </c>
      <c r="E21" s="387"/>
      <c r="F21" s="387"/>
      <c r="G21" s="387" t="s">
        <v>34</v>
      </c>
      <c r="H21" s="387"/>
      <c r="I21" s="387"/>
      <c r="J21" s="387"/>
      <c r="K21" s="369"/>
      <c r="L21" s="369"/>
      <c r="M21" s="369"/>
      <c r="N21" s="366" t="s">
        <v>250</v>
      </c>
      <c r="O21" s="367" t="s">
        <v>37</v>
      </c>
      <c r="P21" s="369"/>
      <c r="Q21" s="369"/>
      <c r="R21" s="366" t="s">
        <v>255</v>
      </c>
      <c r="S21" s="367" t="s">
        <v>37</v>
      </c>
      <c r="T21" s="370"/>
      <c r="U21" s="371"/>
      <c r="V21" s="372">
        <f>1-I19</f>
        <v>0.29672783009162651</v>
      </c>
    </row>
    <row r="22" spans="1:25" ht="15.75" thickBot="1">
      <c r="A22" s="2"/>
      <c r="B22" s="337"/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337"/>
      <c r="P22" s="337"/>
      <c r="Q22" s="337"/>
      <c r="R22" s="337"/>
      <c r="S22" s="337"/>
      <c r="T22" s="334"/>
      <c r="U22" s="380" t="s">
        <v>252</v>
      </c>
      <c r="V22" s="381"/>
      <c r="W22" s="381"/>
      <c r="X22" s="381"/>
      <c r="Y22" s="348">
        <v>6</v>
      </c>
    </row>
    <row r="23" spans="1:25" ht="15.75" thickBot="1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382" t="s">
        <v>253</v>
      </c>
      <c r="V23" s="383"/>
      <c r="W23" s="383"/>
      <c r="X23" s="383"/>
      <c r="Y23" s="349">
        <f>IF(Y22=5,Processing!F3+Processing!B8,IF(Y22=6,Processing!F3+Processing!B8+Processing!B9,IF(Y22=7,Processing!F3+Processing!B8+Processing!B9+Processing!B10,IF(Y22=8,Processing!F3+Processing!B8+Processing!B9+Processing!B10+Processing!B11))))</f>
        <v>0.69771247732974606</v>
      </c>
    </row>
    <row r="24" spans="1:25" ht="15.75" thickBot="1">
      <c r="B24" s="294"/>
      <c r="C24" s="31"/>
      <c r="D24" s="31"/>
      <c r="E24" s="31"/>
      <c r="F24" s="31"/>
      <c r="G24" s="298"/>
    </row>
    <row r="25" spans="1:25">
      <c r="A25" s="1" t="s">
        <v>232</v>
      </c>
      <c r="V25" s="293">
        <f>1-A26</f>
        <v>6.2303773455502087E-2</v>
      </c>
      <c r="W25" s="2" t="s">
        <v>256</v>
      </c>
      <c r="Y25" s="350">
        <f>Y23*11</f>
        <v>7.6748372506272062</v>
      </c>
    </row>
    <row r="26" spans="1:25">
      <c r="A26" s="1">
        <f>((Processing!$F$3)/4)*8</f>
        <v>0.93769622654449791</v>
      </c>
      <c r="G26" s="1">
        <f>1-A26</f>
        <v>6.2303773455502087E-2</v>
      </c>
      <c r="R26" s="24"/>
    </row>
    <row r="27" spans="1:25">
      <c r="M27" s="25"/>
      <c r="Q27" s="3"/>
      <c r="R27" s="23"/>
    </row>
    <row r="28" spans="1:25">
      <c r="M28" s="26"/>
      <c r="R28" s="24"/>
    </row>
    <row r="29" spans="1:25">
      <c r="M29" s="25"/>
      <c r="Q29" s="3"/>
      <c r="R29" s="23"/>
    </row>
    <row r="42" spans="1:4">
      <c r="B42" s="2"/>
    </row>
    <row r="43" spans="1:4">
      <c r="C43" s="2"/>
      <c r="D43" s="2"/>
    </row>
    <row r="44" spans="1:4">
      <c r="A44" s="2"/>
    </row>
  </sheetData>
  <mergeCells count="17">
    <mergeCell ref="P3:Q3"/>
    <mergeCell ref="B15:C15"/>
    <mergeCell ref="N15:Q15"/>
    <mergeCell ref="D13:G13"/>
    <mergeCell ref="J13:L14"/>
    <mergeCell ref="N13:N14"/>
    <mergeCell ref="P13:Q13"/>
    <mergeCell ref="D20:F20"/>
    <mergeCell ref="G20:J20"/>
    <mergeCell ref="D21:F21"/>
    <mergeCell ref="G21:J21"/>
    <mergeCell ref="Q16:R16"/>
    <mergeCell ref="W12:Y12"/>
    <mergeCell ref="W13:Y13"/>
    <mergeCell ref="U22:X22"/>
    <mergeCell ref="U23:X23"/>
    <mergeCell ref="T16:V16"/>
  </mergeCells>
  <conditionalFormatting sqref="M27:M29 R26:R29">
    <cfRule type="expression" dxfId="23" priority="2">
      <formula>$R26=1</formula>
    </cfRule>
  </conditionalFormatting>
  <conditionalFormatting sqref="D20:M23 B22:C23 N22:O23 P20:Q23 B18:R18 R22:S23 S18:S19 T18:T23 U18:U21">
    <cfRule type="expression" dxfId="22" priority="1">
      <formula>$R18=1</formula>
    </cfRule>
  </conditionalFormatting>
  <dataValidations count="2">
    <dataValidation type="list" allowBlank="1" showInputMessage="1" showErrorMessage="1" sqref="Y22">
      <formula1>"5,6,7,8"</formula1>
    </dataValidation>
    <dataValidation type="list" allowBlank="1" showInputMessage="1" showErrorMessage="1" sqref="B21 S21 O21 G21:J21 U3:U6">
      <formula1>$XFC$2:$XFC$9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40"/>
  <sheetViews>
    <sheetView topLeftCell="H1" workbookViewId="0">
      <selection activeCell="M18" sqref="K18:M19"/>
    </sheetView>
  </sheetViews>
  <sheetFormatPr defaultRowHeight="15"/>
  <cols>
    <col min="1" max="1" width="3.85546875" bestFit="1" customWidth="1"/>
    <col min="2" max="2" width="32.5703125" bestFit="1" customWidth="1"/>
    <col min="3" max="3" width="26.7109375" style="6" bestFit="1" customWidth="1"/>
    <col min="4" max="4" width="14.140625" bestFit="1" customWidth="1"/>
    <col min="5" max="5" width="19.7109375" bestFit="1" customWidth="1"/>
    <col min="6" max="6" width="32.5703125" bestFit="1" customWidth="1"/>
    <col min="7" max="7" width="26.5703125" bestFit="1" customWidth="1"/>
    <col min="8" max="8" width="8.7109375" bestFit="1" customWidth="1"/>
    <col min="9" max="9" width="4.7109375" bestFit="1" customWidth="1"/>
    <col min="10" max="10" width="32.5703125" bestFit="1" customWidth="1"/>
    <col min="11" max="11" width="26.5703125" style="6" bestFit="1" customWidth="1"/>
    <col min="12" max="12" width="8.7109375" bestFit="1" customWidth="1"/>
    <col min="13" max="13" width="4.7109375" bestFit="1" customWidth="1"/>
    <col min="15" max="15" width="32.5703125" bestFit="1" customWidth="1"/>
    <col min="16" max="16" width="28.42578125" style="156" bestFit="1" customWidth="1"/>
    <col min="17" max="17" width="8.7109375" bestFit="1" customWidth="1"/>
    <col min="18" max="18" width="4.7109375" bestFit="1" customWidth="1"/>
  </cols>
  <sheetData>
    <row r="1" spans="2:18">
      <c r="B1" s="132" t="s">
        <v>192</v>
      </c>
      <c r="C1" s="133" t="s">
        <v>185</v>
      </c>
      <c r="D1" s="202" t="s">
        <v>125</v>
      </c>
      <c r="E1" s="206" t="s">
        <v>184</v>
      </c>
      <c r="F1" s="251" t="s">
        <v>192</v>
      </c>
      <c r="G1" s="252" t="s">
        <v>185</v>
      </c>
      <c r="H1" s="253" t="s">
        <v>125</v>
      </c>
      <c r="I1" s="254" t="s">
        <v>184</v>
      </c>
      <c r="J1" s="132" t="s">
        <v>192</v>
      </c>
      <c r="K1" s="133" t="s">
        <v>185</v>
      </c>
      <c r="L1" s="202" t="s">
        <v>125</v>
      </c>
      <c r="M1" s="206" t="s">
        <v>184</v>
      </c>
      <c r="N1" s="217"/>
      <c r="O1" s="220" t="s">
        <v>192</v>
      </c>
      <c r="P1" s="221" t="s">
        <v>185</v>
      </c>
      <c r="Q1" s="222" t="s">
        <v>125</v>
      </c>
      <c r="R1" s="223" t="s">
        <v>184</v>
      </c>
    </row>
    <row r="2" spans="2:18">
      <c r="B2" s="152">
        <v>565</v>
      </c>
      <c r="C2" s="200" t="s">
        <v>115</v>
      </c>
      <c r="D2" s="152">
        <v>187</v>
      </c>
      <c r="E2" s="37">
        <v>1</v>
      </c>
      <c r="F2" s="249">
        <v>567</v>
      </c>
      <c r="G2" s="248" t="s">
        <v>115</v>
      </c>
      <c r="H2" s="249">
        <v>1871</v>
      </c>
      <c r="I2" s="250">
        <v>17</v>
      </c>
      <c r="J2" s="152">
        <v>568</v>
      </c>
      <c r="K2" s="200" t="s">
        <v>115</v>
      </c>
      <c r="L2" s="152">
        <f>54+55+114+111+18+240</f>
        <v>592</v>
      </c>
      <c r="M2" s="37">
        <v>5</v>
      </c>
      <c r="N2" s="37"/>
      <c r="O2" s="224">
        <v>566</v>
      </c>
      <c r="P2" s="225" t="s">
        <v>115</v>
      </c>
      <c r="Q2" s="224">
        <v>92</v>
      </c>
      <c r="R2" s="226">
        <v>3</v>
      </c>
    </row>
    <row r="3" spans="2:18">
      <c r="B3" s="152">
        <v>565</v>
      </c>
      <c r="C3" s="200" t="s">
        <v>89</v>
      </c>
      <c r="D3" s="152">
        <v>500</v>
      </c>
      <c r="E3" s="37">
        <v>6</v>
      </c>
      <c r="F3" s="249">
        <v>567</v>
      </c>
      <c r="G3" s="248" t="s">
        <v>89</v>
      </c>
      <c r="H3" s="249">
        <v>327</v>
      </c>
      <c r="I3" s="250">
        <v>8</v>
      </c>
      <c r="J3" s="152">
        <v>568</v>
      </c>
      <c r="K3" s="247" t="s">
        <v>89</v>
      </c>
      <c r="L3" s="209">
        <v>1348</v>
      </c>
      <c r="M3" s="210">
        <v>14</v>
      </c>
      <c r="N3" s="37"/>
      <c r="O3" s="224">
        <v>566</v>
      </c>
      <c r="P3" s="225" t="s">
        <v>89</v>
      </c>
      <c r="Q3" s="224">
        <v>471</v>
      </c>
      <c r="R3" s="226">
        <v>6</v>
      </c>
    </row>
    <row r="4" spans="2:18">
      <c r="B4" s="152">
        <v>565</v>
      </c>
      <c r="C4" s="200" t="s">
        <v>87</v>
      </c>
      <c r="D4" s="152">
        <v>259</v>
      </c>
      <c r="E4" s="37">
        <v>5</v>
      </c>
      <c r="F4" s="249">
        <v>567</v>
      </c>
      <c r="G4" s="248" t="s">
        <v>87</v>
      </c>
      <c r="H4" s="249">
        <v>173</v>
      </c>
      <c r="I4" s="250">
        <v>2</v>
      </c>
      <c r="J4" s="152">
        <v>568</v>
      </c>
      <c r="K4" s="200" t="s">
        <v>87</v>
      </c>
      <c r="L4" s="152">
        <v>46</v>
      </c>
      <c r="M4" s="37">
        <v>1</v>
      </c>
      <c r="N4" s="37"/>
      <c r="O4" s="224">
        <v>566</v>
      </c>
      <c r="P4" s="225" t="s">
        <v>87</v>
      </c>
      <c r="Q4" s="224">
        <v>74</v>
      </c>
      <c r="R4" s="226">
        <v>3</v>
      </c>
    </row>
    <row r="5" spans="2:18">
      <c r="B5" s="152">
        <v>565</v>
      </c>
      <c r="C5" s="200" t="s">
        <v>186</v>
      </c>
      <c r="D5" s="152">
        <f>220+44</f>
        <v>264</v>
      </c>
      <c r="E5" s="37">
        <v>5</v>
      </c>
      <c r="F5" s="249">
        <v>567</v>
      </c>
      <c r="G5" s="248" t="s">
        <v>186</v>
      </c>
      <c r="H5" s="249">
        <v>229</v>
      </c>
      <c r="I5" s="250">
        <v>2</v>
      </c>
      <c r="J5" s="152">
        <v>568</v>
      </c>
      <c r="K5" s="200" t="s">
        <v>186</v>
      </c>
      <c r="L5" s="152">
        <v>196</v>
      </c>
      <c r="M5" s="37">
        <v>2</v>
      </c>
      <c r="N5" s="37"/>
      <c r="O5" s="224">
        <v>566</v>
      </c>
      <c r="P5" s="225" t="s">
        <v>186</v>
      </c>
      <c r="Q5" s="224">
        <v>306</v>
      </c>
      <c r="R5" s="226">
        <v>3</v>
      </c>
    </row>
    <row r="6" spans="2:18">
      <c r="B6" s="152"/>
      <c r="C6" s="200"/>
      <c r="D6" s="152"/>
      <c r="E6" s="37"/>
      <c r="F6" s="249">
        <v>567</v>
      </c>
      <c r="G6" s="248" t="s">
        <v>187</v>
      </c>
      <c r="H6" s="249"/>
      <c r="I6" s="250"/>
      <c r="J6" s="152">
        <v>568</v>
      </c>
      <c r="K6" s="247" t="s">
        <v>188</v>
      </c>
      <c r="L6" s="209">
        <v>356</v>
      </c>
      <c r="M6" s="37">
        <v>1</v>
      </c>
      <c r="N6" s="37"/>
      <c r="O6" s="224">
        <v>566</v>
      </c>
      <c r="P6" s="225" t="s">
        <v>205</v>
      </c>
      <c r="Q6" s="224">
        <v>2835</v>
      </c>
      <c r="R6" s="226">
        <v>1</v>
      </c>
    </row>
    <row r="7" spans="2:18">
      <c r="B7" s="152">
        <v>565</v>
      </c>
      <c r="C7" s="201" t="s">
        <v>201</v>
      </c>
      <c r="D7" s="152">
        <v>514</v>
      </c>
      <c r="E7" s="37">
        <v>8</v>
      </c>
      <c r="F7" s="249">
        <v>567</v>
      </c>
      <c r="G7" s="259" t="s">
        <v>224</v>
      </c>
      <c r="H7" s="249">
        <f>63+15</f>
        <v>78</v>
      </c>
      <c r="I7" s="250">
        <v>2</v>
      </c>
      <c r="J7" s="152">
        <v>568</v>
      </c>
      <c r="K7" s="201" t="s">
        <v>202</v>
      </c>
      <c r="L7" s="37"/>
      <c r="M7" s="37"/>
      <c r="N7" s="37"/>
      <c r="O7" s="224">
        <v>566</v>
      </c>
      <c r="P7" s="225" t="s">
        <v>202</v>
      </c>
      <c r="Q7" s="224">
        <f>122+106</f>
        <v>228</v>
      </c>
      <c r="R7" s="226">
        <f>1+1</f>
        <v>2</v>
      </c>
    </row>
    <row r="8" spans="2:18">
      <c r="B8" s="152">
        <v>565</v>
      </c>
      <c r="C8" s="201" t="s">
        <v>202</v>
      </c>
      <c r="D8" s="152">
        <v>27</v>
      </c>
      <c r="E8" s="37">
        <v>1</v>
      </c>
      <c r="F8" s="249">
        <v>567</v>
      </c>
      <c r="G8" s="260" t="s">
        <v>190</v>
      </c>
      <c r="H8" s="250">
        <v>161</v>
      </c>
      <c r="I8" s="250">
        <v>8</v>
      </c>
      <c r="J8" s="152">
        <v>568</v>
      </c>
      <c r="K8" s="207" t="s">
        <v>51</v>
      </c>
      <c r="L8" s="37">
        <v>20</v>
      </c>
      <c r="M8" s="37">
        <v>1</v>
      </c>
      <c r="N8" s="37"/>
      <c r="O8" s="224">
        <v>566</v>
      </c>
      <c r="P8" s="227" t="s">
        <v>206</v>
      </c>
      <c r="Q8" s="224">
        <v>201</v>
      </c>
      <c r="R8" s="226">
        <v>1</v>
      </c>
    </row>
    <row r="9" spans="2:18">
      <c r="B9" s="152">
        <v>565</v>
      </c>
      <c r="C9" s="204" t="s">
        <v>203</v>
      </c>
      <c r="D9" s="152">
        <v>97</v>
      </c>
      <c r="E9" s="37">
        <v>1</v>
      </c>
      <c r="F9" s="249"/>
      <c r="G9" s="260"/>
      <c r="H9" s="249"/>
      <c r="I9" s="250"/>
      <c r="J9" s="152">
        <v>568</v>
      </c>
      <c r="K9" s="204" t="s">
        <v>190</v>
      </c>
      <c r="L9" s="37">
        <v>30</v>
      </c>
      <c r="M9" s="37">
        <v>2</v>
      </c>
      <c r="N9" s="37"/>
      <c r="O9" s="224">
        <v>566</v>
      </c>
      <c r="P9" s="227"/>
      <c r="Q9" s="224"/>
      <c r="R9" s="226"/>
    </row>
    <row r="10" spans="2:18">
      <c r="B10" s="152">
        <v>565</v>
      </c>
      <c r="C10" s="204" t="s">
        <v>204</v>
      </c>
      <c r="D10" s="152">
        <v>109</v>
      </c>
      <c r="E10" s="37">
        <v>1</v>
      </c>
      <c r="F10" s="249"/>
      <c r="G10" s="260"/>
      <c r="H10" s="249"/>
      <c r="I10" s="250"/>
      <c r="J10" s="152"/>
      <c r="K10" s="204"/>
      <c r="L10" s="37"/>
      <c r="M10" s="37"/>
      <c r="N10" s="37"/>
      <c r="O10" s="224">
        <v>566</v>
      </c>
      <c r="P10" s="228" t="s">
        <v>51</v>
      </c>
      <c r="Q10" s="226">
        <v>246</v>
      </c>
      <c r="R10" s="226">
        <v>4</v>
      </c>
    </row>
    <row r="11" spans="2:18" ht="31.5" customHeight="1">
      <c r="B11" s="152">
        <v>565</v>
      </c>
      <c r="C11" s="207" t="s">
        <v>51</v>
      </c>
      <c r="D11" s="152">
        <v>20</v>
      </c>
      <c r="E11" s="37">
        <v>1</v>
      </c>
      <c r="F11" s="249"/>
      <c r="G11" s="261"/>
      <c r="H11" s="250"/>
      <c r="I11" s="250"/>
      <c r="J11" s="152"/>
      <c r="K11" s="207"/>
      <c r="L11" s="37"/>
      <c r="M11" s="37"/>
      <c r="N11" s="37"/>
      <c r="O11" s="224">
        <v>566</v>
      </c>
      <c r="P11" s="227" t="s">
        <v>190</v>
      </c>
      <c r="Q11" s="226">
        <f>10+31</f>
        <v>41</v>
      </c>
      <c r="R11" s="226">
        <v>2</v>
      </c>
    </row>
    <row r="12" spans="2:18">
      <c r="B12" s="152">
        <v>565</v>
      </c>
      <c r="C12" s="204" t="s">
        <v>190</v>
      </c>
      <c r="D12" s="205">
        <v>30</v>
      </c>
      <c r="E12" s="211">
        <v>2</v>
      </c>
      <c r="F12" s="249"/>
      <c r="G12" s="260"/>
      <c r="H12" s="250"/>
      <c r="I12" s="250"/>
      <c r="J12" s="152"/>
      <c r="K12" s="204"/>
      <c r="L12" s="37"/>
      <c r="M12" s="37"/>
      <c r="N12" s="211"/>
      <c r="O12" s="224"/>
      <c r="P12" s="227"/>
      <c r="Q12" s="226"/>
      <c r="R12" s="226"/>
    </row>
    <row r="13" spans="2:18">
      <c r="B13" s="209"/>
      <c r="C13" s="209" t="s">
        <v>194</v>
      </c>
      <c r="D13" s="209">
        <f>+SUM(D2:D12)-D10</f>
        <v>1898</v>
      </c>
      <c r="E13" s="210">
        <f>SUM(E2:E12)</f>
        <v>31</v>
      </c>
      <c r="F13" s="262"/>
      <c r="G13" s="262" t="s">
        <v>194</v>
      </c>
      <c r="H13" s="262">
        <f>+SUM(H2:H12)</f>
        <v>2839</v>
      </c>
      <c r="I13" s="263">
        <f>SUM(I2:I12)</f>
        <v>39</v>
      </c>
      <c r="J13" s="209"/>
      <c r="K13" s="209" t="s">
        <v>194</v>
      </c>
      <c r="L13" s="209">
        <f>+SUM(L2:L12)-L6</f>
        <v>2232</v>
      </c>
      <c r="M13" s="210">
        <f>SUM(M2:M12)</f>
        <v>26</v>
      </c>
      <c r="N13" s="210"/>
      <c r="O13" s="224"/>
      <c r="P13" s="224" t="s">
        <v>194</v>
      </c>
      <c r="Q13" s="224">
        <f>+SUM(Q2:Q11)-Q6</f>
        <v>1659</v>
      </c>
      <c r="R13" s="226">
        <v>25</v>
      </c>
    </row>
    <row r="14" spans="2:18">
      <c r="B14" s="212"/>
      <c r="C14" s="212"/>
      <c r="D14" s="212"/>
      <c r="E14" s="213"/>
      <c r="F14" s="264"/>
      <c r="G14" s="264"/>
      <c r="H14" s="264"/>
      <c r="I14" s="265"/>
      <c r="J14" s="212"/>
      <c r="K14" s="212"/>
      <c r="L14" s="212"/>
      <c r="M14" s="213"/>
      <c r="N14" s="213"/>
      <c r="O14" s="224"/>
      <c r="P14" s="224"/>
      <c r="Q14" s="224"/>
      <c r="R14" s="226"/>
    </row>
    <row r="15" spans="2:18">
      <c r="B15" s="215" t="s">
        <v>195</v>
      </c>
      <c r="C15" s="216"/>
      <c r="D15" s="106">
        <f>60*60*4</f>
        <v>14400</v>
      </c>
      <c r="E15" s="106"/>
      <c r="F15" s="266" t="s">
        <v>195</v>
      </c>
      <c r="G15" s="267"/>
      <c r="H15" s="268">
        <f>60*60*4</f>
        <v>14400</v>
      </c>
      <c r="I15" s="268"/>
      <c r="J15" s="215" t="s">
        <v>195</v>
      </c>
      <c r="K15" s="216"/>
      <c r="L15" s="106">
        <f>60*60*4</f>
        <v>14400</v>
      </c>
      <c r="M15" s="106"/>
      <c r="N15" s="218"/>
      <c r="O15" s="229" t="s">
        <v>195</v>
      </c>
      <c r="P15" s="230"/>
      <c r="Q15" s="231">
        <f>60*60*4</f>
        <v>14400</v>
      </c>
      <c r="R15" s="231"/>
    </row>
    <row r="16" spans="2:18">
      <c r="B16" s="215" t="s">
        <v>207</v>
      </c>
      <c r="C16" s="216"/>
      <c r="D16" s="106">
        <f>D13</f>
        <v>1898</v>
      </c>
      <c r="E16" s="37"/>
      <c r="F16" s="266" t="s">
        <v>207</v>
      </c>
      <c r="G16" s="267"/>
      <c r="H16" s="268">
        <f>H13</f>
        <v>2839</v>
      </c>
      <c r="I16" s="250"/>
      <c r="J16" s="215" t="s">
        <v>207</v>
      </c>
      <c r="K16" s="216"/>
      <c r="L16" s="106">
        <f>L13</f>
        <v>2232</v>
      </c>
      <c r="M16" s="37"/>
      <c r="N16" s="219"/>
      <c r="O16" s="229" t="s">
        <v>207</v>
      </c>
      <c r="P16" s="230"/>
      <c r="Q16" s="231">
        <f>Q13</f>
        <v>1659</v>
      </c>
      <c r="R16" s="226"/>
    </row>
    <row r="17" spans="2:18" ht="15.75" thickBot="1">
      <c r="B17" s="418" t="s">
        <v>208</v>
      </c>
      <c r="C17" s="419"/>
      <c r="D17" s="235">
        <f>D16/D15</f>
        <v>0.13180555555555556</v>
      </c>
      <c r="E17" s="37"/>
      <c r="F17" s="414" t="s">
        <v>208</v>
      </c>
      <c r="G17" s="415"/>
      <c r="H17" s="269">
        <f>H16/H15</f>
        <v>0.19715277777777779</v>
      </c>
      <c r="I17" s="250"/>
      <c r="J17" s="416" t="s">
        <v>208</v>
      </c>
      <c r="K17" s="417"/>
      <c r="L17" s="203">
        <f>L16/L15</f>
        <v>0.155</v>
      </c>
      <c r="M17" s="37"/>
      <c r="N17" s="219"/>
      <c r="O17" s="420" t="s">
        <v>208</v>
      </c>
      <c r="P17" s="421"/>
      <c r="Q17" s="232">
        <f>Q16/Q15</f>
        <v>0.11520833333333333</v>
      </c>
      <c r="R17" s="226"/>
    </row>
    <row r="18" spans="2:18" ht="30.75" thickBot="1">
      <c r="B18" s="412" t="s">
        <v>154</v>
      </c>
      <c r="C18" s="413"/>
      <c r="D18" s="236">
        <f>(D17+H17+L17)</f>
        <v>0.48395833333333338</v>
      </c>
      <c r="E18" s="104"/>
      <c r="F18" s="214"/>
      <c r="G18" s="214"/>
      <c r="H18" s="109"/>
      <c r="I18" s="104"/>
      <c r="J18" s="214"/>
      <c r="K18" s="214"/>
      <c r="L18" s="109"/>
      <c r="M18" s="104"/>
      <c r="N18" s="104"/>
      <c r="O18" s="233" t="s">
        <v>209</v>
      </c>
      <c r="P18" s="233" t="s">
        <v>210</v>
      </c>
      <c r="Q18" s="234"/>
      <c r="R18" s="233"/>
    </row>
    <row r="19" spans="2:18">
      <c r="B19" s="214"/>
      <c r="C19" s="214"/>
      <c r="D19" s="109"/>
      <c r="E19" s="104"/>
      <c r="F19" s="214"/>
      <c r="G19" s="214"/>
      <c r="H19" s="109"/>
      <c r="I19" s="104"/>
      <c r="J19" s="214"/>
      <c r="K19" s="214"/>
      <c r="L19" s="109"/>
      <c r="M19" s="104"/>
      <c r="N19" s="104"/>
      <c r="O19" s="214"/>
      <c r="P19" s="214"/>
      <c r="Q19" s="109"/>
      <c r="R19" s="104"/>
    </row>
    <row r="20" spans="2:18" ht="15.75" thickBot="1">
      <c r="B20" s="214"/>
      <c r="C20" s="214"/>
      <c r="D20" s="109"/>
      <c r="E20" s="104"/>
      <c r="F20" s="214"/>
      <c r="G20" s="214"/>
      <c r="H20" s="109"/>
      <c r="I20" s="104"/>
      <c r="J20" s="214"/>
      <c r="K20" s="214"/>
      <c r="L20" s="109"/>
      <c r="M20" s="104"/>
      <c r="N20" s="104"/>
      <c r="O20" s="214"/>
      <c r="P20" s="214"/>
      <c r="Q20" s="109"/>
      <c r="R20" s="104"/>
    </row>
    <row r="21" spans="2:18" ht="15.75" thickBot="1">
      <c r="B21" s="246"/>
      <c r="C21" s="243" t="s">
        <v>62</v>
      </c>
      <c r="D21" s="244" t="s">
        <v>62</v>
      </c>
      <c r="E21" s="244" t="s">
        <v>62</v>
      </c>
      <c r="F21" s="245" t="s">
        <v>62</v>
      </c>
    </row>
    <row r="22" spans="2:18">
      <c r="B22" s="238"/>
      <c r="C22" s="241">
        <v>565</v>
      </c>
      <c r="D22" s="242">
        <v>566</v>
      </c>
      <c r="E22" s="242">
        <v>567</v>
      </c>
      <c r="F22" s="242">
        <v>568</v>
      </c>
    </row>
    <row r="23" spans="2:18">
      <c r="B23" s="240" t="s">
        <v>64</v>
      </c>
      <c r="C23" s="237" t="s">
        <v>212</v>
      </c>
      <c r="D23" s="242" t="s">
        <v>216</v>
      </c>
      <c r="E23" s="242" t="s">
        <v>221</v>
      </c>
      <c r="F23" s="242" t="s">
        <v>222</v>
      </c>
    </row>
    <row r="24" spans="2:18">
      <c r="B24" s="238" t="s">
        <v>197</v>
      </c>
      <c r="C24" s="158" t="s">
        <v>220</v>
      </c>
      <c r="D24" s="158" t="s">
        <v>217</v>
      </c>
      <c r="E24" s="158" t="s">
        <v>220</v>
      </c>
      <c r="F24" s="158" t="s">
        <v>220</v>
      </c>
    </row>
    <row r="25" spans="2:18">
      <c r="B25" s="238" t="s">
        <v>198</v>
      </c>
      <c r="C25" s="237" t="s">
        <v>213</v>
      </c>
      <c r="D25" s="158" t="s">
        <v>218</v>
      </c>
      <c r="E25" s="158" t="s">
        <v>213</v>
      </c>
      <c r="F25" s="237" t="s">
        <v>213</v>
      </c>
    </row>
    <row r="26" spans="2:18">
      <c r="B26" s="238" t="s">
        <v>31</v>
      </c>
      <c r="C26" s="237" t="s">
        <v>214</v>
      </c>
      <c r="D26" s="158" t="s">
        <v>219</v>
      </c>
      <c r="E26" s="158" t="s">
        <v>226</v>
      </c>
      <c r="F26" s="237" t="s">
        <v>223</v>
      </c>
    </row>
    <row r="27" spans="2:18">
      <c r="B27" s="238" t="s">
        <v>215</v>
      </c>
      <c r="C27" s="237">
        <f>93092.7-93038.8</f>
        <v>53.899999999994179</v>
      </c>
      <c r="D27" s="158">
        <f>27381.6-27334.5</f>
        <v>47.099999999998545</v>
      </c>
      <c r="E27" s="158">
        <v>43.4</v>
      </c>
      <c r="F27" s="158">
        <f>37113.8-37064.5</f>
        <v>49.30000000000291</v>
      </c>
    </row>
    <row r="28" spans="2:18">
      <c r="B28" s="238" t="s">
        <v>123</v>
      </c>
      <c r="C28" s="237"/>
      <c r="D28" s="158"/>
      <c r="E28" s="158"/>
      <c r="F28" s="158"/>
    </row>
    <row r="29" spans="2:18" ht="15.75" thickBot="1">
      <c r="B29" s="239" t="s">
        <v>70</v>
      </c>
      <c r="C29" s="237"/>
      <c r="D29" s="158"/>
      <c r="E29" s="158"/>
      <c r="F29" s="158"/>
    </row>
    <row r="30" spans="2:18" ht="15.75" thickBot="1">
      <c r="B30" s="239" t="s">
        <v>211</v>
      </c>
      <c r="C30" s="237"/>
      <c r="D30" s="158"/>
      <c r="E30" s="158"/>
      <c r="F30" s="158"/>
    </row>
    <row r="40" spans="1:1">
      <c r="A40" t="s">
        <v>168</v>
      </c>
    </row>
  </sheetData>
  <mergeCells count="5">
    <mergeCell ref="B18:C18"/>
    <mergeCell ref="F17:G17"/>
    <mergeCell ref="J17:K17"/>
    <mergeCell ref="B17:C17"/>
    <mergeCell ref="O17:P17"/>
  </mergeCell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M9" activeCellId="1" sqref="B12:F12 M9"/>
    </sheetView>
  </sheetViews>
  <sheetFormatPr defaultRowHeight="15"/>
  <cols>
    <col min="1" max="1" width="21.140625" bestFit="1" customWidth="1"/>
    <col min="2" max="2" width="7.5703125" bestFit="1" customWidth="1"/>
    <col min="3" max="3" width="4.5703125" bestFit="1" customWidth="1"/>
    <col min="4" max="4" width="21.140625" bestFit="1" customWidth="1"/>
    <col min="5" max="5" width="9.42578125" bestFit="1" customWidth="1"/>
    <col min="6" max="6" width="8.5703125" bestFit="1" customWidth="1"/>
    <col min="7" max="7" width="15.85546875" bestFit="1" customWidth="1"/>
    <col min="8" max="8" width="26.7109375" bestFit="1" customWidth="1"/>
    <col min="9" max="9" width="8.7109375" bestFit="1" customWidth="1"/>
    <col min="10" max="10" width="4.7109375" bestFit="1" customWidth="1"/>
  </cols>
  <sheetData>
    <row r="1" spans="1:13">
      <c r="A1" s="35" t="s">
        <v>48</v>
      </c>
      <c r="B1" s="35"/>
      <c r="D1" s="35" t="s">
        <v>48</v>
      </c>
      <c r="E1" s="37"/>
      <c r="G1" s="132" t="s">
        <v>192</v>
      </c>
      <c r="H1" s="133" t="s">
        <v>185</v>
      </c>
      <c r="I1" s="202" t="s">
        <v>125</v>
      </c>
      <c r="J1" s="206" t="s">
        <v>184</v>
      </c>
    </row>
    <row r="2" spans="1:13">
      <c r="A2" s="40" t="s">
        <v>49</v>
      </c>
      <c r="B2" s="40">
        <v>558</v>
      </c>
      <c r="D2" s="40" t="s">
        <v>49</v>
      </c>
      <c r="E2" s="40">
        <v>560</v>
      </c>
      <c r="G2" s="197">
        <v>565</v>
      </c>
      <c r="H2" s="200" t="s">
        <v>115</v>
      </c>
      <c r="I2" s="197">
        <v>187</v>
      </c>
      <c r="J2" s="37">
        <v>1</v>
      </c>
    </row>
    <row r="3" spans="1:13">
      <c r="A3" s="37" t="s">
        <v>50</v>
      </c>
      <c r="B3" s="37">
        <f>180+76+40+36+139+64+153+126</f>
        <v>814</v>
      </c>
      <c r="D3" s="37" t="s">
        <v>50</v>
      </c>
      <c r="E3" s="37">
        <f>133+122+8</f>
        <v>263</v>
      </c>
      <c r="G3" s="197">
        <v>565</v>
      </c>
      <c r="H3" s="200" t="s">
        <v>89</v>
      </c>
      <c r="I3" s="197">
        <v>500</v>
      </c>
      <c r="J3" s="37">
        <v>6</v>
      </c>
    </row>
    <row r="4" spans="1:13">
      <c r="A4" s="37" t="s">
        <v>52</v>
      </c>
      <c r="B4" s="37">
        <v>57</v>
      </c>
      <c r="D4" s="37" t="s">
        <v>53</v>
      </c>
      <c r="E4" s="37">
        <f>32+51</f>
        <v>83</v>
      </c>
      <c r="G4" s="197">
        <v>565</v>
      </c>
      <c r="H4" s="200" t="s">
        <v>87</v>
      </c>
      <c r="I4" s="197">
        <v>259</v>
      </c>
      <c r="J4" s="37">
        <v>5</v>
      </c>
    </row>
    <row r="5" spans="1:13">
      <c r="A5" s="37" t="s">
        <v>51</v>
      </c>
      <c r="B5" s="37">
        <f>35+56</f>
        <v>91</v>
      </c>
      <c r="D5" s="37" t="s">
        <v>51</v>
      </c>
      <c r="E5" s="37">
        <v>19</v>
      </c>
      <c r="G5" s="197">
        <v>565</v>
      </c>
      <c r="H5" s="200" t="s">
        <v>186</v>
      </c>
      <c r="I5" s="197">
        <f>220+44</f>
        <v>264</v>
      </c>
      <c r="J5" s="37">
        <v>5</v>
      </c>
    </row>
    <row r="6" spans="1:13">
      <c r="A6" s="37" t="s">
        <v>53</v>
      </c>
      <c r="B6" s="37">
        <f>13+38+60</f>
        <v>111</v>
      </c>
      <c r="G6" s="197"/>
      <c r="H6" s="200"/>
      <c r="I6" s="197"/>
      <c r="J6" s="37"/>
    </row>
    <row r="7" spans="1:13">
      <c r="A7" s="37" t="s">
        <v>55</v>
      </c>
      <c r="B7" s="37">
        <v>31</v>
      </c>
      <c r="G7" s="197">
        <v>565</v>
      </c>
      <c r="H7" s="201" t="s">
        <v>201</v>
      </c>
      <c r="I7" s="197">
        <v>514</v>
      </c>
      <c r="J7" s="37">
        <v>8</v>
      </c>
      <c r="K7" s="215" t="s">
        <v>195</v>
      </c>
      <c r="L7" s="216"/>
      <c r="M7" s="106">
        <f>60*60*4</f>
        <v>14400</v>
      </c>
    </row>
    <row r="8" spans="1:13">
      <c r="A8" s="37" t="s">
        <v>59</v>
      </c>
      <c r="B8" s="37">
        <v>44</v>
      </c>
      <c r="E8" s="41"/>
      <c r="G8" s="197">
        <v>565</v>
      </c>
      <c r="H8" s="201" t="s">
        <v>202</v>
      </c>
      <c r="I8" s="197">
        <v>27</v>
      </c>
      <c r="J8" s="37">
        <v>1</v>
      </c>
      <c r="K8" s="215" t="s">
        <v>207</v>
      </c>
      <c r="L8" s="216"/>
      <c r="M8" s="106">
        <f>SUM(I2:I12)</f>
        <v>2007</v>
      </c>
    </row>
    <row r="9" spans="1:13">
      <c r="G9" s="197">
        <v>565</v>
      </c>
      <c r="H9" s="204" t="s">
        <v>203</v>
      </c>
      <c r="I9" s="197">
        <v>97</v>
      </c>
      <c r="J9" s="37">
        <v>1</v>
      </c>
      <c r="K9" s="418" t="s">
        <v>208</v>
      </c>
      <c r="L9" s="419"/>
      <c r="M9" s="235">
        <f>M8/M7</f>
        <v>0.139375</v>
      </c>
    </row>
    <row r="10" spans="1:13">
      <c r="B10">
        <f>SUM(B3:B9)</f>
        <v>1148</v>
      </c>
      <c r="E10">
        <f>SUM(E3:E9)</f>
        <v>365</v>
      </c>
      <c r="G10" s="197">
        <v>565</v>
      </c>
      <c r="H10" s="204" t="s">
        <v>204</v>
      </c>
      <c r="I10" s="197">
        <v>109</v>
      </c>
      <c r="J10" s="37">
        <v>1</v>
      </c>
    </row>
    <row r="11" spans="1:13">
      <c r="B11">
        <f>3*3600-2700</f>
        <v>8100</v>
      </c>
      <c r="E11">
        <f>3*3600-2700</f>
        <v>8100</v>
      </c>
      <c r="G11" s="197">
        <v>565</v>
      </c>
      <c r="H11" s="207" t="s">
        <v>51</v>
      </c>
      <c r="I11" s="197">
        <v>20</v>
      </c>
      <c r="J11" s="37">
        <v>1</v>
      </c>
    </row>
    <row r="12" spans="1:13">
      <c r="B12" s="41">
        <f>+B10/B11</f>
        <v>0.14172839506172841</v>
      </c>
      <c r="E12" s="41">
        <f>+E10/E11</f>
        <v>4.5061728395061729E-2</v>
      </c>
      <c r="G12" s="197">
        <v>565</v>
      </c>
      <c r="H12" s="204" t="s">
        <v>190</v>
      </c>
      <c r="I12" s="205">
        <v>30</v>
      </c>
      <c r="J12" s="211">
        <v>2</v>
      </c>
    </row>
    <row r="13" spans="1:13">
      <c r="G13" s="209"/>
      <c r="H13" s="209" t="s">
        <v>194</v>
      </c>
      <c r="I13" s="209">
        <f>+SUM(I2:I12)-I10</f>
        <v>1898</v>
      </c>
      <c r="J13" s="210">
        <f>SUM(J2:J12)</f>
        <v>31</v>
      </c>
    </row>
    <row r="15" spans="1:13" ht="15.75" thickBot="1"/>
    <row r="16" spans="1:13">
      <c r="A16" s="285" t="s">
        <v>62</v>
      </c>
      <c r="B16" s="286" t="s">
        <v>63</v>
      </c>
      <c r="C16" s="287" t="s">
        <v>64</v>
      </c>
      <c r="D16" s="287" t="s">
        <v>65</v>
      </c>
      <c r="E16" s="287" t="s">
        <v>66</v>
      </c>
      <c r="F16" s="287" t="s">
        <v>67</v>
      </c>
      <c r="G16" s="287" t="s">
        <v>68</v>
      </c>
      <c r="H16" s="287" t="s">
        <v>69</v>
      </c>
      <c r="I16" s="288" t="s">
        <v>70</v>
      </c>
    </row>
    <row r="17" spans="1:9">
      <c r="A17" s="55">
        <v>558</v>
      </c>
      <c r="B17" s="197" t="s">
        <v>74</v>
      </c>
      <c r="C17" s="197">
        <v>96</v>
      </c>
      <c r="D17" s="197">
        <v>181</v>
      </c>
      <c r="E17" s="197" t="s">
        <v>75</v>
      </c>
      <c r="F17" s="197" t="s">
        <v>76</v>
      </c>
      <c r="G17" s="197" t="s">
        <v>77</v>
      </c>
      <c r="H17" s="197">
        <v>35.400000000001455</v>
      </c>
      <c r="I17" s="56"/>
    </row>
    <row r="18" spans="1:9" ht="30.75" thickBot="1">
      <c r="A18" s="57">
        <v>560</v>
      </c>
      <c r="B18" s="199" t="s">
        <v>74</v>
      </c>
      <c r="C18" s="199">
        <v>96</v>
      </c>
      <c r="D18" s="199">
        <v>181</v>
      </c>
      <c r="E18" s="199" t="s">
        <v>75</v>
      </c>
      <c r="F18" s="199" t="s">
        <v>76</v>
      </c>
      <c r="G18" s="59" t="s">
        <v>80</v>
      </c>
      <c r="H18" s="199">
        <v>43.700000000000728</v>
      </c>
      <c r="I18" s="60"/>
    </row>
  </sheetData>
  <mergeCells count="1">
    <mergeCell ref="K9:L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K17"/>
  <sheetViews>
    <sheetView showGridLines="0" workbookViewId="0">
      <selection activeCell="F2" sqref="B2:F8"/>
    </sheetView>
  </sheetViews>
  <sheetFormatPr defaultRowHeight="15"/>
  <cols>
    <col min="2" max="2" width="7.5703125" bestFit="1" customWidth="1"/>
    <col min="3" max="3" width="31.28515625" bestFit="1" customWidth="1"/>
    <col min="4" max="4" width="26.28515625" bestFit="1" customWidth="1"/>
    <col min="5" max="5" width="7.5703125" bestFit="1" customWidth="1"/>
    <col min="6" max="6" width="16.5703125" bestFit="1" customWidth="1"/>
    <col min="7" max="7" width="19" bestFit="1" customWidth="1"/>
    <col min="8" max="8" width="16.5703125" bestFit="1" customWidth="1"/>
    <col min="9" max="9" width="16.42578125" customWidth="1"/>
    <col min="10" max="10" width="16.5703125" bestFit="1" customWidth="1"/>
    <col min="11" max="11" width="14.140625" customWidth="1"/>
    <col min="12" max="12" width="16.42578125" bestFit="1" customWidth="1"/>
  </cols>
  <sheetData>
    <row r="1" spans="2:11" ht="15.75" thickBot="1"/>
    <row r="2" spans="2:11" ht="45.75" thickBot="1">
      <c r="B2" s="321" t="s">
        <v>233</v>
      </c>
      <c r="C2" s="322" t="s">
        <v>234</v>
      </c>
      <c r="D2" s="322" t="s">
        <v>237</v>
      </c>
      <c r="E2" s="322" t="s">
        <v>70</v>
      </c>
      <c r="F2" s="330" t="s">
        <v>238</v>
      </c>
      <c r="G2" s="330" t="s">
        <v>239</v>
      </c>
      <c r="H2" s="330" t="s">
        <v>240</v>
      </c>
      <c r="I2" s="330" t="s">
        <v>241</v>
      </c>
      <c r="J2" s="330" t="s">
        <v>242</v>
      </c>
      <c r="K2" s="323" t="s">
        <v>243</v>
      </c>
    </row>
    <row r="3" spans="2:11">
      <c r="B3" s="324" t="s">
        <v>236</v>
      </c>
      <c r="C3" s="325" t="s">
        <v>235</v>
      </c>
      <c r="D3" s="242" t="s">
        <v>34</v>
      </c>
      <c r="E3" s="326">
        <v>240</v>
      </c>
      <c r="F3" s="327">
        <f>INDEX(DASHBOARD!$XFD$2:$XFD$7,MATCH(Summary2!D3,DASHBOARD!$XFC$2:$XFC$7,0))</f>
        <v>0.11443218202874855</v>
      </c>
      <c r="G3" s="328">
        <f t="shared" ref="G3:G8" si="0">+F3*4</f>
        <v>0.45772872811499421</v>
      </c>
      <c r="H3" s="328">
        <f>+F3*5</f>
        <v>0.57216091014374282</v>
      </c>
      <c r="I3" s="328">
        <f>+F3*6</f>
        <v>0.68659309217249131</v>
      </c>
      <c r="J3" s="328">
        <f>+F3*7</f>
        <v>0.80102527420123981</v>
      </c>
      <c r="K3" s="329">
        <f>+F3*8</f>
        <v>0.91545745622998842</v>
      </c>
    </row>
    <row r="4" spans="2:11">
      <c r="B4" s="309" t="s">
        <v>236</v>
      </c>
      <c r="C4" s="308" t="s">
        <v>235</v>
      </c>
      <c r="D4" s="158" t="s">
        <v>35</v>
      </c>
      <c r="E4" s="28">
        <v>240</v>
      </c>
      <c r="F4" s="315">
        <f>INDEX(DASHBOARD!$XFD$2:$XFD$7,MATCH(Summary2!D4,DASHBOARD!$XFC$2:$XFC$7,0))</f>
        <v>0.10872170781893005</v>
      </c>
      <c r="G4" s="316">
        <f t="shared" si="0"/>
        <v>0.4348868312757202</v>
      </c>
      <c r="H4" s="316">
        <f t="shared" ref="H4:H8" si="1">+F4*5</f>
        <v>0.54360853909465023</v>
      </c>
      <c r="I4" s="316">
        <f t="shared" ref="I4:I8" si="2">+F4*6</f>
        <v>0.65233024691358032</v>
      </c>
      <c r="J4" s="316">
        <f t="shared" ref="J4:J8" si="3">+F4*7</f>
        <v>0.76105195473251031</v>
      </c>
      <c r="K4" s="317">
        <f t="shared" ref="K4:K8" si="4">+F4*8</f>
        <v>0.8697736625514404</v>
      </c>
    </row>
    <row r="5" spans="2:11">
      <c r="B5" s="309" t="s">
        <v>236</v>
      </c>
      <c r="C5" s="308" t="s">
        <v>235</v>
      </c>
      <c r="D5" s="291" t="s">
        <v>227</v>
      </c>
      <c r="E5" s="310">
        <v>240</v>
      </c>
      <c r="F5" s="315">
        <f>INDEX(DASHBOARD!$XFD$2:$XFD$7,MATCH(Summary2!D5,DASHBOARD!$XFC$2:$XFC$7,0))</f>
        <v>0.155</v>
      </c>
      <c r="G5" s="316">
        <f t="shared" si="0"/>
        <v>0.62</v>
      </c>
      <c r="H5" s="316">
        <f t="shared" si="1"/>
        <v>0.77500000000000002</v>
      </c>
      <c r="I5" s="316">
        <f t="shared" si="2"/>
        <v>0.92999999999999994</v>
      </c>
      <c r="J5" s="316">
        <f t="shared" si="3"/>
        <v>1.085</v>
      </c>
      <c r="K5" s="317">
        <f t="shared" si="4"/>
        <v>1.24</v>
      </c>
    </row>
    <row r="6" spans="2:11">
      <c r="B6" s="309" t="s">
        <v>236</v>
      </c>
      <c r="C6" s="308" t="s">
        <v>235</v>
      </c>
      <c r="D6" s="158" t="s">
        <v>36</v>
      </c>
      <c r="E6" s="28">
        <v>240</v>
      </c>
      <c r="F6" s="315">
        <f>INDEX(DASHBOARD!$XFD$2:$XFD$7,MATCH(Summary2!D6,DASHBOARD!$XFC$2:$XFC$7,0))</f>
        <v>0.18582219393167834</v>
      </c>
      <c r="G6" s="316">
        <f t="shared" si="0"/>
        <v>0.74328877572671337</v>
      </c>
      <c r="H6" s="316">
        <f t="shared" si="1"/>
        <v>0.92911096965839168</v>
      </c>
      <c r="I6" s="316">
        <f t="shared" si="2"/>
        <v>1.1149331635900701</v>
      </c>
      <c r="J6" s="316">
        <f t="shared" si="3"/>
        <v>1.3007553575217483</v>
      </c>
      <c r="K6" s="317">
        <f t="shared" si="4"/>
        <v>1.4865775514534267</v>
      </c>
    </row>
    <row r="7" spans="2:11">
      <c r="B7" s="309" t="s">
        <v>236</v>
      </c>
      <c r="C7" s="308" t="s">
        <v>235</v>
      </c>
      <c r="D7" s="158" t="s">
        <v>37</v>
      </c>
      <c r="E7" s="28">
        <v>240</v>
      </c>
      <c r="F7" s="315">
        <f>INDEX(DASHBOARD!$XFD$2:$XFD$7,MATCH(Summary2!D7,DASHBOARD!$XFC$2:$XFC$7,0))</f>
        <v>9.0694223424570342E-2</v>
      </c>
      <c r="G7" s="316">
        <f t="shared" si="0"/>
        <v>0.36277689369828137</v>
      </c>
      <c r="H7" s="316">
        <f t="shared" si="1"/>
        <v>0.45347111712285171</v>
      </c>
      <c r="I7" s="316">
        <f t="shared" si="2"/>
        <v>0.54416534054742205</v>
      </c>
      <c r="J7" s="316">
        <f t="shared" si="3"/>
        <v>0.63485956397199239</v>
      </c>
      <c r="K7" s="317">
        <f t="shared" si="4"/>
        <v>0.72555378739656273</v>
      </c>
    </row>
    <row r="8" spans="2:11" ht="15.75" thickBot="1">
      <c r="B8" s="311" t="s">
        <v>236</v>
      </c>
      <c r="C8" s="312" t="s">
        <v>235</v>
      </c>
      <c r="D8" s="313" t="s">
        <v>228</v>
      </c>
      <c r="E8" s="314">
        <v>240</v>
      </c>
      <c r="F8" s="318">
        <f>INDEX(DASHBOARD!$XFD$2:$XFD$7,MATCH(Summary2!D8,DASHBOARD!$XFC$2:$XFC$7,0))</f>
        <v>0.11520833333333333</v>
      </c>
      <c r="G8" s="319">
        <f t="shared" si="0"/>
        <v>0.46083333333333332</v>
      </c>
      <c r="H8" s="319">
        <f t="shared" si="1"/>
        <v>0.57604166666666667</v>
      </c>
      <c r="I8" s="319">
        <f t="shared" si="2"/>
        <v>0.69124999999999992</v>
      </c>
      <c r="J8" s="319">
        <f t="shared" si="3"/>
        <v>0.80645833333333328</v>
      </c>
      <c r="K8" s="320">
        <f t="shared" si="4"/>
        <v>0.92166666666666663</v>
      </c>
    </row>
    <row r="9" spans="2:11">
      <c r="F9" s="9"/>
      <c r="G9" s="9"/>
      <c r="H9" s="9"/>
      <c r="I9" s="9"/>
      <c r="J9" s="9"/>
      <c r="K9" s="9"/>
    </row>
    <row r="14" spans="2:11">
      <c r="C14" s="27" t="s">
        <v>245</v>
      </c>
      <c r="D14" t="s">
        <v>246</v>
      </c>
    </row>
    <row r="15" spans="2:11">
      <c r="D15" t="s">
        <v>247</v>
      </c>
    </row>
    <row r="16" spans="2:11">
      <c r="D16" t="s">
        <v>248</v>
      </c>
    </row>
    <row r="17" spans="4:7">
      <c r="D17" t="s">
        <v>257</v>
      </c>
      <c r="G17" t="s">
        <v>258</v>
      </c>
    </row>
  </sheetData>
  <conditionalFormatting sqref="F3:K8">
    <cfRule type="dataBar" priority="1">
      <dataBar>
        <cfvo type="min" val="0"/>
        <cfvo type="max" val="0"/>
        <color rgb="FFD6007B"/>
      </dataBar>
    </cfRule>
    <cfRule type="cellIs" dxfId="21" priority="2" operator="greaterThan">
      <formula>0.75</formula>
    </cfRule>
    <cfRule type="cellIs" dxfId="20" priority="3" operator="between">
      <formula>0.6</formula>
      <formula>0.75</formula>
    </cfRule>
    <cfRule type="cellIs" dxfId="19" priority="4" operator="lessThanOrEqual">
      <formula>0.6</formula>
    </cfRule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42"/>
  <sheetViews>
    <sheetView tabSelected="1" workbookViewId="0">
      <selection activeCell="A138" sqref="A138"/>
    </sheetView>
  </sheetViews>
  <sheetFormatPr defaultRowHeight="15"/>
  <cols>
    <col min="1" max="1" width="26.7109375" bestFit="1" customWidth="1"/>
    <col min="2" max="2" width="31.28515625" bestFit="1" customWidth="1"/>
    <col min="3" max="4" width="26.28515625" bestFit="1" customWidth="1"/>
    <col min="5" max="5" width="13.85546875" customWidth="1"/>
  </cols>
  <sheetData>
    <row r="1" spans="1:9" ht="45.75" thickBot="1">
      <c r="A1" s="321" t="s">
        <v>233</v>
      </c>
      <c r="B1" s="322" t="s">
        <v>234</v>
      </c>
      <c r="C1" s="322" t="s">
        <v>237</v>
      </c>
      <c r="D1" s="322" t="s">
        <v>70</v>
      </c>
      <c r="E1" s="330" t="s">
        <v>238</v>
      </c>
    </row>
    <row r="2" spans="1:9">
      <c r="A2" s="324" t="s">
        <v>236</v>
      </c>
      <c r="B2" s="325" t="s">
        <v>235</v>
      </c>
      <c r="C2" s="242" t="s">
        <v>34</v>
      </c>
      <c r="D2" s="326">
        <v>240</v>
      </c>
      <c r="E2" s="327">
        <v>0.11443218202874855</v>
      </c>
      <c r="I2" s="41"/>
    </row>
    <row r="3" spans="1:9">
      <c r="A3" s="309" t="s">
        <v>236</v>
      </c>
      <c r="B3" s="308" t="s">
        <v>235</v>
      </c>
      <c r="C3" s="158" t="s">
        <v>35</v>
      </c>
      <c r="D3" s="28">
        <v>240</v>
      </c>
      <c r="E3" s="315">
        <v>0.10872170781893005</v>
      </c>
    </row>
    <row r="4" spans="1:9">
      <c r="A4" s="309" t="s">
        <v>236</v>
      </c>
      <c r="B4" s="308" t="s">
        <v>235</v>
      </c>
      <c r="C4" s="291" t="s">
        <v>227</v>
      </c>
      <c r="D4" s="310">
        <v>240</v>
      </c>
      <c r="E4" s="315">
        <v>0.155</v>
      </c>
    </row>
    <row r="5" spans="1:9">
      <c r="A5" s="309" t="s">
        <v>236</v>
      </c>
      <c r="B5" s="308" t="s">
        <v>235</v>
      </c>
      <c r="C5" s="158" t="s">
        <v>36</v>
      </c>
      <c r="D5" s="28">
        <v>240</v>
      </c>
      <c r="E5" s="315">
        <v>0.18582219393167834</v>
      </c>
    </row>
    <row r="6" spans="1:9">
      <c r="A6" s="309" t="s">
        <v>236</v>
      </c>
      <c r="B6" s="308" t="s">
        <v>235</v>
      </c>
      <c r="C6" s="158" t="s">
        <v>37</v>
      </c>
      <c r="D6" s="28">
        <v>240</v>
      </c>
      <c r="E6" s="315">
        <v>9.0694223424570342E-2</v>
      </c>
    </row>
    <row r="7" spans="1:9" ht="15.75" thickBot="1">
      <c r="A7" s="311" t="s">
        <v>236</v>
      </c>
      <c r="B7" s="312" t="s">
        <v>235</v>
      </c>
      <c r="C7" s="313" t="s">
        <v>228</v>
      </c>
      <c r="D7" s="314">
        <v>240</v>
      </c>
      <c r="E7" s="318">
        <v>0.11520833333333333</v>
      </c>
    </row>
    <row r="8" spans="1:9" ht="15.75" thickBot="1"/>
    <row r="9" spans="1:9" ht="15.75" thickBot="1">
      <c r="A9" s="356" t="s">
        <v>259</v>
      </c>
      <c r="B9" s="357" t="s">
        <v>260</v>
      </c>
      <c r="C9" s="358" t="s">
        <v>261</v>
      </c>
    </row>
    <row r="10" spans="1:9">
      <c r="A10" s="347" t="str">
        <f>$C$2</f>
        <v>Plain</v>
      </c>
      <c r="B10" s="355">
        <f>INDEX($E$2:$E$7,MATCH(A10,$C$2:$C$7,0))</f>
        <v>0.11443218202874855</v>
      </c>
      <c r="C10" s="425">
        <f>(B10*11+B11*11+B12*11+B13*11+B14*11+B15*11)/11</f>
        <v>0.74536453062849761</v>
      </c>
      <c r="D10" s="373" t="s">
        <v>34</v>
      </c>
      <c r="E10" s="100">
        <f>COUNTIF(A10:A15,D10)</f>
        <v>1</v>
      </c>
      <c r="F10" s="377" t="str">
        <f>CONCATENATE(D10,E10,D11,E11,D12,E12,D13,E13,D14,E14,D15,E15)</f>
        <v>Plain1Ventilated without interlock1Ventilated with Interlock1Conductive1GEO2Leno0</v>
      </c>
    </row>
    <row r="11" spans="1:9">
      <c r="A11" s="345" t="str">
        <f t="shared" ref="A11:A14" si="0">C3</f>
        <v>Ventilated without interlock</v>
      </c>
      <c r="B11" s="353">
        <f t="shared" ref="B11:B15" si="1">INDEX($E$2:$E$7,MATCH(A11,$C$2:$C$7,0))</f>
        <v>0.10872170781893005</v>
      </c>
      <c r="C11" s="425"/>
      <c r="D11" s="374" t="s">
        <v>35</v>
      </c>
      <c r="E11" s="105">
        <f>COUNTIF(A10:A15,D11)</f>
        <v>1</v>
      </c>
    </row>
    <row r="12" spans="1:9">
      <c r="A12" s="345" t="str">
        <f t="shared" si="0"/>
        <v>Ventilated with Interlock</v>
      </c>
      <c r="B12" s="353">
        <f t="shared" si="1"/>
        <v>0.155</v>
      </c>
      <c r="C12" s="425"/>
      <c r="D12" s="375" t="s">
        <v>227</v>
      </c>
      <c r="E12" s="105">
        <f>COUNTIF(A10:A15,D12)</f>
        <v>1</v>
      </c>
    </row>
    <row r="13" spans="1:9">
      <c r="A13" s="345" t="str">
        <f t="shared" si="0"/>
        <v>Conductive</v>
      </c>
      <c r="B13" s="353">
        <f t="shared" si="1"/>
        <v>0.18582219393167834</v>
      </c>
      <c r="C13" s="425"/>
      <c r="D13" s="374" t="s">
        <v>36</v>
      </c>
      <c r="E13" s="105">
        <f>COUNTIF(A10:A15,D13)</f>
        <v>1</v>
      </c>
    </row>
    <row r="14" spans="1:9">
      <c r="A14" s="345" t="str">
        <f t="shared" si="0"/>
        <v>GEO</v>
      </c>
      <c r="B14" s="353">
        <f t="shared" si="1"/>
        <v>9.0694223424570342E-2</v>
      </c>
      <c r="C14" s="425"/>
      <c r="D14" s="374" t="s">
        <v>37</v>
      </c>
      <c r="E14" s="105">
        <f>COUNTIF(A10:A15,D14)</f>
        <v>2</v>
      </c>
    </row>
    <row r="15" spans="1:9" ht="15.75" thickBot="1">
      <c r="A15" s="346" t="str">
        <f>C6</f>
        <v>GEO</v>
      </c>
      <c r="B15" s="354">
        <f t="shared" si="1"/>
        <v>9.0694223424570342E-2</v>
      </c>
      <c r="C15" s="426"/>
      <c r="D15" s="376" t="s">
        <v>228</v>
      </c>
      <c r="E15" s="107">
        <f>COUNTIF(A10:A15,D15)</f>
        <v>0</v>
      </c>
    </row>
    <row r="16" spans="1:9" ht="15.75" thickBot="1">
      <c r="A16" s="356" t="s">
        <v>262</v>
      </c>
      <c r="B16" s="357" t="s">
        <v>260</v>
      </c>
      <c r="C16" s="358" t="s">
        <v>261</v>
      </c>
    </row>
    <row r="17" spans="1:6">
      <c r="A17" s="347" t="str">
        <f>+$C$2</f>
        <v>Plain</v>
      </c>
      <c r="B17" s="355">
        <f>INDEX($E$2:$E$7,MATCH(A17,$C$2:$C$7,0))</f>
        <v>0.11443218202874855</v>
      </c>
      <c r="C17" s="425">
        <f>(B17*11+B18*11+B19*11+B20*11+B21*11+B22*11)/11</f>
        <v>0.68659309217249131</v>
      </c>
      <c r="D17" s="373" t="s">
        <v>34</v>
      </c>
      <c r="E17" s="100">
        <f>COUNTIF(A17:A22,D17)</f>
        <v>6</v>
      </c>
      <c r="F17" s="377" t="str">
        <f>CONCATENATE(D17,E17,D18,E18,D19,E19,D20,E20,D21,E21,D22,E22)</f>
        <v>Plain6Ventilated without interlock0Ventilated with Interlock0Conductive0GEO0Leno0</v>
      </c>
    </row>
    <row r="18" spans="1:6">
      <c r="A18" s="347" t="str">
        <f t="shared" ref="A18:A22" si="2">+$C$2</f>
        <v>Plain</v>
      </c>
      <c r="B18" s="355">
        <f t="shared" ref="B18:B29" si="3">INDEX($E$2:$E$7,MATCH(A18,$C$2:$C$7,0))</f>
        <v>0.11443218202874855</v>
      </c>
      <c r="C18" s="425"/>
      <c r="D18" s="374" t="s">
        <v>35</v>
      </c>
      <c r="E18" s="105">
        <f>COUNTIF(A17:A22,D18)</f>
        <v>0</v>
      </c>
    </row>
    <row r="19" spans="1:6">
      <c r="A19" s="347" t="str">
        <f t="shared" si="2"/>
        <v>Plain</v>
      </c>
      <c r="B19" s="355">
        <f t="shared" si="3"/>
        <v>0.11443218202874855</v>
      </c>
      <c r="C19" s="425"/>
      <c r="D19" s="375" t="s">
        <v>227</v>
      </c>
      <c r="E19" s="105">
        <f>COUNTIF(A17:A22,D19)</f>
        <v>0</v>
      </c>
    </row>
    <row r="20" spans="1:6">
      <c r="A20" s="347" t="str">
        <f t="shared" si="2"/>
        <v>Plain</v>
      </c>
      <c r="B20" s="355">
        <f t="shared" si="3"/>
        <v>0.11443218202874855</v>
      </c>
      <c r="C20" s="425"/>
      <c r="D20" s="374" t="s">
        <v>36</v>
      </c>
      <c r="E20" s="105">
        <f>COUNTIF(A17:A22,D20)</f>
        <v>0</v>
      </c>
    </row>
    <row r="21" spans="1:6">
      <c r="A21" s="347" t="str">
        <f t="shared" si="2"/>
        <v>Plain</v>
      </c>
      <c r="B21" s="355">
        <f t="shared" si="3"/>
        <v>0.11443218202874855</v>
      </c>
      <c r="C21" s="425"/>
      <c r="D21" s="374" t="s">
        <v>37</v>
      </c>
      <c r="E21" s="105">
        <f>COUNTIF(A17:A22,D21)</f>
        <v>0</v>
      </c>
    </row>
    <row r="22" spans="1:6" ht="15.75" thickBot="1">
      <c r="A22" s="359" t="str">
        <f t="shared" si="2"/>
        <v>Plain</v>
      </c>
      <c r="B22" s="360">
        <f t="shared" si="3"/>
        <v>0.11443218202874855</v>
      </c>
      <c r="C22" s="426"/>
      <c r="D22" s="376" t="s">
        <v>228</v>
      </c>
      <c r="E22" s="107">
        <f>COUNTIF(A17:A22,D22)</f>
        <v>0</v>
      </c>
    </row>
    <row r="23" spans="1:6" ht="15.75" thickBot="1">
      <c r="A23" s="361" t="s">
        <v>263</v>
      </c>
      <c r="B23" s="362" t="s">
        <v>260</v>
      </c>
      <c r="C23" s="363" t="s">
        <v>261</v>
      </c>
    </row>
    <row r="24" spans="1:6">
      <c r="A24" s="364" t="str">
        <f>$C$3</f>
        <v>Ventilated without interlock</v>
      </c>
      <c r="B24" s="365">
        <f t="shared" si="3"/>
        <v>0.10872170781893005</v>
      </c>
      <c r="C24" s="427">
        <f>(B24*11+B25*11+B26*11+B27*11+B28*11+B29*11)/11</f>
        <v>0.65233024691358032</v>
      </c>
      <c r="D24" s="373" t="s">
        <v>34</v>
      </c>
      <c r="E24" s="100">
        <f>COUNTIF(A24:A29,D24)</f>
        <v>0</v>
      </c>
      <c r="F24" s="377" t="str">
        <f>CONCATENATE(D24,E24,D25,E25,D26,E26,D27,E27,D28,E28,D29,E29)</f>
        <v>Plain0Ventilated without interlock6Ventilated with Interlock0Conductive0GEO0Leno0</v>
      </c>
    </row>
    <row r="25" spans="1:6">
      <c r="A25" s="146" t="str">
        <f t="shared" ref="A25:A29" si="4">$C$3</f>
        <v>Ventilated without interlock</v>
      </c>
      <c r="B25" s="353">
        <f t="shared" si="3"/>
        <v>0.10872170781893005</v>
      </c>
      <c r="C25" s="428"/>
      <c r="D25" s="374" t="s">
        <v>35</v>
      </c>
      <c r="E25" s="105">
        <f>COUNTIF(A24:A29,D25)</f>
        <v>6</v>
      </c>
    </row>
    <row r="26" spans="1:6">
      <c r="A26" s="146" t="str">
        <f t="shared" si="4"/>
        <v>Ventilated without interlock</v>
      </c>
      <c r="B26" s="353">
        <f t="shared" si="3"/>
        <v>0.10872170781893005</v>
      </c>
      <c r="C26" s="428"/>
      <c r="D26" s="375" t="s">
        <v>227</v>
      </c>
      <c r="E26" s="105">
        <f>COUNTIF(A24:A29,D26)</f>
        <v>0</v>
      </c>
    </row>
    <row r="27" spans="1:6">
      <c r="A27" s="146" t="str">
        <f t="shared" si="4"/>
        <v>Ventilated without interlock</v>
      </c>
      <c r="B27" s="353">
        <f t="shared" si="3"/>
        <v>0.10872170781893005</v>
      </c>
      <c r="C27" s="428"/>
      <c r="D27" s="374" t="s">
        <v>36</v>
      </c>
      <c r="E27" s="105">
        <f>COUNTIF(A24:A29,D27)</f>
        <v>0</v>
      </c>
    </row>
    <row r="28" spans="1:6">
      <c r="A28" s="146" t="str">
        <f t="shared" si="4"/>
        <v>Ventilated without interlock</v>
      </c>
      <c r="B28" s="353">
        <f t="shared" si="3"/>
        <v>0.10872170781893005</v>
      </c>
      <c r="C28" s="428"/>
      <c r="D28" s="374" t="s">
        <v>37</v>
      </c>
      <c r="E28" s="105">
        <f>COUNTIF(A24:A29,D28)</f>
        <v>0</v>
      </c>
    </row>
    <row r="29" spans="1:6" ht="15.75" thickBot="1">
      <c r="A29" s="149" t="str">
        <f t="shared" si="4"/>
        <v>Ventilated without interlock</v>
      </c>
      <c r="B29" s="354">
        <f t="shared" si="3"/>
        <v>0.10872170781893005</v>
      </c>
      <c r="C29" s="429"/>
      <c r="D29" s="376" t="s">
        <v>228</v>
      </c>
      <c r="E29" s="107">
        <f>COUNTIF(A24:A29,D29)</f>
        <v>0</v>
      </c>
    </row>
    <row r="30" spans="1:6" ht="15.75" thickBot="1"/>
    <row r="31" spans="1:6" ht="15.75" thickBot="1">
      <c r="A31" s="356" t="s">
        <v>264</v>
      </c>
      <c r="B31" s="362" t="s">
        <v>260</v>
      </c>
      <c r="C31" s="363" t="s">
        <v>261</v>
      </c>
    </row>
    <row r="32" spans="1:6">
      <c r="A32" s="347" t="str">
        <f>$C$6</f>
        <v>GEO</v>
      </c>
      <c r="B32" s="365">
        <f t="shared" ref="B32:B65" si="5">INDEX($E$2:$E$7,MATCH(A32,$C$2:$C$7,0))</f>
        <v>9.0694223424570342E-2</v>
      </c>
      <c r="C32" s="427">
        <f>(B32*11+B33*11+B34*11+B35*11+B36*11+B37*11)/11</f>
        <v>0.54416534054742205</v>
      </c>
      <c r="D32" s="373" t="s">
        <v>34</v>
      </c>
      <c r="E32" s="100">
        <f>COUNTIF(A32:A37,D32)</f>
        <v>0</v>
      </c>
      <c r="F32" s="377" t="str">
        <f>CONCATENATE(D32,E32,D33,E33,D34,E34,D35,E35,D36,E36,D37,E37)</f>
        <v>Plain0Ventilated without interlock0Ventilated with Interlock0Conductive0GEO6Leno0</v>
      </c>
    </row>
    <row r="33" spans="1:6">
      <c r="A33" s="347" t="str">
        <f t="shared" ref="A33:A37" si="6">$C$6</f>
        <v>GEO</v>
      </c>
      <c r="B33" s="353">
        <f t="shared" si="5"/>
        <v>9.0694223424570342E-2</v>
      </c>
      <c r="C33" s="428"/>
      <c r="D33" s="374" t="s">
        <v>35</v>
      </c>
      <c r="E33" s="105">
        <f>COUNTIF(A32:A37,D33)</f>
        <v>0</v>
      </c>
    </row>
    <row r="34" spans="1:6">
      <c r="A34" s="347" t="str">
        <f t="shared" si="6"/>
        <v>GEO</v>
      </c>
      <c r="B34" s="353">
        <f t="shared" si="5"/>
        <v>9.0694223424570342E-2</v>
      </c>
      <c r="C34" s="428"/>
      <c r="D34" s="375" t="s">
        <v>227</v>
      </c>
      <c r="E34" s="105">
        <f>COUNTIF(A32:A37,D34)</f>
        <v>0</v>
      </c>
    </row>
    <row r="35" spans="1:6">
      <c r="A35" s="347" t="str">
        <f t="shared" si="6"/>
        <v>GEO</v>
      </c>
      <c r="B35" s="353">
        <f t="shared" si="5"/>
        <v>9.0694223424570342E-2</v>
      </c>
      <c r="C35" s="428"/>
      <c r="D35" s="374" t="s">
        <v>36</v>
      </c>
      <c r="E35" s="105">
        <f>COUNTIF(A32:A37,D35)</f>
        <v>0</v>
      </c>
    </row>
    <row r="36" spans="1:6">
      <c r="A36" s="347" t="str">
        <f t="shared" si="6"/>
        <v>GEO</v>
      </c>
      <c r="B36" s="353">
        <f t="shared" si="5"/>
        <v>9.0694223424570342E-2</v>
      </c>
      <c r="C36" s="428"/>
      <c r="D36" s="374" t="s">
        <v>37</v>
      </c>
      <c r="E36" s="105">
        <f>COUNTIF(A32:A37,D36)</f>
        <v>6</v>
      </c>
    </row>
    <row r="37" spans="1:6" ht="15.75" thickBot="1">
      <c r="A37" s="347" t="str">
        <f t="shared" si="6"/>
        <v>GEO</v>
      </c>
      <c r="B37" s="354">
        <f t="shared" si="5"/>
        <v>9.0694223424570342E-2</v>
      </c>
      <c r="C37" s="429"/>
      <c r="D37" s="376" t="s">
        <v>228</v>
      </c>
      <c r="E37" s="107">
        <f>COUNTIF(A32:A37,D37)</f>
        <v>0</v>
      </c>
    </row>
    <row r="38" spans="1:6" ht="15.75" thickBot="1">
      <c r="A38" s="356" t="s">
        <v>265</v>
      </c>
      <c r="B38" s="362" t="s">
        <v>260</v>
      </c>
      <c r="C38" s="363" t="s">
        <v>261</v>
      </c>
    </row>
    <row r="39" spans="1:6">
      <c r="A39" s="347" t="str">
        <f>C6</f>
        <v>GEO</v>
      </c>
      <c r="B39" s="365">
        <f t="shared" si="5"/>
        <v>9.0694223424570342E-2</v>
      </c>
      <c r="C39" s="422">
        <f>(B39*11+B40*11+B41*11+B42*11+B43*11+B44*11)/11</f>
        <v>0.75244876595599763</v>
      </c>
      <c r="D39" s="373" t="s">
        <v>34</v>
      </c>
      <c r="E39" s="100">
        <f>COUNTIF(A39:A44,D39)</f>
        <v>0</v>
      </c>
      <c r="F39" s="377" t="str">
        <f>CONCATENATE(D39,E39,D40,E40,D41,E41,D42,E42,D43,E43,D44,E44)</f>
        <v>Plain0Ventilated without interlock1Ventilated with Interlock0Conductive2GEO3Leno0</v>
      </c>
    </row>
    <row r="40" spans="1:6">
      <c r="A40" s="347" t="str">
        <f>C6</f>
        <v>GEO</v>
      </c>
      <c r="B40" s="353">
        <f t="shared" si="5"/>
        <v>9.0694223424570342E-2</v>
      </c>
      <c r="C40" s="423"/>
      <c r="D40" s="374" t="s">
        <v>35</v>
      </c>
      <c r="E40" s="105">
        <f>COUNTIF(A39:A44,D40)</f>
        <v>1</v>
      </c>
    </row>
    <row r="41" spans="1:6">
      <c r="A41" s="347" t="str">
        <f>C5</f>
        <v>Conductive</v>
      </c>
      <c r="B41" s="353">
        <f t="shared" si="5"/>
        <v>0.18582219393167834</v>
      </c>
      <c r="C41" s="423"/>
      <c r="D41" s="375" t="s">
        <v>227</v>
      </c>
      <c r="E41" s="105">
        <f>COUNTIF(A39:A44,D41)</f>
        <v>0</v>
      </c>
    </row>
    <row r="42" spans="1:6">
      <c r="A42" s="347" t="str">
        <f>C5</f>
        <v>Conductive</v>
      </c>
      <c r="B42" s="353">
        <f t="shared" si="5"/>
        <v>0.18582219393167834</v>
      </c>
      <c r="C42" s="423"/>
      <c r="D42" s="374" t="s">
        <v>36</v>
      </c>
      <c r="E42" s="105">
        <f>COUNTIF(A39:A44,D42)</f>
        <v>2</v>
      </c>
    </row>
    <row r="43" spans="1:6">
      <c r="A43" s="347" t="str">
        <f>C3</f>
        <v>Ventilated without interlock</v>
      </c>
      <c r="B43" s="353">
        <f t="shared" si="5"/>
        <v>0.10872170781893005</v>
      </c>
      <c r="C43" s="423"/>
      <c r="D43" s="374" t="s">
        <v>37</v>
      </c>
      <c r="E43" s="105">
        <f>COUNTIF(A39:A44,D43)</f>
        <v>3</v>
      </c>
    </row>
    <row r="44" spans="1:6" ht="15.75" thickBot="1">
      <c r="A44" s="359" t="str">
        <f>C6</f>
        <v>GEO</v>
      </c>
      <c r="B44" s="354">
        <f t="shared" si="5"/>
        <v>9.0694223424570342E-2</v>
      </c>
      <c r="C44" s="424"/>
      <c r="D44" s="376" t="s">
        <v>228</v>
      </c>
      <c r="E44" s="107">
        <f>COUNTIF(A39:A44,D44)</f>
        <v>0</v>
      </c>
    </row>
    <row r="45" spans="1:6" ht="15.75" thickBot="1">
      <c r="A45" s="361" t="s">
        <v>266</v>
      </c>
      <c r="B45" s="362" t="s">
        <v>260</v>
      </c>
      <c r="C45" s="363" t="s">
        <v>261</v>
      </c>
    </row>
    <row r="46" spans="1:6">
      <c r="A46" s="364" t="str">
        <f>C2</f>
        <v>Plain</v>
      </c>
      <c r="B46" s="365">
        <f t="shared" si="5"/>
        <v>0.11443218202874855</v>
      </c>
      <c r="C46" s="422">
        <f>(B46*11+B47*11+B48*11+B49*11+B50*11+B51*11)/11</f>
        <v>0.73514120723614707</v>
      </c>
      <c r="D46" s="373" t="s">
        <v>34</v>
      </c>
      <c r="E46" s="100">
        <f>COUNTIF(A46:A51,D46)</f>
        <v>1</v>
      </c>
      <c r="F46" s="377" t="str">
        <f>CONCATENATE(D46,E46,D47,E47,D48,E48,D49,E49,D50,E50,D51,E51)</f>
        <v>Plain1Ventilated without interlock4Ventilated with Interlock0Conductive1GEO0Leno0</v>
      </c>
    </row>
    <row r="47" spans="1:6">
      <c r="A47" s="146" t="str">
        <f>C5</f>
        <v>Conductive</v>
      </c>
      <c r="B47" s="353">
        <f t="shared" si="5"/>
        <v>0.18582219393167834</v>
      </c>
      <c r="C47" s="423"/>
      <c r="D47" s="374" t="s">
        <v>35</v>
      </c>
      <c r="E47" s="105">
        <f>COUNTIF(A46:A51,D47)</f>
        <v>4</v>
      </c>
    </row>
    <row r="48" spans="1:6">
      <c r="A48" s="146" t="str">
        <f>C3</f>
        <v>Ventilated without interlock</v>
      </c>
      <c r="B48" s="353">
        <f t="shared" si="5"/>
        <v>0.10872170781893005</v>
      </c>
      <c r="C48" s="423"/>
      <c r="D48" s="375" t="s">
        <v>227</v>
      </c>
      <c r="E48" s="105">
        <f>COUNTIF(A46:A51,D48)</f>
        <v>0</v>
      </c>
    </row>
    <row r="49" spans="1:6">
      <c r="A49" s="146" t="str">
        <f>C3</f>
        <v>Ventilated without interlock</v>
      </c>
      <c r="B49" s="353">
        <f t="shared" si="5"/>
        <v>0.10872170781893005</v>
      </c>
      <c r="C49" s="423"/>
      <c r="D49" s="374" t="s">
        <v>36</v>
      </c>
      <c r="E49" s="105">
        <f>COUNTIF(A46:A51,D49)</f>
        <v>1</v>
      </c>
    </row>
    <row r="50" spans="1:6">
      <c r="A50" s="146" t="str">
        <f t="shared" ref="A50:A51" si="7">$C$3</f>
        <v>Ventilated without interlock</v>
      </c>
      <c r="B50" s="353">
        <f t="shared" si="5"/>
        <v>0.10872170781893005</v>
      </c>
      <c r="C50" s="423"/>
      <c r="D50" s="374" t="s">
        <v>37</v>
      </c>
      <c r="E50" s="105">
        <f>COUNTIF(A46:A51,D50)</f>
        <v>0</v>
      </c>
    </row>
    <row r="51" spans="1:6" ht="15.75" thickBot="1">
      <c r="A51" s="149" t="str">
        <f t="shared" si="7"/>
        <v>Ventilated without interlock</v>
      </c>
      <c r="B51" s="354">
        <f t="shared" si="5"/>
        <v>0.10872170781893005</v>
      </c>
      <c r="C51" s="424"/>
      <c r="D51" s="376" t="s">
        <v>228</v>
      </c>
      <c r="E51" s="107">
        <f>COUNTIF(A46:A51,D51)</f>
        <v>0</v>
      </c>
    </row>
    <row r="52" spans="1:6" ht="15.75" thickBot="1">
      <c r="A52" s="361" t="s">
        <v>266</v>
      </c>
      <c r="B52" s="362" t="s">
        <v>260</v>
      </c>
      <c r="C52" s="363" t="s">
        <v>261</v>
      </c>
    </row>
    <row r="53" spans="1:6">
      <c r="A53" s="364" t="str">
        <f>C2</f>
        <v>Plain</v>
      </c>
      <c r="B53" s="365">
        <f t="shared" si="5"/>
        <v>0.11443218202874855</v>
      </c>
      <c r="C53" s="422">
        <f>(B53*11+B54*11+B55*11+B56*11+B57*11+B58*11)/11</f>
        <v>0.71711372284178754</v>
      </c>
      <c r="D53" s="373" t="s">
        <v>34</v>
      </c>
      <c r="E53" s="100">
        <f>COUNTIF(A53:A58,D53)</f>
        <v>1</v>
      </c>
      <c r="F53" s="377" t="str">
        <f>CONCATENATE(D53,E53,D54,E54,D55,E55,D56,E56,D57,E57,D58,E58)</f>
        <v>Plain1Ventilated without interlock3Ventilated with Interlock0Conductive1GEO1Leno0</v>
      </c>
    </row>
    <row r="54" spans="1:6">
      <c r="A54" s="146" t="str">
        <f>C6</f>
        <v>GEO</v>
      </c>
      <c r="B54" s="353">
        <f t="shared" si="5"/>
        <v>9.0694223424570342E-2</v>
      </c>
      <c r="C54" s="423"/>
      <c r="D54" s="374" t="s">
        <v>35</v>
      </c>
      <c r="E54" s="105">
        <f>COUNTIF(A53:A58,D54)</f>
        <v>3</v>
      </c>
    </row>
    <row r="55" spans="1:6">
      <c r="A55" s="146" t="str">
        <f>C5</f>
        <v>Conductive</v>
      </c>
      <c r="B55" s="353">
        <f t="shared" si="5"/>
        <v>0.18582219393167834</v>
      </c>
      <c r="C55" s="423"/>
      <c r="D55" s="375" t="s">
        <v>227</v>
      </c>
      <c r="E55" s="105">
        <f>COUNTIF(A53:A58,D55)</f>
        <v>0</v>
      </c>
    </row>
    <row r="56" spans="1:6">
      <c r="A56" s="146" t="str">
        <f>C3</f>
        <v>Ventilated without interlock</v>
      </c>
      <c r="B56" s="353">
        <f t="shared" si="5"/>
        <v>0.10872170781893005</v>
      </c>
      <c r="C56" s="423"/>
      <c r="D56" s="374" t="s">
        <v>36</v>
      </c>
      <c r="E56" s="105">
        <f>COUNTIF(A53:A58,D56)</f>
        <v>1</v>
      </c>
    </row>
    <row r="57" spans="1:6">
      <c r="A57" s="146" t="str">
        <f t="shared" ref="A57:A58" si="8">$C$3</f>
        <v>Ventilated without interlock</v>
      </c>
      <c r="B57" s="353">
        <f t="shared" si="5"/>
        <v>0.10872170781893005</v>
      </c>
      <c r="C57" s="423"/>
      <c r="D57" s="374" t="s">
        <v>37</v>
      </c>
      <c r="E57" s="105">
        <f>COUNTIF(A53:A58,D57)</f>
        <v>1</v>
      </c>
    </row>
    <row r="58" spans="1:6" ht="15.75" thickBot="1">
      <c r="A58" s="149" t="str">
        <f t="shared" si="8"/>
        <v>Ventilated without interlock</v>
      </c>
      <c r="B58" s="354">
        <f t="shared" si="5"/>
        <v>0.10872170781893005</v>
      </c>
      <c r="C58" s="424"/>
      <c r="D58" s="376" t="s">
        <v>228</v>
      </c>
      <c r="E58" s="107">
        <f>COUNTIF(A53:A58,D58)</f>
        <v>0</v>
      </c>
    </row>
    <row r="59" spans="1:6" ht="15.75" thickBot="1">
      <c r="A59" s="361" t="s">
        <v>266</v>
      </c>
      <c r="B59" s="362" t="s">
        <v>260</v>
      </c>
      <c r="C59" s="363" t="s">
        <v>261</v>
      </c>
    </row>
    <row r="60" spans="1:6">
      <c r="A60" s="364" t="str">
        <f>C2</f>
        <v>Plain</v>
      </c>
      <c r="B60" s="365">
        <f>INDEX($E$2:$E$7,MATCH(A60,$C$2:$C$7,0))</f>
        <v>0.11443218202874855</v>
      </c>
      <c r="C60" s="422">
        <f>(B60*11+B61*11+B62*11+B63*11+B64*11+B65*11)/11</f>
        <v>0.71050718686706471</v>
      </c>
      <c r="D60" s="373" t="s">
        <v>34</v>
      </c>
      <c r="E60" s="100">
        <f>COUNTIF(A60:A65,D60)</f>
        <v>3</v>
      </c>
      <c r="F60" s="377" t="str">
        <f>CONCATENATE(D60,E60,D61,E61,D62,E62,D63,E63,D64,E64,D65,E65)</f>
        <v>Plain3Ventilated without interlock0Ventilated with Interlock0Conductive1GEO2Leno0</v>
      </c>
    </row>
    <row r="61" spans="1:6">
      <c r="A61" s="146" t="str">
        <f>C2</f>
        <v>Plain</v>
      </c>
      <c r="B61" s="353">
        <f t="shared" si="5"/>
        <v>0.11443218202874855</v>
      </c>
      <c r="C61" s="423"/>
      <c r="D61" s="374" t="s">
        <v>35</v>
      </c>
      <c r="E61" s="105">
        <f>COUNTIF(A60:A65,D61)</f>
        <v>0</v>
      </c>
    </row>
    <row r="62" spans="1:6">
      <c r="A62" s="146" t="str">
        <f>C2</f>
        <v>Plain</v>
      </c>
      <c r="B62" s="353">
        <f t="shared" si="5"/>
        <v>0.11443218202874855</v>
      </c>
      <c r="C62" s="423"/>
      <c r="D62" s="375" t="s">
        <v>227</v>
      </c>
      <c r="E62" s="105">
        <f>COUNTIF(A60:A65,D62)</f>
        <v>0</v>
      </c>
    </row>
    <row r="63" spans="1:6">
      <c r="A63" s="146" t="str">
        <f>C5</f>
        <v>Conductive</v>
      </c>
      <c r="B63" s="353">
        <f t="shared" si="5"/>
        <v>0.18582219393167834</v>
      </c>
      <c r="C63" s="423"/>
      <c r="D63" s="374" t="s">
        <v>36</v>
      </c>
      <c r="E63" s="105">
        <f>COUNTIF(A60:A65,D63)</f>
        <v>1</v>
      </c>
    </row>
    <row r="64" spans="1:6">
      <c r="A64" s="146" t="str">
        <f>C6</f>
        <v>GEO</v>
      </c>
      <c r="B64" s="353">
        <f t="shared" si="5"/>
        <v>9.0694223424570342E-2</v>
      </c>
      <c r="C64" s="423"/>
      <c r="D64" s="374" t="s">
        <v>37</v>
      </c>
      <c r="E64" s="105">
        <f>COUNTIF(A60:A65,D64)</f>
        <v>2</v>
      </c>
    </row>
    <row r="65" spans="1:6" ht="15.75" thickBot="1">
      <c r="A65" s="149" t="str">
        <f>C6</f>
        <v>GEO</v>
      </c>
      <c r="B65" s="354">
        <f t="shared" si="5"/>
        <v>9.0694223424570342E-2</v>
      </c>
      <c r="C65" s="424"/>
      <c r="D65" s="376" t="s">
        <v>228</v>
      </c>
      <c r="E65" s="107">
        <f>COUNTIF(A60:A65,D65)</f>
        <v>0</v>
      </c>
    </row>
    <row r="66" spans="1:6" ht="15.75" thickBot="1">
      <c r="A66" s="361" t="s">
        <v>266</v>
      </c>
      <c r="B66" s="362" t="s">
        <v>260</v>
      </c>
      <c r="C66" s="363" t="s">
        <v>261</v>
      </c>
    </row>
    <row r="67" spans="1:6">
      <c r="A67" s="364" t="str">
        <f>C2</f>
        <v>Plain</v>
      </c>
      <c r="B67" s="365">
        <f>INDEX($E$2:$E$7,MATCH(A67,$C$2:$C$7,0))</f>
        <v>0.11443218202874855</v>
      </c>
      <c r="C67" s="422">
        <f>(B67*11+B68*11+B69*11+B70*11+B71*11+B72*11)/11</f>
        <v>0.71454233669681932</v>
      </c>
      <c r="D67" s="373" t="s">
        <v>34</v>
      </c>
      <c r="E67" s="100">
        <f>COUNTIF(A67:A72,D67)</f>
        <v>1</v>
      </c>
      <c r="F67" s="377" t="str">
        <f>CONCATENATE(D67,E67,D68,E68,D69,E69,D70,E70,D71,E71,D72,E72)</f>
        <v>Plain1Ventilated without interlock1Ventilated with Interlock2Conductive0GEO2Leno0</v>
      </c>
    </row>
    <row r="68" spans="1:6">
      <c r="A68" s="146" t="str">
        <f>C6</f>
        <v>GEO</v>
      </c>
      <c r="B68" s="353">
        <f t="shared" ref="B68:B72" si="9">INDEX($E$2:$E$7,MATCH(A68,$C$2:$C$7,0))</f>
        <v>9.0694223424570342E-2</v>
      </c>
      <c r="C68" s="423"/>
      <c r="D68" s="374" t="s">
        <v>35</v>
      </c>
      <c r="E68" s="105">
        <f>COUNTIF(A67:A72,D68)</f>
        <v>1</v>
      </c>
    </row>
    <row r="69" spans="1:6">
      <c r="A69" s="146" t="str">
        <f>C3</f>
        <v>Ventilated without interlock</v>
      </c>
      <c r="B69" s="353">
        <f t="shared" si="9"/>
        <v>0.10872170781893005</v>
      </c>
      <c r="C69" s="423"/>
      <c r="D69" s="375" t="s">
        <v>227</v>
      </c>
      <c r="E69" s="105">
        <f>COUNTIF(A67:A72,D69)</f>
        <v>2</v>
      </c>
    </row>
    <row r="70" spans="1:6">
      <c r="A70" s="146" t="str">
        <f>C4</f>
        <v>Ventilated with Interlock</v>
      </c>
      <c r="B70" s="353">
        <f t="shared" si="9"/>
        <v>0.155</v>
      </c>
      <c r="C70" s="423"/>
      <c r="D70" s="374" t="s">
        <v>36</v>
      </c>
      <c r="E70" s="105">
        <f>COUNTIF(A67:A72,D70)</f>
        <v>0</v>
      </c>
    </row>
    <row r="71" spans="1:6">
      <c r="A71" s="146" t="str">
        <f>C6</f>
        <v>GEO</v>
      </c>
      <c r="B71" s="353">
        <f t="shared" si="9"/>
        <v>9.0694223424570342E-2</v>
      </c>
      <c r="C71" s="423"/>
      <c r="D71" s="374" t="s">
        <v>37</v>
      </c>
      <c r="E71" s="105">
        <f>COUNTIF(A67:A72,D71)</f>
        <v>2</v>
      </c>
    </row>
    <row r="72" spans="1:6" ht="15.75" thickBot="1">
      <c r="A72" s="149" t="str">
        <f>C4</f>
        <v>Ventilated with Interlock</v>
      </c>
      <c r="B72" s="354">
        <f t="shared" si="9"/>
        <v>0.155</v>
      </c>
      <c r="C72" s="424"/>
      <c r="D72" s="376" t="s">
        <v>228</v>
      </c>
      <c r="E72" s="107">
        <f>COUNTIF(A67:A72,D72)</f>
        <v>0</v>
      </c>
    </row>
    <row r="73" spans="1:6" ht="15.75" thickBot="1">
      <c r="A73" s="361" t="s">
        <v>266</v>
      </c>
      <c r="B73" s="362" t="s">
        <v>260</v>
      </c>
      <c r="C73" s="363" t="s">
        <v>261</v>
      </c>
    </row>
    <row r="74" spans="1:6">
      <c r="A74" s="364" t="str">
        <f>C7</f>
        <v>Leno</v>
      </c>
      <c r="B74" s="365">
        <f>INDEX($E$2:$E$7,MATCH(A74,$C$2:$C$7,0))</f>
        <v>0.11520833333333333</v>
      </c>
      <c r="C74" s="422">
        <f>(B74*11+B75*11+B76*11+B77*11+B78*11+B79*11)/11</f>
        <v>0.71531848800140407</v>
      </c>
      <c r="D74" s="373" t="s">
        <v>34</v>
      </c>
      <c r="E74" s="100">
        <f>COUNTIF(A74:A79,D74)</f>
        <v>0</v>
      </c>
      <c r="F74" s="377" t="str">
        <f>CONCATENATE(D74,E74,D75,E75,D76,E76,D77,E77,D78,E78,D79,E79)</f>
        <v>Plain0Ventilated without interlock1Ventilated with Interlock2Conductive0GEO2Leno1</v>
      </c>
    </row>
    <row r="75" spans="1:6">
      <c r="A75" s="146" t="str">
        <f>C3</f>
        <v>Ventilated without interlock</v>
      </c>
      <c r="B75" s="353">
        <f t="shared" ref="B75:B79" si="10">INDEX($E$2:$E$7,MATCH(A75,$C$2:$C$7,0))</f>
        <v>0.10872170781893005</v>
      </c>
      <c r="C75" s="423"/>
      <c r="D75" s="374" t="s">
        <v>35</v>
      </c>
      <c r="E75" s="105">
        <f>COUNTIF(A74:A79,D75)</f>
        <v>1</v>
      </c>
    </row>
    <row r="76" spans="1:6">
      <c r="A76" s="146" t="str">
        <f>C4</f>
        <v>Ventilated with Interlock</v>
      </c>
      <c r="B76" s="353">
        <f t="shared" si="10"/>
        <v>0.155</v>
      </c>
      <c r="C76" s="423"/>
      <c r="D76" s="375" t="s">
        <v>227</v>
      </c>
      <c r="E76" s="105">
        <f>COUNTIF(A74:A79,D76)</f>
        <v>2</v>
      </c>
    </row>
    <row r="77" spans="1:6">
      <c r="A77" s="146" t="str">
        <f>C4</f>
        <v>Ventilated with Interlock</v>
      </c>
      <c r="B77" s="353">
        <f t="shared" si="10"/>
        <v>0.155</v>
      </c>
      <c r="C77" s="423"/>
      <c r="D77" s="374" t="s">
        <v>36</v>
      </c>
      <c r="E77" s="105">
        <f>COUNTIF(A74:A79,D77)</f>
        <v>0</v>
      </c>
    </row>
    <row r="78" spans="1:6">
      <c r="A78" s="146" t="str">
        <f>C6</f>
        <v>GEO</v>
      </c>
      <c r="B78" s="353">
        <f t="shared" si="10"/>
        <v>9.0694223424570342E-2</v>
      </c>
      <c r="C78" s="423"/>
      <c r="D78" s="374" t="s">
        <v>37</v>
      </c>
      <c r="E78" s="105">
        <f>COUNTIF(A74:A79,D78)</f>
        <v>2</v>
      </c>
    </row>
    <row r="79" spans="1:6" ht="15.75" thickBot="1">
      <c r="A79" s="149" t="str">
        <f>C6</f>
        <v>GEO</v>
      </c>
      <c r="B79" s="354">
        <f t="shared" si="10"/>
        <v>9.0694223424570342E-2</v>
      </c>
      <c r="C79" s="424"/>
      <c r="D79" s="376" t="s">
        <v>228</v>
      </c>
      <c r="E79" s="107">
        <f>COUNTIF(A74:A79,D79)</f>
        <v>1</v>
      </c>
    </row>
    <row r="80" spans="1:6" ht="15.75" thickBot="1">
      <c r="A80" s="361" t="s">
        <v>266</v>
      </c>
      <c r="B80" s="362" t="s">
        <v>260</v>
      </c>
      <c r="C80" s="363" t="s">
        <v>261</v>
      </c>
    </row>
    <row r="81" spans="1:6">
      <c r="A81" s="364" t="str">
        <f>C6</f>
        <v>GEO</v>
      </c>
      <c r="B81" s="365">
        <f>INDEX($E$2:$E$7,MATCH(A81,$C$2:$C$7,0))</f>
        <v>9.0694223424570342E-2</v>
      </c>
      <c r="C81" s="422">
        <f>(B81*11+B82*11+B83*11+B84*11+B85*11+B86*11)/11</f>
        <v>0.68105875405306804</v>
      </c>
      <c r="D81" s="373" t="s">
        <v>34</v>
      </c>
      <c r="E81" s="100">
        <f>COUNTIF(A81:A86,D81)</f>
        <v>1</v>
      </c>
      <c r="F81" s="377" t="str">
        <f>CONCATENATE(D81,E81,D82,E82,D83,E83,D84,E84,D85,E85,D86,E86)</f>
        <v>Plain1Ventilated without interlock1Ventilated with Interlock0Conductive1GEO3Leno0</v>
      </c>
    </row>
    <row r="82" spans="1:6">
      <c r="A82" s="146" t="str">
        <f>C3</f>
        <v>Ventilated without interlock</v>
      </c>
      <c r="B82" s="353">
        <f t="shared" ref="B82:B86" si="11">INDEX($E$2:$E$7,MATCH(A82,$C$2:$C$7,0))</f>
        <v>0.10872170781893005</v>
      </c>
      <c r="C82" s="423"/>
      <c r="D82" s="374" t="s">
        <v>35</v>
      </c>
      <c r="E82" s="105">
        <f>COUNTIF(A81:A86,D82)</f>
        <v>1</v>
      </c>
    </row>
    <row r="83" spans="1:6">
      <c r="A83" s="146" t="str">
        <f>C5</f>
        <v>Conductive</v>
      </c>
      <c r="B83" s="353">
        <f t="shared" si="11"/>
        <v>0.18582219393167834</v>
      </c>
      <c r="C83" s="423"/>
      <c r="D83" s="375" t="s">
        <v>227</v>
      </c>
      <c r="E83" s="105">
        <f>COUNTIF(A81:A86,D83)</f>
        <v>0</v>
      </c>
    </row>
    <row r="84" spans="1:6">
      <c r="A84" s="146" t="str">
        <f>C6</f>
        <v>GEO</v>
      </c>
      <c r="B84" s="353">
        <f t="shared" si="11"/>
        <v>9.0694223424570342E-2</v>
      </c>
      <c r="C84" s="423"/>
      <c r="D84" s="374" t="s">
        <v>36</v>
      </c>
      <c r="E84" s="105">
        <f>COUNTIF(A81:A86,D84)</f>
        <v>1</v>
      </c>
    </row>
    <row r="85" spans="1:6">
      <c r="A85" s="146" t="str">
        <f>C6</f>
        <v>GEO</v>
      </c>
      <c r="B85" s="353">
        <f t="shared" si="11"/>
        <v>9.0694223424570342E-2</v>
      </c>
      <c r="C85" s="423"/>
      <c r="D85" s="374" t="s">
        <v>37</v>
      </c>
      <c r="E85" s="105">
        <f>COUNTIF(A81:A86,D85)</f>
        <v>3</v>
      </c>
    </row>
    <row r="86" spans="1:6" ht="15.75" thickBot="1">
      <c r="A86" s="149" t="str">
        <f>C2</f>
        <v>Plain</v>
      </c>
      <c r="B86" s="354">
        <f t="shared" si="11"/>
        <v>0.11443218202874855</v>
      </c>
      <c r="C86" s="424"/>
      <c r="D86" s="376" t="s">
        <v>228</v>
      </c>
      <c r="E86" s="107">
        <f>COUNTIF(A81:A86,D86)</f>
        <v>0</v>
      </c>
    </row>
    <row r="87" spans="1:6" ht="15.75" thickBot="1">
      <c r="A87" s="361" t="s">
        <v>266</v>
      </c>
      <c r="B87" s="362" t="s">
        <v>260</v>
      </c>
      <c r="C87" s="363" t="s">
        <v>261</v>
      </c>
    </row>
    <row r="88" spans="1:6">
      <c r="A88" s="364" t="str">
        <f>C2</f>
        <v>Plain</v>
      </c>
      <c r="B88" s="365">
        <f>INDEX($E$2:$E$7,MATCH(A88,$C$2:$C$7,0))</f>
        <v>0.11443218202874855</v>
      </c>
      <c r="C88" s="422">
        <f>(B88*11+B89*11+B90*11+B91*11+B92*11+B93*11)/11</f>
        <v>0.76910248923267577</v>
      </c>
      <c r="D88" s="373" t="s">
        <v>34</v>
      </c>
      <c r="E88" s="100">
        <f>COUNTIF(A88:A93,D88)</f>
        <v>2</v>
      </c>
      <c r="F88" s="377" t="str">
        <f>CONCATENATE(D88,E88,D89,E89,D90,E90,D91,E91,D92,E92,D93,E93)</f>
        <v>Plain2Ventilated without interlock1Ventilated with Interlock1Conductive1GEO1Leno0</v>
      </c>
    </row>
    <row r="89" spans="1:6">
      <c r="A89" s="146" t="str">
        <f>C6</f>
        <v>GEO</v>
      </c>
      <c r="B89" s="353">
        <f t="shared" ref="B89:B93" si="12">INDEX($E$2:$E$7,MATCH(A89,$C$2:$C$7,0))</f>
        <v>9.0694223424570342E-2</v>
      </c>
      <c r="C89" s="423"/>
      <c r="D89" s="374" t="s">
        <v>35</v>
      </c>
      <c r="E89" s="105">
        <f>COUNTIF(A88:A93,D89)</f>
        <v>1</v>
      </c>
    </row>
    <row r="90" spans="1:6">
      <c r="A90" s="146" t="str">
        <f>C4</f>
        <v>Ventilated with Interlock</v>
      </c>
      <c r="B90" s="353">
        <f t="shared" si="12"/>
        <v>0.155</v>
      </c>
      <c r="C90" s="423"/>
      <c r="D90" s="375" t="s">
        <v>227</v>
      </c>
      <c r="E90" s="105">
        <f>COUNTIF(A88:A93,D90)</f>
        <v>1</v>
      </c>
    </row>
    <row r="91" spans="1:6">
      <c r="A91" s="146" t="str">
        <f>C2</f>
        <v>Plain</v>
      </c>
      <c r="B91" s="353">
        <f t="shared" si="12"/>
        <v>0.11443218202874855</v>
      </c>
      <c r="C91" s="423"/>
      <c r="D91" s="374" t="s">
        <v>36</v>
      </c>
      <c r="E91" s="105">
        <f>COUNTIF(A88:A93,D91)</f>
        <v>1</v>
      </c>
    </row>
    <row r="92" spans="1:6">
      <c r="A92" s="146" t="str">
        <f>C5</f>
        <v>Conductive</v>
      </c>
      <c r="B92" s="353">
        <f t="shared" si="12"/>
        <v>0.18582219393167834</v>
      </c>
      <c r="C92" s="423"/>
      <c r="D92" s="374" t="s">
        <v>37</v>
      </c>
      <c r="E92" s="105">
        <f>COUNTIF(A88:A93,D92)</f>
        <v>1</v>
      </c>
    </row>
    <row r="93" spans="1:6" ht="15.75" thickBot="1">
      <c r="A93" s="149" t="str">
        <f>C3</f>
        <v>Ventilated without interlock</v>
      </c>
      <c r="B93" s="354">
        <f t="shared" si="12"/>
        <v>0.10872170781893005</v>
      </c>
      <c r="C93" s="424"/>
      <c r="D93" s="376" t="s">
        <v>228</v>
      </c>
      <c r="E93" s="107">
        <f>COUNTIF(A88:A93,D93)</f>
        <v>0</v>
      </c>
    </row>
    <row r="94" spans="1:6" ht="15.75" thickBot="1">
      <c r="A94" s="361" t="s">
        <v>266</v>
      </c>
      <c r="B94" s="362" t="s">
        <v>260</v>
      </c>
      <c r="C94" s="363" t="s">
        <v>261</v>
      </c>
    </row>
    <row r="95" spans="1:6">
      <c r="A95" s="364" t="str">
        <f>C2</f>
        <v>Plain</v>
      </c>
      <c r="B95" s="365">
        <f>INDEX($E$2:$E$7,MATCH(A95,$C$2:$C$7,0))</f>
        <v>0.11443218202874855</v>
      </c>
      <c r="C95" s="422">
        <f>(B95*11+B96*11+B97*11+B98*11+B99*11+B100*11)/11</f>
        <v>0.72360034835619058</v>
      </c>
      <c r="D95" s="373" t="s">
        <v>34</v>
      </c>
      <c r="E95" s="100">
        <f>COUNTIF(A95:A100,D95)</f>
        <v>1</v>
      </c>
      <c r="F95" s="377" t="str">
        <f>CONCATENATE(D95,E95,D96,E96,D97,E97,D98,E98,D99,E99,D100,E100)</f>
        <v>Plain1Ventilated without interlock2Ventilated with Interlock0Conductive1GEO1Leno1</v>
      </c>
    </row>
    <row r="96" spans="1:6">
      <c r="A96" s="146" t="str">
        <f>C3</f>
        <v>Ventilated without interlock</v>
      </c>
      <c r="B96" s="353">
        <f t="shared" ref="B96:B100" si="13">INDEX($E$2:$E$7,MATCH(A96,$C$2:$C$7,0))</f>
        <v>0.10872170781893005</v>
      </c>
      <c r="C96" s="423"/>
      <c r="D96" s="374" t="s">
        <v>35</v>
      </c>
      <c r="E96" s="105">
        <f>COUNTIF(A95:A100,D96)</f>
        <v>2</v>
      </c>
    </row>
    <row r="97" spans="1:6">
      <c r="A97" s="146" t="str">
        <f>C6</f>
        <v>GEO</v>
      </c>
      <c r="B97" s="353">
        <f t="shared" si="13"/>
        <v>9.0694223424570342E-2</v>
      </c>
      <c r="C97" s="423"/>
      <c r="D97" s="375" t="s">
        <v>227</v>
      </c>
      <c r="E97" s="105">
        <f>COUNTIF(A95:A100,D97)</f>
        <v>0</v>
      </c>
    </row>
    <row r="98" spans="1:6">
      <c r="A98" s="146" t="str">
        <f>C7</f>
        <v>Leno</v>
      </c>
      <c r="B98" s="353">
        <f t="shared" si="13"/>
        <v>0.11520833333333333</v>
      </c>
      <c r="C98" s="423"/>
      <c r="D98" s="374" t="s">
        <v>36</v>
      </c>
      <c r="E98" s="105">
        <f>COUNTIF(A95:A100,D98)</f>
        <v>1</v>
      </c>
    </row>
    <row r="99" spans="1:6">
      <c r="A99" s="146" t="str">
        <f>C5</f>
        <v>Conductive</v>
      </c>
      <c r="B99" s="353">
        <f t="shared" si="13"/>
        <v>0.18582219393167834</v>
      </c>
      <c r="C99" s="423"/>
      <c r="D99" s="374" t="s">
        <v>37</v>
      </c>
      <c r="E99" s="105">
        <f>COUNTIF(A95:A100,D99)</f>
        <v>1</v>
      </c>
    </row>
    <row r="100" spans="1:6" ht="15.75" thickBot="1">
      <c r="A100" s="149" t="str">
        <f>C3</f>
        <v>Ventilated without interlock</v>
      </c>
      <c r="B100" s="354">
        <f t="shared" si="13"/>
        <v>0.10872170781893005</v>
      </c>
      <c r="C100" s="424"/>
      <c r="D100" s="376" t="s">
        <v>228</v>
      </c>
      <c r="E100" s="107">
        <f>COUNTIF(A95:A100,D100)</f>
        <v>1</v>
      </c>
    </row>
    <row r="101" spans="1:6" ht="15.75" thickBot="1">
      <c r="A101" s="361" t="s">
        <v>266</v>
      </c>
      <c r="B101" s="362" t="s">
        <v>260</v>
      </c>
      <c r="C101" s="363" t="s">
        <v>261</v>
      </c>
    </row>
    <row r="102" spans="1:6">
      <c r="A102" s="364" t="str">
        <f>C2</f>
        <v>Plain</v>
      </c>
      <c r="B102" s="365">
        <f>INDEX($E$2:$E$7,MATCH(A102,$C$2:$C$7,0))</f>
        <v>0.11443218202874855</v>
      </c>
      <c r="C102" s="422">
        <f>(B102*11+B103*11+B104*11+B105*11+B106*11+B107*11)/11</f>
        <v>0.72282419705160583</v>
      </c>
      <c r="D102" s="373" t="s">
        <v>34</v>
      </c>
      <c r="E102" s="100">
        <f>COUNTIF(A102:A107,D102)</f>
        <v>2</v>
      </c>
      <c r="F102" s="377" t="str">
        <f>CONCATENATE(D102,E102,D103,E103,D104,E104,D105,E105,D106,E106,D107,E107)</f>
        <v>Plain2Ventilated without interlock2Ventilated with Interlock0Conductive1GEO1Leno0</v>
      </c>
    </row>
    <row r="103" spans="1:6">
      <c r="A103" s="146" t="str">
        <f>C6</f>
        <v>GEO</v>
      </c>
      <c r="B103" s="353">
        <f t="shared" ref="B103:B107" si="14">INDEX($E$2:$E$7,MATCH(A103,$C$2:$C$7,0))</f>
        <v>9.0694223424570342E-2</v>
      </c>
      <c r="C103" s="423"/>
      <c r="D103" s="374" t="s">
        <v>35</v>
      </c>
      <c r="E103" s="105">
        <f>COUNTIF(A102:A107,D103)</f>
        <v>2</v>
      </c>
    </row>
    <row r="104" spans="1:6">
      <c r="A104" s="146" t="str">
        <f>C3</f>
        <v>Ventilated without interlock</v>
      </c>
      <c r="B104" s="353">
        <f t="shared" si="14"/>
        <v>0.10872170781893005</v>
      </c>
      <c r="C104" s="423"/>
      <c r="D104" s="375" t="s">
        <v>227</v>
      </c>
      <c r="E104" s="105">
        <f>COUNTIF(A102:A107,D104)</f>
        <v>0</v>
      </c>
    </row>
    <row r="105" spans="1:6">
      <c r="A105" s="146" t="str">
        <f>C2</f>
        <v>Plain</v>
      </c>
      <c r="B105" s="353">
        <f t="shared" si="14"/>
        <v>0.11443218202874855</v>
      </c>
      <c r="C105" s="423"/>
      <c r="D105" s="374" t="s">
        <v>36</v>
      </c>
      <c r="E105" s="105">
        <f>COUNTIF(A102:A107,D105)</f>
        <v>1</v>
      </c>
    </row>
    <row r="106" spans="1:6">
      <c r="A106" s="146" t="str">
        <f>C5</f>
        <v>Conductive</v>
      </c>
      <c r="B106" s="353">
        <f t="shared" si="14"/>
        <v>0.18582219393167834</v>
      </c>
      <c r="C106" s="423"/>
      <c r="D106" s="374" t="s">
        <v>37</v>
      </c>
      <c r="E106" s="105">
        <f>COUNTIF(A102:A107,D106)</f>
        <v>1</v>
      </c>
    </row>
    <row r="107" spans="1:6" ht="15.75" thickBot="1">
      <c r="A107" s="149" t="str">
        <f>C3</f>
        <v>Ventilated without interlock</v>
      </c>
      <c r="B107" s="354">
        <f t="shared" si="14"/>
        <v>0.10872170781893005</v>
      </c>
      <c r="C107" s="424"/>
      <c r="D107" s="376" t="s">
        <v>228</v>
      </c>
      <c r="E107" s="107">
        <f>COUNTIF(A102:A107,D107)</f>
        <v>0</v>
      </c>
    </row>
    <row r="108" spans="1:6" ht="15.75" thickBot="1">
      <c r="A108" s="361" t="s">
        <v>266</v>
      </c>
      <c r="B108" s="362" t="s">
        <v>260</v>
      </c>
      <c r="C108" s="363" t="s">
        <v>261</v>
      </c>
    </row>
    <row r="109" spans="1:6">
      <c r="A109" s="364" t="str">
        <f>C2</f>
        <v>Plain</v>
      </c>
      <c r="B109" s="365">
        <f>INDEX($E$2:$E$7,MATCH(A109,$C$2:$C$7,0))</f>
        <v>0.11443218202874855</v>
      </c>
      <c r="C109" s="422">
        <f>(B109*11+B110*11+B111*11+B112*11+B113*11+B114*11)/11</f>
        <v>0.66826404451574939</v>
      </c>
      <c r="D109" s="373" t="s">
        <v>34</v>
      </c>
      <c r="E109" s="100">
        <f>COUNTIF(A109:A114,D109)</f>
        <v>1</v>
      </c>
      <c r="F109" s="377" t="str">
        <f>CONCATENATE(D109,E109,D110,E110,D111,E111,D112,E112,D113,E113,D114,E114)</f>
        <v>Plain1Ventilated without interlock2Ventilated with Interlock1Conductive0GEO2Leno0</v>
      </c>
    </row>
    <row r="110" spans="1:6">
      <c r="A110" s="146" t="str">
        <f>C3</f>
        <v>Ventilated without interlock</v>
      </c>
      <c r="B110" s="353">
        <f t="shared" ref="B110:B114" si="15">INDEX($E$2:$E$7,MATCH(A110,$C$2:$C$7,0))</f>
        <v>0.10872170781893005</v>
      </c>
      <c r="C110" s="423"/>
      <c r="D110" s="374" t="s">
        <v>35</v>
      </c>
      <c r="E110" s="105">
        <f>COUNTIF(A109:A114,D110)</f>
        <v>2</v>
      </c>
    </row>
    <row r="111" spans="1:6">
      <c r="A111" s="146" t="str">
        <f>C6</f>
        <v>GEO</v>
      </c>
      <c r="B111" s="353">
        <f t="shared" si="15"/>
        <v>9.0694223424570342E-2</v>
      </c>
      <c r="C111" s="423"/>
      <c r="D111" s="375" t="s">
        <v>227</v>
      </c>
      <c r="E111" s="105">
        <f>COUNTIF(A109:A114,D111)</f>
        <v>1</v>
      </c>
    </row>
    <row r="112" spans="1:6">
      <c r="A112" s="146" t="str">
        <f>C4</f>
        <v>Ventilated with Interlock</v>
      </c>
      <c r="B112" s="353">
        <f t="shared" si="15"/>
        <v>0.155</v>
      </c>
      <c r="C112" s="423"/>
      <c r="D112" s="374" t="s">
        <v>36</v>
      </c>
      <c r="E112" s="105">
        <f>COUNTIF(A109:A114,D112)</f>
        <v>0</v>
      </c>
    </row>
    <row r="113" spans="1:6">
      <c r="A113" s="146" t="str">
        <f>C3</f>
        <v>Ventilated without interlock</v>
      </c>
      <c r="B113" s="353">
        <f t="shared" si="15"/>
        <v>0.10872170781893005</v>
      </c>
      <c r="C113" s="423"/>
      <c r="D113" s="374" t="s">
        <v>37</v>
      </c>
      <c r="E113" s="105">
        <f>COUNTIF(A109:A114,D113)</f>
        <v>2</v>
      </c>
    </row>
    <row r="114" spans="1:6" ht="15.75" thickBot="1">
      <c r="A114" s="149" t="str">
        <f>C6</f>
        <v>GEO</v>
      </c>
      <c r="B114" s="354">
        <f t="shared" si="15"/>
        <v>9.0694223424570342E-2</v>
      </c>
      <c r="C114" s="424"/>
      <c r="D114" s="376" t="s">
        <v>228</v>
      </c>
      <c r="E114" s="107">
        <f>COUNTIF(A109:A114,D114)</f>
        <v>0</v>
      </c>
    </row>
    <row r="115" spans="1:6" ht="15.75" thickBot="1">
      <c r="A115" s="361" t="s">
        <v>266</v>
      </c>
      <c r="B115" s="362" t="s">
        <v>260</v>
      </c>
      <c r="C115" s="363" t="s">
        <v>261</v>
      </c>
    </row>
    <row r="116" spans="1:6">
      <c r="A116" s="364" t="str">
        <f>C4</f>
        <v>Ventilated with Interlock</v>
      </c>
      <c r="B116" s="365">
        <f>INDEX($E$2:$E$7,MATCH(A116,$C$2:$C$7,0))</f>
        <v>0.155</v>
      </c>
      <c r="C116" s="422">
        <f>(B116*11+B117*11+B118*11+B119*11+B120*11+B121*11)/11</f>
        <v>0.71573996172410581</v>
      </c>
      <c r="D116" s="373" t="s">
        <v>34</v>
      </c>
      <c r="E116" s="100">
        <f>COUNTIF(A116:A121,D116)</f>
        <v>3</v>
      </c>
      <c r="F116" s="377" t="str">
        <f>CONCATENATE(D116,E116,D117,E117,D118,E118,D119,E119,D120,E120,D121,E121)</f>
        <v>Plain3Ventilated without interlock2Ventilated with Interlock1Conductive0GEO0Leno0</v>
      </c>
    </row>
    <row r="117" spans="1:6">
      <c r="A117" s="146" t="str">
        <f>C2</f>
        <v>Plain</v>
      </c>
      <c r="B117" s="353">
        <f t="shared" ref="B117:B121" si="16">INDEX($E$2:$E$7,MATCH(A117,$C$2:$C$7,0))</f>
        <v>0.11443218202874855</v>
      </c>
      <c r="C117" s="423"/>
      <c r="D117" s="374" t="s">
        <v>35</v>
      </c>
      <c r="E117" s="105">
        <f>COUNTIF(A116:A121,D117)</f>
        <v>2</v>
      </c>
    </row>
    <row r="118" spans="1:6">
      <c r="A118" s="146" t="str">
        <f>C3</f>
        <v>Ventilated without interlock</v>
      </c>
      <c r="B118" s="353">
        <f t="shared" si="16"/>
        <v>0.10872170781893005</v>
      </c>
      <c r="C118" s="423"/>
      <c r="D118" s="375" t="s">
        <v>227</v>
      </c>
      <c r="E118" s="105">
        <f>COUNTIF(A116:A121,D118)</f>
        <v>1</v>
      </c>
    </row>
    <row r="119" spans="1:6">
      <c r="A119" s="146" t="str">
        <f>C2</f>
        <v>Plain</v>
      </c>
      <c r="B119" s="353">
        <f t="shared" si="16"/>
        <v>0.11443218202874855</v>
      </c>
      <c r="C119" s="423"/>
      <c r="D119" s="374" t="s">
        <v>36</v>
      </c>
      <c r="E119" s="105">
        <f>COUNTIF(A116:A121,D119)</f>
        <v>0</v>
      </c>
    </row>
    <row r="120" spans="1:6">
      <c r="A120" s="146" t="str">
        <f>C2</f>
        <v>Plain</v>
      </c>
      <c r="B120" s="353">
        <f t="shared" si="16"/>
        <v>0.11443218202874855</v>
      </c>
      <c r="C120" s="423"/>
      <c r="D120" s="374" t="s">
        <v>37</v>
      </c>
      <c r="E120" s="105">
        <f>COUNTIF(A116:A121,D120)</f>
        <v>0</v>
      </c>
    </row>
    <row r="121" spans="1:6" ht="15.75" thickBot="1">
      <c r="A121" s="149" t="str">
        <f>C3</f>
        <v>Ventilated without interlock</v>
      </c>
      <c r="B121" s="354">
        <f t="shared" si="16"/>
        <v>0.10872170781893005</v>
      </c>
      <c r="C121" s="424"/>
      <c r="D121" s="376" t="s">
        <v>228</v>
      </c>
      <c r="E121" s="107">
        <f>COUNTIF(A116:A121,D121)</f>
        <v>0</v>
      </c>
    </row>
    <row r="122" spans="1:6" ht="15.75" thickBot="1">
      <c r="A122" s="361" t="s">
        <v>266</v>
      </c>
      <c r="B122" s="362" t="s">
        <v>260</v>
      </c>
      <c r="C122" s="363" t="s">
        <v>261</v>
      </c>
    </row>
    <row r="123" spans="1:6">
      <c r="A123" s="364" t="str">
        <f>C2</f>
        <v>Plain</v>
      </c>
      <c r="B123" s="365">
        <f>INDEX($E$2:$E$7,MATCH(A123,$C$2:$C$7,0))</f>
        <v>0.11443218202874855</v>
      </c>
      <c r="C123" s="422">
        <f>(B123*11+B124*11+B125*11+B126*11+B127*11+B128*11)/11</f>
        <v>0.73256982109117896</v>
      </c>
      <c r="D123" s="373" t="s">
        <v>34</v>
      </c>
      <c r="E123" s="100">
        <f>COUNTIF(A123:A128,D123)</f>
        <v>1</v>
      </c>
      <c r="F123" s="377" t="str">
        <f>CONCATENATE(D123,E123,D124,E124,D125,E125,D126,E126,D127,E127,D128,E128)</f>
        <v>Plain1Ventilated without interlock2Ventilated with Interlock2Conductive0GEO1Leno0</v>
      </c>
    </row>
    <row r="124" spans="1:6">
      <c r="A124" s="146" t="str">
        <f>C4</f>
        <v>Ventilated with Interlock</v>
      </c>
      <c r="B124" s="353">
        <f t="shared" ref="B124:B128" si="17">INDEX($E$2:$E$7,MATCH(A124,$C$2:$C$7,0))</f>
        <v>0.155</v>
      </c>
      <c r="C124" s="423"/>
      <c r="D124" s="374" t="s">
        <v>35</v>
      </c>
      <c r="E124" s="105">
        <f>COUNTIF(A123:A128,D124)</f>
        <v>2</v>
      </c>
    </row>
    <row r="125" spans="1:6">
      <c r="A125" s="146" t="str">
        <f>C6</f>
        <v>GEO</v>
      </c>
      <c r="B125" s="353">
        <f t="shared" si="17"/>
        <v>9.0694223424570342E-2</v>
      </c>
      <c r="C125" s="423"/>
      <c r="D125" s="375" t="s">
        <v>227</v>
      </c>
      <c r="E125" s="105">
        <f>COUNTIF(A123:A128,D125)</f>
        <v>2</v>
      </c>
    </row>
    <row r="126" spans="1:6">
      <c r="A126" s="146" t="str">
        <f>C3</f>
        <v>Ventilated without interlock</v>
      </c>
      <c r="B126" s="353">
        <f t="shared" si="17"/>
        <v>0.10872170781893005</v>
      </c>
      <c r="C126" s="423"/>
      <c r="D126" s="374" t="s">
        <v>36</v>
      </c>
      <c r="E126" s="105">
        <f>COUNTIF(A123:A128,D126)</f>
        <v>0</v>
      </c>
    </row>
    <row r="127" spans="1:6">
      <c r="A127" s="146" t="str">
        <f>C3</f>
        <v>Ventilated without interlock</v>
      </c>
      <c r="B127" s="353">
        <f t="shared" si="17"/>
        <v>0.10872170781893005</v>
      </c>
      <c r="C127" s="423"/>
      <c r="D127" s="374" t="s">
        <v>37</v>
      </c>
      <c r="E127" s="105">
        <f>COUNTIF(A123:A128,D127)</f>
        <v>1</v>
      </c>
    </row>
    <row r="128" spans="1:6" ht="15.75" thickBot="1">
      <c r="A128" s="149" t="str">
        <f>C4</f>
        <v>Ventilated with Interlock</v>
      </c>
      <c r="B128" s="354">
        <f t="shared" si="17"/>
        <v>0.155</v>
      </c>
      <c r="C128" s="424"/>
      <c r="D128" s="376" t="s">
        <v>228</v>
      </c>
      <c r="E128" s="107">
        <f>COUNTIF(A123:A128,D128)</f>
        <v>0</v>
      </c>
    </row>
    <row r="129" spans="1:6" ht="15.75" thickBot="1">
      <c r="A129" s="361" t="s">
        <v>266</v>
      </c>
      <c r="B129" s="362" t="s">
        <v>260</v>
      </c>
      <c r="C129" s="363" t="s">
        <v>261</v>
      </c>
    </row>
    <row r="130" spans="1:6">
      <c r="A130" s="364" t="str">
        <f>C2</f>
        <v>Plain</v>
      </c>
      <c r="B130" s="365">
        <f>INDEX($E$2:$E$7,MATCH(A130,$C$2:$C$7,0))</f>
        <v>0.11443218202874855</v>
      </c>
      <c r="C130" s="422">
        <f>(B130*11+B131*11+B132*11+B133*11+B134*11+B135*11)/11</f>
        <v>0.78712997362703552</v>
      </c>
      <c r="D130" s="373" t="s">
        <v>34</v>
      </c>
      <c r="E130" s="100">
        <f>COUNTIF(A130:A135,D130)</f>
        <v>2</v>
      </c>
      <c r="F130" s="377" t="str">
        <f>CONCATENATE(D130,E130,D131,E131,D132,E132,D133,E133,D134,E134,D135,E135)</f>
        <v>Plain2Ventilated without interlock2Ventilated with Interlock1Conductive1GEO0Leno0</v>
      </c>
    </row>
    <row r="131" spans="1:6">
      <c r="A131" s="146" t="str">
        <f>C4</f>
        <v>Ventilated with Interlock</v>
      </c>
      <c r="B131" s="353">
        <f t="shared" ref="B131:B135" si="18">INDEX($E$2:$E$7,MATCH(A131,$C$2:$C$7,0))</f>
        <v>0.155</v>
      </c>
      <c r="C131" s="423"/>
      <c r="D131" s="374" t="s">
        <v>35</v>
      </c>
      <c r="E131" s="105">
        <f>COUNTIF(A130:A135,D131)</f>
        <v>2</v>
      </c>
    </row>
    <row r="132" spans="1:6">
      <c r="A132" s="146" t="str">
        <f>C3</f>
        <v>Ventilated without interlock</v>
      </c>
      <c r="B132" s="353">
        <f t="shared" si="18"/>
        <v>0.10872170781893005</v>
      </c>
      <c r="C132" s="423"/>
      <c r="D132" s="375" t="s">
        <v>227</v>
      </c>
      <c r="E132" s="105">
        <f>COUNTIF(A130:A135,D132)</f>
        <v>1</v>
      </c>
    </row>
    <row r="133" spans="1:6">
      <c r="A133" s="146" t="str">
        <f>C5</f>
        <v>Conductive</v>
      </c>
      <c r="B133" s="353">
        <f t="shared" si="18"/>
        <v>0.18582219393167834</v>
      </c>
      <c r="C133" s="423"/>
      <c r="D133" s="374" t="s">
        <v>36</v>
      </c>
      <c r="E133" s="105">
        <f>COUNTIF(A130:A135,D133)</f>
        <v>1</v>
      </c>
    </row>
    <row r="134" spans="1:6">
      <c r="A134" s="146" t="str">
        <f>C3</f>
        <v>Ventilated without interlock</v>
      </c>
      <c r="B134" s="353">
        <f t="shared" si="18"/>
        <v>0.10872170781893005</v>
      </c>
      <c r="C134" s="423"/>
      <c r="D134" s="374" t="s">
        <v>37</v>
      </c>
      <c r="E134" s="105">
        <f>COUNTIF(A130:A135,D134)</f>
        <v>0</v>
      </c>
    </row>
    <row r="135" spans="1:6" ht="15.75" thickBot="1">
      <c r="A135" s="149" t="str">
        <f>C2</f>
        <v>Plain</v>
      </c>
      <c r="B135" s="354">
        <f t="shared" si="18"/>
        <v>0.11443218202874855</v>
      </c>
      <c r="C135" s="424"/>
      <c r="D135" s="376" t="s">
        <v>228</v>
      </c>
      <c r="E135" s="107">
        <f>COUNTIF(A130:A135,D135)</f>
        <v>0</v>
      </c>
    </row>
    <row r="136" spans="1:6" ht="15.75" thickBot="1">
      <c r="A136" s="361" t="s">
        <v>266</v>
      </c>
      <c r="B136" s="362" t="s">
        <v>260</v>
      </c>
      <c r="C136" s="363" t="s">
        <v>261</v>
      </c>
    </row>
    <row r="137" spans="1:6">
      <c r="A137" s="364" t="str">
        <f>C6</f>
        <v>GEO</v>
      </c>
      <c r="B137" s="365">
        <f>INDEX($E$2:$E$7,MATCH(A137,$C$2:$C$7,0))</f>
        <v>9.0694223424570342E-2</v>
      </c>
      <c r="C137" s="422">
        <f>(B137*11+B138*11+B139*11+B140*11+B141*11+B142*11)/11</f>
        <v>0.70479671265724619</v>
      </c>
      <c r="D137" s="373" t="s">
        <v>34</v>
      </c>
      <c r="E137" s="100">
        <f>COUNTIF(A137:A142,D137)</f>
        <v>2</v>
      </c>
      <c r="F137" s="377" t="str">
        <f>CONCATENATE(D137,E137,D138,E138,D139,E139,D140,E140,D141,E141,D142,E142)</f>
        <v>Plain2Ventilated without interlock1Ventilated with Interlock0Conductive1GEO2Leno0</v>
      </c>
    </row>
    <row r="138" spans="1:6">
      <c r="A138" s="146" t="str">
        <f>C5</f>
        <v>Conductive</v>
      </c>
      <c r="B138" s="353">
        <f t="shared" ref="B138:B142" si="19">INDEX($E$2:$E$7,MATCH(A138,$C$2:$C$7,0))</f>
        <v>0.18582219393167834</v>
      </c>
      <c r="C138" s="423"/>
      <c r="D138" s="374" t="s">
        <v>35</v>
      </c>
      <c r="E138" s="105">
        <f>COUNTIF(A137:A142,D138)</f>
        <v>1</v>
      </c>
    </row>
    <row r="139" spans="1:6">
      <c r="A139" s="146" t="str">
        <f>C6</f>
        <v>GEO</v>
      </c>
      <c r="B139" s="353">
        <f t="shared" si="19"/>
        <v>9.0694223424570342E-2</v>
      </c>
      <c r="C139" s="423"/>
      <c r="D139" s="375" t="s">
        <v>227</v>
      </c>
      <c r="E139" s="105">
        <f>COUNTIF(A137:A142,D139)</f>
        <v>0</v>
      </c>
    </row>
    <row r="140" spans="1:6">
      <c r="A140" s="146" t="str">
        <f>C3</f>
        <v>Ventilated without interlock</v>
      </c>
      <c r="B140" s="353">
        <f t="shared" si="19"/>
        <v>0.10872170781893005</v>
      </c>
      <c r="C140" s="423"/>
      <c r="D140" s="374" t="s">
        <v>36</v>
      </c>
      <c r="E140" s="105">
        <f>COUNTIF(A137:A142,D140)</f>
        <v>1</v>
      </c>
    </row>
    <row r="141" spans="1:6">
      <c r="A141" s="146" t="str">
        <f>C2</f>
        <v>Plain</v>
      </c>
      <c r="B141" s="353">
        <f t="shared" si="19"/>
        <v>0.11443218202874855</v>
      </c>
      <c r="C141" s="423"/>
      <c r="D141" s="374" t="s">
        <v>37</v>
      </c>
      <c r="E141" s="105">
        <f>COUNTIF(A137:A142,D141)</f>
        <v>2</v>
      </c>
    </row>
    <row r="142" spans="1:6" ht="15.75" thickBot="1">
      <c r="A142" s="149" t="str">
        <f>C2</f>
        <v>Plain</v>
      </c>
      <c r="B142" s="354">
        <f t="shared" si="19"/>
        <v>0.11443218202874855</v>
      </c>
      <c r="C142" s="424"/>
      <c r="D142" s="376" t="s">
        <v>228</v>
      </c>
      <c r="E142" s="107">
        <f>COUNTIF(A137:A142,D142)</f>
        <v>0</v>
      </c>
    </row>
  </sheetData>
  <mergeCells count="19">
    <mergeCell ref="C88:C93"/>
    <mergeCell ref="C10:C15"/>
    <mergeCell ref="C17:C22"/>
    <mergeCell ref="C24:C29"/>
    <mergeCell ref="C32:C37"/>
    <mergeCell ref="C39:C44"/>
    <mergeCell ref="C46:C51"/>
    <mergeCell ref="C53:C58"/>
    <mergeCell ref="C60:C65"/>
    <mergeCell ref="C67:C72"/>
    <mergeCell ref="C74:C79"/>
    <mergeCell ref="C81:C86"/>
    <mergeCell ref="C137:C142"/>
    <mergeCell ref="C95:C100"/>
    <mergeCell ref="C102:C107"/>
    <mergeCell ref="C109:C114"/>
    <mergeCell ref="C116:C121"/>
    <mergeCell ref="C123:C128"/>
    <mergeCell ref="C130:C135"/>
  </mergeCells>
  <conditionalFormatting sqref="E2:E7">
    <cfRule type="dataBar" priority="17">
      <dataBar>
        <cfvo type="min" val="0"/>
        <cfvo type="max" val="0"/>
        <color rgb="FFD6007B"/>
      </dataBar>
    </cfRule>
    <cfRule type="cellIs" dxfId="18" priority="18" operator="greaterThan">
      <formula>0.75</formula>
    </cfRule>
    <cfRule type="cellIs" dxfId="17" priority="19" operator="between">
      <formula>0.6</formula>
      <formula>0.75</formula>
    </cfRule>
    <cfRule type="cellIs" dxfId="16" priority="20" operator="lessThanOrEqual">
      <formula>0.6</formula>
    </cfRule>
    <cfRule type="iconSet" priority="21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F10:F86">
    <cfRule type="duplicateValues" dxfId="15" priority="16"/>
  </conditionalFormatting>
  <conditionalFormatting sqref="F1:F1048576">
    <cfRule type="duplicateValues" dxfId="14" priority="15"/>
  </conditionalFormatting>
  <conditionalFormatting sqref="F87:F93">
    <cfRule type="duplicateValues" dxfId="13" priority="14"/>
  </conditionalFormatting>
  <conditionalFormatting sqref="F94:F100">
    <cfRule type="duplicateValues" dxfId="12" priority="13"/>
  </conditionalFormatting>
  <conditionalFormatting sqref="F101:F107">
    <cfRule type="duplicateValues" dxfId="11" priority="12"/>
  </conditionalFormatting>
  <conditionalFormatting sqref="F101:F107">
    <cfRule type="duplicateValues" dxfId="10" priority="11"/>
  </conditionalFormatting>
  <conditionalFormatting sqref="F108:F114">
    <cfRule type="duplicateValues" dxfId="9" priority="10"/>
  </conditionalFormatting>
  <conditionalFormatting sqref="F108:F114">
    <cfRule type="duplicateValues" dxfId="8" priority="9"/>
  </conditionalFormatting>
  <conditionalFormatting sqref="F115:F121">
    <cfRule type="duplicateValues" dxfId="7" priority="8"/>
  </conditionalFormatting>
  <conditionalFormatting sqref="F115:F121">
    <cfRule type="duplicateValues" dxfId="6" priority="7"/>
  </conditionalFormatting>
  <conditionalFormatting sqref="F122:F128">
    <cfRule type="duplicateValues" dxfId="5" priority="6"/>
  </conditionalFormatting>
  <conditionalFormatting sqref="F122:F128">
    <cfRule type="duplicateValues" dxfId="4" priority="5"/>
  </conditionalFormatting>
  <conditionalFormatting sqref="F129:F135">
    <cfRule type="duplicateValues" dxfId="3" priority="4"/>
  </conditionalFormatting>
  <conditionalFormatting sqref="F129:F135">
    <cfRule type="duplicateValues" dxfId="2" priority="3"/>
  </conditionalFormatting>
  <conditionalFormatting sqref="F136:F142">
    <cfRule type="duplicateValues" dxfId="1" priority="2"/>
  </conditionalFormatting>
  <conditionalFormatting sqref="F136:F14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EX17"/>
  <sheetViews>
    <sheetView workbookViewId="0">
      <selection activeCell="F3" activeCellId="1" sqref="B8:B9 F3"/>
    </sheetView>
  </sheetViews>
  <sheetFormatPr defaultRowHeight="15"/>
  <cols>
    <col min="1" max="1" width="26.7109375" bestFit="1" customWidth="1"/>
    <col min="2" max="2" width="15.42578125" bestFit="1" customWidth="1"/>
    <col min="3" max="3" width="10" bestFit="1" customWidth="1"/>
    <col min="4" max="4" width="11.5703125" bestFit="1" customWidth="1"/>
    <col min="5" max="5" width="11.140625" bestFit="1" customWidth="1"/>
    <col min="9" max="9" width="20.140625" bestFit="1" customWidth="1"/>
    <col min="10" max="10" width="10.28515625" bestFit="1" customWidth="1"/>
    <col min="13" max="13" width="2.7109375" bestFit="1" customWidth="1"/>
    <col min="16377" max="16377" width="26.28515625" bestFit="1" customWidth="1"/>
  </cols>
  <sheetData>
    <row r="1" spans="1:13 16377:16378" ht="15.75" thickBot="1">
      <c r="A1" s="4" t="s">
        <v>23</v>
      </c>
      <c r="B1" s="6">
        <v>3</v>
      </c>
      <c r="C1" s="4"/>
      <c r="D1" s="6"/>
      <c r="I1" s="181" t="s">
        <v>183</v>
      </c>
      <c r="J1" s="182" t="s">
        <v>120</v>
      </c>
    </row>
    <row r="2" spans="1:13 16377:16378" ht="15.75" thickBot="1">
      <c r="A2" s="184" t="s">
        <v>31</v>
      </c>
      <c r="B2" s="184" t="s">
        <v>40</v>
      </c>
      <c r="C2" s="184" t="s">
        <v>41</v>
      </c>
      <c r="D2" s="184" t="s">
        <v>42</v>
      </c>
      <c r="E2" s="184" t="s">
        <v>43</v>
      </c>
      <c r="F2" s="183" t="s">
        <v>45</v>
      </c>
      <c r="I2" s="179">
        <v>4</v>
      </c>
      <c r="J2" s="180">
        <f>F3</f>
        <v>0.46884811327224896</v>
      </c>
      <c r="XEW2" s="292" t="s">
        <v>32</v>
      </c>
      <c r="XEX2" s="292" t="s">
        <v>33</v>
      </c>
    </row>
    <row r="3" spans="1:13 16377:16378" ht="15.75" thickBot="1">
      <c r="A3" s="186" t="str">
        <f>DASHBOARD!U3</f>
        <v>Plain</v>
      </c>
      <c r="B3" s="185">
        <f>100-D3</f>
        <v>88.55678179712514</v>
      </c>
      <c r="C3" s="187">
        <v>1</v>
      </c>
      <c r="D3" s="188">
        <f>INDEX($XEX$3:$XEX$10,MATCH(A3,$XEW$3:$XEW$10,0))*100</f>
        <v>11.443218202874855</v>
      </c>
      <c r="E3" s="189">
        <f>INDEX($XEX$3:$XEX$10,MATCH(A3,$XEW$3:$XEW$10,0))</f>
        <v>0.11443218202874855</v>
      </c>
      <c r="F3" s="29">
        <f>SUM(E3:E6)</f>
        <v>0.46884811327224896</v>
      </c>
      <c r="I3" s="175">
        <v>5</v>
      </c>
      <c r="J3" s="177">
        <f>(J2/4)*5</f>
        <v>0.58606014159031117</v>
      </c>
      <c r="XEW3" s="158" t="s">
        <v>34</v>
      </c>
      <c r="XEX3" s="289">
        <v>0.11443218202874855</v>
      </c>
    </row>
    <row r="4" spans="1:13 16377:16378" ht="15.75" thickBot="1">
      <c r="A4" s="190" t="str">
        <f>DASHBOARD!U4</f>
        <v>Ventilated without interlock</v>
      </c>
      <c r="B4" s="185">
        <f t="shared" ref="B4:B6" si="0">100-D4</f>
        <v>89.127829218106996</v>
      </c>
      <c r="C4" s="185">
        <v>1</v>
      </c>
      <c r="D4" s="188">
        <f t="shared" ref="D4:D6" si="1">INDEX($XEX$3:$XEX$10,MATCH(A4,$XEW$3:$XEW$10,0))*100</f>
        <v>10.872170781893004</v>
      </c>
      <c r="E4" s="189">
        <f t="shared" ref="E4:E6" si="2">INDEX($XEX$3:$XEX$10,MATCH(A4,$XEW$3:$XEW$10,0))</f>
        <v>0.10872170781893005</v>
      </c>
      <c r="I4" s="175">
        <v>6</v>
      </c>
      <c r="J4" s="177">
        <f>(J2/4)*6</f>
        <v>0.70327216990837349</v>
      </c>
      <c r="XEW4" s="158" t="s">
        <v>35</v>
      </c>
      <c r="XEX4" s="289">
        <f>AVERAGE('vent without interlock'!B12,'vent without interlock'!E12,'vent without interlock'!M9)</f>
        <v>0.10872170781893005</v>
      </c>
    </row>
    <row r="5" spans="1:13 16377:16378" ht="15.75" thickBot="1">
      <c r="A5" s="190" t="str">
        <f>DASHBOARD!U5</f>
        <v>Ventilated with Interlock</v>
      </c>
      <c r="B5" s="185">
        <f t="shared" si="0"/>
        <v>84.5</v>
      </c>
      <c r="C5" s="185">
        <v>1</v>
      </c>
      <c r="D5" s="188">
        <f t="shared" si="1"/>
        <v>15.5</v>
      </c>
      <c r="E5" s="189">
        <f t="shared" si="2"/>
        <v>0.155</v>
      </c>
      <c r="I5" s="175">
        <v>7</v>
      </c>
      <c r="J5" s="177">
        <f>($J$2/4)*I5</f>
        <v>0.8204841982264357</v>
      </c>
      <c r="XEW5" s="158" t="s">
        <v>36</v>
      </c>
      <c r="XEX5" s="289">
        <v>0.18582219393167834</v>
      </c>
    </row>
    <row r="6" spans="1:13 16377:16378" ht="15.75" thickBot="1">
      <c r="A6" s="191" t="str">
        <f>DASHBOARD!U6</f>
        <v>GEO</v>
      </c>
      <c r="B6" s="192">
        <f t="shared" si="0"/>
        <v>90.930577657542969</v>
      </c>
      <c r="C6" s="192">
        <v>1</v>
      </c>
      <c r="D6" s="188">
        <f t="shared" si="1"/>
        <v>9.0694223424570346</v>
      </c>
      <c r="E6" s="189">
        <f t="shared" si="2"/>
        <v>9.0694223424570342E-2</v>
      </c>
      <c r="I6" s="176">
        <v>8</v>
      </c>
      <c r="J6" s="178">
        <f>($J$2/4)*I6</f>
        <v>0.93769622654449791</v>
      </c>
      <c r="XEW6" s="158" t="s">
        <v>37</v>
      </c>
      <c r="XEX6" s="290">
        <f>AVERAGE(GEO!F95,GEO!F85,GEO!F72,GEO!E62,GEO!E52,GEO!E39,GEO!E25,GEO!B9,GEO!F105)</f>
        <v>9.0694223424570342E-2</v>
      </c>
    </row>
    <row r="7" spans="1:13 16377:16378">
      <c r="J7" s="397"/>
      <c r="K7" s="397"/>
      <c r="L7" s="397"/>
      <c r="M7" s="397"/>
      <c r="XEW7" s="291" t="s">
        <v>227</v>
      </c>
      <c r="XEX7" s="289">
        <f>'interlock &amp; leno'!L17</f>
        <v>0.155</v>
      </c>
    </row>
    <row r="8" spans="1:13 16377:16378">
      <c r="A8" t="str">
        <f>DASHBOARD!$B$21</f>
        <v>Plain</v>
      </c>
      <c r="B8" s="338">
        <f>INDEX($XEX$3:$XEX$8,MATCH(A8,$XEW$3:$XEW$8,0))</f>
        <v>0.11443218202874855</v>
      </c>
      <c r="J8" s="21"/>
      <c r="K8" s="21"/>
      <c r="L8" s="21"/>
      <c r="M8" s="22" t="s">
        <v>0</v>
      </c>
      <c r="XEW8" s="291" t="s">
        <v>228</v>
      </c>
      <c r="XEX8" s="289">
        <f>'interlock &amp; leno'!Q17</f>
        <v>0.11520833333333333</v>
      </c>
    </row>
    <row r="9" spans="1:13 16377:16378">
      <c r="A9" s="29" t="str">
        <f>DASHBOARD!$G$21</f>
        <v>Plain</v>
      </c>
      <c r="B9" s="338">
        <f t="shared" ref="B9:B11" si="3">INDEX($XEX$3:$XEX$8,MATCH(A9,$XEW$3:$XEW$8,0))</f>
        <v>0.11443218202874855</v>
      </c>
      <c r="F9" s="11"/>
      <c r="J9" s="21"/>
      <c r="K9" s="21"/>
      <c r="L9" s="21"/>
      <c r="M9" s="22" t="s">
        <v>1</v>
      </c>
    </row>
    <row r="10" spans="1:13 16377:16378">
      <c r="A10" t="str">
        <f>DASHBOARD!$O$21</f>
        <v>GEO</v>
      </c>
      <c r="B10" s="338">
        <f t="shared" si="3"/>
        <v>9.0694223424570342E-2</v>
      </c>
      <c r="F10" s="11"/>
      <c r="J10" s="21"/>
      <c r="K10" s="21"/>
      <c r="L10" s="21"/>
      <c r="M10" s="22" t="s">
        <v>2</v>
      </c>
    </row>
    <row r="11" spans="1:13 16377:16378">
      <c r="A11" t="str">
        <f>DASHBOARD!$S$21</f>
        <v>GEO</v>
      </c>
      <c r="B11" s="338">
        <f t="shared" si="3"/>
        <v>9.0694223424570342E-2</v>
      </c>
      <c r="F11" s="11"/>
      <c r="J11" s="21"/>
      <c r="K11" s="21"/>
      <c r="L11" s="21"/>
      <c r="M11" s="22" t="s">
        <v>3</v>
      </c>
    </row>
    <row r="12" spans="1:13 16377:16378">
      <c r="F12" s="11"/>
      <c r="J12" s="21"/>
      <c r="K12" s="21"/>
      <c r="L12" s="21"/>
      <c r="M12" s="22" t="s">
        <v>4</v>
      </c>
    </row>
    <row r="13" spans="1:13 16377:16378">
      <c r="F13" s="11"/>
    </row>
    <row r="17" spans="4:4">
      <c r="D17">
        <f>51+9+19</f>
        <v>79</v>
      </c>
    </row>
  </sheetData>
  <mergeCells count="1">
    <mergeCell ref="J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56"/>
  <sheetViews>
    <sheetView topLeftCell="A19" workbookViewId="0">
      <selection activeCell="B2" sqref="B2:B5"/>
    </sheetView>
  </sheetViews>
  <sheetFormatPr defaultRowHeight="15"/>
  <cols>
    <col min="1" max="1" width="26.28515625" style="13" bestFit="1" customWidth="1"/>
    <col min="2" max="2" width="15.7109375" bestFit="1" customWidth="1"/>
    <col min="3" max="3" width="9.85546875" style="13" bestFit="1" customWidth="1"/>
    <col min="5" max="5" width="9.140625" style="13"/>
    <col min="7" max="7" width="9.140625" style="13"/>
    <col min="9" max="9" width="9.140625" style="13"/>
    <col min="11" max="11" width="9.140625" style="13"/>
  </cols>
  <sheetData>
    <row r="1" spans="1:29" ht="21">
      <c r="A1" s="12" t="s">
        <v>38</v>
      </c>
      <c r="B1" s="5" t="s">
        <v>39</v>
      </c>
      <c r="C1" s="12" t="s">
        <v>8</v>
      </c>
      <c r="D1" s="5" t="s">
        <v>11</v>
      </c>
      <c r="E1" s="12" t="s">
        <v>12</v>
      </c>
      <c r="F1" s="5" t="s">
        <v>9</v>
      </c>
      <c r="G1" s="12" t="s">
        <v>7</v>
      </c>
      <c r="H1" s="5" t="s">
        <v>13</v>
      </c>
      <c r="I1" s="12" t="s">
        <v>5</v>
      </c>
      <c r="J1" s="5" t="s">
        <v>10</v>
      </c>
      <c r="K1" s="12" t="s">
        <v>6</v>
      </c>
      <c r="L1" s="398"/>
      <c r="M1" s="399"/>
      <c r="N1" s="399"/>
      <c r="O1" s="399"/>
      <c r="P1" s="399"/>
      <c r="Q1" s="399"/>
      <c r="R1" s="399"/>
      <c r="S1" s="399"/>
      <c r="T1" s="399"/>
      <c r="U1" s="399"/>
      <c r="V1" s="399"/>
      <c r="W1" s="399"/>
      <c r="X1" s="399"/>
      <c r="Y1" s="399"/>
      <c r="Z1" s="399"/>
      <c r="AA1" s="399"/>
      <c r="AB1" s="399"/>
      <c r="AC1" s="399"/>
    </row>
    <row r="2" spans="1:29">
      <c r="A2" s="28" t="s">
        <v>34</v>
      </c>
      <c r="B2" s="10">
        <v>0.25</v>
      </c>
      <c r="C2" s="15">
        <v>0.2</v>
      </c>
      <c r="D2" s="10">
        <v>0.74</v>
      </c>
      <c r="E2" s="15">
        <v>0.6</v>
      </c>
      <c r="F2" s="10">
        <v>0.48</v>
      </c>
      <c r="G2" s="15">
        <v>0.74</v>
      </c>
      <c r="H2" s="10">
        <v>0.62</v>
      </c>
      <c r="I2" s="15">
        <v>0.33</v>
      </c>
      <c r="J2" s="10">
        <v>0.5</v>
      </c>
      <c r="K2" s="15">
        <v>0.69000000000000006</v>
      </c>
      <c r="L2" s="7"/>
    </row>
    <row r="3" spans="1:29">
      <c r="A3" s="28" t="s">
        <v>35</v>
      </c>
      <c r="B3" s="10">
        <v>0.57000000000000006</v>
      </c>
      <c r="C3" s="15">
        <v>0.9</v>
      </c>
      <c r="D3" s="10">
        <v>0.19</v>
      </c>
      <c r="E3" s="15">
        <v>0.99</v>
      </c>
      <c r="F3" s="10">
        <v>0.38</v>
      </c>
      <c r="G3" s="15">
        <v>0.95000000000000007</v>
      </c>
      <c r="H3" s="10">
        <v>0.82000000000000006</v>
      </c>
      <c r="I3" s="15">
        <v>0.24</v>
      </c>
      <c r="J3" s="10">
        <v>0.95000000000000007</v>
      </c>
      <c r="K3" s="15">
        <v>0.92</v>
      </c>
    </row>
    <row r="4" spans="1:29">
      <c r="A4" s="28" t="s">
        <v>36</v>
      </c>
      <c r="B4" s="10">
        <v>0.75</v>
      </c>
      <c r="C4" s="15">
        <v>0.33</v>
      </c>
      <c r="D4" s="10">
        <v>0.73</v>
      </c>
      <c r="E4" s="15">
        <v>0.57999999999999996</v>
      </c>
      <c r="F4" s="10">
        <v>0.64</v>
      </c>
      <c r="G4" s="15">
        <v>0.68</v>
      </c>
      <c r="H4" s="10">
        <v>0.76</v>
      </c>
      <c r="I4" s="15">
        <v>0.9</v>
      </c>
      <c r="J4" s="10">
        <v>0.76</v>
      </c>
      <c r="K4" s="15">
        <v>0.99</v>
      </c>
    </row>
    <row r="5" spans="1:29">
      <c r="A5" s="28" t="s">
        <v>37</v>
      </c>
      <c r="B5" s="10">
        <v>0.95000000000000007</v>
      </c>
      <c r="C5" s="15">
        <v>0.36</v>
      </c>
      <c r="D5" s="10">
        <v>0.95000000000000007</v>
      </c>
      <c r="E5" s="15">
        <v>0.95000000000000007</v>
      </c>
      <c r="F5" s="10">
        <v>0.2</v>
      </c>
      <c r="G5" s="15">
        <v>0.56000000000000005</v>
      </c>
      <c r="H5" s="10">
        <v>0.49</v>
      </c>
      <c r="I5" s="15">
        <v>0.75</v>
      </c>
      <c r="J5" s="10">
        <v>0.74</v>
      </c>
      <c r="K5" s="15">
        <v>0.22</v>
      </c>
    </row>
    <row r="6" spans="1:29">
      <c r="A6" s="400" t="s">
        <v>19</v>
      </c>
      <c r="B6" s="400"/>
      <c r="C6" s="400"/>
      <c r="D6" s="400"/>
      <c r="E6" s="400"/>
      <c r="F6" s="400"/>
      <c r="G6" s="400"/>
      <c r="H6" s="400"/>
      <c r="I6" s="400"/>
      <c r="J6" s="400"/>
      <c r="K6" s="400"/>
    </row>
    <row r="7" spans="1:29">
      <c r="A7" s="13" t="s">
        <v>14</v>
      </c>
      <c r="B7" s="19">
        <v>200</v>
      </c>
      <c r="C7" s="20">
        <v>112</v>
      </c>
      <c r="D7" s="19">
        <v>202</v>
      </c>
      <c r="E7" s="20">
        <v>54</v>
      </c>
      <c r="F7" s="19">
        <v>388</v>
      </c>
      <c r="G7" s="20">
        <v>94</v>
      </c>
      <c r="H7" s="19">
        <v>324</v>
      </c>
      <c r="I7" s="20">
        <v>284</v>
      </c>
      <c r="J7" s="19">
        <v>42</v>
      </c>
      <c r="K7" s="20">
        <v>254</v>
      </c>
    </row>
    <row r="8" spans="1:29">
      <c r="A8" s="13" t="s">
        <v>15</v>
      </c>
      <c r="B8" s="19">
        <v>150</v>
      </c>
      <c r="C8" s="20">
        <v>12</v>
      </c>
      <c r="D8" s="19">
        <v>26</v>
      </c>
      <c r="E8" s="20">
        <v>232</v>
      </c>
      <c r="F8" s="19">
        <v>188</v>
      </c>
      <c r="G8" s="20">
        <v>76</v>
      </c>
      <c r="H8" s="19">
        <v>352</v>
      </c>
      <c r="I8" s="20">
        <v>130</v>
      </c>
      <c r="J8" s="19">
        <v>254</v>
      </c>
      <c r="K8" s="20">
        <v>66</v>
      </c>
    </row>
    <row r="9" spans="1:29">
      <c r="A9" s="13" t="s">
        <v>16</v>
      </c>
      <c r="B9" s="19">
        <v>50</v>
      </c>
      <c r="C9" s="20">
        <v>254</v>
      </c>
      <c r="D9" s="19">
        <v>154</v>
      </c>
      <c r="E9" s="20">
        <v>272</v>
      </c>
      <c r="F9" s="19">
        <v>34</v>
      </c>
      <c r="G9" s="20">
        <v>354</v>
      </c>
      <c r="H9" s="19">
        <v>278</v>
      </c>
      <c r="I9" s="20">
        <v>210</v>
      </c>
      <c r="J9" s="19">
        <v>100</v>
      </c>
      <c r="K9" s="20">
        <v>270</v>
      </c>
    </row>
    <row r="10" spans="1:29">
      <c r="A10" s="13" t="s">
        <v>17</v>
      </c>
      <c r="B10" s="19">
        <v>100</v>
      </c>
      <c r="C10" s="20">
        <v>214</v>
      </c>
      <c r="D10" s="19">
        <v>224</v>
      </c>
      <c r="E10" s="20">
        <v>310</v>
      </c>
      <c r="F10" s="19">
        <v>282</v>
      </c>
      <c r="G10" s="20">
        <v>34</v>
      </c>
      <c r="H10" s="19">
        <v>166</v>
      </c>
      <c r="I10" s="20">
        <v>232</v>
      </c>
      <c r="J10" s="19">
        <v>326</v>
      </c>
      <c r="K10" s="20">
        <v>300</v>
      </c>
    </row>
    <row r="11" spans="1:29">
      <c r="A11" s="13" t="s">
        <v>18</v>
      </c>
      <c r="B11" s="19">
        <v>20</v>
      </c>
      <c r="C11" s="20">
        <v>158</v>
      </c>
      <c r="D11" s="19">
        <v>250</v>
      </c>
      <c r="E11" s="20">
        <v>114</v>
      </c>
      <c r="F11" s="19">
        <v>340</v>
      </c>
      <c r="G11" s="20">
        <v>392</v>
      </c>
      <c r="H11" s="19">
        <v>350</v>
      </c>
      <c r="I11" s="20">
        <v>332</v>
      </c>
      <c r="J11" s="19">
        <v>298</v>
      </c>
      <c r="K11" s="20">
        <v>254</v>
      </c>
    </row>
    <row r="12" spans="1:29">
      <c r="A12" s="400" t="s">
        <v>24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</row>
    <row r="13" spans="1:29">
      <c r="A13" s="13" t="s">
        <v>14</v>
      </c>
      <c r="B13" s="6">
        <v>200</v>
      </c>
      <c r="C13" s="16">
        <v>200</v>
      </c>
      <c r="D13" s="6">
        <v>250</v>
      </c>
      <c r="E13" s="16">
        <v>300</v>
      </c>
      <c r="F13" s="6">
        <v>250</v>
      </c>
      <c r="G13" s="16">
        <v>200</v>
      </c>
      <c r="H13" s="6">
        <v>350</v>
      </c>
      <c r="I13" s="16">
        <v>250</v>
      </c>
      <c r="J13" s="6">
        <v>300</v>
      </c>
      <c r="K13" s="16">
        <v>300</v>
      </c>
    </row>
    <row r="14" spans="1:29">
      <c r="A14" s="13" t="s">
        <v>15</v>
      </c>
      <c r="B14" s="6">
        <v>200</v>
      </c>
      <c r="C14" s="16">
        <v>200</v>
      </c>
      <c r="D14" s="6">
        <v>250</v>
      </c>
      <c r="E14" s="16">
        <v>300</v>
      </c>
      <c r="F14" s="6">
        <v>250</v>
      </c>
      <c r="G14" s="16">
        <v>200</v>
      </c>
      <c r="H14" s="6">
        <v>350</v>
      </c>
      <c r="I14" s="16">
        <v>250</v>
      </c>
      <c r="J14" s="6">
        <v>300</v>
      </c>
      <c r="K14" s="16">
        <v>300</v>
      </c>
    </row>
    <row r="15" spans="1:29">
      <c r="A15" s="13" t="s">
        <v>16</v>
      </c>
      <c r="B15" s="6">
        <v>200</v>
      </c>
      <c r="C15" s="16">
        <v>200</v>
      </c>
      <c r="D15" s="6">
        <v>250</v>
      </c>
      <c r="E15" s="16">
        <v>300</v>
      </c>
      <c r="F15" s="6">
        <v>250</v>
      </c>
      <c r="G15" s="16">
        <v>200</v>
      </c>
      <c r="H15" s="6">
        <v>350</v>
      </c>
      <c r="I15" s="16">
        <v>250</v>
      </c>
      <c r="J15" s="6">
        <v>300</v>
      </c>
      <c r="K15" s="16">
        <v>300</v>
      </c>
    </row>
    <row r="16" spans="1:29">
      <c r="A16" s="13" t="s">
        <v>17</v>
      </c>
      <c r="B16" s="6">
        <v>200</v>
      </c>
      <c r="C16" s="16">
        <v>200</v>
      </c>
      <c r="D16" s="6">
        <v>250</v>
      </c>
      <c r="E16" s="16">
        <v>300</v>
      </c>
      <c r="F16" s="6">
        <v>250</v>
      </c>
      <c r="G16" s="16">
        <v>200</v>
      </c>
      <c r="H16" s="6">
        <v>350</v>
      </c>
      <c r="I16" s="16">
        <v>250</v>
      </c>
      <c r="J16" s="6">
        <v>300</v>
      </c>
      <c r="K16" s="16">
        <v>300</v>
      </c>
    </row>
    <row r="17" spans="1:11">
      <c r="A17" s="13" t="s">
        <v>18</v>
      </c>
      <c r="B17" s="6">
        <v>200</v>
      </c>
      <c r="C17" s="16">
        <v>200</v>
      </c>
      <c r="D17" s="6">
        <v>250</v>
      </c>
      <c r="E17" s="16">
        <v>300</v>
      </c>
      <c r="F17" s="6">
        <v>250</v>
      </c>
      <c r="G17" s="16">
        <v>200</v>
      </c>
      <c r="H17" s="6">
        <v>350</v>
      </c>
      <c r="I17" s="16">
        <v>250</v>
      </c>
      <c r="J17" s="6">
        <v>300</v>
      </c>
      <c r="K17" s="16">
        <v>300</v>
      </c>
    </row>
    <row r="18" spans="1:11">
      <c r="A18" s="400" t="s">
        <v>20</v>
      </c>
      <c r="B18" s="400"/>
      <c r="C18" s="400"/>
      <c r="D18" s="400"/>
      <c r="E18" s="400"/>
      <c r="F18" s="400"/>
      <c r="G18" s="400"/>
      <c r="H18" s="400"/>
      <c r="I18" s="400"/>
      <c r="J18" s="400"/>
      <c r="K18" s="400"/>
    </row>
    <row r="19" spans="1:11">
      <c r="A19" s="14">
        <v>43496</v>
      </c>
      <c r="B19" s="8">
        <v>10</v>
      </c>
      <c r="C19" s="17">
        <v>43</v>
      </c>
      <c r="D19" s="8">
        <v>17</v>
      </c>
      <c r="E19" s="17">
        <v>12</v>
      </c>
      <c r="F19" s="8">
        <v>84</v>
      </c>
      <c r="G19" s="17">
        <v>59</v>
      </c>
      <c r="H19" s="8">
        <v>25</v>
      </c>
      <c r="I19" s="17">
        <v>36</v>
      </c>
      <c r="J19" s="8">
        <v>111</v>
      </c>
      <c r="K19" s="17">
        <v>32</v>
      </c>
    </row>
    <row r="20" spans="1:11">
      <c r="A20" s="14">
        <v>43524</v>
      </c>
      <c r="B20" s="8">
        <v>30</v>
      </c>
      <c r="C20" s="17">
        <v>92</v>
      </c>
      <c r="D20" s="8">
        <v>108</v>
      </c>
      <c r="E20" s="17">
        <v>111</v>
      </c>
      <c r="F20" s="8">
        <v>74</v>
      </c>
      <c r="G20" s="17">
        <v>16</v>
      </c>
      <c r="H20" s="8">
        <v>71</v>
      </c>
      <c r="I20" s="17">
        <v>115</v>
      </c>
      <c r="J20" s="8">
        <v>4</v>
      </c>
      <c r="K20" s="17">
        <v>78</v>
      </c>
    </row>
    <row r="21" spans="1:11">
      <c r="A21" s="14">
        <v>43555</v>
      </c>
      <c r="B21" s="8">
        <v>20</v>
      </c>
      <c r="C21" s="17">
        <v>106</v>
      </c>
      <c r="D21" s="8">
        <v>46</v>
      </c>
      <c r="E21" s="17">
        <v>83</v>
      </c>
      <c r="F21" s="8">
        <v>34</v>
      </c>
      <c r="G21" s="17">
        <v>81</v>
      </c>
      <c r="H21" s="8">
        <v>38</v>
      </c>
      <c r="I21" s="17">
        <v>50</v>
      </c>
      <c r="J21" s="8">
        <v>28</v>
      </c>
      <c r="K21" s="17">
        <v>16</v>
      </c>
    </row>
    <row r="22" spans="1:11">
      <c r="A22" s="14">
        <v>43585</v>
      </c>
      <c r="B22" s="8">
        <v>50</v>
      </c>
      <c r="C22" s="17">
        <v>60</v>
      </c>
      <c r="D22" s="8">
        <v>71</v>
      </c>
      <c r="E22" s="17">
        <v>100</v>
      </c>
      <c r="F22" s="8">
        <v>40</v>
      </c>
      <c r="G22" s="17">
        <v>88</v>
      </c>
      <c r="H22" s="8">
        <v>34</v>
      </c>
      <c r="I22" s="17">
        <v>10</v>
      </c>
      <c r="J22" s="8">
        <v>48</v>
      </c>
      <c r="K22" s="17">
        <v>93</v>
      </c>
    </row>
    <row r="23" spans="1:11">
      <c r="A23" s="14">
        <v>43616</v>
      </c>
      <c r="B23" s="8">
        <v>5</v>
      </c>
      <c r="C23" s="17">
        <v>61</v>
      </c>
      <c r="D23" s="8">
        <v>92</v>
      </c>
      <c r="E23" s="17">
        <v>35</v>
      </c>
      <c r="F23" s="8">
        <v>91</v>
      </c>
      <c r="G23" s="17">
        <v>94</v>
      </c>
      <c r="H23" s="8">
        <v>113</v>
      </c>
      <c r="I23" s="17">
        <v>90</v>
      </c>
      <c r="J23" s="8">
        <v>107</v>
      </c>
      <c r="K23" s="17">
        <v>25</v>
      </c>
    </row>
    <row r="24" spans="1:11">
      <c r="A24" s="14">
        <v>43646</v>
      </c>
      <c r="B24" s="8">
        <v>40</v>
      </c>
      <c r="C24" s="17">
        <v>16</v>
      </c>
      <c r="D24" s="8">
        <v>29</v>
      </c>
      <c r="E24" s="17">
        <v>53</v>
      </c>
      <c r="F24" s="8">
        <v>38</v>
      </c>
      <c r="G24" s="17">
        <v>118</v>
      </c>
      <c r="H24" s="8">
        <v>114</v>
      </c>
      <c r="I24" s="17">
        <v>30</v>
      </c>
      <c r="J24" s="8">
        <v>95</v>
      </c>
      <c r="K24" s="17">
        <v>96</v>
      </c>
    </row>
    <row r="25" spans="1:11">
      <c r="A25" s="14">
        <v>43677</v>
      </c>
      <c r="B25" s="8">
        <v>30</v>
      </c>
      <c r="C25" s="17">
        <v>6</v>
      </c>
      <c r="D25" s="8">
        <v>117</v>
      </c>
      <c r="E25" s="17">
        <v>63</v>
      </c>
      <c r="F25" s="8">
        <v>59</v>
      </c>
      <c r="G25" s="17">
        <v>115</v>
      </c>
      <c r="H25" s="8">
        <v>23</v>
      </c>
      <c r="I25" s="17">
        <v>105</v>
      </c>
      <c r="J25" s="8">
        <v>71</v>
      </c>
      <c r="K25" s="17">
        <v>103</v>
      </c>
    </row>
    <row r="26" spans="1:11">
      <c r="A26" s="14">
        <v>43708</v>
      </c>
      <c r="B26" s="8">
        <v>35</v>
      </c>
      <c r="C26" s="17">
        <v>15</v>
      </c>
      <c r="D26" s="8">
        <v>37</v>
      </c>
      <c r="E26" s="17">
        <v>39</v>
      </c>
      <c r="F26" s="8">
        <v>110</v>
      </c>
      <c r="G26" s="17">
        <v>81</v>
      </c>
      <c r="H26" s="8">
        <v>6</v>
      </c>
      <c r="I26" s="17">
        <v>106</v>
      </c>
      <c r="J26" s="8">
        <v>3</v>
      </c>
      <c r="K26" s="17">
        <v>42</v>
      </c>
    </row>
    <row r="27" spans="1:11">
      <c r="A27" s="14">
        <v>43738</v>
      </c>
      <c r="B27" s="8">
        <v>10</v>
      </c>
      <c r="C27" s="17">
        <v>13</v>
      </c>
      <c r="D27" s="8">
        <v>115</v>
      </c>
      <c r="E27" s="17">
        <v>112</v>
      </c>
      <c r="F27" s="8">
        <v>46</v>
      </c>
      <c r="G27" s="17">
        <v>69</v>
      </c>
      <c r="H27" s="8">
        <v>100</v>
      </c>
      <c r="I27" s="17">
        <v>6</v>
      </c>
      <c r="J27" s="8">
        <v>36</v>
      </c>
      <c r="K27" s="17">
        <v>33</v>
      </c>
    </row>
    <row r="28" spans="1:11">
      <c r="A28" s="14">
        <v>43769</v>
      </c>
      <c r="B28" s="8">
        <v>40</v>
      </c>
      <c r="C28" s="17">
        <v>50</v>
      </c>
      <c r="D28" s="8">
        <v>47</v>
      </c>
      <c r="E28" s="17">
        <v>99</v>
      </c>
      <c r="F28" s="8">
        <v>63</v>
      </c>
      <c r="G28" s="17">
        <v>15</v>
      </c>
      <c r="H28" s="8">
        <v>17</v>
      </c>
      <c r="I28" s="17">
        <v>109</v>
      </c>
      <c r="J28" s="8">
        <v>30</v>
      </c>
      <c r="K28" s="17">
        <v>90</v>
      </c>
    </row>
    <row r="29" spans="1:11">
      <c r="A29" s="14">
        <v>43799</v>
      </c>
      <c r="B29" s="8">
        <v>20</v>
      </c>
      <c r="C29" s="17">
        <v>77</v>
      </c>
      <c r="D29" s="8">
        <v>93</v>
      </c>
      <c r="E29" s="17">
        <v>64</v>
      </c>
      <c r="F29" s="8">
        <v>69</v>
      </c>
      <c r="G29" s="17">
        <v>46</v>
      </c>
      <c r="H29" s="8">
        <v>56</v>
      </c>
      <c r="I29" s="17">
        <v>102</v>
      </c>
      <c r="J29" s="8">
        <v>67</v>
      </c>
      <c r="K29" s="17">
        <v>118</v>
      </c>
    </row>
    <row r="30" spans="1:11">
      <c r="A30" s="14">
        <v>43830</v>
      </c>
      <c r="B30" s="8">
        <v>10</v>
      </c>
      <c r="C30" s="17">
        <v>3</v>
      </c>
      <c r="D30" s="8">
        <v>1</v>
      </c>
      <c r="E30" s="17">
        <v>19</v>
      </c>
      <c r="F30" s="8">
        <v>79</v>
      </c>
      <c r="G30" s="17">
        <v>104</v>
      </c>
      <c r="H30" s="8">
        <v>71</v>
      </c>
      <c r="I30" s="17">
        <v>119</v>
      </c>
      <c r="J30" s="8">
        <v>30</v>
      </c>
      <c r="K30" s="17">
        <v>69</v>
      </c>
    </row>
    <row r="31" spans="1:11">
      <c r="A31" s="400" t="s">
        <v>21</v>
      </c>
      <c r="B31" s="400"/>
      <c r="C31" s="400"/>
      <c r="D31" s="400"/>
      <c r="E31" s="400"/>
      <c r="F31" s="400"/>
      <c r="G31" s="400"/>
      <c r="H31" s="400"/>
      <c r="I31" s="400"/>
      <c r="J31" s="400"/>
      <c r="K31" s="400"/>
    </row>
    <row r="32" spans="1:11">
      <c r="A32" s="14">
        <v>43861</v>
      </c>
      <c r="B32" s="8">
        <v>40</v>
      </c>
      <c r="C32" s="17">
        <v>82</v>
      </c>
      <c r="D32" s="8">
        <v>20</v>
      </c>
      <c r="E32" s="17">
        <v>108</v>
      </c>
      <c r="F32" s="8">
        <v>85</v>
      </c>
      <c r="G32" s="17">
        <v>115</v>
      </c>
      <c r="H32" s="8">
        <v>97</v>
      </c>
      <c r="I32" s="17">
        <v>36</v>
      </c>
      <c r="J32" s="8">
        <v>25</v>
      </c>
      <c r="K32" s="17">
        <v>23</v>
      </c>
    </row>
    <row r="33" spans="1:11">
      <c r="A33" s="14">
        <v>43890</v>
      </c>
      <c r="B33" s="8">
        <v>35</v>
      </c>
      <c r="C33" s="17">
        <v>47</v>
      </c>
      <c r="D33" s="8">
        <v>3</v>
      </c>
      <c r="E33" s="17">
        <v>41</v>
      </c>
      <c r="F33" s="8">
        <v>85</v>
      </c>
      <c r="G33" s="17">
        <v>103</v>
      </c>
      <c r="H33" s="8">
        <v>99</v>
      </c>
      <c r="I33" s="17">
        <v>92</v>
      </c>
      <c r="J33" s="8">
        <v>89</v>
      </c>
      <c r="K33" s="17">
        <v>105</v>
      </c>
    </row>
    <row r="34" spans="1:11">
      <c r="A34" s="14">
        <v>43921</v>
      </c>
      <c r="B34" s="8">
        <v>15</v>
      </c>
      <c r="C34" s="17">
        <v>53</v>
      </c>
      <c r="D34" s="8">
        <v>108</v>
      </c>
      <c r="E34" s="17">
        <v>63</v>
      </c>
      <c r="F34" s="8">
        <v>68</v>
      </c>
      <c r="G34" s="17">
        <v>105</v>
      </c>
      <c r="H34" s="8">
        <v>106</v>
      </c>
      <c r="I34" s="17">
        <v>113</v>
      </c>
      <c r="J34" s="8">
        <v>84</v>
      </c>
      <c r="K34" s="17">
        <v>77</v>
      </c>
    </row>
    <row r="35" spans="1:11">
      <c r="A35" s="14">
        <v>43951</v>
      </c>
      <c r="B35" s="8">
        <v>38</v>
      </c>
      <c r="C35" s="17">
        <v>17</v>
      </c>
      <c r="D35" s="8">
        <v>31</v>
      </c>
      <c r="E35" s="17">
        <v>77</v>
      </c>
      <c r="F35" s="8">
        <v>49</v>
      </c>
      <c r="G35" s="17">
        <v>109</v>
      </c>
      <c r="H35" s="8">
        <v>70</v>
      </c>
      <c r="I35" s="17">
        <v>56</v>
      </c>
      <c r="J35" s="8">
        <v>30</v>
      </c>
      <c r="K35" s="17">
        <v>108</v>
      </c>
    </row>
    <row r="36" spans="1:11">
      <c r="A36" s="14">
        <v>43982</v>
      </c>
      <c r="B36" s="8">
        <v>20</v>
      </c>
      <c r="C36" s="17">
        <v>79</v>
      </c>
      <c r="D36" s="8">
        <v>119</v>
      </c>
      <c r="E36" s="17">
        <v>3</v>
      </c>
      <c r="F36" s="8">
        <v>102</v>
      </c>
      <c r="G36" s="17">
        <v>64</v>
      </c>
      <c r="H36" s="8">
        <v>105</v>
      </c>
      <c r="I36" s="17">
        <v>84</v>
      </c>
      <c r="J36" s="8">
        <v>95</v>
      </c>
      <c r="K36" s="17">
        <v>29</v>
      </c>
    </row>
    <row r="37" spans="1:11">
      <c r="A37" s="14">
        <v>44012</v>
      </c>
      <c r="B37" s="8">
        <v>10</v>
      </c>
      <c r="C37" s="17">
        <v>65</v>
      </c>
      <c r="D37" s="8">
        <v>24</v>
      </c>
      <c r="E37" s="17">
        <v>82</v>
      </c>
      <c r="F37" s="8">
        <v>86</v>
      </c>
      <c r="G37" s="17">
        <v>72</v>
      </c>
      <c r="H37" s="8">
        <v>96</v>
      </c>
      <c r="I37" s="17">
        <v>75</v>
      </c>
      <c r="J37" s="8">
        <v>98</v>
      </c>
      <c r="K37" s="17">
        <v>37</v>
      </c>
    </row>
    <row r="38" spans="1:11">
      <c r="A38" s="14">
        <v>44043</v>
      </c>
      <c r="B38" s="8">
        <v>5</v>
      </c>
      <c r="C38" s="17">
        <v>40</v>
      </c>
      <c r="D38" s="8">
        <v>77</v>
      </c>
      <c r="E38" s="17">
        <v>105</v>
      </c>
      <c r="F38" s="8">
        <v>36</v>
      </c>
      <c r="G38" s="17">
        <v>112</v>
      </c>
      <c r="H38" s="8">
        <v>97</v>
      </c>
      <c r="I38" s="17">
        <v>109</v>
      </c>
      <c r="J38" s="8">
        <v>65</v>
      </c>
      <c r="K38" s="17">
        <v>35</v>
      </c>
    </row>
    <row r="39" spans="1:11">
      <c r="A39" s="14">
        <v>44074</v>
      </c>
      <c r="B39" s="8">
        <v>20</v>
      </c>
      <c r="C39" s="17">
        <v>31</v>
      </c>
      <c r="D39" s="8">
        <v>3</v>
      </c>
      <c r="E39" s="17">
        <v>93</v>
      </c>
      <c r="F39" s="8">
        <v>18</v>
      </c>
      <c r="G39" s="17">
        <v>53</v>
      </c>
      <c r="H39" s="8">
        <v>103</v>
      </c>
      <c r="I39" s="17">
        <v>104</v>
      </c>
      <c r="J39" s="8">
        <v>86</v>
      </c>
      <c r="K39" s="17">
        <v>92</v>
      </c>
    </row>
    <row r="40" spans="1:11">
      <c r="A40" s="14">
        <v>44104</v>
      </c>
      <c r="B40" s="8">
        <v>40</v>
      </c>
      <c r="C40" s="17">
        <v>46</v>
      </c>
      <c r="D40" s="8">
        <v>27</v>
      </c>
      <c r="E40" s="17">
        <v>112</v>
      </c>
      <c r="F40" s="8">
        <v>31</v>
      </c>
      <c r="G40" s="17">
        <v>114</v>
      </c>
      <c r="H40" s="8">
        <v>103</v>
      </c>
      <c r="I40" s="17">
        <v>89</v>
      </c>
      <c r="J40" s="8">
        <v>97</v>
      </c>
      <c r="K40" s="17">
        <v>101</v>
      </c>
    </row>
    <row r="41" spans="1:11">
      <c r="A41" s="14">
        <v>44135</v>
      </c>
      <c r="B41" s="8">
        <v>50</v>
      </c>
      <c r="C41" s="17">
        <v>78</v>
      </c>
      <c r="D41" s="8">
        <v>104</v>
      </c>
      <c r="E41" s="17">
        <v>67</v>
      </c>
      <c r="F41" s="8">
        <v>60</v>
      </c>
      <c r="G41" s="17">
        <v>64</v>
      </c>
      <c r="H41" s="8">
        <v>24</v>
      </c>
      <c r="I41" s="17">
        <v>7</v>
      </c>
      <c r="J41" s="8">
        <v>110</v>
      </c>
      <c r="K41" s="17">
        <v>118</v>
      </c>
    </row>
    <row r="42" spans="1:11">
      <c r="A42" s="14">
        <v>44165</v>
      </c>
      <c r="B42" s="8">
        <v>30</v>
      </c>
      <c r="C42" s="17">
        <v>37</v>
      </c>
      <c r="D42" s="8">
        <v>26</v>
      </c>
      <c r="E42" s="17">
        <v>28</v>
      </c>
      <c r="F42" s="8">
        <v>57</v>
      </c>
      <c r="G42" s="17">
        <v>0</v>
      </c>
      <c r="H42" s="8">
        <v>21</v>
      </c>
      <c r="I42" s="17">
        <v>73</v>
      </c>
      <c r="J42" s="8">
        <v>76</v>
      </c>
      <c r="K42" s="17">
        <v>81</v>
      </c>
    </row>
    <row r="43" spans="1:11">
      <c r="A43" s="14">
        <v>44196</v>
      </c>
      <c r="B43" s="8">
        <v>15</v>
      </c>
      <c r="C43" s="17">
        <v>96</v>
      </c>
      <c r="D43" s="8">
        <v>9</v>
      </c>
      <c r="E43" s="17">
        <v>14</v>
      </c>
      <c r="F43" s="8">
        <v>43</v>
      </c>
      <c r="G43" s="17">
        <v>63</v>
      </c>
      <c r="H43" s="8">
        <v>67</v>
      </c>
      <c r="I43" s="17">
        <v>10</v>
      </c>
      <c r="J43" s="8">
        <v>37</v>
      </c>
      <c r="K43" s="17">
        <v>101</v>
      </c>
    </row>
    <row r="44" spans="1:11">
      <c r="A44" s="400" t="s">
        <v>22</v>
      </c>
      <c r="B44" s="400"/>
      <c r="C44" s="400"/>
      <c r="D44" s="400"/>
      <c r="E44" s="400"/>
      <c r="F44" s="400"/>
      <c r="G44" s="400"/>
      <c r="H44" s="400"/>
      <c r="I44" s="400"/>
      <c r="J44" s="400"/>
      <c r="K44" s="400"/>
    </row>
    <row r="45" spans="1:11">
      <c r="A45" s="14">
        <v>43861</v>
      </c>
      <c r="B45" s="9">
        <v>0.42</v>
      </c>
      <c r="C45" s="18">
        <v>0.47</v>
      </c>
      <c r="D45" s="9">
        <v>0.11</v>
      </c>
      <c r="E45" s="18">
        <v>0.39</v>
      </c>
      <c r="F45" s="9">
        <v>0.45</v>
      </c>
      <c r="G45" s="18">
        <v>0.06</v>
      </c>
      <c r="H45" s="9">
        <v>0.38</v>
      </c>
      <c r="I45" s="18">
        <v>0.47</v>
      </c>
      <c r="J45" s="9">
        <v>0.42</v>
      </c>
      <c r="K45" s="18">
        <v>0.11</v>
      </c>
    </row>
    <row r="46" spans="1:11">
      <c r="A46" s="14">
        <v>43890</v>
      </c>
      <c r="B46" s="9">
        <v>0.09</v>
      </c>
      <c r="C46" s="18">
        <v>0.02</v>
      </c>
      <c r="D46" s="9">
        <v>0.04</v>
      </c>
      <c r="E46" s="18">
        <v>0.03</v>
      </c>
      <c r="F46" s="9">
        <v>0.01</v>
      </c>
      <c r="G46" s="18">
        <v>0.04</v>
      </c>
      <c r="H46" s="9">
        <v>7.0000000000000007E-2</v>
      </c>
      <c r="I46" s="18">
        <v>0.09</v>
      </c>
      <c r="J46" s="9">
        <v>0.1</v>
      </c>
      <c r="K46" s="18">
        <v>0.05</v>
      </c>
    </row>
    <row r="47" spans="1:11">
      <c r="A47" s="14">
        <v>43921</v>
      </c>
      <c r="B47" s="9">
        <v>0.18</v>
      </c>
      <c r="C47" s="18">
        <v>0.19</v>
      </c>
      <c r="D47" s="9">
        <v>0.19</v>
      </c>
      <c r="E47" s="18">
        <v>0.05</v>
      </c>
      <c r="F47" s="9">
        <v>0.19</v>
      </c>
      <c r="G47" s="18">
        <v>0.15</v>
      </c>
      <c r="H47" s="9">
        <v>0.09</v>
      </c>
      <c r="I47" s="18">
        <v>0.06</v>
      </c>
      <c r="J47" s="9">
        <v>0.19</v>
      </c>
      <c r="K47" s="18">
        <v>7.0000000000000007E-2</v>
      </c>
    </row>
    <row r="48" spans="1:11">
      <c r="A48" s="14">
        <v>43951</v>
      </c>
      <c r="B48" s="9">
        <v>0.45</v>
      </c>
      <c r="C48" s="18">
        <v>0.26</v>
      </c>
      <c r="D48" s="9">
        <v>0.11</v>
      </c>
      <c r="E48" s="18">
        <v>0.26</v>
      </c>
      <c r="F48" s="9">
        <v>0.23</v>
      </c>
      <c r="G48" s="18">
        <v>0.28000000000000003</v>
      </c>
      <c r="H48" s="9">
        <v>0.44</v>
      </c>
      <c r="I48" s="18">
        <v>0.09</v>
      </c>
      <c r="J48" s="9">
        <v>0.14000000000000001</v>
      </c>
      <c r="K48" s="18">
        <v>0.19</v>
      </c>
    </row>
    <row r="49" spans="1:11">
      <c r="A49" s="14">
        <v>43982</v>
      </c>
      <c r="B49" s="9">
        <v>7.0000000000000007E-2</v>
      </c>
      <c r="C49" s="18">
        <v>0.08</v>
      </c>
      <c r="D49" s="9">
        <v>0.08</v>
      </c>
      <c r="E49" s="18">
        <v>0.05</v>
      </c>
      <c r="F49" s="9">
        <v>7.0000000000000007E-2</v>
      </c>
      <c r="G49" s="18">
        <v>0.06</v>
      </c>
      <c r="H49" s="9">
        <v>0.05</v>
      </c>
      <c r="I49" s="18">
        <v>0.49</v>
      </c>
      <c r="J49" s="9">
        <v>0.06</v>
      </c>
      <c r="K49" s="18">
        <v>0.05</v>
      </c>
    </row>
    <row r="50" spans="1:11">
      <c r="A50" s="14">
        <v>44012</v>
      </c>
      <c r="B50" s="9">
        <v>0.2</v>
      </c>
      <c r="C50" s="18">
        <v>0.16</v>
      </c>
      <c r="D50" s="9">
        <v>0.04</v>
      </c>
      <c r="E50" s="18">
        <v>0.16</v>
      </c>
      <c r="F50" s="9">
        <v>0.13</v>
      </c>
      <c r="G50" s="18">
        <v>0.08</v>
      </c>
      <c r="H50" s="9">
        <v>0.23</v>
      </c>
      <c r="I50" s="18">
        <v>0.13</v>
      </c>
      <c r="J50" s="9">
        <v>7.0000000000000007E-2</v>
      </c>
      <c r="K50" s="18">
        <v>0.18</v>
      </c>
    </row>
    <row r="51" spans="1:11">
      <c r="A51" s="14">
        <v>44043</v>
      </c>
      <c r="B51" s="9">
        <v>0.47</v>
      </c>
      <c r="C51" s="18">
        <v>0.16</v>
      </c>
      <c r="D51" s="9">
        <v>0.48</v>
      </c>
      <c r="E51" s="18">
        <v>0.14000000000000001</v>
      </c>
      <c r="F51" s="9">
        <v>0.36</v>
      </c>
      <c r="G51" s="18">
        <v>0.49</v>
      </c>
      <c r="H51" s="9">
        <v>0.12</v>
      </c>
      <c r="I51" s="18">
        <v>0.4</v>
      </c>
      <c r="J51" s="9">
        <v>0.49</v>
      </c>
      <c r="K51" s="18">
        <v>0.44</v>
      </c>
    </row>
    <row r="52" spans="1:11">
      <c r="A52" s="14">
        <v>44074</v>
      </c>
      <c r="B52" s="9">
        <v>0.12</v>
      </c>
      <c r="C52" s="18">
        <v>0.02</v>
      </c>
      <c r="D52" s="9">
        <v>7.0000000000000007E-2</v>
      </c>
      <c r="E52" s="18">
        <v>0.06</v>
      </c>
      <c r="F52" s="9">
        <v>0.05</v>
      </c>
      <c r="G52" s="18">
        <v>0.08</v>
      </c>
      <c r="H52" s="9">
        <v>0.04</v>
      </c>
      <c r="I52" s="18">
        <v>0.11</v>
      </c>
      <c r="J52" s="9">
        <v>0.13</v>
      </c>
      <c r="K52" s="18">
        <v>0.2</v>
      </c>
    </row>
    <row r="53" spans="1:11">
      <c r="A53" s="14">
        <v>44104</v>
      </c>
      <c r="B53" s="9">
        <v>0.23</v>
      </c>
      <c r="C53" s="18">
        <v>0.03</v>
      </c>
      <c r="D53" s="9">
        <v>0.05</v>
      </c>
      <c r="E53" s="18">
        <v>0.09</v>
      </c>
      <c r="F53" s="9">
        <v>0.19</v>
      </c>
      <c r="G53" s="18">
        <v>0.14000000000000001</v>
      </c>
      <c r="H53" s="9">
        <v>0.09</v>
      </c>
      <c r="I53" s="18">
        <v>0.09</v>
      </c>
      <c r="J53" s="9">
        <v>0.01</v>
      </c>
      <c r="K53" s="18">
        <v>0.17</v>
      </c>
    </row>
    <row r="54" spans="1:11">
      <c r="A54" s="14">
        <v>44135</v>
      </c>
      <c r="B54" s="9">
        <v>0.38</v>
      </c>
      <c r="C54" s="18">
        <v>0.39</v>
      </c>
      <c r="D54" s="9">
        <v>0.3</v>
      </c>
      <c r="E54" s="18">
        <v>0.43</v>
      </c>
      <c r="F54" s="9">
        <v>0.25</v>
      </c>
      <c r="G54" s="18">
        <v>0.42</v>
      </c>
      <c r="H54" s="9">
        <v>0.28999999999999998</v>
      </c>
      <c r="I54" s="18">
        <v>0.03</v>
      </c>
      <c r="J54" s="9">
        <v>0.12</v>
      </c>
      <c r="K54" s="18">
        <v>0.22</v>
      </c>
    </row>
    <row r="55" spans="1:11">
      <c r="A55" s="14">
        <v>44165</v>
      </c>
      <c r="B55" s="9">
        <v>0.43</v>
      </c>
      <c r="C55" s="18">
        <v>0.25</v>
      </c>
      <c r="D55" s="9">
        <v>0.32</v>
      </c>
      <c r="E55" s="18">
        <v>0.09</v>
      </c>
      <c r="F55" s="9">
        <v>0.45</v>
      </c>
      <c r="G55" s="18">
        <v>0.14000000000000001</v>
      </c>
      <c r="H55" s="9">
        <v>0.13</v>
      </c>
      <c r="I55" s="18">
        <v>0.28000000000000003</v>
      </c>
      <c r="J55" s="9">
        <v>0.31</v>
      </c>
      <c r="K55" s="18">
        <v>0.26</v>
      </c>
    </row>
    <row r="56" spans="1:11">
      <c r="A56" s="14">
        <v>44196</v>
      </c>
      <c r="B56" s="9">
        <v>0.12</v>
      </c>
      <c r="C56" s="18">
        <v>0.04</v>
      </c>
      <c r="D56" s="9">
        <v>0.12</v>
      </c>
      <c r="E56" s="18">
        <v>0.1</v>
      </c>
      <c r="F56" s="9">
        <v>0.15</v>
      </c>
      <c r="G56" s="18">
        <v>0.12</v>
      </c>
      <c r="H56" s="9">
        <v>0.04</v>
      </c>
      <c r="I56" s="18">
        <v>0.14000000000000001</v>
      </c>
      <c r="J56" s="9">
        <v>0.25</v>
      </c>
      <c r="K56" s="18">
        <v>0.06</v>
      </c>
    </row>
  </sheetData>
  <mergeCells count="6">
    <mergeCell ref="L1:AC1"/>
    <mergeCell ref="A6:K6"/>
    <mergeCell ref="A18:K18"/>
    <mergeCell ref="A31:K31"/>
    <mergeCell ref="A44:K44"/>
    <mergeCell ref="A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2"/>
  <sheetViews>
    <sheetView zoomScale="85" zoomScaleNormal="85" workbookViewId="0">
      <selection activeCell="A23" activeCellId="2" sqref="A19:I19 A21:I21 A23:I23"/>
    </sheetView>
  </sheetViews>
  <sheetFormatPr defaultRowHeight="15"/>
  <cols>
    <col min="1" max="1" width="30.28515625" bestFit="1" customWidth="1"/>
    <col min="2" max="2" width="8.85546875" bestFit="1" customWidth="1"/>
    <col min="3" max="3" width="11.5703125" bestFit="1" customWidth="1"/>
    <col min="4" max="4" width="10.5703125" bestFit="1" customWidth="1"/>
    <col min="5" max="5" width="21.140625" bestFit="1" customWidth="1"/>
    <col min="7" max="7" width="16.42578125" bestFit="1" customWidth="1"/>
    <col min="8" max="8" width="21.140625" bestFit="1" customWidth="1"/>
    <col min="11" max="11" width="21.140625" bestFit="1" customWidth="1"/>
  </cols>
  <sheetData>
    <row r="1" spans="1:12">
      <c r="A1" s="33" t="s">
        <v>48</v>
      </c>
      <c r="B1" s="34"/>
      <c r="C1" s="27"/>
      <c r="D1" s="27"/>
      <c r="E1" s="35" t="s">
        <v>48</v>
      </c>
      <c r="F1" s="35"/>
      <c r="G1" s="27"/>
      <c r="H1" s="36" t="s">
        <v>48</v>
      </c>
      <c r="I1" s="36"/>
      <c r="J1" s="27"/>
      <c r="K1" s="35" t="s">
        <v>48</v>
      </c>
      <c r="L1" s="37"/>
    </row>
    <row r="2" spans="1:12">
      <c r="A2" s="38" t="s">
        <v>49</v>
      </c>
      <c r="B2" s="39">
        <v>557</v>
      </c>
      <c r="E2" s="40" t="s">
        <v>49</v>
      </c>
      <c r="F2" s="40">
        <v>558</v>
      </c>
      <c r="H2" s="40" t="s">
        <v>49</v>
      </c>
      <c r="I2" s="40">
        <v>559</v>
      </c>
      <c r="K2" s="40" t="s">
        <v>49</v>
      </c>
      <c r="L2" s="40">
        <v>560</v>
      </c>
    </row>
    <row r="3" spans="1:12">
      <c r="A3" s="38" t="s">
        <v>50</v>
      </c>
      <c r="B3" s="39">
        <f>44-13+4*60+15-3*60-32+57+49+35+81+41</f>
        <v>337</v>
      </c>
      <c r="E3" s="37" t="s">
        <v>50</v>
      </c>
      <c r="F3" s="37">
        <f>180+76+40+36+139+64+153+126</f>
        <v>814</v>
      </c>
      <c r="H3" s="37" t="s">
        <v>50</v>
      </c>
      <c r="I3" s="37">
        <f>142+20+19+58+32+157+90</f>
        <v>518</v>
      </c>
      <c r="K3" s="37" t="s">
        <v>50</v>
      </c>
      <c r="L3" s="37">
        <f>133+122+8</f>
        <v>263</v>
      </c>
    </row>
    <row r="4" spans="1:12">
      <c r="A4" s="38" t="s">
        <v>51</v>
      </c>
      <c r="B4" s="39">
        <f>3*60+29-2*60-32+32+41+22</f>
        <v>152</v>
      </c>
      <c r="E4" s="37" t="s">
        <v>52</v>
      </c>
      <c r="F4" s="37">
        <v>57</v>
      </c>
      <c r="H4" s="37" t="s">
        <v>52</v>
      </c>
      <c r="I4" s="37">
        <f>44+32</f>
        <v>76</v>
      </c>
      <c r="K4" s="37" t="s">
        <v>53</v>
      </c>
      <c r="L4" s="37">
        <f>32+51</f>
        <v>83</v>
      </c>
    </row>
    <row r="5" spans="1:12">
      <c r="A5" s="38" t="s">
        <v>54</v>
      </c>
      <c r="B5" s="39">
        <f>19+32</f>
        <v>51</v>
      </c>
      <c r="E5" s="37" t="s">
        <v>51</v>
      </c>
      <c r="F5" s="37">
        <f>35+56</f>
        <v>91</v>
      </c>
      <c r="H5" s="37" t="s">
        <v>51</v>
      </c>
      <c r="I5" s="37">
        <f>15+34</f>
        <v>49</v>
      </c>
      <c r="K5" s="37" t="s">
        <v>51</v>
      </c>
      <c r="L5" s="37">
        <v>19</v>
      </c>
    </row>
    <row r="6" spans="1:12">
      <c r="A6" s="38" t="s">
        <v>55</v>
      </c>
      <c r="B6" s="39">
        <f>21+51</f>
        <v>72</v>
      </c>
      <c r="E6" s="37" t="s">
        <v>53</v>
      </c>
      <c r="F6" s="37">
        <f>13+38+60</f>
        <v>111</v>
      </c>
      <c r="H6" s="37" t="s">
        <v>53</v>
      </c>
      <c r="I6" s="37">
        <f>36+11+58+50+61+29+83</f>
        <v>328</v>
      </c>
    </row>
    <row r="7" spans="1:12">
      <c r="A7" s="38" t="s">
        <v>56</v>
      </c>
      <c r="B7" s="39">
        <v>68</v>
      </c>
      <c r="E7" s="37" t="s">
        <v>55</v>
      </c>
      <c r="F7" s="37">
        <v>31</v>
      </c>
      <c r="H7" s="37" t="s">
        <v>57</v>
      </c>
      <c r="I7" s="37">
        <f>154+164+156</f>
        <v>474</v>
      </c>
    </row>
    <row r="8" spans="1:12">
      <c r="A8" s="38" t="s">
        <v>58</v>
      </c>
      <c r="B8" s="39">
        <f>9+42+144+179+35</f>
        <v>409</v>
      </c>
      <c r="E8" s="37" t="s">
        <v>59</v>
      </c>
      <c r="F8" s="37">
        <v>44</v>
      </c>
      <c r="L8" s="41"/>
    </row>
    <row r="9" spans="1:12">
      <c r="A9" s="38" t="s">
        <v>60</v>
      </c>
      <c r="B9" s="39">
        <v>65</v>
      </c>
    </row>
    <row r="10" spans="1:12">
      <c r="A10" s="42"/>
      <c r="B10" s="43">
        <f>SUM(B3:B9)</f>
        <v>1154</v>
      </c>
      <c r="F10">
        <f>SUM(F3:F9)</f>
        <v>1148</v>
      </c>
      <c r="I10">
        <f>SUM(I3:I9)</f>
        <v>1445</v>
      </c>
      <c r="L10">
        <f>SUM(L3:L9)</f>
        <v>365</v>
      </c>
    </row>
    <row r="11" spans="1:12">
      <c r="A11" s="42"/>
      <c r="B11" s="43">
        <f>3*3600-$B$14</f>
        <v>8100</v>
      </c>
      <c r="F11">
        <f>3*3600-$B$14</f>
        <v>8100</v>
      </c>
      <c r="I11">
        <f>3*3600-$B$14</f>
        <v>8100</v>
      </c>
      <c r="L11">
        <f>3*3600-$B$14</f>
        <v>8100</v>
      </c>
    </row>
    <row r="12" spans="1:12">
      <c r="A12" s="42"/>
      <c r="B12" s="44">
        <f>+B10/B11</f>
        <v>0.14246913580246914</v>
      </c>
      <c r="F12" s="41">
        <f>+F10/F11</f>
        <v>0.14172839506172841</v>
      </c>
      <c r="I12" s="45">
        <f>+I10/I11</f>
        <v>0.17839506172839506</v>
      </c>
      <c r="L12" s="41">
        <f>+L10/L11</f>
        <v>4.5061728395061729E-2</v>
      </c>
    </row>
    <row r="13" spans="1:12">
      <c r="A13" s="42"/>
      <c r="B13" s="43"/>
    </row>
    <row r="14" spans="1:12" ht="15.75" thickBot="1">
      <c r="A14" s="46" t="s">
        <v>61</v>
      </c>
      <c r="B14" s="47">
        <f>45*60</f>
        <v>2700</v>
      </c>
    </row>
    <row r="15" spans="1:12">
      <c r="K15" s="284">
        <f>AVERAGE(F12,L12)</f>
        <v>9.3395061728395068E-2</v>
      </c>
    </row>
    <row r="16" spans="1:12">
      <c r="G16">
        <f>1.524/12*240</f>
        <v>30.48</v>
      </c>
    </row>
    <row r="17" spans="1:9">
      <c r="G17">
        <f>+G16*0.75</f>
        <v>22.86</v>
      </c>
      <c r="H17">
        <f>41/3</f>
        <v>13.666666666666666</v>
      </c>
    </row>
    <row r="18" spans="1:9" ht="15.75" thickBot="1"/>
    <row r="19" spans="1:9" s="27" customFormat="1" ht="15.75" thickBot="1">
      <c r="A19" s="48" t="s">
        <v>62</v>
      </c>
      <c r="B19" s="49" t="s">
        <v>63</v>
      </c>
      <c r="C19" s="50" t="s">
        <v>64</v>
      </c>
      <c r="D19" s="50" t="s">
        <v>65</v>
      </c>
      <c r="E19" s="50" t="s">
        <v>66</v>
      </c>
      <c r="F19" s="50" t="s">
        <v>67</v>
      </c>
      <c r="G19" s="50" t="s">
        <v>68</v>
      </c>
      <c r="H19" s="50" t="s">
        <v>69</v>
      </c>
      <c r="I19" s="51" t="s">
        <v>70</v>
      </c>
    </row>
    <row r="20" spans="1:9">
      <c r="A20" s="52">
        <v>557</v>
      </c>
      <c r="B20" s="53" t="s">
        <v>71</v>
      </c>
      <c r="C20" s="53">
        <v>107</v>
      </c>
      <c r="D20" s="53">
        <v>278</v>
      </c>
      <c r="E20" s="53" t="s">
        <v>72</v>
      </c>
      <c r="F20" s="53" t="s">
        <v>72</v>
      </c>
      <c r="G20" s="53" t="s">
        <v>73</v>
      </c>
      <c r="H20" s="53">
        <f>76536.9-76530.4</f>
        <v>6.5</v>
      </c>
      <c r="I20" s="54"/>
    </row>
    <row r="21" spans="1:9">
      <c r="A21" s="55">
        <v>558</v>
      </c>
      <c r="B21" s="21" t="s">
        <v>74</v>
      </c>
      <c r="C21" s="21">
        <v>96</v>
      </c>
      <c r="D21" s="21">
        <v>181</v>
      </c>
      <c r="E21" s="21" t="s">
        <v>75</v>
      </c>
      <c r="F21" s="21" t="s">
        <v>76</v>
      </c>
      <c r="G21" s="21" t="s">
        <v>77</v>
      </c>
      <c r="H21" s="21">
        <f>22836.4-22801</f>
        <v>35.400000000001455</v>
      </c>
      <c r="I21" s="56"/>
    </row>
    <row r="22" spans="1:9">
      <c r="A22" s="55">
        <v>559</v>
      </c>
      <c r="B22" s="21" t="s">
        <v>78</v>
      </c>
      <c r="C22" s="21">
        <v>91</v>
      </c>
      <c r="D22" s="21">
        <v>178</v>
      </c>
      <c r="E22" s="21" t="s">
        <v>75</v>
      </c>
      <c r="F22" s="21" t="s">
        <v>76</v>
      </c>
      <c r="G22" s="21" t="s">
        <v>79</v>
      </c>
      <c r="H22" s="21">
        <f>80305.9-80264.9</f>
        <v>41</v>
      </c>
      <c r="I22" s="56"/>
    </row>
    <row r="23" spans="1:9" ht="30.75" thickBot="1">
      <c r="A23" s="57">
        <v>560</v>
      </c>
      <c r="B23" s="58" t="s">
        <v>74</v>
      </c>
      <c r="C23" s="58">
        <v>96</v>
      </c>
      <c r="D23" s="58">
        <v>181</v>
      </c>
      <c r="E23" s="58" t="s">
        <v>75</v>
      </c>
      <c r="F23" s="58" t="s">
        <v>76</v>
      </c>
      <c r="G23" s="59" t="s">
        <v>80</v>
      </c>
      <c r="H23" s="58">
        <f>27787.9-27744.2</f>
        <v>43.700000000000728</v>
      </c>
      <c r="I23" s="60"/>
    </row>
    <row r="24" spans="1:9" ht="15.75" thickBot="1"/>
    <row r="25" spans="1:9" ht="15.75" thickBot="1">
      <c r="A25" s="61" t="s">
        <v>81</v>
      </c>
      <c r="B25" s="62"/>
      <c r="C25" s="63"/>
    </row>
    <row r="26" spans="1:9" ht="15.75" thickBot="1">
      <c r="A26" s="64" t="s">
        <v>62</v>
      </c>
      <c r="B26" s="65" t="s">
        <v>67</v>
      </c>
      <c r="C26" s="401" t="s">
        <v>82</v>
      </c>
      <c r="D26" s="402"/>
      <c r="E26" s="403"/>
    </row>
    <row r="27" spans="1:9">
      <c r="A27" s="66">
        <v>557</v>
      </c>
      <c r="B27" s="67" t="s">
        <v>72</v>
      </c>
      <c r="C27" s="68">
        <f>568/60</f>
        <v>9.4666666666666668</v>
      </c>
      <c r="D27" s="69">
        <f>781/60</f>
        <v>13.016666666666667</v>
      </c>
      <c r="E27" s="70"/>
    </row>
    <row r="28" spans="1:9">
      <c r="A28" s="55">
        <v>558</v>
      </c>
      <c r="B28" s="71" t="s">
        <v>76</v>
      </c>
      <c r="C28" s="72">
        <f>1821/60</f>
        <v>30.35</v>
      </c>
      <c r="D28" s="21">
        <f>1896/60</f>
        <v>31.6</v>
      </c>
      <c r="E28" s="73"/>
    </row>
    <row r="29" spans="1:9">
      <c r="A29" s="55">
        <v>559</v>
      </c>
      <c r="B29" s="71" t="s">
        <v>76</v>
      </c>
      <c r="C29" s="72">
        <f>1885/60</f>
        <v>31.416666666666668</v>
      </c>
      <c r="D29" s="74">
        <f>1317/60</f>
        <v>21.95</v>
      </c>
      <c r="E29" s="75">
        <f>3256/60</f>
        <v>54.266666666666666</v>
      </c>
    </row>
    <row r="30" spans="1:9" ht="15.75" thickBot="1">
      <c r="A30" s="57">
        <v>560</v>
      </c>
      <c r="B30" s="76" t="s">
        <v>76</v>
      </c>
      <c r="C30" s="77">
        <f>2858/60</f>
        <v>47.633333333333333</v>
      </c>
      <c r="D30" s="58">
        <f>3144/60</f>
        <v>52.4</v>
      </c>
      <c r="E30" s="78"/>
    </row>
    <row r="31" spans="1:9">
      <c r="C31" s="6"/>
      <c r="D31" s="6"/>
    </row>
    <row r="32" spans="1:9">
      <c r="C32" s="6"/>
      <c r="D32" s="6"/>
    </row>
  </sheetData>
  <mergeCells count="1">
    <mergeCell ref="C26:E2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D18" sqref="D18"/>
    </sheetView>
  </sheetViews>
  <sheetFormatPr defaultRowHeight="15"/>
  <cols>
    <col min="1" max="1" width="39.140625" bestFit="1" customWidth="1"/>
    <col min="2" max="2" width="17.85546875" bestFit="1" customWidth="1"/>
    <col min="3" max="3" width="10.7109375" bestFit="1" customWidth="1"/>
    <col min="4" max="4" width="9.7109375" bestFit="1" customWidth="1"/>
    <col min="5" max="5" width="16.140625" bestFit="1" customWidth="1"/>
    <col min="6" max="6" width="7.140625" bestFit="1" customWidth="1"/>
  </cols>
  <sheetData>
    <row r="1" spans="1:8">
      <c r="A1" s="79" t="s">
        <v>83</v>
      </c>
      <c r="B1" s="79" t="s">
        <v>84</v>
      </c>
      <c r="C1" s="80" t="s">
        <v>85</v>
      </c>
    </row>
    <row r="2" spans="1:8" ht="30">
      <c r="A2" s="81" t="s">
        <v>86</v>
      </c>
      <c r="B2" s="80">
        <v>6</v>
      </c>
      <c r="C2" s="80">
        <v>572</v>
      </c>
    </row>
    <row r="3" spans="1:8">
      <c r="A3" s="80" t="s">
        <v>87</v>
      </c>
      <c r="B3" s="80">
        <v>366</v>
      </c>
      <c r="C3" s="80">
        <v>572</v>
      </c>
    </row>
    <row r="4" spans="1:8">
      <c r="A4" s="80" t="s">
        <v>88</v>
      </c>
      <c r="B4" s="80">
        <v>94</v>
      </c>
      <c r="C4" s="80">
        <v>572</v>
      </c>
    </row>
    <row r="5" spans="1:8">
      <c r="A5" s="82" t="s">
        <v>89</v>
      </c>
      <c r="B5" s="80">
        <v>178</v>
      </c>
      <c r="C5" s="80">
        <v>572</v>
      </c>
    </row>
    <row r="6" spans="1:8">
      <c r="A6" s="82" t="s">
        <v>89</v>
      </c>
      <c r="B6" s="80">
        <v>136</v>
      </c>
      <c r="C6" s="80">
        <v>572</v>
      </c>
    </row>
    <row r="7" spans="1:8">
      <c r="A7" s="82" t="s">
        <v>90</v>
      </c>
      <c r="B7" s="80">
        <v>263</v>
      </c>
      <c r="C7" s="80"/>
    </row>
    <row r="8" spans="1:8">
      <c r="A8" s="82" t="s">
        <v>91</v>
      </c>
      <c r="B8" s="80">
        <v>182</v>
      </c>
      <c r="C8" s="80"/>
    </row>
    <row r="9" spans="1:8">
      <c r="B9">
        <f>4*60*60</f>
        <v>14400</v>
      </c>
    </row>
    <row r="10" spans="1:8">
      <c r="B10">
        <f>+B9-1832</f>
        <v>12568</v>
      </c>
    </row>
    <row r="11" spans="1:8">
      <c r="B11" s="41">
        <f>+SUM(B2:B8)/B10</f>
        <v>9.7469764481222146E-2</v>
      </c>
    </row>
    <row r="13" spans="1:8" ht="15.75" thickBot="1"/>
    <row r="14" spans="1:8" ht="15.75" thickBot="1">
      <c r="D14" s="83" t="s">
        <v>92</v>
      </c>
      <c r="E14" s="83" t="s">
        <v>31</v>
      </c>
      <c r="F14" s="83" t="s">
        <v>93</v>
      </c>
      <c r="G14" s="83" t="s">
        <v>94</v>
      </c>
      <c r="H14" s="84" t="s">
        <v>95</v>
      </c>
    </row>
    <row r="15" spans="1:8" ht="15.75" thickBot="1">
      <c r="D15" s="85">
        <f>+C17-B17</f>
        <v>48</v>
      </c>
      <c r="E15" s="85" t="s">
        <v>96</v>
      </c>
      <c r="F15" s="86" t="s">
        <v>97</v>
      </c>
      <c r="G15" s="86">
        <v>1200</v>
      </c>
      <c r="H15" s="87">
        <v>1550</v>
      </c>
    </row>
    <row r="17" spans="1:5" ht="15.75" thickBot="1">
      <c r="A17" s="88">
        <f>+A16+1</f>
        <v>1</v>
      </c>
      <c r="B17" s="58">
        <v>62997.8</v>
      </c>
      <c r="C17" s="58">
        <v>63045.8</v>
      </c>
    </row>
    <row r="21" spans="1:5" ht="15.75" thickBot="1"/>
    <row r="22" spans="1:5" ht="15.75" thickBot="1">
      <c r="A22" s="83" t="s">
        <v>92</v>
      </c>
      <c r="B22" s="83" t="s">
        <v>31</v>
      </c>
      <c r="C22" s="83" t="s">
        <v>93</v>
      </c>
      <c r="D22" s="83" t="s">
        <v>94</v>
      </c>
      <c r="E22" s="84" t="s">
        <v>95</v>
      </c>
    </row>
    <row r="23" spans="1:5">
      <c r="A23" s="89">
        <v>49.599999999998502</v>
      </c>
      <c r="B23" s="89" t="s">
        <v>98</v>
      </c>
      <c r="C23" s="89" t="s">
        <v>99</v>
      </c>
      <c r="D23" s="89">
        <v>1200</v>
      </c>
      <c r="E23" s="90">
        <v>1550</v>
      </c>
    </row>
    <row r="24" spans="1:5">
      <c r="A24" s="91">
        <v>37.139999999999397</v>
      </c>
      <c r="B24" s="91" t="s">
        <v>100</v>
      </c>
      <c r="C24" s="89" t="s">
        <v>99</v>
      </c>
      <c r="D24" s="89">
        <v>1200</v>
      </c>
      <c r="E24" s="90">
        <v>1550</v>
      </c>
    </row>
    <row r="25" spans="1:5" ht="15.75" thickBot="1"/>
    <row r="26" spans="1:5">
      <c r="A26" s="92" t="s">
        <v>83</v>
      </c>
      <c r="B26" s="93" t="s">
        <v>84</v>
      </c>
      <c r="C26" s="94" t="s">
        <v>85</v>
      </c>
    </row>
    <row r="27" spans="1:5">
      <c r="A27" s="95" t="s">
        <v>87</v>
      </c>
      <c r="B27" s="37">
        <v>96</v>
      </c>
      <c r="C27" s="73">
        <v>569</v>
      </c>
    </row>
    <row r="28" spans="1:5">
      <c r="A28" s="95" t="s">
        <v>101</v>
      </c>
      <c r="B28" s="37">
        <v>480</v>
      </c>
      <c r="C28" s="73">
        <v>569</v>
      </c>
    </row>
    <row r="29" spans="1:5">
      <c r="A29" s="95" t="s">
        <v>87</v>
      </c>
      <c r="B29" s="37">
        <v>152</v>
      </c>
      <c r="C29" s="73">
        <v>569</v>
      </c>
    </row>
    <row r="30" spans="1:5">
      <c r="A30" s="95" t="s">
        <v>87</v>
      </c>
      <c r="B30" s="37">
        <v>60</v>
      </c>
      <c r="C30" s="73">
        <v>569</v>
      </c>
    </row>
    <row r="31" spans="1:5">
      <c r="A31" s="95" t="s">
        <v>87</v>
      </c>
      <c r="B31" s="37">
        <v>118</v>
      </c>
      <c r="C31" s="73">
        <v>569</v>
      </c>
    </row>
    <row r="32" spans="1:5">
      <c r="A32" s="95" t="s">
        <v>87</v>
      </c>
      <c r="B32" s="37">
        <v>210</v>
      </c>
      <c r="C32" s="73">
        <v>569</v>
      </c>
    </row>
    <row r="33" spans="1:3">
      <c r="A33" s="95" t="s">
        <v>88</v>
      </c>
      <c r="B33" s="37">
        <v>188</v>
      </c>
      <c r="C33" s="73">
        <v>569</v>
      </c>
    </row>
    <row r="34" spans="1:3">
      <c r="A34" s="96" t="s">
        <v>101</v>
      </c>
      <c r="B34" s="37">
        <v>628</v>
      </c>
      <c r="C34" s="73">
        <v>569</v>
      </c>
    </row>
    <row r="35" spans="1:3" ht="15.75" thickBot="1">
      <c r="A35" s="97" t="s">
        <v>102</v>
      </c>
      <c r="B35" s="98">
        <v>600</v>
      </c>
      <c r="C35" s="78">
        <v>569</v>
      </c>
    </row>
    <row r="37" spans="1:3">
      <c r="B37">
        <f>4*60*60-1832</f>
        <v>12568</v>
      </c>
    </row>
    <row r="38" spans="1:3">
      <c r="B38">
        <f>SUM(B27:B35)</f>
        <v>2532</v>
      </c>
    </row>
    <row r="39" spans="1:3">
      <c r="B39" s="41">
        <f>+B38/B37</f>
        <v>0.20146403564608528</v>
      </c>
    </row>
    <row r="43" spans="1:3" ht="15.75" thickBot="1"/>
    <row r="44" spans="1:3">
      <c r="A44" s="92" t="s">
        <v>83</v>
      </c>
      <c r="B44" s="93" t="s">
        <v>84</v>
      </c>
      <c r="C44" s="94" t="s">
        <v>85</v>
      </c>
    </row>
    <row r="45" spans="1:3">
      <c r="A45" s="95" t="s">
        <v>87</v>
      </c>
      <c r="B45" s="37">
        <v>46</v>
      </c>
      <c r="C45" s="73">
        <v>571</v>
      </c>
    </row>
    <row r="46" spans="1:3">
      <c r="A46" s="95" t="s">
        <v>87</v>
      </c>
      <c r="B46" s="37">
        <v>470</v>
      </c>
      <c r="C46" s="73">
        <v>571</v>
      </c>
    </row>
    <row r="47" spans="1:3">
      <c r="A47" s="95" t="s">
        <v>103</v>
      </c>
      <c r="B47" s="37">
        <v>8</v>
      </c>
      <c r="C47" s="73">
        <v>571</v>
      </c>
    </row>
    <row r="48" spans="1:3">
      <c r="A48" s="95" t="s">
        <v>104</v>
      </c>
      <c r="B48" s="37">
        <v>50</v>
      </c>
      <c r="C48" s="73">
        <v>571</v>
      </c>
    </row>
    <row r="49" spans="1:3">
      <c r="A49" s="95" t="s">
        <v>87</v>
      </c>
      <c r="B49" s="37">
        <v>142</v>
      </c>
      <c r="C49" s="73">
        <v>571</v>
      </c>
    </row>
    <row r="50" spans="1:3">
      <c r="A50" s="95" t="s">
        <v>87</v>
      </c>
      <c r="B50" s="37">
        <v>270</v>
      </c>
      <c r="C50" s="73">
        <v>571</v>
      </c>
    </row>
    <row r="51" spans="1:3">
      <c r="A51" s="95" t="s">
        <v>105</v>
      </c>
      <c r="B51" s="37">
        <v>480</v>
      </c>
      <c r="C51" s="73">
        <v>571</v>
      </c>
    </row>
    <row r="52" spans="1:3">
      <c r="A52" s="95" t="s">
        <v>87</v>
      </c>
      <c r="B52" s="37">
        <v>146</v>
      </c>
      <c r="C52" s="73">
        <v>571</v>
      </c>
    </row>
    <row r="53" spans="1:3" ht="15.75" thickBot="1">
      <c r="A53" s="97" t="s">
        <v>102</v>
      </c>
      <c r="B53" s="98">
        <v>600</v>
      </c>
      <c r="C53" s="78">
        <v>569</v>
      </c>
    </row>
    <row r="55" spans="1:3">
      <c r="B55">
        <f>4*60*60-1832</f>
        <v>12568</v>
      </c>
    </row>
    <row r="56" spans="1:3">
      <c r="B56">
        <f>SUM(B45:B53)</f>
        <v>2212</v>
      </c>
    </row>
    <row r="57" spans="1:3">
      <c r="B57" s="41">
        <f>+B56/B55</f>
        <v>0.17600254614894972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8"/>
  <sheetViews>
    <sheetView topLeftCell="A94" workbookViewId="0">
      <selection activeCell="F105" sqref="F105"/>
    </sheetView>
  </sheetViews>
  <sheetFormatPr defaultRowHeight="15"/>
  <cols>
    <col min="1" max="1" width="16.7109375" bestFit="1" customWidth="1"/>
    <col min="2" max="2" width="26.5703125" bestFit="1" customWidth="1"/>
    <col min="3" max="3" width="9.5703125" bestFit="1" customWidth="1"/>
    <col min="4" max="4" width="10.85546875" bestFit="1" customWidth="1"/>
    <col min="5" max="5" width="18.28515625" bestFit="1" customWidth="1"/>
    <col min="6" max="6" width="10.7109375" bestFit="1" customWidth="1"/>
    <col min="7" max="7" width="13.7109375" bestFit="1" customWidth="1"/>
    <col min="8" max="8" width="18.140625" bestFit="1" customWidth="1"/>
    <col min="10" max="10" width="24.140625" bestFit="1" customWidth="1"/>
    <col min="11" max="11" width="13.28515625" bestFit="1" customWidth="1"/>
    <col min="12" max="12" width="9.5703125" bestFit="1" customWidth="1"/>
  </cols>
  <sheetData>
    <row r="1" spans="1:12" ht="15.75" thickBot="1">
      <c r="A1" s="92" t="s">
        <v>83</v>
      </c>
      <c r="B1" s="93" t="s">
        <v>84</v>
      </c>
      <c r="C1" s="94" t="s">
        <v>85</v>
      </c>
      <c r="D1" s="99"/>
      <c r="E1" s="99"/>
      <c r="F1" s="99"/>
      <c r="G1" s="99"/>
      <c r="H1" s="100"/>
      <c r="J1" s="101" t="s">
        <v>106</v>
      </c>
      <c r="K1" s="102" t="s">
        <v>84</v>
      </c>
      <c r="L1" s="103" t="s">
        <v>85</v>
      </c>
    </row>
    <row r="2" spans="1:12">
      <c r="A2" s="95" t="s">
        <v>105</v>
      </c>
      <c r="B2" s="37">
        <v>304</v>
      </c>
      <c r="C2" s="73">
        <v>570</v>
      </c>
      <c r="D2" s="104"/>
      <c r="E2" s="104"/>
      <c r="F2" s="104"/>
      <c r="G2" s="104"/>
      <c r="H2" s="105"/>
      <c r="J2" s="106" t="s">
        <v>107</v>
      </c>
      <c r="K2" s="106">
        <v>560</v>
      </c>
      <c r="L2" s="106">
        <v>587</v>
      </c>
    </row>
    <row r="3" spans="1:12">
      <c r="A3" s="95" t="s">
        <v>89</v>
      </c>
      <c r="B3" s="37">
        <v>162</v>
      </c>
      <c r="C3" s="73">
        <v>570</v>
      </c>
      <c r="D3" s="104"/>
      <c r="E3" s="104"/>
      <c r="F3" s="104"/>
      <c r="G3" s="104"/>
      <c r="H3" s="105"/>
      <c r="J3" s="37" t="s">
        <v>87</v>
      </c>
      <c r="K3" s="37">
        <v>200</v>
      </c>
      <c r="L3" s="37">
        <v>588</v>
      </c>
    </row>
    <row r="4" spans="1:12">
      <c r="A4" s="95" t="s">
        <v>89</v>
      </c>
      <c r="B4" s="37">
        <v>298</v>
      </c>
      <c r="C4" s="73">
        <v>570</v>
      </c>
      <c r="D4" s="104"/>
      <c r="E4" s="104"/>
      <c r="F4" s="104"/>
      <c r="G4" s="104"/>
      <c r="H4" s="105"/>
      <c r="J4" s="37" t="s">
        <v>105</v>
      </c>
      <c r="K4" s="37">
        <v>68</v>
      </c>
      <c r="L4" s="37">
        <v>588</v>
      </c>
    </row>
    <row r="5" spans="1:12" ht="15.75" thickBot="1">
      <c r="A5" s="97" t="s">
        <v>102</v>
      </c>
      <c r="B5" s="98">
        <v>600</v>
      </c>
      <c r="C5" s="107"/>
      <c r="D5" s="104"/>
      <c r="E5" s="104"/>
      <c r="F5" s="104"/>
      <c r="G5" s="104"/>
      <c r="H5" s="105"/>
      <c r="J5" s="37" t="s">
        <v>105</v>
      </c>
      <c r="K5" s="37">
        <v>64</v>
      </c>
      <c r="L5" s="37">
        <v>586</v>
      </c>
    </row>
    <row r="6" spans="1:12">
      <c r="A6" s="108"/>
      <c r="B6" s="104">
        <f>SUM(B2:B5)</f>
        <v>1364</v>
      </c>
      <c r="C6" s="104"/>
      <c r="D6" s="104"/>
      <c r="E6" s="104"/>
      <c r="F6" s="104"/>
      <c r="G6" s="104"/>
      <c r="H6" s="105"/>
      <c r="J6" s="37" t="s">
        <v>108</v>
      </c>
      <c r="K6" s="37">
        <v>22</v>
      </c>
      <c r="L6" s="37">
        <v>585</v>
      </c>
    </row>
    <row r="7" spans="1:12">
      <c r="A7" s="108"/>
      <c r="B7" s="104"/>
      <c r="C7" s="104"/>
      <c r="D7" s="104"/>
      <c r="E7" s="104"/>
      <c r="F7" s="104"/>
      <c r="G7" s="104"/>
      <c r="H7" s="105"/>
      <c r="J7" s="37" t="s">
        <v>105</v>
      </c>
      <c r="K7" s="37">
        <v>102</v>
      </c>
      <c r="L7" s="37">
        <v>585</v>
      </c>
    </row>
    <row r="8" spans="1:12">
      <c r="A8" s="108"/>
      <c r="B8" s="104">
        <f>4*60*60-1832</f>
        <v>12568</v>
      </c>
      <c r="C8" s="104"/>
      <c r="D8" s="104"/>
      <c r="E8" s="104"/>
      <c r="F8" s="104"/>
      <c r="G8" s="104"/>
      <c r="H8" s="105"/>
      <c r="J8" s="37" t="s">
        <v>109</v>
      </c>
      <c r="K8" s="37">
        <v>478</v>
      </c>
      <c r="L8" s="37" t="s">
        <v>110</v>
      </c>
    </row>
    <row r="9" spans="1:12">
      <c r="A9" s="108"/>
      <c r="B9" s="109">
        <f>+B6/B8</f>
        <v>0.10852959898154042</v>
      </c>
      <c r="C9" s="104"/>
      <c r="D9" s="104"/>
      <c r="E9" s="104"/>
      <c r="F9" s="104"/>
      <c r="G9" s="104"/>
      <c r="H9" s="105"/>
      <c r="J9" s="37" t="s">
        <v>89</v>
      </c>
      <c r="K9" s="37">
        <v>190</v>
      </c>
      <c r="L9" s="37">
        <v>585</v>
      </c>
    </row>
    <row r="10" spans="1:12">
      <c r="A10" s="108"/>
      <c r="B10" s="104"/>
      <c r="C10" s="104"/>
      <c r="D10" s="104"/>
      <c r="E10" s="104"/>
      <c r="F10" s="104"/>
      <c r="G10" s="104"/>
      <c r="H10" s="105"/>
      <c r="J10" s="37" t="s">
        <v>108</v>
      </c>
      <c r="K10" s="37">
        <v>32</v>
      </c>
      <c r="L10" s="37">
        <v>587</v>
      </c>
    </row>
    <row r="11" spans="1:12" ht="15.75" thickBot="1">
      <c r="A11" s="108"/>
      <c r="B11" s="104"/>
      <c r="C11" s="104"/>
      <c r="D11" s="104"/>
      <c r="E11" s="104"/>
      <c r="F11" s="104"/>
      <c r="G11" s="104"/>
      <c r="H11" s="105"/>
      <c r="J11" s="37" t="s">
        <v>105</v>
      </c>
      <c r="K11" s="37">
        <v>264</v>
      </c>
      <c r="L11" s="37">
        <v>587</v>
      </c>
    </row>
    <row r="12" spans="1:12" ht="15.75" thickBot="1">
      <c r="A12" s="110" t="s">
        <v>111</v>
      </c>
      <c r="B12" s="83" t="s">
        <v>112</v>
      </c>
      <c r="C12" s="83" t="s">
        <v>113</v>
      </c>
      <c r="D12" s="83" t="s">
        <v>92</v>
      </c>
      <c r="E12" s="83" t="s">
        <v>31</v>
      </c>
      <c r="F12" s="83" t="s">
        <v>93</v>
      </c>
      <c r="G12" s="83" t="s">
        <v>94</v>
      </c>
      <c r="H12" s="84" t="s">
        <v>95</v>
      </c>
      <c r="J12" s="37" t="s">
        <v>107</v>
      </c>
      <c r="K12" s="37">
        <v>244</v>
      </c>
      <c r="L12" s="37">
        <v>587</v>
      </c>
    </row>
    <row r="13" spans="1:12" ht="15.75" thickBot="1">
      <c r="A13" s="111">
        <v>570</v>
      </c>
      <c r="B13" s="112">
        <v>65121.1</v>
      </c>
      <c r="C13" s="112">
        <v>65174.7</v>
      </c>
      <c r="D13" s="113">
        <v>53.599999999998502</v>
      </c>
      <c r="E13" s="113" t="s">
        <v>114</v>
      </c>
      <c r="F13" s="114" t="s">
        <v>37</v>
      </c>
      <c r="G13" s="115">
        <v>840</v>
      </c>
      <c r="H13" s="116">
        <v>1000</v>
      </c>
      <c r="J13" s="37" t="s">
        <v>105</v>
      </c>
      <c r="K13" s="37">
        <v>84</v>
      </c>
      <c r="L13" s="37">
        <v>588</v>
      </c>
    </row>
    <row r="14" spans="1:12">
      <c r="J14" s="37" t="s">
        <v>103</v>
      </c>
      <c r="K14" s="37">
        <v>22</v>
      </c>
      <c r="L14" s="37">
        <v>586</v>
      </c>
    </row>
    <row r="15" spans="1:12">
      <c r="J15" s="37" t="s">
        <v>108</v>
      </c>
      <c r="K15" s="37">
        <v>68</v>
      </c>
      <c r="L15" s="37">
        <v>585</v>
      </c>
    </row>
    <row r="16" spans="1:12">
      <c r="J16" s="37" t="s">
        <v>115</v>
      </c>
      <c r="K16" s="37">
        <v>64</v>
      </c>
      <c r="L16" s="37">
        <v>586</v>
      </c>
    </row>
    <row r="17" spans="1:12" ht="15.75" thickBot="1">
      <c r="J17" s="37" t="s">
        <v>105</v>
      </c>
      <c r="K17" s="37">
        <v>124</v>
      </c>
      <c r="L17" s="37">
        <v>586</v>
      </c>
    </row>
    <row r="18" spans="1:12" ht="15.75" thickBot="1">
      <c r="A18" s="110" t="s">
        <v>111</v>
      </c>
      <c r="B18" s="83" t="s">
        <v>112</v>
      </c>
      <c r="C18" s="83" t="s">
        <v>113</v>
      </c>
      <c r="D18" s="83" t="s">
        <v>92</v>
      </c>
      <c r="E18" s="83" t="s">
        <v>31</v>
      </c>
      <c r="F18" s="83" t="s">
        <v>93</v>
      </c>
      <c r="G18" s="83" t="s">
        <v>94</v>
      </c>
      <c r="H18" s="84" t="s">
        <v>95</v>
      </c>
      <c r="J18" s="37" t="s">
        <v>107</v>
      </c>
      <c r="K18" s="37">
        <v>356</v>
      </c>
      <c r="L18" s="37">
        <v>587</v>
      </c>
    </row>
    <row r="19" spans="1:12" ht="15.75" thickBot="1">
      <c r="A19" s="117">
        <v>585</v>
      </c>
      <c r="B19" s="91">
        <v>45612.4</v>
      </c>
      <c r="C19" s="91">
        <v>45673.599999999999</v>
      </c>
      <c r="D19" s="89">
        <f>+C19-B19</f>
        <v>61.19999999999709</v>
      </c>
      <c r="E19" s="89" t="s">
        <v>116</v>
      </c>
      <c r="F19" s="114" t="s">
        <v>37</v>
      </c>
      <c r="G19" s="89">
        <v>840</v>
      </c>
      <c r="H19" s="90">
        <v>1000</v>
      </c>
      <c r="J19" s="37" t="s">
        <v>105</v>
      </c>
      <c r="K19" s="37">
        <v>112</v>
      </c>
      <c r="L19" s="37">
        <v>585</v>
      </c>
    </row>
    <row r="20" spans="1:12" ht="15.75" thickBot="1">
      <c r="A20" s="101" t="s">
        <v>106</v>
      </c>
      <c r="B20" s="102" t="s">
        <v>84</v>
      </c>
      <c r="C20" s="103" t="s">
        <v>85</v>
      </c>
      <c r="D20" s="104" t="s">
        <v>123</v>
      </c>
      <c r="E20" s="174">
        <f>(0.0254/21)*(1000*D19)</f>
        <v>74.02285714285361</v>
      </c>
      <c r="F20" s="104"/>
      <c r="G20" s="104"/>
      <c r="H20" s="105"/>
      <c r="J20" s="37" t="s">
        <v>117</v>
      </c>
      <c r="K20" s="37">
        <v>190</v>
      </c>
      <c r="L20" s="37">
        <v>586</v>
      </c>
    </row>
    <row r="21" spans="1:12">
      <c r="A21" s="95" t="s">
        <v>108</v>
      </c>
      <c r="B21" s="37">
        <v>22</v>
      </c>
      <c r="C21" s="37">
        <v>585</v>
      </c>
      <c r="D21" s="104" t="s">
        <v>182</v>
      </c>
      <c r="E21" s="174">
        <f>+(0.0254/21)*(260*4*60)</f>
        <v>75.474285714285713</v>
      </c>
      <c r="F21" s="104"/>
      <c r="G21" s="104"/>
      <c r="H21" s="105"/>
      <c r="J21" s="37" t="s">
        <v>89</v>
      </c>
      <c r="K21" s="37">
        <v>130</v>
      </c>
      <c r="L21" s="37">
        <v>586</v>
      </c>
    </row>
    <row r="22" spans="1:12" ht="15.75" thickBot="1">
      <c r="A22" s="95" t="s">
        <v>105</v>
      </c>
      <c r="B22" s="37">
        <v>102</v>
      </c>
      <c r="C22" s="37">
        <v>585</v>
      </c>
      <c r="D22" s="104"/>
      <c r="E22" s="104"/>
      <c r="F22" s="104"/>
      <c r="G22" s="104"/>
      <c r="H22" s="105"/>
      <c r="J22" s="37" t="s">
        <v>108</v>
      </c>
      <c r="K22" s="37">
        <v>48</v>
      </c>
      <c r="L22" s="37">
        <v>588</v>
      </c>
    </row>
    <row r="23" spans="1:12">
      <c r="A23" s="95" t="s">
        <v>109</v>
      </c>
      <c r="B23" s="37">
        <v>478</v>
      </c>
      <c r="C23" s="37" t="s">
        <v>110</v>
      </c>
      <c r="D23" s="118" t="s">
        <v>118</v>
      </c>
      <c r="E23" s="100">
        <f>4*60*60-1832</f>
        <v>12568</v>
      </c>
      <c r="F23" s="104"/>
      <c r="G23" s="104"/>
      <c r="H23" s="105"/>
      <c r="J23" s="37" t="s">
        <v>107</v>
      </c>
      <c r="K23" s="37">
        <v>506</v>
      </c>
      <c r="L23" s="37">
        <v>587</v>
      </c>
    </row>
    <row r="24" spans="1:12">
      <c r="A24" s="95" t="s">
        <v>89</v>
      </c>
      <c r="B24" s="37">
        <v>190</v>
      </c>
      <c r="C24" s="37">
        <v>585</v>
      </c>
      <c r="D24" s="108" t="s">
        <v>119</v>
      </c>
      <c r="E24" s="105">
        <f>SUM(B21:B29)</f>
        <v>1094</v>
      </c>
      <c r="F24" s="104"/>
      <c r="G24" s="104"/>
      <c r="H24" s="105"/>
      <c r="J24" s="37" t="s">
        <v>108</v>
      </c>
      <c r="K24" s="37">
        <v>38</v>
      </c>
      <c r="L24" s="37">
        <v>585</v>
      </c>
    </row>
    <row r="25" spans="1:12" ht="15.75" thickBot="1">
      <c r="A25" s="95" t="s">
        <v>108</v>
      </c>
      <c r="B25" s="37">
        <v>68</v>
      </c>
      <c r="C25" s="37">
        <v>585</v>
      </c>
      <c r="D25" s="119" t="s">
        <v>120</v>
      </c>
      <c r="E25" s="120">
        <f>+E24/E23</f>
        <v>8.7046467218332271E-2</v>
      </c>
      <c r="F25" s="104"/>
      <c r="G25" s="104"/>
      <c r="H25" s="105"/>
      <c r="J25" s="37" t="s">
        <v>108</v>
      </c>
      <c r="K25" s="37">
        <v>74</v>
      </c>
      <c r="L25" s="37">
        <v>586</v>
      </c>
    </row>
    <row r="26" spans="1:12">
      <c r="A26" s="95" t="s">
        <v>105</v>
      </c>
      <c r="B26" s="37">
        <v>112</v>
      </c>
      <c r="C26" s="37">
        <v>585</v>
      </c>
      <c r="D26" s="104"/>
      <c r="E26" s="104"/>
      <c r="F26" s="104"/>
      <c r="G26" s="104"/>
      <c r="H26" s="105"/>
      <c r="J26" s="37" t="s">
        <v>108</v>
      </c>
      <c r="K26" s="37">
        <v>104</v>
      </c>
      <c r="L26" s="37">
        <v>587</v>
      </c>
    </row>
    <row r="27" spans="1:12">
      <c r="A27" s="95" t="s">
        <v>108</v>
      </c>
      <c r="B27" s="37">
        <v>38</v>
      </c>
      <c r="C27" s="37">
        <v>585</v>
      </c>
      <c r="D27" s="104"/>
      <c r="E27" s="104"/>
      <c r="F27" s="104"/>
      <c r="G27" s="104"/>
      <c r="H27" s="105"/>
      <c r="J27" s="37" t="s">
        <v>121</v>
      </c>
      <c r="K27" s="37">
        <v>84</v>
      </c>
      <c r="L27" s="37" t="s">
        <v>110</v>
      </c>
    </row>
    <row r="28" spans="1:12">
      <c r="A28" s="95" t="s">
        <v>121</v>
      </c>
      <c r="B28" s="37">
        <v>84</v>
      </c>
      <c r="C28" s="37" t="s">
        <v>110</v>
      </c>
      <c r="D28" s="104"/>
      <c r="E28" s="104"/>
      <c r="F28" s="104"/>
      <c r="G28" s="104"/>
      <c r="H28" s="105"/>
      <c r="J28" s="37" t="s">
        <v>122</v>
      </c>
      <c r="K28" s="37">
        <v>502</v>
      </c>
      <c r="L28" s="37" t="s">
        <v>110</v>
      </c>
    </row>
    <row r="29" spans="1:12">
      <c r="A29" s="95"/>
      <c r="B29" s="37"/>
      <c r="C29" s="37"/>
      <c r="D29" s="104"/>
      <c r="E29" s="104"/>
      <c r="F29" s="104"/>
      <c r="G29" s="104"/>
      <c r="H29" s="105"/>
      <c r="J29" s="37" t="s">
        <v>61</v>
      </c>
      <c r="K29" s="37">
        <v>1680</v>
      </c>
      <c r="L29" s="37" t="s">
        <v>110</v>
      </c>
    </row>
    <row r="30" spans="1:12" ht="15.75" thickBot="1">
      <c r="A30" s="121" t="s">
        <v>61</v>
      </c>
      <c r="B30" s="122">
        <v>1832</v>
      </c>
      <c r="C30" s="122" t="s">
        <v>110</v>
      </c>
      <c r="D30" s="123"/>
      <c r="E30" s="123"/>
      <c r="F30" s="123"/>
      <c r="G30" s="123"/>
      <c r="H30" s="107"/>
      <c r="K30">
        <f>SUM(K2:K29)-K29</f>
        <v>4730</v>
      </c>
    </row>
    <row r="31" spans="1:12" ht="15.75" thickBot="1">
      <c r="K31">
        <f>4*60*60</f>
        <v>14400</v>
      </c>
    </row>
    <row r="32" spans="1:12" ht="15.75" thickBot="1">
      <c r="A32" s="110" t="s">
        <v>111</v>
      </c>
      <c r="B32" s="83" t="s">
        <v>112</v>
      </c>
      <c r="C32" s="83" t="s">
        <v>113</v>
      </c>
      <c r="D32" s="83" t="s">
        <v>92</v>
      </c>
      <c r="E32" s="83" t="s">
        <v>31</v>
      </c>
      <c r="F32" s="83" t="s">
        <v>93</v>
      </c>
      <c r="G32" s="83" t="s">
        <v>94</v>
      </c>
      <c r="H32" s="84" t="s">
        <v>95</v>
      </c>
      <c r="K32">
        <f>+K30/K31</f>
        <v>0.32847222222222222</v>
      </c>
    </row>
    <row r="33" spans="1:17" ht="15.75" thickBot="1">
      <c r="A33" s="124">
        <v>586</v>
      </c>
      <c r="B33" s="21">
        <v>23505.8</v>
      </c>
      <c r="C33" s="21">
        <v>23566.400000000001</v>
      </c>
      <c r="D33" s="125">
        <v>60.600000000002183</v>
      </c>
      <c r="E33" s="125" t="s">
        <v>116</v>
      </c>
      <c r="F33" s="114" t="s">
        <v>37</v>
      </c>
      <c r="G33" s="125">
        <v>840</v>
      </c>
      <c r="H33" s="75">
        <v>1000</v>
      </c>
      <c r="K33" s="41"/>
    </row>
    <row r="34" spans="1:17" ht="15.75" thickBot="1">
      <c r="A34" s="101" t="s">
        <v>106</v>
      </c>
      <c r="B34" s="102" t="s">
        <v>84</v>
      </c>
      <c r="C34" s="103" t="s">
        <v>85</v>
      </c>
      <c r="D34" s="104"/>
      <c r="E34" s="104"/>
      <c r="F34" s="104"/>
      <c r="G34" s="104"/>
      <c r="H34" s="105"/>
    </row>
    <row r="35" spans="1:17" ht="15.75" thickBot="1">
      <c r="A35" s="95" t="s">
        <v>105</v>
      </c>
      <c r="B35" s="37">
        <v>64</v>
      </c>
      <c r="C35" s="37">
        <v>586</v>
      </c>
      <c r="D35" s="104"/>
      <c r="E35" s="104"/>
      <c r="F35" s="104"/>
      <c r="G35" s="104"/>
      <c r="H35" s="105"/>
    </row>
    <row r="36" spans="1:17" ht="15.75" thickBot="1">
      <c r="A36" s="95" t="s">
        <v>109</v>
      </c>
      <c r="B36" s="37">
        <v>478</v>
      </c>
      <c r="C36" s="37" t="s">
        <v>110</v>
      </c>
      <c r="D36" s="104"/>
      <c r="E36" s="104"/>
      <c r="F36" s="104"/>
      <c r="G36" s="104"/>
      <c r="H36" s="105"/>
      <c r="J36" s="110" t="s">
        <v>123</v>
      </c>
      <c r="K36" s="83" t="s">
        <v>112</v>
      </c>
      <c r="L36" s="83" t="s">
        <v>113</v>
      </c>
      <c r="M36" s="83" t="s">
        <v>92</v>
      </c>
      <c r="N36" s="83" t="s">
        <v>31</v>
      </c>
      <c r="O36" s="83" t="s">
        <v>93</v>
      </c>
      <c r="P36" s="83" t="s">
        <v>94</v>
      </c>
      <c r="Q36" s="84" t="s">
        <v>95</v>
      </c>
    </row>
    <row r="37" spans="1:17">
      <c r="A37" s="95" t="s">
        <v>103</v>
      </c>
      <c r="B37" s="37">
        <v>22</v>
      </c>
      <c r="C37" s="126">
        <v>586</v>
      </c>
      <c r="D37" s="118" t="s">
        <v>118</v>
      </c>
      <c r="E37" s="100">
        <f>4*60*60-1832</f>
        <v>12568</v>
      </c>
      <c r="F37" s="104"/>
      <c r="G37" s="104"/>
      <c r="H37" s="105"/>
      <c r="J37" s="117">
        <v>585</v>
      </c>
      <c r="K37" s="91">
        <v>45612.4</v>
      </c>
      <c r="L37" s="91">
        <v>45673.599999999999</v>
      </c>
      <c r="M37" s="89">
        <f>+L37-K37</f>
        <v>61.19999999999709</v>
      </c>
      <c r="N37" s="89" t="s">
        <v>116</v>
      </c>
      <c r="O37" s="114" t="s">
        <v>37</v>
      </c>
      <c r="P37" s="89">
        <v>840</v>
      </c>
      <c r="Q37" s="90">
        <v>1000</v>
      </c>
    </row>
    <row r="38" spans="1:17">
      <c r="A38" s="95" t="s">
        <v>115</v>
      </c>
      <c r="B38" s="37">
        <v>64</v>
      </c>
      <c r="C38" s="126">
        <v>586</v>
      </c>
      <c r="D38" s="108" t="s">
        <v>119</v>
      </c>
      <c r="E38" s="105">
        <f>SUM(B35:B44)</f>
        <v>1230</v>
      </c>
      <c r="F38" s="104"/>
      <c r="G38" s="104"/>
      <c r="H38" s="105"/>
      <c r="J38" s="124">
        <f>+J37+1</f>
        <v>586</v>
      </c>
      <c r="K38" s="21">
        <v>23505.8</v>
      </c>
      <c r="L38" s="21">
        <v>23566.400000000001</v>
      </c>
      <c r="M38" s="125">
        <f>+L38-K38</f>
        <v>60.600000000002183</v>
      </c>
      <c r="N38" s="125" t="s">
        <v>116</v>
      </c>
      <c r="O38" s="114" t="s">
        <v>37</v>
      </c>
      <c r="P38" s="125">
        <v>840</v>
      </c>
      <c r="Q38" s="75">
        <v>1000</v>
      </c>
    </row>
    <row r="39" spans="1:17" ht="15.75" thickBot="1">
      <c r="A39" s="95" t="s">
        <v>105</v>
      </c>
      <c r="B39" s="37">
        <v>124</v>
      </c>
      <c r="C39" s="126">
        <v>586</v>
      </c>
      <c r="D39" s="119" t="s">
        <v>120</v>
      </c>
      <c r="E39" s="120">
        <f>+E38/E37</f>
        <v>9.7867600254614898E-2</v>
      </c>
      <c r="F39" s="104"/>
      <c r="G39" s="104"/>
      <c r="H39" s="105"/>
      <c r="J39" s="124">
        <f>+J38+1</f>
        <v>587</v>
      </c>
      <c r="K39" s="21">
        <v>43751.1</v>
      </c>
      <c r="L39" s="21">
        <v>43802.9</v>
      </c>
      <c r="M39" s="125">
        <f>+L39-K39</f>
        <v>51.80000000000291</v>
      </c>
      <c r="N39" s="125" t="s">
        <v>116</v>
      </c>
      <c r="O39" s="114" t="s">
        <v>37</v>
      </c>
      <c r="P39" s="125">
        <v>840</v>
      </c>
      <c r="Q39" s="75">
        <v>1000</v>
      </c>
    </row>
    <row r="40" spans="1:17" ht="15.75" thickBot="1">
      <c r="A40" s="95" t="s">
        <v>117</v>
      </c>
      <c r="B40" s="37">
        <v>190</v>
      </c>
      <c r="C40" s="37">
        <v>586</v>
      </c>
      <c r="D40" s="104"/>
      <c r="E40" s="104"/>
      <c r="F40" s="104"/>
      <c r="G40" s="104"/>
      <c r="H40" s="105"/>
      <c r="J40" s="88">
        <f>+J39+1</f>
        <v>588</v>
      </c>
      <c r="K40" s="58">
        <v>185224</v>
      </c>
      <c r="L40" s="58">
        <v>185280</v>
      </c>
      <c r="M40" s="127">
        <f>+L40-K40</f>
        <v>56</v>
      </c>
      <c r="N40" s="127" t="s">
        <v>116</v>
      </c>
      <c r="O40" s="114" t="s">
        <v>37</v>
      </c>
      <c r="P40" s="127">
        <v>840</v>
      </c>
      <c r="Q40" s="128">
        <v>1000</v>
      </c>
    </row>
    <row r="41" spans="1:17">
      <c r="A41" s="95" t="s">
        <v>89</v>
      </c>
      <c r="B41" s="37">
        <v>130</v>
      </c>
      <c r="C41" s="37">
        <v>586</v>
      </c>
      <c r="D41" s="104"/>
      <c r="E41" s="104"/>
      <c r="F41" s="104"/>
      <c r="G41" s="104"/>
      <c r="H41" s="105"/>
    </row>
    <row r="42" spans="1:17">
      <c r="A42" s="95" t="s">
        <v>108</v>
      </c>
      <c r="B42" s="37">
        <v>74</v>
      </c>
      <c r="C42" s="37">
        <v>586</v>
      </c>
      <c r="D42" s="104"/>
      <c r="E42" s="104"/>
      <c r="F42" s="104"/>
      <c r="G42" s="104"/>
      <c r="H42" s="105"/>
    </row>
    <row r="43" spans="1:17">
      <c r="A43" s="95" t="s">
        <v>121</v>
      </c>
      <c r="B43" s="37">
        <v>84</v>
      </c>
      <c r="C43" s="37" t="s">
        <v>110</v>
      </c>
      <c r="D43" s="104"/>
      <c r="E43" s="104"/>
      <c r="F43" s="104"/>
      <c r="G43" s="104"/>
      <c r="H43" s="105"/>
    </row>
    <row r="44" spans="1:17" ht="15.75" thickBot="1">
      <c r="A44" s="121"/>
      <c r="B44" s="122"/>
      <c r="C44" s="122"/>
      <c r="D44" s="123"/>
      <c r="E44" s="123"/>
      <c r="F44" s="123"/>
      <c r="G44" s="123"/>
      <c r="H44" s="107"/>
    </row>
    <row r="45" spans="1:17" ht="15.75" thickBot="1">
      <c r="A45" s="110" t="s">
        <v>123</v>
      </c>
      <c r="B45" s="83" t="s">
        <v>112</v>
      </c>
      <c r="C45" s="83" t="s">
        <v>113</v>
      </c>
      <c r="D45" s="83" t="s">
        <v>92</v>
      </c>
      <c r="E45" s="83" t="s">
        <v>31</v>
      </c>
      <c r="F45" s="83" t="s">
        <v>93</v>
      </c>
      <c r="G45" s="83" t="s">
        <v>94</v>
      </c>
      <c r="H45" s="84" t="s">
        <v>95</v>
      </c>
    </row>
    <row r="46" spans="1:17" ht="15.75" thickBot="1">
      <c r="A46" s="124">
        <v>587</v>
      </c>
      <c r="B46" s="21">
        <v>43751.1</v>
      </c>
      <c r="C46" s="21">
        <v>43802.9</v>
      </c>
      <c r="D46" s="125">
        <v>51.80000000000291</v>
      </c>
      <c r="E46" s="125" t="s">
        <v>116</v>
      </c>
      <c r="F46" s="114" t="s">
        <v>37</v>
      </c>
      <c r="G46" s="125">
        <v>840</v>
      </c>
      <c r="H46" s="75">
        <v>1000</v>
      </c>
    </row>
    <row r="47" spans="1:17" ht="15.75" thickBot="1">
      <c r="A47" s="101" t="s">
        <v>106</v>
      </c>
      <c r="B47" s="102" t="s">
        <v>84</v>
      </c>
      <c r="C47" s="103" t="s">
        <v>85</v>
      </c>
      <c r="D47" s="104"/>
      <c r="E47" s="104"/>
      <c r="F47" s="104"/>
      <c r="G47" s="104"/>
      <c r="H47" s="105"/>
    </row>
    <row r="48" spans="1:17">
      <c r="A48" s="129" t="s">
        <v>107</v>
      </c>
      <c r="B48" s="106">
        <v>560</v>
      </c>
      <c r="C48" s="106">
        <v>587</v>
      </c>
      <c r="D48" s="104"/>
      <c r="E48" s="104"/>
      <c r="F48" s="104"/>
      <c r="G48" s="104"/>
      <c r="H48" s="105"/>
    </row>
    <row r="49" spans="1:8" ht="15.75" thickBot="1">
      <c r="A49" s="95" t="s">
        <v>108</v>
      </c>
      <c r="B49" s="37">
        <v>32</v>
      </c>
      <c r="C49" s="37">
        <v>587</v>
      </c>
      <c r="D49" s="104"/>
      <c r="E49" s="104"/>
      <c r="F49" s="104"/>
      <c r="G49" s="104"/>
      <c r="H49" s="105"/>
    </row>
    <row r="50" spans="1:8">
      <c r="A50" s="95" t="s">
        <v>105</v>
      </c>
      <c r="B50" s="37">
        <v>264</v>
      </c>
      <c r="C50" s="37">
        <v>587</v>
      </c>
      <c r="D50" s="118" t="s">
        <v>118</v>
      </c>
      <c r="E50" s="100">
        <f>4*60*60-1832</f>
        <v>12568</v>
      </c>
      <c r="F50" s="104"/>
      <c r="G50" s="104"/>
      <c r="H50" s="105"/>
    </row>
    <row r="51" spans="1:8">
      <c r="A51" s="95" t="s">
        <v>107</v>
      </c>
      <c r="B51" s="37">
        <v>244</v>
      </c>
      <c r="C51" s="37">
        <v>587</v>
      </c>
      <c r="D51" s="108" t="s">
        <v>119</v>
      </c>
      <c r="E51" s="105">
        <f>SUM(B48:B54)</f>
        <v>2066</v>
      </c>
      <c r="F51" s="104"/>
      <c r="G51" s="104"/>
      <c r="H51" s="105"/>
    </row>
    <row r="52" spans="1:8" ht="15.75" thickBot="1">
      <c r="A52" s="95" t="s">
        <v>107</v>
      </c>
      <c r="B52" s="37">
        <v>356</v>
      </c>
      <c r="C52" s="37">
        <v>587</v>
      </c>
      <c r="D52" s="119" t="s">
        <v>120</v>
      </c>
      <c r="E52" s="120">
        <f>+E51/E50</f>
        <v>0.16438574156588159</v>
      </c>
      <c r="F52" s="104"/>
      <c r="G52" s="104"/>
      <c r="H52" s="105"/>
    </row>
    <row r="53" spans="1:8">
      <c r="A53" s="95" t="s">
        <v>107</v>
      </c>
      <c r="B53" s="37">
        <v>506</v>
      </c>
      <c r="C53" s="37">
        <v>587</v>
      </c>
      <c r="D53" s="104"/>
      <c r="E53" s="104"/>
      <c r="F53" s="104"/>
      <c r="G53" s="104"/>
      <c r="H53" s="105"/>
    </row>
    <row r="54" spans="1:8" ht="15.75" thickBot="1">
      <c r="A54" s="121" t="s">
        <v>108</v>
      </c>
      <c r="B54" s="122">
        <v>104</v>
      </c>
      <c r="C54" s="122">
        <v>587</v>
      </c>
      <c r="D54" s="123"/>
      <c r="E54" s="123"/>
      <c r="F54" s="123"/>
      <c r="G54" s="123"/>
      <c r="H54" s="107"/>
    </row>
    <row r="55" spans="1:8" ht="15.75" thickBot="1">
      <c r="A55" s="110" t="s">
        <v>123</v>
      </c>
      <c r="B55" s="83" t="s">
        <v>112</v>
      </c>
      <c r="C55" s="83" t="s">
        <v>113</v>
      </c>
      <c r="D55" s="83" t="s">
        <v>92</v>
      </c>
      <c r="E55" s="83" t="s">
        <v>31</v>
      </c>
      <c r="F55" s="83" t="s">
        <v>93</v>
      </c>
      <c r="G55" s="83" t="s">
        <v>94</v>
      </c>
      <c r="H55" s="84" t="s">
        <v>95</v>
      </c>
    </row>
    <row r="56" spans="1:8" ht="15.75" thickBot="1">
      <c r="A56" s="88">
        <v>588</v>
      </c>
      <c r="B56" s="58">
        <v>185224</v>
      </c>
      <c r="C56" s="58">
        <v>185280</v>
      </c>
      <c r="D56" s="127">
        <v>56</v>
      </c>
      <c r="E56" s="127" t="s">
        <v>116</v>
      </c>
      <c r="F56" s="114" t="s">
        <v>37</v>
      </c>
      <c r="G56" s="127">
        <v>840</v>
      </c>
      <c r="H56" s="128">
        <v>1000</v>
      </c>
    </row>
    <row r="57" spans="1:8" ht="15.75" thickBot="1">
      <c r="A57" s="101" t="s">
        <v>106</v>
      </c>
      <c r="B57" s="102" t="s">
        <v>84</v>
      </c>
      <c r="C57" s="103" t="s">
        <v>85</v>
      </c>
      <c r="D57" s="104"/>
      <c r="E57" s="104"/>
      <c r="F57" s="104"/>
      <c r="G57" s="104"/>
      <c r="H57" s="105"/>
    </row>
    <row r="58" spans="1:8">
      <c r="A58" s="95" t="s">
        <v>87</v>
      </c>
      <c r="B58" s="37">
        <v>200</v>
      </c>
      <c r="C58" s="37">
        <v>588</v>
      </c>
      <c r="D58" s="104"/>
      <c r="E58" s="104"/>
      <c r="F58" s="104"/>
      <c r="G58" s="104"/>
      <c r="H58" s="105"/>
    </row>
    <row r="59" spans="1:8" ht="15.75" thickBot="1">
      <c r="A59" s="95" t="s">
        <v>105</v>
      </c>
      <c r="B59" s="37">
        <v>68</v>
      </c>
      <c r="C59" s="37">
        <v>588</v>
      </c>
      <c r="D59" s="104"/>
      <c r="E59" s="104"/>
      <c r="F59" s="104"/>
      <c r="G59" s="104"/>
      <c r="H59" s="105"/>
    </row>
    <row r="60" spans="1:8">
      <c r="A60" s="95" t="s">
        <v>109</v>
      </c>
      <c r="B60" s="37">
        <v>478</v>
      </c>
      <c r="C60" s="37" t="s">
        <v>110</v>
      </c>
      <c r="D60" s="118" t="s">
        <v>118</v>
      </c>
      <c r="E60" s="100">
        <f>4*60*60-1832</f>
        <v>12568</v>
      </c>
      <c r="F60" s="104"/>
      <c r="G60" s="104"/>
      <c r="H60" s="105"/>
    </row>
    <row r="61" spans="1:8">
      <c r="A61" s="95" t="s">
        <v>105</v>
      </c>
      <c r="B61" s="37">
        <v>84</v>
      </c>
      <c r="C61" s="37">
        <v>588</v>
      </c>
      <c r="D61" s="108" t="s">
        <v>119</v>
      </c>
      <c r="E61" s="105">
        <f>SUM(B58:B63)</f>
        <v>962</v>
      </c>
      <c r="F61" s="104"/>
      <c r="G61" s="104"/>
      <c r="H61" s="105"/>
    </row>
    <row r="62" spans="1:8" ht="15.75" thickBot="1">
      <c r="A62" s="95" t="s">
        <v>108</v>
      </c>
      <c r="B62" s="37">
        <v>48</v>
      </c>
      <c r="C62" s="37">
        <v>588</v>
      </c>
      <c r="D62" s="119" t="s">
        <v>120</v>
      </c>
      <c r="E62" s="120">
        <f>+E61/E60</f>
        <v>7.6543602800763846E-2</v>
      </c>
      <c r="F62" s="104"/>
      <c r="G62" s="104"/>
      <c r="H62" s="105"/>
    </row>
    <row r="63" spans="1:8">
      <c r="A63" s="95" t="s">
        <v>121</v>
      </c>
      <c r="B63" s="37">
        <v>84</v>
      </c>
      <c r="C63" s="37" t="s">
        <v>110</v>
      </c>
      <c r="D63" s="104"/>
      <c r="E63" s="104"/>
      <c r="F63" s="104"/>
      <c r="G63" s="104"/>
      <c r="H63" s="105"/>
    </row>
    <row r="64" spans="1:8" ht="15.75" thickBot="1">
      <c r="A64" s="121"/>
      <c r="B64" s="122"/>
      <c r="C64" s="122"/>
      <c r="D64" s="123"/>
      <c r="E64" s="123"/>
      <c r="F64" s="123"/>
      <c r="G64" s="123"/>
      <c r="H64" s="107"/>
    </row>
    <row r="65" spans="1:8" ht="15.75" thickBot="1">
      <c r="A65" s="110" t="s">
        <v>123</v>
      </c>
      <c r="B65" s="83" t="s">
        <v>112</v>
      </c>
      <c r="C65" s="83" t="s">
        <v>113</v>
      </c>
      <c r="D65" s="83" t="s">
        <v>92</v>
      </c>
      <c r="E65" s="83" t="s">
        <v>31</v>
      </c>
      <c r="F65" s="83" t="s">
        <v>93</v>
      </c>
      <c r="G65" s="83" t="s">
        <v>94</v>
      </c>
      <c r="H65" s="84" t="s">
        <v>95</v>
      </c>
    </row>
    <row r="66" spans="1:8" ht="15.75" thickBot="1">
      <c r="A66" s="198">
        <v>585</v>
      </c>
      <c r="B66" s="199">
        <v>185224</v>
      </c>
      <c r="C66" s="199">
        <v>185280</v>
      </c>
      <c r="D66" s="127">
        <v>56</v>
      </c>
      <c r="E66" s="127" t="s">
        <v>225</v>
      </c>
      <c r="F66" s="273">
        <v>2</v>
      </c>
      <c r="G66" s="127">
        <v>840</v>
      </c>
      <c r="H66" s="128">
        <v>1000</v>
      </c>
    </row>
    <row r="67" spans="1:8">
      <c r="A67" s="271" t="s">
        <v>192</v>
      </c>
      <c r="B67" s="270" t="s">
        <v>185</v>
      </c>
      <c r="C67" s="270" t="s">
        <v>125</v>
      </c>
      <c r="D67" s="272" t="s">
        <v>184</v>
      </c>
      <c r="G67" s="274" t="s">
        <v>156</v>
      </c>
      <c r="H67" s="275" t="s">
        <v>196</v>
      </c>
    </row>
    <row r="68" spans="1:8">
      <c r="A68" s="249">
        <v>585</v>
      </c>
      <c r="B68" s="200" t="s">
        <v>115</v>
      </c>
      <c r="C68" s="197">
        <v>285</v>
      </c>
      <c r="D68" s="37">
        <v>2</v>
      </c>
      <c r="G68" s="276" t="s">
        <v>70</v>
      </c>
      <c r="H68" s="28">
        <v>240</v>
      </c>
    </row>
    <row r="69" spans="1:8" ht="15.75" thickBot="1">
      <c r="A69" s="197">
        <v>585</v>
      </c>
      <c r="B69" s="200" t="s">
        <v>89</v>
      </c>
      <c r="C69" s="197">
        <v>65</v>
      </c>
      <c r="D69" s="37">
        <v>2</v>
      </c>
      <c r="G69" s="276" t="s">
        <v>197</v>
      </c>
      <c r="H69" s="28" t="s">
        <v>199</v>
      </c>
    </row>
    <row r="70" spans="1:8">
      <c r="A70" s="197">
        <v>585</v>
      </c>
      <c r="B70" s="200" t="s">
        <v>87</v>
      </c>
      <c r="C70" s="197">
        <v>58</v>
      </c>
      <c r="D70" s="37">
        <v>1</v>
      </c>
      <c r="E70" s="118" t="s">
        <v>118</v>
      </c>
      <c r="F70" s="100">
        <f>4*60*60</f>
        <v>14400</v>
      </c>
      <c r="G70" s="276" t="s">
        <v>198</v>
      </c>
      <c r="H70" s="28" t="s">
        <v>200</v>
      </c>
    </row>
    <row r="71" spans="1:8" ht="15.75" thickBot="1">
      <c r="A71" s="197">
        <v>585</v>
      </c>
      <c r="B71" s="200" t="s">
        <v>186</v>
      </c>
      <c r="C71" s="197">
        <v>122</v>
      </c>
      <c r="D71" s="37">
        <v>2</v>
      </c>
      <c r="E71" s="108" t="s">
        <v>119</v>
      </c>
      <c r="F71" s="105">
        <f>SUM(C68:C76)-C73</f>
        <v>1144</v>
      </c>
      <c r="G71" s="277" t="s">
        <v>31</v>
      </c>
      <c r="H71" s="278" t="s">
        <v>34</v>
      </c>
    </row>
    <row r="72" spans="1:8" ht="15.75" thickBot="1">
      <c r="A72" s="197">
        <v>585</v>
      </c>
      <c r="B72" s="200" t="s">
        <v>187</v>
      </c>
      <c r="C72" s="197">
        <v>142</v>
      </c>
      <c r="D72" s="37">
        <v>3</v>
      </c>
      <c r="E72" s="119" t="s">
        <v>120</v>
      </c>
      <c r="F72" s="120">
        <f>+F71/F70</f>
        <v>7.9444444444444443E-2</v>
      </c>
    </row>
    <row r="73" spans="1:8">
      <c r="A73" s="197">
        <v>585</v>
      </c>
      <c r="B73" s="201" t="s">
        <v>188</v>
      </c>
      <c r="C73" s="197">
        <v>242</v>
      </c>
      <c r="D73" s="37">
        <v>3</v>
      </c>
    </row>
    <row r="74" spans="1:8">
      <c r="A74" s="197">
        <v>585</v>
      </c>
      <c r="B74" s="201" t="s">
        <v>189</v>
      </c>
      <c r="C74" s="197">
        <v>41</v>
      </c>
      <c r="D74" s="37">
        <v>2</v>
      </c>
    </row>
    <row r="75" spans="1:8" ht="30">
      <c r="A75" s="197">
        <v>585</v>
      </c>
      <c r="B75" s="207" t="s">
        <v>191</v>
      </c>
      <c r="C75" s="197">
        <v>400</v>
      </c>
      <c r="D75" s="37">
        <v>5</v>
      </c>
    </row>
    <row r="76" spans="1:8">
      <c r="A76" s="205">
        <v>585</v>
      </c>
      <c r="B76" s="204" t="s">
        <v>190</v>
      </c>
      <c r="C76" s="205">
        <v>31</v>
      </c>
      <c r="D76" s="211">
        <v>2</v>
      </c>
    </row>
    <row r="77" spans="1:8" ht="15.75" thickBot="1">
      <c r="A77" s="209"/>
      <c r="B77" s="209" t="s">
        <v>194</v>
      </c>
      <c r="C77" s="209">
        <f>SUM(C68:C76)-C73</f>
        <v>1144</v>
      </c>
      <c r="D77" s="210">
        <f>SUM(D68:D76)</f>
        <v>22</v>
      </c>
    </row>
    <row r="78" spans="1:8" ht="15.75" thickBot="1">
      <c r="A78" s="110" t="s">
        <v>123</v>
      </c>
      <c r="B78" s="83" t="s">
        <v>112</v>
      </c>
      <c r="C78" s="83" t="s">
        <v>113</v>
      </c>
      <c r="D78" s="83" t="s">
        <v>92</v>
      </c>
      <c r="E78" s="83" t="s">
        <v>31</v>
      </c>
      <c r="F78" s="83" t="s">
        <v>93</v>
      </c>
      <c r="G78" s="83" t="s">
        <v>94</v>
      </c>
      <c r="H78" s="84" t="s">
        <v>95</v>
      </c>
    </row>
    <row r="79" spans="1:8" ht="15.75" thickBot="1">
      <c r="A79" s="198">
        <v>586</v>
      </c>
      <c r="B79" s="199">
        <v>185224</v>
      </c>
      <c r="C79" s="199">
        <v>185280</v>
      </c>
      <c r="D79" s="127">
        <v>56</v>
      </c>
      <c r="E79" s="127" t="s">
        <v>225</v>
      </c>
      <c r="F79" s="273">
        <v>2</v>
      </c>
      <c r="G79" s="127">
        <v>840</v>
      </c>
      <c r="H79" s="128">
        <v>1000</v>
      </c>
    </row>
    <row r="80" spans="1:8">
      <c r="A80" s="132" t="s">
        <v>192</v>
      </c>
      <c r="B80" s="133" t="s">
        <v>185</v>
      </c>
      <c r="C80" s="202" t="s">
        <v>125</v>
      </c>
      <c r="D80" s="206" t="s">
        <v>184</v>
      </c>
    </row>
    <row r="81" spans="1:8">
      <c r="A81" s="197">
        <v>586</v>
      </c>
      <c r="B81" s="200" t="s">
        <v>115</v>
      </c>
      <c r="C81" s="197">
        <v>343</v>
      </c>
      <c r="D81" s="37">
        <v>2</v>
      </c>
    </row>
    <row r="82" spans="1:8" ht="15.75" thickBot="1">
      <c r="A82" s="197">
        <v>586</v>
      </c>
      <c r="B82" s="200" t="s">
        <v>89</v>
      </c>
      <c r="C82" s="197">
        <v>151</v>
      </c>
      <c r="D82" s="37">
        <v>2</v>
      </c>
    </row>
    <row r="83" spans="1:8">
      <c r="A83" s="197">
        <v>586</v>
      </c>
      <c r="B83" s="200" t="s">
        <v>87</v>
      </c>
      <c r="C83" s="197">
        <v>124</v>
      </c>
      <c r="D83" s="37">
        <v>2</v>
      </c>
      <c r="E83" s="118" t="s">
        <v>118</v>
      </c>
      <c r="F83" s="100">
        <f>4*60*60</f>
        <v>14400</v>
      </c>
    </row>
    <row r="84" spans="1:8">
      <c r="A84" s="197">
        <v>586</v>
      </c>
      <c r="B84" s="200" t="s">
        <v>186</v>
      </c>
      <c r="C84" s="197">
        <v>243</v>
      </c>
      <c r="D84" s="37">
        <v>4</v>
      </c>
      <c r="E84" s="108" t="s">
        <v>119</v>
      </c>
      <c r="F84" s="105">
        <f>SUM(C81:C87)</f>
        <v>1078</v>
      </c>
    </row>
    <row r="85" spans="1:8" ht="15.75" thickBot="1">
      <c r="A85" s="197">
        <v>586</v>
      </c>
      <c r="B85" s="200" t="s">
        <v>187</v>
      </c>
      <c r="C85" s="197">
        <v>120</v>
      </c>
      <c r="D85" s="37">
        <v>4</v>
      </c>
      <c r="E85" s="119" t="s">
        <v>120</v>
      </c>
      <c r="F85" s="120">
        <f>+F84/F83</f>
        <v>7.4861111111111114E-2</v>
      </c>
    </row>
    <row r="86" spans="1:8">
      <c r="A86" s="197">
        <v>586</v>
      </c>
      <c r="B86" s="147" t="s">
        <v>189</v>
      </c>
      <c r="C86" s="197">
        <v>67</v>
      </c>
      <c r="D86" s="37">
        <v>2</v>
      </c>
    </row>
    <row r="87" spans="1:8" ht="15.75" thickBot="1">
      <c r="A87" s="197">
        <v>586</v>
      </c>
      <c r="B87" s="147" t="s">
        <v>190</v>
      </c>
      <c r="C87" s="197">
        <v>30</v>
      </c>
      <c r="D87" s="37">
        <v>2</v>
      </c>
    </row>
    <row r="88" spans="1:8" ht="15.75" thickBot="1">
      <c r="A88" s="110" t="s">
        <v>123</v>
      </c>
      <c r="B88" s="83" t="s">
        <v>112</v>
      </c>
      <c r="C88" s="83" t="s">
        <v>113</v>
      </c>
      <c r="D88" s="83" t="s">
        <v>92</v>
      </c>
      <c r="E88" s="83" t="s">
        <v>31</v>
      </c>
      <c r="F88" s="83" t="s">
        <v>93</v>
      </c>
      <c r="G88" s="83" t="s">
        <v>94</v>
      </c>
      <c r="H88" s="84" t="s">
        <v>95</v>
      </c>
    </row>
    <row r="89" spans="1:8" ht="15.75" thickBot="1">
      <c r="A89" s="198">
        <v>586</v>
      </c>
      <c r="B89" s="199">
        <v>185224</v>
      </c>
      <c r="C89" s="199">
        <v>185280</v>
      </c>
      <c r="D89" s="127">
        <v>56</v>
      </c>
      <c r="E89" s="127" t="s">
        <v>225</v>
      </c>
      <c r="F89" s="273">
        <v>2</v>
      </c>
      <c r="G89" s="127">
        <v>840</v>
      </c>
      <c r="H89" s="128">
        <v>1000</v>
      </c>
    </row>
    <row r="90" spans="1:8">
      <c r="A90" s="132" t="s">
        <v>192</v>
      </c>
      <c r="B90" s="133" t="s">
        <v>185</v>
      </c>
      <c r="C90" s="202" t="s">
        <v>125</v>
      </c>
      <c r="D90" s="206" t="s">
        <v>184</v>
      </c>
    </row>
    <row r="91" spans="1:8">
      <c r="A91" s="197">
        <v>587</v>
      </c>
      <c r="B91" s="200" t="s">
        <v>115</v>
      </c>
      <c r="C91" s="197">
        <v>220</v>
      </c>
      <c r="D91" s="37">
        <v>3</v>
      </c>
    </row>
    <row r="92" spans="1:8" ht="15.75" thickBot="1">
      <c r="A92" s="197">
        <v>587</v>
      </c>
      <c r="B92" s="200" t="s">
        <v>89</v>
      </c>
      <c r="C92" s="197">
        <v>411</v>
      </c>
      <c r="D92" s="37">
        <v>5</v>
      </c>
    </row>
    <row r="93" spans="1:8">
      <c r="A93" s="197">
        <v>587</v>
      </c>
      <c r="B93" s="200" t="s">
        <v>186</v>
      </c>
      <c r="C93" s="197">
        <v>52</v>
      </c>
      <c r="D93" s="37">
        <v>3</v>
      </c>
      <c r="E93" s="118" t="s">
        <v>118</v>
      </c>
      <c r="F93" s="100">
        <f>4*60*60</f>
        <v>14400</v>
      </c>
    </row>
    <row r="94" spans="1:8">
      <c r="A94" s="197">
        <v>587</v>
      </c>
      <c r="B94" s="200" t="s">
        <v>187</v>
      </c>
      <c r="C94" s="197">
        <v>207</v>
      </c>
      <c r="D94" s="37">
        <v>5</v>
      </c>
      <c r="E94" s="108" t="s">
        <v>119</v>
      </c>
      <c r="F94" s="105">
        <f>SUM(C91:C97)</f>
        <v>1011</v>
      </c>
    </row>
    <row r="95" spans="1:8" ht="15.75" thickBot="1">
      <c r="A95" s="197">
        <v>587</v>
      </c>
      <c r="B95" s="208" t="s">
        <v>193</v>
      </c>
      <c r="C95" s="197">
        <v>21</v>
      </c>
      <c r="D95" s="37">
        <v>1</v>
      </c>
      <c r="E95" s="119" t="s">
        <v>120</v>
      </c>
      <c r="F95" s="120">
        <f>+F94/F93</f>
        <v>7.0208333333333331E-2</v>
      </c>
    </row>
    <row r="96" spans="1:8">
      <c r="A96" s="197">
        <v>587</v>
      </c>
      <c r="B96" s="147" t="s">
        <v>189</v>
      </c>
      <c r="C96" s="197">
        <v>36</v>
      </c>
      <c r="D96" s="37">
        <v>3</v>
      </c>
    </row>
    <row r="97" spans="1:8" ht="15.75" thickBot="1">
      <c r="A97" s="197">
        <v>587</v>
      </c>
      <c r="B97" s="147" t="s">
        <v>190</v>
      </c>
      <c r="C97" s="197">
        <v>64</v>
      </c>
      <c r="D97" s="37">
        <v>4</v>
      </c>
    </row>
    <row r="98" spans="1:8" ht="15.75" thickBot="1">
      <c r="A98" s="110" t="s">
        <v>123</v>
      </c>
      <c r="B98" s="83" t="s">
        <v>112</v>
      </c>
      <c r="C98" s="83" t="s">
        <v>113</v>
      </c>
      <c r="D98" s="83" t="s">
        <v>92</v>
      </c>
      <c r="E98" s="83" t="s">
        <v>31</v>
      </c>
      <c r="F98" s="83" t="s">
        <v>93</v>
      </c>
      <c r="G98" s="83" t="s">
        <v>94</v>
      </c>
      <c r="H98" s="84" t="s">
        <v>95</v>
      </c>
    </row>
    <row r="99" spans="1:8" ht="15.75" thickBot="1">
      <c r="A99" s="198">
        <v>586</v>
      </c>
      <c r="B99" s="199">
        <v>185224</v>
      </c>
      <c r="C99" s="199">
        <v>185280</v>
      </c>
      <c r="D99" s="127">
        <v>56</v>
      </c>
      <c r="E99" s="127" t="s">
        <v>225</v>
      </c>
      <c r="F99" s="273">
        <v>2</v>
      </c>
      <c r="G99" s="127">
        <v>840</v>
      </c>
      <c r="H99" s="128">
        <v>1000</v>
      </c>
    </row>
    <row r="100" spans="1:8">
      <c r="A100" s="251" t="s">
        <v>192</v>
      </c>
      <c r="B100" s="252" t="s">
        <v>185</v>
      </c>
      <c r="C100" s="253" t="s">
        <v>125</v>
      </c>
      <c r="D100" s="254" t="s">
        <v>184</v>
      </c>
      <c r="E100" s="279"/>
      <c r="F100" s="279"/>
      <c r="G100" s="279"/>
    </row>
    <row r="101" spans="1:8">
      <c r="A101" s="255">
        <v>588</v>
      </c>
      <c r="B101" s="256" t="s">
        <v>115</v>
      </c>
      <c r="C101" s="255">
        <v>241</v>
      </c>
      <c r="D101" s="257">
        <v>2</v>
      </c>
      <c r="E101" s="279"/>
      <c r="F101" s="279"/>
      <c r="G101" s="279"/>
    </row>
    <row r="102" spans="1:8" ht="15.75" thickBot="1">
      <c r="A102" s="255">
        <v>588</v>
      </c>
      <c r="B102" s="256" t="s">
        <v>89</v>
      </c>
      <c r="C102" s="255">
        <v>109</v>
      </c>
      <c r="D102" s="257">
        <v>3</v>
      </c>
      <c r="E102" s="279"/>
      <c r="F102" s="279"/>
      <c r="G102" s="279"/>
    </row>
    <row r="103" spans="1:8">
      <c r="A103" s="255">
        <v>588</v>
      </c>
      <c r="B103" s="256" t="s">
        <v>186</v>
      </c>
      <c r="C103" s="255">
        <v>188</v>
      </c>
      <c r="D103" s="257">
        <v>2</v>
      </c>
      <c r="E103" s="280" t="s">
        <v>118</v>
      </c>
      <c r="F103" s="281">
        <f>4*60*60</f>
        <v>14400</v>
      </c>
      <c r="G103" s="279"/>
    </row>
    <row r="104" spans="1:8">
      <c r="A104" s="255">
        <v>588</v>
      </c>
      <c r="B104" s="256" t="s">
        <v>187</v>
      </c>
      <c r="C104" s="255">
        <v>179</v>
      </c>
      <c r="D104" s="257">
        <v>5</v>
      </c>
      <c r="E104" s="42" t="s">
        <v>119</v>
      </c>
      <c r="F104" s="43">
        <f>SUM(C101:C107)</f>
        <v>826</v>
      </c>
      <c r="G104" s="279"/>
    </row>
    <row r="105" spans="1:8" ht="15.75" thickBot="1">
      <c r="A105" s="255">
        <v>588</v>
      </c>
      <c r="B105" s="258" t="s">
        <v>189</v>
      </c>
      <c r="C105" s="255">
        <v>71</v>
      </c>
      <c r="D105" s="257">
        <v>2</v>
      </c>
      <c r="E105" s="46" t="s">
        <v>120</v>
      </c>
      <c r="F105" s="282">
        <f>+F104/F103</f>
        <v>5.7361111111111113E-2</v>
      </c>
      <c r="G105" s="279"/>
    </row>
    <row r="106" spans="1:8">
      <c r="A106" s="255">
        <v>588</v>
      </c>
      <c r="B106" s="283" t="s">
        <v>190</v>
      </c>
      <c r="C106" s="255">
        <v>38</v>
      </c>
      <c r="D106" s="257">
        <v>2</v>
      </c>
      <c r="E106" s="279"/>
      <c r="F106" s="279"/>
      <c r="G106" s="279"/>
    </row>
    <row r="107" spans="1:8">
      <c r="A107" s="255">
        <v>588</v>
      </c>
      <c r="B107" s="255"/>
      <c r="C107" s="257"/>
      <c r="D107" s="257"/>
      <c r="E107" s="279"/>
      <c r="F107" s="279"/>
      <c r="G107" s="279"/>
    </row>
    <row r="108" spans="1:8">
      <c r="A108" s="279"/>
      <c r="B108" s="279"/>
      <c r="C108" s="279"/>
      <c r="D108" s="279"/>
      <c r="E108" s="279"/>
      <c r="F108" s="279"/>
      <c r="G108" s="27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7"/>
  <sheetViews>
    <sheetView workbookViewId="0">
      <selection activeCell="F2" sqref="F2"/>
    </sheetView>
  </sheetViews>
  <sheetFormatPr defaultRowHeight="15"/>
  <cols>
    <col min="1" max="1" width="2.85546875" customWidth="1"/>
    <col min="2" max="2" width="15.28515625" customWidth="1"/>
    <col min="3" max="3" width="31.140625" style="6" customWidth="1"/>
    <col min="7" max="7" width="23.7109375" style="156" customWidth="1"/>
    <col min="11" max="11" width="17.7109375" customWidth="1"/>
    <col min="12" max="12" width="12" customWidth="1"/>
    <col min="15" max="15" width="20.85546875" style="6" bestFit="1" customWidth="1"/>
  </cols>
  <sheetData>
    <row r="1" spans="2:17">
      <c r="B1" s="132" t="s">
        <v>192</v>
      </c>
      <c r="C1" s="133" t="s">
        <v>185</v>
      </c>
      <c r="D1" s="202" t="s">
        <v>125</v>
      </c>
      <c r="E1" s="206" t="s">
        <v>184</v>
      </c>
      <c r="F1" s="132" t="s">
        <v>192</v>
      </c>
      <c r="G1" s="133" t="s">
        <v>185</v>
      </c>
      <c r="H1" s="202" t="s">
        <v>125</v>
      </c>
      <c r="I1" s="206" t="s">
        <v>184</v>
      </c>
      <c r="J1" s="132" t="s">
        <v>192</v>
      </c>
      <c r="K1" s="133" t="s">
        <v>185</v>
      </c>
      <c r="L1" s="202" t="s">
        <v>125</v>
      </c>
      <c r="M1" s="206" t="s">
        <v>184</v>
      </c>
      <c r="N1" s="132" t="s">
        <v>192</v>
      </c>
      <c r="O1" s="133" t="s">
        <v>185</v>
      </c>
      <c r="P1" s="202" t="s">
        <v>125</v>
      </c>
      <c r="Q1" s="206" t="s">
        <v>184</v>
      </c>
    </row>
    <row r="2" spans="2:17">
      <c r="B2" s="152">
        <v>585</v>
      </c>
      <c r="C2" s="200" t="s">
        <v>115</v>
      </c>
      <c r="D2" s="152">
        <v>285</v>
      </c>
      <c r="E2" s="37">
        <v>2</v>
      </c>
      <c r="F2" s="152">
        <v>586</v>
      </c>
      <c r="G2" s="200" t="s">
        <v>115</v>
      </c>
      <c r="H2" s="152">
        <v>343</v>
      </c>
      <c r="I2" s="37">
        <v>2</v>
      </c>
      <c r="J2" s="152">
        <v>587</v>
      </c>
      <c r="K2" s="200" t="s">
        <v>115</v>
      </c>
      <c r="L2" s="152">
        <v>220</v>
      </c>
      <c r="M2" s="37">
        <v>3</v>
      </c>
      <c r="N2" s="152">
        <v>588</v>
      </c>
      <c r="O2" s="200" t="s">
        <v>115</v>
      </c>
      <c r="P2" s="152">
        <v>241</v>
      </c>
      <c r="Q2" s="37">
        <v>2</v>
      </c>
    </row>
    <row r="3" spans="2:17">
      <c r="B3" s="152">
        <v>585</v>
      </c>
      <c r="C3" s="200" t="s">
        <v>89</v>
      </c>
      <c r="D3" s="152">
        <v>65</v>
      </c>
      <c r="E3" s="37">
        <v>2</v>
      </c>
      <c r="F3" s="152">
        <v>586</v>
      </c>
      <c r="G3" s="200" t="s">
        <v>89</v>
      </c>
      <c r="H3" s="152">
        <v>151</v>
      </c>
      <c r="I3" s="37">
        <v>2</v>
      </c>
      <c r="J3" s="152">
        <v>587</v>
      </c>
      <c r="K3" s="200" t="s">
        <v>89</v>
      </c>
      <c r="L3" s="152">
        <v>411</v>
      </c>
      <c r="M3" s="37">
        <v>5</v>
      </c>
      <c r="N3" s="152">
        <v>588</v>
      </c>
      <c r="O3" s="200" t="s">
        <v>89</v>
      </c>
      <c r="P3" s="152">
        <v>109</v>
      </c>
      <c r="Q3" s="37">
        <v>3</v>
      </c>
    </row>
    <row r="4" spans="2:17">
      <c r="B4" s="152">
        <v>585</v>
      </c>
      <c r="C4" s="200" t="s">
        <v>87</v>
      </c>
      <c r="D4" s="152">
        <v>58</v>
      </c>
      <c r="E4" s="37">
        <v>1</v>
      </c>
      <c r="F4" s="152">
        <v>586</v>
      </c>
      <c r="G4" s="200" t="s">
        <v>87</v>
      </c>
      <c r="H4" s="152">
        <v>124</v>
      </c>
      <c r="I4" s="37">
        <v>2</v>
      </c>
      <c r="J4" s="152">
        <v>587</v>
      </c>
      <c r="K4" s="200" t="s">
        <v>186</v>
      </c>
      <c r="L4" s="152">
        <v>52</v>
      </c>
      <c r="M4" s="37">
        <v>3</v>
      </c>
      <c r="N4" s="152">
        <v>588</v>
      </c>
      <c r="O4" s="200" t="s">
        <v>186</v>
      </c>
      <c r="P4" s="152">
        <v>188</v>
      </c>
      <c r="Q4" s="37">
        <v>2</v>
      </c>
    </row>
    <row r="5" spans="2:17">
      <c r="B5" s="152">
        <v>585</v>
      </c>
      <c r="C5" s="200" t="s">
        <v>186</v>
      </c>
      <c r="D5" s="152">
        <v>122</v>
      </c>
      <c r="E5" s="37">
        <v>2</v>
      </c>
      <c r="F5" s="152">
        <v>586</v>
      </c>
      <c r="G5" s="200" t="s">
        <v>186</v>
      </c>
      <c r="H5" s="152">
        <v>243</v>
      </c>
      <c r="I5" s="37">
        <v>4</v>
      </c>
      <c r="J5" s="152">
        <v>587</v>
      </c>
      <c r="K5" s="200" t="s">
        <v>187</v>
      </c>
      <c r="L5" s="152">
        <v>207</v>
      </c>
      <c r="M5" s="37">
        <v>5</v>
      </c>
      <c r="N5" s="152">
        <v>588</v>
      </c>
      <c r="O5" s="248" t="s">
        <v>187</v>
      </c>
      <c r="P5" s="249">
        <v>179</v>
      </c>
      <c r="Q5" s="250">
        <v>5</v>
      </c>
    </row>
    <row r="6" spans="2:17" ht="30">
      <c r="B6" s="152">
        <v>585</v>
      </c>
      <c r="C6" s="200" t="s">
        <v>187</v>
      </c>
      <c r="D6" s="152">
        <v>142</v>
      </c>
      <c r="E6" s="37">
        <v>3</v>
      </c>
      <c r="F6" s="152">
        <v>586</v>
      </c>
      <c r="G6" s="200" t="s">
        <v>187</v>
      </c>
      <c r="H6" s="152">
        <v>120</v>
      </c>
      <c r="I6" s="37">
        <v>4</v>
      </c>
      <c r="J6" s="152">
        <v>587</v>
      </c>
      <c r="K6" s="208" t="s">
        <v>193</v>
      </c>
      <c r="L6" s="152">
        <v>21</v>
      </c>
      <c r="M6" s="37">
        <v>1</v>
      </c>
      <c r="N6" s="152">
        <v>588</v>
      </c>
      <c r="O6" s="201" t="s">
        <v>189</v>
      </c>
      <c r="P6" s="152">
        <v>71</v>
      </c>
      <c r="Q6" s="37">
        <v>2</v>
      </c>
    </row>
    <row r="7" spans="2:17">
      <c r="B7" s="152">
        <v>585</v>
      </c>
      <c r="C7" s="201" t="s">
        <v>188</v>
      </c>
      <c r="D7" s="152">
        <v>242</v>
      </c>
      <c r="E7" s="37">
        <v>3</v>
      </c>
      <c r="F7" s="152">
        <v>586</v>
      </c>
      <c r="G7" s="147" t="s">
        <v>189</v>
      </c>
      <c r="H7" s="152">
        <v>67</v>
      </c>
      <c r="I7" s="37">
        <v>2</v>
      </c>
      <c r="J7" s="152">
        <v>587</v>
      </c>
      <c r="K7" s="147" t="s">
        <v>189</v>
      </c>
      <c r="L7" s="152">
        <v>36</v>
      </c>
      <c r="M7" s="37">
        <v>3</v>
      </c>
      <c r="N7" s="152">
        <v>588</v>
      </c>
      <c r="O7" s="147" t="s">
        <v>190</v>
      </c>
      <c r="P7" s="152">
        <v>38</v>
      </c>
      <c r="Q7" s="37">
        <v>2</v>
      </c>
    </row>
    <row r="8" spans="2:17">
      <c r="B8" s="152">
        <v>585</v>
      </c>
      <c r="C8" s="201" t="s">
        <v>189</v>
      </c>
      <c r="D8" s="152">
        <v>41</v>
      </c>
      <c r="E8" s="37">
        <v>2</v>
      </c>
      <c r="F8" s="152">
        <v>586</v>
      </c>
      <c r="G8" s="147" t="s">
        <v>190</v>
      </c>
      <c r="H8" s="152">
        <v>30</v>
      </c>
      <c r="I8" s="37">
        <v>2</v>
      </c>
      <c r="J8" s="152">
        <v>587</v>
      </c>
      <c r="K8" s="147" t="s">
        <v>190</v>
      </c>
      <c r="L8" s="152">
        <v>64</v>
      </c>
      <c r="M8" s="37">
        <v>4</v>
      </c>
      <c r="N8" s="152">
        <v>588</v>
      </c>
      <c r="O8" s="152"/>
      <c r="P8" s="37"/>
      <c r="Q8" s="37"/>
    </row>
    <row r="9" spans="2:17" ht="27.75" customHeight="1">
      <c r="B9" s="152">
        <v>585</v>
      </c>
      <c r="C9" s="207" t="s">
        <v>191</v>
      </c>
      <c r="D9" s="152">
        <v>400</v>
      </c>
      <c r="E9" s="37">
        <v>5</v>
      </c>
      <c r="G9"/>
      <c r="O9"/>
    </row>
    <row r="10" spans="2:17">
      <c r="B10" s="205">
        <v>585</v>
      </c>
      <c r="C10" s="204" t="s">
        <v>190</v>
      </c>
      <c r="D10" s="205">
        <v>31</v>
      </c>
      <c r="E10" s="211">
        <v>2</v>
      </c>
      <c r="G10"/>
      <c r="O10"/>
    </row>
    <row r="11" spans="2:17">
      <c r="B11" s="209"/>
      <c r="C11" s="209" t="s">
        <v>194</v>
      </c>
      <c r="D11" s="209">
        <f>SUM(D2:D10)-D7</f>
        <v>1144</v>
      </c>
      <c r="E11" s="210">
        <f>SUM(E2:E10)</f>
        <v>22</v>
      </c>
      <c r="F11" s="209"/>
      <c r="G11" s="209" t="s">
        <v>194</v>
      </c>
      <c r="H11" s="209">
        <f>SUM(H2:H8)</f>
        <v>1078</v>
      </c>
      <c r="I11" s="210">
        <f>SUM(I2:I8)</f>
        <v>18</v>
      </c>
      <c r="J11" s="209"/>
      <c r="K11" s="209" t="s">
        <v>194</v>
      </c>
      <c r="L11" s="209">
        <f>SUM(L2:L8)</f>
        <v>1011</v>
      </c>
      <c r="M11" s="210">
        <f>SUM(M2:M8)</f>
        <v>24</v>
      </c>
      <c r="N11" s="209"/>
      <c r="O11" s="209" t="s">
        <v>194</v>
      </c>
      <c r="P11" s="209">
        <f>SUM(P2:P7)</f>
        <v>826</v>
      </c>
      <c r="Q11" s="210">
        <f>SUM(Q2:Q7)</f>
        <v>16</v>
      </c>
    </row>
    <row r="12" spans="2:17">
      <c r="B12" s="212"/>
      <c r="C12" s="212"/>
      <c r="D12" s="212"/>
      <c r="E12" s="213"/>
      <c r="F12" s="212"/>
      <c r="G12" s="212"/>
      <c r="H12" s="212"/>
      <c r="I12" s="213"/>
      <c r="J12" s="212"/>
      <c r="K12" s="212"/>
      <c r="L12" s="212"/>
      <c r="M12" s="213"/>
      <c r="N12" s="212"/>
      <c r="O12" s="212"/>
      <c r="P12" s="212"/>
      <c r="Q12" s="213"/>
    </row>
    <row r="13" spans="2:17">
      <c r="B13" s="408" t="s">
        <v>195</v>
      </c>
      <c r="C13" s="409"/>
      <c r="D13" s="106">
        <f>60*60*4</f>
        <v>14400</v>
      </c>
      <c r="E13" s="106"/>
      <c r="G13"/>
      <c r="O13"/>
    </row>
    <row r="14" spans="2:17">
      <c r="B14" s="404" t="s">
        <v>151</v>
      </c>
      <c r="C14" s="405"/>
      <c r="D14" s="37">
        <f>SUM(D11+H11+L11+P11)</f>
        <v>4059</v>
      </c>
      <c r="E14" s="37"/>
      <c r="L14" s="6"/>
    </row>
    <row r="15" spans="2:17" ht="15.75" thickBot="1">
      <c r="B15" s="406" t="s">
        <v>154</v>
      </c>
      <c r="C15" s="407"/>
      <c r="D15" s="203">
        <f>+D14/D13</f>
        <v>0.28187499999999999</v>
      </c>
      <c r="E15" s="37"/>
    </row>
    <row r="17" spans="2:3">
      <c r="B17" s="157" t="s">
        <v>156</v>
      </c>
      <c r="C17" s="158" t="s">
        <v>196</v>
      </c>
    </row>
    <row r="18" spans="2:3">
      <c r="B18" s="157" t="s">
        <v>70</v>
      </c>
      <c r="C18" s="158">
        <v>240</v>
      </c>
    </row>
    <row r="19" spans="2:3">
      <c r="B19" s="157" t="s">
        <v>197</v>
      </c>
      <c r="C19" s="158" t="s">
        <v>199</v>
      </c>
    </row>
    <row r="20" spans="2:3">
      <c r="B20" s="157" t="s">
        <v>198</v>
      </c>
      <c r="C20" s="158" t="s">
        <v>200</v>
      </c>
    </row>
    <row r="21" spans="2:3">
      <c r="B21" s="157" t="s">
        <v>31</v>
      </c>
      <c r="C21" s="158" t="s">
        <v>34</v>
      </c>
    </row>
    <row r="22" spans="2:3">
      <c r="B22" s="157" t="s">
        <v>178</v>
      </c>
      <c r="C22" s="158"/>
    </row>
    <row r="23" spans="2:3">
      <c r="B23" s="157" t="s">
        <v>179</v>
      </c>
      <c r="C23" s="158"/>
    </row>
    <row r="24" spans="2:3">
      <c r="B24" s="157" t="s">
        <v>180</v>
      </c>
      <c r="C24" s="158"/>
    </row>
    <row r="25" spans="2:3">
      <c r="B25" s="157" t="s">
        <v>181</v>
      </c>
      <c r="C25" s="158"/>
    </row>
    <row r="26" spans="2:3">
      <c r="B26" s="157"/>
      <c r="C26" s="158"/>
    </row>
    <row r="27" spans="2:3">
      <c r="B27" s="157" t="s">
        <v>163</v>
      </c>
      <c r="C27" s="160" t="e">
        <f>+AVERAGE(D15,#REF!,#REF!)</f>
        <v>#REF!</v>
      </c>
    </row>
    <row r="37" spans="1:1">
      <c r="A37" t="s">
        <v>168</v>
      </c>
    </row>
  </sheetData>
  <mergeCells count="3">
    <mergeCell ref="B14:C14"/>
    <mergeCell ref="B15:C15"/>
    <mergeCell ref="B13:C1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32"/>
  <sheetViews>
    <sheetView topLeftCell="A13" workbookViewId="0">
      <selection activeCell="G4" sqref="E4:G4"/>
    </sheetView>
  </sheetViews>
  <sheetFormatPr defaultRowHeight="15"/>
  <cols>
    <col min="1" max="1" width="9.140625" bestFit="1" customWidth="1"/>
    <col min="2" max="2" width="30.5703125" customWidth="1"/>
    <col min="4" max="4" width="2.85546875" customWidth="1"/>
    <col min="5" max="5" width="35.28515625" bestFit="1" customWidth="1"/>
    <col min="6" max="6" width="35.42578125" style="6" bestFit="1" customWidth="1"/>
    <col min="10" max="10" width="14.140625" style="156" customWidth="1"/>
    <col min="14" max="14" width="13.85546875" customWidth="1"/>
    <col min="18" max="18" width="20.85546875" style="6" bestFit="1" customWidth="1"/>
  </cols>
  <sheetData>
    <row r="1" spans="1:19" ht="15.75" thickBot="1">
      <c r="A1" s="130" t="s">
        <v>124</v>
      </c>
      <c r="B1" s="131" t="s">
        <v>83</v>
      </c>
      <c r="C1" s="103" t="s">
        <v>125</v>
      </c>
      <c r="E1" s="132" t="s">
        <v>124</v>
      </c>
      <c r="F1" s="133" t="s">
        <v>83</v>
      </c>
      <c r="G1" s="134" t="s">
        <v>125</v>
      </c>
      <c r="H1" s="27"/>
      <c r="I1" s="132" t="s">
        <v>124</v>
      </c>
      <c r="J1" s="133" t="s">
        <v>83</v>
      </c>
      <c r="K1" s="134" t="s">
        <v>125</v>
      </c>
      <c r="L1" s="27"/>
      <c r="M1" s="135" t="s">
        <v>124</v>
      </c>
      <c r="N1" s="136" t="s">
        <v>83</v>
      </c>
      <c r="O1" s="137" t="s">
        <v>125</v>
      </c>
      <c r="P1" s="27"/>
      <c r="Q1" s="138" t="s">
        <v>124</v>
      </c>
      <c r="R1" s="133" t="s">
        <v>83</v>
      </c>
      <c r="S1" s="139" t="s">
        <v>125</v>
      </c>
    </row>
    <row r="2" spans="1:19" ht="30">
      <c r="A2" s="129" t="s">
        <v>110</v>
      </c>
      <c r="B2" s="106" t="s">
        <v>126</v>
      </c>
      <c r="C2" s="70">
        <f>420+30</f>
        <v>450</v>
      </c>
      <c r="E2" s="124" t="s">
        <v>127</v>
      </c>
      <c r="F2" s="140" t="str">
        <f>INDEX($B$2:$B$26,MATCH(E2,$A$2:$A$26,0))</f>
        <v>loading weft and knotting</v>
      </c>
      <c r="G2" s="141">
        <f>INDEX($C$2:$C$38,MATCH(E2,$A$2:$A$38,0))</f>
        <v>79.5</v>
      </c>
      <c r="I2" s="124" t="s">
        <v>128</v>
      </c>
      <c r="J2" s="140" t="str">
        <f>INDEX($B$2:$B$26,MATCH(I2,$A$2:$A$26,0))</f>
        <v>loading weft and knotting</v>
      </c>
      <c r="K2" s="141">
        <f>INDEX($C$2:$C$38,MATCH(I2,$A$2:$A$38,0))</f>
        <v>45</v>
      </c>
      <c r="M2" s="142" t="s">
        <v>129</v>
      </c>
      <c r="N2" s="143" t="str">
        <f>INDEX($B$2:$B$26,MATCH(M2,$A$2:$A$26,0))</f>
        <v>warp end</v>
      </c>
      <c r="O2" s="144">
        <f>INDEX($C$2:$C$38,MATCH(M2,$A$2:$A$38,0))</f>
        <v>92</v>
      </c>
      <c r="Q2" s="95" t="s">
        <v>130</v>
      </c>
      <c r="R2" s="21" t="str">
        <f>INDEX($B$2:$B$26,MATCH(Q2,$A$2:$A$26,0))</f>
        <v>False stop</v>
      </c>
      <c r="S2" s="73">
        <f>INDEX($C$2:$C$38,MATCH(Q2,$A$2:$A$38,0))</f>
        <v>46</v>
      </c>
    </row>
    <row r="3" spans="1:19" ht="30">
      <c r="A3" s="145" t="s">
        <v>129</v>
      </c>
      <c r="B3" s="37" t="s">
        <v>131</v>
      </c>
      <c r="C3" s="73">
        <f>540+2-420-30</f>
        <v>92</v>
      </c>
      <c r="E3" s="124" t="s">
        <v>132</v>
      </c>
      <c r="F3" s="21" t="str">
        <f t="shared" ref="F3:F9" si="0">INDEX($B$2:$B$26,MATCH(E3,$A$2:$A$26,0))</f>
        <v>warp break</v>
      </c>
      <c r="G3" s="141">
        <f t="shared" ref="G3:G9" si="1">INDEX($C$2:$C$38,MATCH(E3,$A$2:$A$38,0))</f>
        <v>159</v>
      </c>
      <c r="I3" s="124" t="s">
        <v>133</v>
      </c>
      <c r="J3" s="21" t="str">
        <f t="shared" ref="J3:J8" si="2">INDEX($B$2:$B$26,MATCH(I3,$A$2:$A$26,0))</f>
        <v>loading weft and knotting</v>
      </c>
      <c r="K3" s="141">
        <f t="shared" ref="K3:K8" si="3">INDEX($C$2:$C$38,MATCH(I3,$A$2:$A$38,0))</f>
        <v>26</v>
      </c>
      <c r="M3" s="142" t="s">
        <v>134</v>
      </c>
      <c r="N3" s="143" t="str">
        <f t="shared" ref="N3:N12" si="4">INDEX($B$2:$B$26,MATCH(M3,$A$2:$A$26,0))</f>
        <v>warp break</v>
      </c>
      <c r="O3" s="144">
        <f t="shared" ref="O3:O9" si="5">INDEX($C$2:$C$38,MATCH(M3,$A$2:$A$38,0))</f>
        <v>60</v>
      </c>
      <c r="Q3" s="95" t="s">
        <v>135</v>
      </c>
      <c r="R3" s="140" t="str">
        <f>INDEX($B$2:$B$26,MATCH(Q3,$A$2:$A$26,0))</f>
        <v>Machine Jam/fetching maintenance slip</v>
      </c>
      <c r="S3" s="73">
        <f>INDEX($C$2:$C$38,MATCH(Q3,$A$2:$A$38,0))</f>
        <v>348</v>
      </c>
    </row>
    <row r="4" spans="1:19" ht="30">
      <c r="A4" s="95" t="s">
        <v>130</v>
      </c>
      <c r="B4" s="37" t="s">
        <v>103</v>
      </c>
      <c r="C4" s="73">
        <f>48-2</f>
        <v>46</v>
      </c>
      <c r="E4" s="124" t="s">
        <v>136</v>
      </c>
      <c r="F4" s="21" t="str">
        <f t="shared" si="0"/>
        <v>beam defect went for fetching bobbin</v>
      </c>
      <c r="G4" s="141">
        <f t="shared" si="1"/>
        <v>284</v>
      </c>
      <c r="I4" s="124" t="s">
        <v>137</v>
      </c>
      <c r="J4" s="21" t="str">
        <f t="shared" si="2"/>
        <v>warp break</v>
      </c>
      <c r="K4" s="141">
        <f t="shared" si="3"/>
        <v>166</v>
      </c>
      <c r="M4" s="142" t="s">
        <v>138</v>
      </c>
      <c r="N4" s="143" t="str">
        <f t="shared" si="4"/>
        <v>loading weft and knotting</v>
      </c>
      <c r="O4" s="144">
        <f t="shared" si="5"/>
        <v>80</v>
      </c>
      <c r="Q4" s="146" t="s">
        <v>110</v>
      </c>
      <c r="R4" s="147" t="str">
        <f t="shared" ref="R4:R6" si="6">INDEX($B$2:$B$26,MATCH(Q4,$A$2:$A$26,0))</f>
        <v>water</v>
      </c>
      <c r="S4" s="148">
        <f t="shared" ref="S4:S6" si="7">INDEX($C$2:$C$38,MATCH(Q4,$A$2:$A$38,0))</f>
        <v>450</v>
      </c>
    </row>
    <row r="5" spans="1:19" ht="30">
      <c r="A5" s="145" t="s">
        <v>134</v>
      </c>
      <c r="B5" s="37" t="s">
        <v>89</v>
      </c>
      <c r="C5" s="73">
        <v>60</v>
      </c>
      <c r="E5" s="124" t="s">
        <v>139</v>
      </c>
      <c r="F5" s="21" t="str">
        <f t="shared" si="0"/>
        <v>warp end</v>
      </c>
      <c r="G5" s="141">
        <f t="shared" si="1"/>
        <v>120</v>
      </c>
      <c r="I5" s="124" t="s">
        <v>140</v>
      </c>
      <c r="J5" s="21" t="str">
        <f t="shared" si="2"/>
        <v>warp break</v>
      </c>
      <c r="K5" s="141">
        <f t="shared" si="3"/>
        <v>148</v>
      </c>
      <c r="M5" s="142" t="s">
        <v>141</v>
      </c>
      <c r="N5" s="143" t="str">
        <f t="shared" si="4"/>
        <v>warp break Crossing</v>
      </c>
      <c r="O5" s="144">
        <f t="shared" si="5"/>
        <v>216</v>
      </c>
      <c r="Q5" s="146" t="s">
        <v>142</v>
      </c>
      <c r="R5" s="147" t="str">
        <f t="shared" si="6"/>
        <v>water/washroom</v>
      </c>
      <c r="S5" s="148">
        <f t="shared" si="7"/>
        <v>263</v>
      </c>
    </row>
    <row r="6" spans="1:19" ht="30.75" thickBot="1">
      <c r="A6" s="95" t="s">
        <v>135</v>
      </c>
      <c r="B6" s="37" t="s">
        <v>143</v>
      </c>
      <c r="C6" s="73">
        <f>27*60+37-21*60-49</f>
        <v>348</v>
      </c>
      <c r="E6" s="124" t="s">
        <v>144</v>
      </c>
      <c r="F6" s="21" t="str">
        <f t="shared" si="0"/>
        <v>warp break</v>
      </c>
      <c r="G6" s="141">
        <f t="shared" si="1"/>
        <v>55</v>
      </c>
      <c r="I6" s="146" t="s">
        <v>110</v>
      </c>
      <c r="J6" s="147" t="str">
        <f t="shared" si="2"/>
        <v>water</v>
      </c>
      <c r="K6" s="148"/>
      <c r="M6" s="142" t="s">
        <v>145</v>
      </c>
      <c r="N6" s="143" t="str">
        <f t="shared" si="4"/>
        <v>warp break Crossing</v>
      </c>
      <c r="O6" s="144">
        <f t="shared" si="5"/>
        <v>173</v>
      </c>
      <c r="Q6" s="149" t="s">
        <v>146</v>
      </c>
      <c r="R6" s="150" t="str">
        <f t="shared" si="6"/>
        <v>Water</v>
      </c>
      <c r="S6" s="151">
        <f t="shared" si="7"/>
        <v>182</v>
      </c>
    </row>
    <row r="7" spans="1:19">
      <c r="A7" s="95" t="s">
        <v>127</v>
      </c>
      <c r="B7" s="37" t="s">
        <v>147</v>
      </c>
      <c r="C7" s="73">
        <f>159/2</f>
        <v>79.5</v>
      </c>
      <c r="E7" s="146"/>
      <c r="F7" s="147"/>
      <c r="G7" s="141"/>
      <c r="I7" s="146" t="s">
        <v>142</v>
      </c>
      <c r="J7" s="147" t="str">
        <f t="shared" si="2"/>
        <v>water/washroom</v>
      </c>
      <c r="K7" s="141">
        <f t="shared" si="3"/>
        <v>263</v>
      </c>
      <c r="M7" s="142" t="s">
        <v>148</v>
      </c>
      <c r="N7" s="143" t="str">
        <f t="shared" si="4"/>
        <v>warp break</v>
      </c>
      <c r="O7" s="144">
        <f t="shared" si="5"/>
        <v>114</v>
      </c>
      <c r="Q7" s="410" t="s">
        <v>149</v>
      </c>
      <c r="R7" s="411"/>
      <c r="S7" s="94">
        <v>9786</v>
      </c>
    </row>
    <row r="8" spans="1:19" ht="30.75" thickBot="1">
      <c r="A8" s="95" t="s">
        <v>138</v>
      </c>
      <c r="B8" s="37" t="s">
        <v>147</v>
      </c>
      <c r="C8" s="73">
        <v>80</v>
      </c>
      <c r="E8" s="146" t="s">
        <v>142</v>
      </c>
      <c r="F8" s="147" t="str">
        <f t="shared" si="0"/>
        <v>water/washroom</v>
      </c>
      <c r="G8" s="141">
        <f t="shared" si="1"/>
        <v>263</v>
      </c>
      <c r="I8" s="149" t="s">
        <v>146</v>
      </c>
      <c r="J8" s="150" t="str">
        <f t="shared" si="2"/>
        <v>Water</v>
      </c>
      <c r="K8" s="141">
        <f t="shared" si="3"/>
        <v>182</v>
      </c>
      <c r="M8" s="142" t="s">
        <v>150</v>
      </c>
      <c r="N8" s="143" t="str">
        <f t="shared" si="4"/>
        <v>warp break Crossing</v>
      </c>
      <c r="O8" s="144">
        <f t="shared" si="5"/>
        <v>193</v>
      </c>
      <c r="Q8" s="404" t="s">
        <v>151</v>
      </c>
      <c r="R8" s="405"/>
      <c r="S8" s="73">
        <f>SUM(S2:S6)</f>
        <v>1289</v>
      </c>
    </row>
    <row r="9" spans="1:19" ht="15.75" thickBot="1">
      <c r="A9" s="351" t="s">
        <v>141</v>
      </c>
      <c r="B9" s="210" t="s">
        <v>152</v>
      </c>
      <c r="C9" s="352">
        <f>33*60+52-30*60-16</f>
        <v>216</v>
      </c>
      <c r="E9" s="153" t="s">
        <v>146</v>
      </c>
      <c r="F9" s="154" t="str">
        <f t="shared" si="0"/>
        <v>Water</v>
      </c>
      <c r="G9" s="141">
        <f t="shared" si="1"/>
        <v>182</v>
      </c>
      <c r="I9" s="410" t="s">
        <v>149</v>
      </c>
      <c r="J9" s="411"/>
      <c r="K9" s="94">
        <v>9786</v>
      </c>
      <c r="M9" s="142" t="s">
        <v>153</v>
      </c>
      <c r="N9" s="143" t="str">
        <f t="shared" si="4"/>
        <v>weft break</v>
      </c>
      <c r="O9" s="144">
        <f t="shared" si="5"/>
        <v>14</v>
      </c>
      <c r="Q9" s="406" t="s">
        <v>154</v>
      </c>
      <c r="R9" s="407"/>
      <c r="S9" s="155">
        <f>+S8/S7</f>
        <v>0.13171878193337422</v>
      </c>
    </row>
    <row r="10" spans="1:19">
      <c r="A10" s="95" t="s">
        <v>128</v>
      </c>
      <c r="B10" s="37" t="s">
        <v>147</v>
      </c>
      <c r="C10" s="73">
        <f>34*60+37-33*60-52</f>
        <v>45</v>
      </c>
      <c r="E10" s="410" t="s">
        <v>149</v>
      </c>
      <c r="F10" s="411"/>
      <c r="G10" s="94">
        <v>9786</v>
      </c>
      <c r="I10" s="404" t="s">
        <v>151</v>
      </c>
      <c r="J10" s="405"/>
      <c r="K10" s="73">
        <f>SUM(K1:K9)-K9</f>
        <v>830</v>
      </c>
      <c r="M10" s="146" t="s">
        <v>110</v>
      </c>
      <c r="N10" s="147" t="str">
        <f t="shared" si="4"/>
        <v>water</v>
      </c>
      <c r="O10" s="148"/>
    </row>
    <row r="11" spans="1:19" ht="15.75" thickBot="1">
      <c r="A11" s="95" t="s">
        <v>145</v>
      </c>
      <c r="B11" s="37" t="s">
        <v>152</v>
      </c>
      <c r="C11" s="73">
        <f>40*60+26-37*60-33</f>
        <v>173</v>
      </c>
      <c r="E11" s="404" t="s">
        <v>151</v>
      </c>
      <c r="F11" s="405"/>
      <c r="G11" s="73">
        <f>SUM(G2:G10)-G10</f>
        <v>1142.5</v>
      </c>
      <c r="I11" s="406" t="s">
        <v>154</v>
      </c>
      <c r="J11" s="407"/>
      <c r="K11" s="155">
        <f>+K10/K9</f>
        <v>8.4815041896586965E-2</v>
      </c>
      <c r="M11" s="146" t="s">
        <v>142</v>
      </c>
      <c r="N11" s="147" t="str">
        <f t="shared" si="4"/>
        <v>water/washroom</v>
      </c>
      <c r="O11" s="141">
        <f t="shared" ref="O11:O12" si="8">INDEX($C$2:$C$38,MATCH(M11,$A$2:$A$38,0))</f>
        <v>263</v>
      </c>
    </row>
    <row r="12" spans="1:19" ht="15.75" thickBot="1">
      <c r="A12" s="95" t="s">
        <v>133</v>
      </c>
      <c r="B12" s="37" t="s">
        <v>147</v>
      </c>
      <c r="C12" s="73">
        <f>43*60+14-42*60-48</f>
        <v>26</v>
      </c>
      <c r="E12" s="406" t="s">
        <v>154</v>
      </c>
      <c r="F12" s="407"/>
      <c r="G12" s="155">
        <f>+G11/G10</f>
        <v>0.11674841610463928</v>
      </c>
      <c r="M12" s="149" t="s">
        <v>146</v>
      </c>
      <c r="N12" s="150" t="str">
        <f t="shared" si="4"/>
        <v>Water</v>
      </c>
      <c r="O12" s="141">
        <f t="shared" si="8"/>
        <v>182</v>
      </c>
    </row>
    <row r="13" spans="1:19">
      <c r="A13" s="95" t="s">
        <v>145</v>
      </c>
      <c r="B13" s="37" t="s">
        <v>155</v>
      </c>
      <c r="C13" s="73">
        <v>42</v>
      </c>
      <c r="M13" s="410" t="s">
        <v>149</v>
      </c>
      <c r="N13" s="411"/>
      <c r="O13" s="94">
        <v>9786</v>
      </c>
    </row>
    <row r="14" spans="1:19">
      <c r="A14" s="95" t="s">
        <v>148</v>
      </c>
      <c r="B14" s="37" t="s">
        <v>89</v>
      </c>
      <c r="C14" s="73">
        <f>360+44-240-50</f>
        <v>114</v>
      </c>
      <c r="E14" s="157" t="s">
        <v>156</v>
      </c>
      <c r="F14" s="158" t="s">
        <v>157</v>
      </c>
      <c r="M14" s="404" t="s">
        <v>151</v>
      </c>
      <c r="N14" s="405"/>
      <c r="O14" s="73">
        <f>SUM(O2:O13)-O13</f>
        <v>1387</v>
      </c>
    </row>
    <row r="15" spans="1:19" ht="15.75" thickBot="1">
      <c r="A15" s="95" t="s">
        <v>142</v>
      </c>
      <c r="B15" s="37" t="s">
        <v>90</v>
      </c>
      <c r="C15" s="73">
        <f>12*60+28-480-5</f>
        <v>263</v>
      </c>
      <c r="E15" s="157" t="s">
        <v>70</v>
      </c>
      <c r="F15" s="158">
        <v>240</v>
      </c>
      <c r="M15" s="406" t="s">
        <v>154</v>
      </c>
      <c r="N15" s="407"/>
      <c r="O15" s="155">
        <f>+O14/O13</f>
        <v>0.14173308808501942</v>
      </c>
    </row>
    <row r="16" spans="1:19">
      <c r="A16" s="95" t="s">
        <v>150</v>
      </c>
      <c r="B16" s="37" t="s">
        <v>152</v>
      </c>
      <c r="C16" s="73">
        <f>16*60+13-13*60</f>
        <v>193</v>
      </c>
      <c r="E16" s="157" t="s">
        <v>31</v>
      </c>
      <c r="F16" s="158" t="s">
        <v>34</v>
      </c>
    </row>
    <row r="17" spans="1:6">
      <c r="A17" s="95" t="s">
        <v>137</v>
      </c>
      <c r="B17" s="37" t="s">
        <v>89</v>
      </c>
      <c r="C17" s="73">
        <f>19*60+26-16*60-40</f>
        <v>166</v>
      </c>
      <c r="E17" s="157" t="s">
        <v>158</v>
      </c>
      <c r="F17" s="158">
        <f>56471.4-56442</f>
        <v>29.400000000001455</v>
      </c>
    </row>
    <row r="18" spans="1:6">
      <c r="A18" s="95" t="s">
        <v>132</v>
      </c>
      <c r="B18" s="37" t="s">
        <v>89</v>
      </c>
      <c r="C18" s="73">
        <f>28*60+15-25*60-36</f>
        <v>159</v>
      </c>
      <c r="E18" s="157" t="s">
        <v>159</v>
      </c>
      <c r="F18" s="158">
        <f>754-713</f>
        <v>41</v>
      </c>
    </row>
    <row r="19" spans="1:6" ht="30">
      <c r="A19" s="95" t="s">
        <v>136</v>
      </c>
      <c r="B19" s="159" t="s">
        <v>160</v>
      </c>
      <c r="C19" s="73">
        <f>41*60-36*60-16</f>
        <v>284</v>
      </c>
      <c r="E19" s="157" t="s">
        <v>161</v>
      </c>
      <c r="F19" s="158">
        <v>40</v>
      </c>
    </row>
    <row r="20" spans="1:6">
      <c r="A20" s="95" t="s">
        <v>139</v>
      </c>
      <c r="B20" s="37" t="s">
        <v>131</v>
      </c>
      <c r="C20" s="73">
        <v>120</v>
      </c>
      <c r="E20" s="157" t="s">
        <v>162</v>
      </c>
      <c r="F20" s="158">
        <v>12</v>
      </c>
    </row>
    <row r="21" spans="1:6">
      <c r="A21" s="95" t="s">
        <v>140</v>
      </c>
      <c r="B21" s="37" t="s">
        <v>89</v>
      </c>
      <c r="C21" s="73">
        <f>45*60+28-43*60</f>
        <v>148</v>
      </c>
      <c r="E21" s="157"/>
      <c r="F21" s="158"/>
    </row>
    <row r="22" spans="1:6">
      <c r="A22" s="95" t="s">
        <v>144</v>
      </c>
      <c r="B22" s="37" t="s">
        <v>89</v>
      </c>
      <c r="C22" s="73">
        <f>49*60+5-48*60-10</f>
        <v>55</v>
      </c>
      <c r="E22" s="157" t="s">
        <v>163</v>
      </c>
      <c r="F22" s="160">
        <f>+AVERAGE(G12,K11,O15)</f>
        <v>0.11443218202874855</v>
      </c>
    </row>
    <row r="23" spans="1:6">
      <c r="A23" s="95" t="s">
        <v>146</v>
      </c>
      <c r="B23" s="37" t="s">
        <v>91</v>
      </c>
      <c r="C23" s="73">
        <f>180-50+52</f>
        <v>182</v>
      </c>
    </row>
    <row r="24" spans="1:6">
      <c r="A24" s="95" t="s">
        <v>153</v>
      </c>
      <c r="B24" s="37" t="s">
        <v>87</v>
      </c>
      <c r="C24" s="73">
        <f>29-15</f>
        <v>14</v>
      </c>
    </row>
    <row r="25" spans="1:6" ht="15.75" thickBot="1">
      <c r="A25" s="121" t="s">
        <v>110</v>
      </c>
      <c r="B25" s="122" t="s">
        <v>61</v>
      </c>
      <c r="C25" s="78">
        <f>31*60+2-14*60-8</f>
        <v>1014</v>
      </c>
    </row>
    <row r="26" spans="1:6">
      <c r="B26" s="108" t="s">
        <v>164</v>
      </c>
      <c r="C26" s="105">
        <f>SUM(C2:C25)</f>
        <v>4369.5</v>
      </c>
    </row>
    <row r="27" spans="1:6">
      <c r="B27" s="108" t="s">
        <v>165</v>
      </c>
      <c r="C27" s="105">
        <f>3*60*60</f>
        <v>10800</v>
      </c>
    </row>
    <row r="28" spans="1:6">
      <c r="B28" s="108" t="s">
        <v>149</v>
      </c>
      <c r="C28" s="105">
        <f>+C27-C25</f>
        <v>9786</v>
      </c>
    </row>
    <row r="29" spans="1:6" ht="15.75" thickBot="1">
      <c r="B29" s="119" t="s">
        <v>166</v>
      </c>
      <c r="C29" s="120">
        <f>+C26/C28</f>
        <v>0.44650521152667078</v>
      </c>
    </row>
    <row r="31" spans="1:6">
      <c r="B31" t="s">
        <v>70</v>
      </c>
      <c r="C31">
        <v>246</v>
      </c>
    </row>
    <row r="32" spans="1:6">
      <c r="B32" t="s">
        <v>167</v>
      </c>
      <c r="C32">
        <f>85*60</f>
        <v>5100</v>
      </c>
      <c r="D32" t="s">
        <v>168</v>
      </c>
    </row>
  </sheetData>
  <mergeCells count="12">
    <mergeCell ref="E10:F10"/>
    <mergeCell ref="I10:J10"/>
    <mergeCell ref="M15:N15"/>
    <mergeCell ref="Q7:R7"/>
    <mergeCell ref="Q8:R8"/>
    <mergeCell ref="I9:J9"/>
    <mergeCell ref="Q9:R9"/>
    <mergeCell ref="E11:F11"/>
    <mergeCell ref="I11:J11"/>
    <mergeCell ref="E12:F12"/>
    <mergeCell ref="M13:N13"/>
    <mergeCell ref="M14:N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8"/>
  <sheetViews>
    <sheetView topLeftCell="A4" workbookViewId="0">
      <selection activeCell="G16" sqref="G16"/>
    </sheetView>
  </sheetViews>
  <sheetFormatPr defaultRowHeight="15"/>
  <cols>
    <col min="1" max="1" width="46.7109375" bestFit="1" customWidth="1"/>
    <col min="2" max="2" width="33.28515625" bestFit="1" customWidth="1"/>
  </cols>
  <sheetData>
    <row r="1" spans="1:3">
      <c r="A1" s="161" t="s">
        <v>156</v>
      </c>
      <c r="B1" s="162" t="s">
        <v>169</v>
      </c>
    </row>
    <row r="2" spans="1:3">
      <c r="A2" s="163" t="s">
        <v>70</v>
      </c>
      <c r="B2" s="164">
        <v>240</v>
      </c>
    </row>
    <row r="3" spans="1:3">
      <c r="A3" s="163" t="s">
        <v>31</v>
      </c>
      <c r="B3" s="164" t="s">
        <v>34</v>
      </c>
    </row>
    <row r="4" spans="1:3">
      <c r="A4" s="163" t="s">
        <v>158</v>
      </c>
      <c r="B4" s="164">
        <v>29.400000000001455</v>
      </c>
    </row>
    <row r="5" spans="1:3">
      <c r="A5" s="163" t="s">
        <v>159</v>
      </c>
      <c r="B5" s="164">
        <v>41</v>
      </c>
    </row>
    <row r="6" spans="1:3">
      <c r="A6" s="163" t="s">
        <v>161</v>
      </c>
      <c r="B6" s="164">
        <v>40</v>
      </c>
    </row>
    <row r="7" spans="1:3">
      <c r="A7" s="163" t="s">
        <v>162</v>
      </c>
      <c r="B7" s="164">
        <v>12</v>
      </c>
    </row>
    <row r="8" spans="1:3">
      <c r="A8" s="163" t="s">
        <v>170</v>
      </c>
      <c r="B8" s="164">
        <v>1200</v>
      </c>
    </row>
    <row r="9" spans="1:3">
      <c r="A9" s="163" t="s">
        <v>171</v>
      </c>
      <c r="B9" s="164" t="s">
        <v>76</v>
      </c>
    </row>
    <row r="10" spans="1:3" ht="15.75" thickBot="1">
      <c r="A10" s="165" t="s">
        <v>163</v>
      </c>
      <c r="B10" s="166">
        <v>0.11443218202874855</v>
      </c>
      <c r="C10" s="29"/>
    </row>
    <row r="11" spans="1:3" ht="15.75" thickBot="1">
      <c r="A11" s="167"/>
      <c r="B11" s="168"/>
    </row>
    <row r="12" spans="1:3">
      <c r="A12" s="169" t="s">
        <v>156</v>
      </c>
      <c r="B12" s="170" t="s">
        <v>172</v>
      </c>
    </row>
    <row r="13" spans="1:3">
      <c r="A13" s="163" t="s">
        <v>70</v>
      </c>
      <c r="B13" s="164">
        <v>240</v>
      </c>
    </row>
    <row r="14" spans="1:3">
      <c r="A14" s="163" t="s">
        <v>31</v>
      </c>
      <c r="B14" s="164" t="s">
        <v>35</v>
      </c>
    </row>
    <row r="15" spans="1:3">
      <c r="A15" s="163" t="s">
        <v>173</v>
      </c>
      <c r="B15" s="164">
        <v>35.4</v>
      </c>
    </row>
    <row r="16" spans="1:3">
      <c r="A16" s="163" t="s">
        <v>174</v>
      </c>
      <c r="B16" s="164">
        <v>43.7</v>
      </c>
    </row>
    <row r="17" spans="1:2">
      <c r="A17" s="163" t="s">
        <v>170</v>
      </c>
      <c r="B17" s="164">
        <v>1200</v>
      </c>
    </row>
    <row r="18" spans="1:2">
      <c r="A18" s="163" t="s">
        <v>171</v>
      </c>
      <c r="B18" s="164" t="s">
        <v>76</v>
      </c>
    </row>
    <row r="19" spans="1:2" ht="15.75" thickBot="1">
      <c r="A19" s="165" t="s">
        <v>163</v>
      </c>
      <c r="B19" s="166">
        <f>AVERAGE([1]vimalesh!F12,[1]vimalesh!L12)</f>
        <v>9.3395061728395068E-2</v>
      </c>
    </row>
    <row r="20" spans="1:2" ht="15.75" thickBot="1">
      <c r="A20" s="167"/>
      <c r="B20" s="168"/>
    </row>
    <row r="21" spans="1:2">
      <c r="A21" s="169" t="s">
        <v>156</v>
      </c>
      <c r="B21" s="170" t="s">
        <v>175</v>
      </c>
    </row>
    <row r="22" spans="1:2">
      <c r="A22" s="163" t="s">
        <v>70</v>
      </c>
      <c r="B22" s="164">
        <v>240</v>
      </c>
    </row>
    <row r="23" spans="1:2">
      <c r="A23" s="163" t="s">
        <v>31</v>
      </c>
      <c r="B23" s="164" t="s">
        <v>36</v>
      </c>
    </row>
    <row r="24" spans="1:2">
      <c r="A24" s="163" t="s">
        <v>176</v>
      </c>
      <c r="B24" s="164">
        <v>41</v>
      </c>
    </row>
    <row r="25" spans="1:2">
      <c r="A25" s="163" t="s">
        <v>170</v>
      </c>
      <c r="B25" s="164">
        <v>1200</v>
      </c>
    </row>
    <row r="26" spans="1:2">
      <c r="A26" s="163" t="s">
        <v>171</v>
      </c>
      <c r="B26" s="164" t="s">
        <v>76</v>
      </c>
    </row>
    <row r="27" spans="1:2" ht="15.75" thickBot="1">
      <c r="A27" s="165" t="s">
        <v>163</v>
      </c>
      <c r="B27" s="166">
        <f>AVERAGE(18%,'[1]plain+cond'!B39,'[1]plain+cond'!B57)</f>
        <v>0.18582219393167834</v>
      </c>
    </row>
    <row r="28" spans="1:2" ht="15.75" thickBot="1">
      <c r="A28" s="167"/>
      <c r="B28" s="168"/>
    </row>
    <row r="29" spans="1:2">
      <c r="A29" s="169" t="s">
        <v>156</v>
      </c>
      <c r="B29" s="171" t="s">
        <v>177</v>
      </c>
    </row>
    <row r="30" spans="1:2">
      <c r="A30" s="163" t="s">
        <v>70</v>
      </c>
      <c r="B30" s="164">
        <v>240</v>
      </c>
    </row>
    <row r="31" spans="1:2">
      <c r="A31" s="163" t="s">
        <v>31</v>
      </c>
      <c r="B31" s="164" t="s">
        <v>37</v>
      </c>
    </row>
    <row r="32" spans="1:2">
      <c r="A32" s="163" t="s">
        <v>178</v>
      </c>
      <c r="B32" s="164">
        <f>[1]GEO!M37</f>
        <v>61.19999999999709</v>
      </c>
    </row>
    <row r="33" spans="1:2">
      <c r="A33" s="163" t="s">
        <v>179</v>
      </c>
      <c r="B33" s="164">
        <f>[1]GEO!M38</f>
        <v>60.600000000002183</v>
      </c>
    </row>
    <row r="34" spans="1:2">
      <c r="A34" s="163" t="s">
        <v>180</v>
      </c>
      <c r="B34" s="164">
        <f>[1]GEO!M39</f>
        <v>51.80000000000291</v>
      </c>
    </row>
    <row r="35" spans="1:2">
      <c r="A35" s="163" t="s">
        <v>181</v>
      </c>
      <c r="B35" s="164">
        <f>[1]GEO!M40</f>
        <v>56</v>
      </c>
    </row>
    <row r="36" spans="1:2">
      <c r="A36" s="163" t="s">
        <v>170</v>
      </c>
      <c r="B36" s="164">
        <v>840</v>
      </c>
    </row>
    <row r="37" spans="1:2">
      <c r="A37" s="163" t="s">
        <v>171</v>
      </c>
      <c r="B37" s="164">
        <v>1000</v>
      </c>
    </row>
    <row r="38" spans="1:2" ht="15.75" thickBot="1">
      <c r="A38" s="172" t="s">
        <v>163</v>
      </c>
      <c r="B38" s="173">
        <f>AVERAGE([1]GEO!B9,[1]GEO!E25,[1]GEO!E39,[1]GEO!E52,[1]GEO!E62)</f>
        <v>0.10687460216422662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Processing</vt:lpstr>
      <vt:lpstr>Data</vt:lpstr>
      <vt:lpstr>data 1</vt:lpstr>
      <vt:lpstr>cond</vt:lpstr>
      <vt:lpstr>GEO</vt:lpstr>
      <vt:lpstr>Geo 840</vt:lpstr>
      <vt:lpstr>plain</vt:lpstr>
      <vt:lpstr>summary</vt:lpstr>
      <vt:lpstr>interlock &amp; leno</vt:lpstr>
      <vt:lpstr>vent without interlock</vt:lpstr>
      <vt:lpstr>Summary2</vt:lpstr>
      <vt:lpstr>combination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divyanshu Dwivedi</cp:lastModifiedBy>
  <dcterms:created xsi:type="dcterms:W3CDTF">2020-09-01T10:46:54Z</dcterms:created>
  <dcterms:modified xsi:type="dcterms:W3CDTF">2022-07-29T04:10:01Z</dcterms:modified>
</cp:coreProperties>
</file>