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nnecthkuhk-my.sharepoint.com/personal/bjh2001_connect_hku_hk/Documents/Semester 1/COMP7802A - Introduction to financial computing/"/>
    </mc:Choice>
  </mc:AlternateContent>
  <xr:revisionPtr revIDLastSave="137" documentId="8_{E75F9C40-27D6-4526-ADEA-DFAF8D6C40BE}" xr6:coauthVersionLast="47" xr6:coauthVersionMax="47" xr10:uidLastSave="{B608A03E-791C-472D-A218-F2835268F70D}"/>
  <bookViews>
    <workbookView xWindow="-120" yWindow="-120" windowWidth="38640" windowHeight="21120" activeTab="5" xr2:uid="{4B78629B-2756-DC41-AB10-449010B61B07}"/>
  </bookViews>
  <sheets>
    <sheet name="RateSource" sheetId="2" r:id="rId1"/>
    <sheet name="Cash" sheetId="3" r:id="rId2"/>
    <sheet name="FRA" sheetId="4" r:id="rId3"/>
    <sheet name="Swap" sheetId="5" r:id="rId4"/>
    <sheet name="DF and ZC" sheetId="6" r:id="rId5"/>
    <sheet name="Price" sheetId="9" r:id="rId6"/>
  </sheets>
  <definedNames>
    <definedName name="SpotDate">'DF and ZC'!$C$2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5" l="1"/>
  <c r="G2" i="5"/>
  <c r="G2" i="4"/>
  <c r="H2" i="4" s="1"/>
  <c r="E7" i="6" s="1"/>
  <c r="F7" i="6" s="1"/>
  <c r="G3" i="4"/>
  <c r="H3" i="4" s="1"/>
  <c r="E8" i="6" s="1"/>
  <c r="F8" i="6" s="1"/>
  <c r="G4" i="4"/>
  <c r="H4" i="4" s="1"/>
  <c r="C7" i="9"/>
  <c r="C6" i="9"/>
  <c r="D6" i="9" s="1"/>
  <c r="F15" i="5"/>
  <c r="F16" i="5" s="1"/>
  <c r="F14" i="5"/>
  <c r="F11" i="5"/>
  <c r="F12" i="5" s="1"/>
  <c r="F10" i="5"/>
  <c r="F7" i="5"/>
  <c r="F8" i="5" s="1"/>
  <c r="F6" i="5"/>
  <c r="B7" i="9"/>
  <c r="B10" i="9"/>
  <c r="B12" i="9"/>
  <c r="B13" i="9"/>
  <c r="B14" i="9"/>
  <c r="B15" i="9"/>
  <c r="B16" i="9"/>
  <c r="B17" i="9"/>
  <c r="B3" i="9"/>
  <c r="B18" i="9" s="1"/>
  <c r="E3" i="6"/>
  <c r="F3" i="6" s="1"/>
  <c r="E4" i="6"/>
  <c r="F4" i="6" s="1"/>
  <c r="E5" i="6"/>
  <c r="F5" i="6" s="1"/>
  <c r="E6" i="6"/>
  <c r="F6" i="6" s="1"/>
  <c r="E2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3" i="6"/>
  <c r="D2" i="6"/>
  <c r="F17" i="5"/>
  <c r="F13" i="5"/>
  <c r="F9" i="5"/>
  <c r="F5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2" i="5"/>
  <c r="F4" i="3"/>
  <c r="G4" i="3" s="1"/>
  <c r="F5" i="3"/>
  <c r="F6" i="3"/>
  <c r="G6" i="3" s="1"/>
  <c r="F3" i="3"/>
  <c r="G3" i="3" s="1"/>
  <c r="F3" i="4"/>
  <c r="F4" i="4"/>
  <c r="F5" i="4"/>
  <c r="F2" i="4"/>
  <c r="D3" i="4"/>
  <c r="E3" i="4" s="1"/>
  <c r="D4" i="4"/>
  <c r="E4" i="4" s="1"/>
  <c r="D5" i="4"/>
  <c r="E5" i="4" s="1"/>
  <c r="D2" i="4"/>
  <c r="E2" i="4" s="1"/>
  <c r="E3" i="3"/>
  <c r="E4" i="3"/>
  <c r="E5" i="3"/>
  <c r="E6" i="3"/>
  <c r="E2" i="3"/>
  <c r="G2" i="3" s="1"/>
  <c r="D3" i="3"/>
  <c r="D4" i="3"/>
  <c r="D5" i="3"/>
  <c r="D6" i="3"/>
  <c r="D2" i="3"/>
  <c r="G5" i="4" l="1"/>
  <c r="E9" i="6"/>
  <c r="F9" i="6" s="1"/>
  <c r="D7" i="9"/>
  <c r="B9" i="9"/>
  <c r="B8" i="9"/>
  <c r="B11" i="9"/>
  <c r="G5" i="3"/>
  <c r="C8" i="9" l="1"/>
  <c r="D8" i="9" s="1"/>
  <c r="H3" i="5"/>
  <c r="G3" i="5" s="1"/>
  <c r="H5" i="4"/>
  <c r="H4" i="5" l="1"/>
  <c r="G4" i="5" s="1"/>
  <c r="H5" i="5" s="1"/>
  <c r="E10" i="6"/>
  <c r="E11" i="6" l="1"/>
  <c r="G5" i="5"/>
  <c r="F10" i="6"/>
  <c r="C9" i="9"/>
  <c r="D9" i="9" s="1"/>
  <c r="H6" i="5" l="1"/>
  <c r="F11" i="6"/>
  <c r="C10" i="9"/>
  <c r="D10" i="9" s="1"/>
  <c r="E12" i="6" l="1"/>
  <c r="G6" i="5"/>
  <c r="H7" i="5" l="1"/>
  <c r="C11" i="9"/>
  <c r="D11" i="9" s="1"/>
  <c r="F12" i="6"/>
  <c r="E13" i="6" l="1"/>
  <c r="G7" i="5"/>
  <c r="H8" i="5" l="1"/>
  <c r="F13" i="6"/>
  <c r="C12" i="9"/>
  <c r="D12" i="9" s="1"/>
  <c r="G8" i="5" l="1"/>
  <c r="E14" i="6"/>
  <c r="C13" i="9" l="1"/>
  <c r="D13" i="9" s="1"/>
  <c r="F14" i="6"/>
  <c r="H9" i="5"/>
  <c r="G9" i="5" l="1"/>
  <c r="E15" i="6"/>
  <c r="F15" i="6" l="1"/>
  <c r="C14" i="9"/>
  <c r="D14" i="9" s="1"/>
  <c r="H10" i="5"/>
  <c r="G10" i="5" l="1"/>
  <c r="H11" i="5" s="1"/>
  <c r="E16" i="6"/>
  <c r="F16" i="6" l="1"/>
  <c r="C15" i="9"/>
  <c r="D15" i="9" s="1"/>
  <c r="G11" i="5"/>
  <c r="H12" i="5" s="1"/>
  <c r="E17" i="6"/>
  <c r="C16" i="9" l="1"/>
  <c r="D16" i="9" s="1"/>
  <c r="F17" i="6"/>
  <c r="G12" i="5"/>
  <c r="H13" i="5" s="1"/>
  <c r="E18" i="6"/>
  <c r="F18" i="6" l="1"/>
  <c r="C17" i="9"/>
  <c r="D17" i="9" s="1"/>
  <c r="E19" i="6"/>
  <c r="G13" i="5"/>
  <c r="H14" i="5" s="1"/>
  <c r="E20" i="6" l="1"/>
  <c r="F20" i="6" s="1"/>
  <c r="G14" i="5"/>
  <c r="H15" i="5" s="1"/>
  <c r="F19" i="6"/>
  <c r="C18" i="9"/>
  <c r="D18" i="9" s="1"/>
  <c r="D20" i="9" s="1"/>
  <c r="D21" i="9" s="1"/>
  <c r="E21" i="6" l="1"/>
  <c r="F21" i="6" s="1"/>
  <c r="G15" i="5"/>
  <c r="H16" i="5" s="1"/>
  <c r="E22" i="6" l="1"/>
  <c r="F22" i="6" s="1"/>
  <c r="G16" i="5"/>
  <c r="H17" i="5" s="1"/>
  <c r="E23" i="6" l="1"/>
  <c r="F23" i="6" s="1"/>
  <c r="G17" i="5"/>
</calcChain>
</file>

<file path=xl/sharedStrings.xml><?xml version="1.0" encoding="utf-8"?>
<sst xmlns="http://schemas.openxmlformats.org/spreadsheetml/2006/main" count="86" uniqueCount="59">
  <si>
    <t>Tenor</t>
    <phoneticPr fontId="1" type="noConversion"/>
  </si>
  <si>
    <t>Tenor</t>
    <phoneticPr fontId="4" type="noConversion"/>
  </si>
  <si>
    <t>From</t>
    <phoneticPr fontId="4" type="noConversion"/>
  </si>
  <si>
    <t>To</t>
    <phoneticPr fontId="4" type="noConversion"/>
  </si>
  <si>
    <t>Period</t>
    <phoneticPr fontId="4" type="noConversion"/>
  </si>
  <si>
    <t>t
(Act/365)</t>
    <phoneticPr fontId="4" type="noConversion"/>
  </si>
  <si>
    <t>Rate (r)</t>
    <phoneticPr fontId="4" type="noConversion"/>
  </si>
  <si>
    <t>Dt</t>
    <phoneticPr fontId="4" type="noConversion"/>
  </si>
  <si>
    <t>Spot</t>
    <phoneticPr fontId="4" type="noConversion"/>
  </si>
  <si>
    <t>1Wk</t>
  </si>
  <si>
    <t>1M</t>
  </si>
  <si>
    <t>2M</t>
  </si>
  <si>
    <t>3M</t>
  </si>
  <si>
    <t>1Wk</t>
    <phoneticPr fontId="1" type="noConversion"/>
  </si>
  <si>
    <r>
      <t>D</t>
    </r>
    <r>
      <rPr>
        <vertAlign val="subscript"/>
        <sz val="10"/>
        <rFont val="Calibri"/>
        <family val="2"/>
      </rPr>
      <t>S</t>
    </r>
    <phoneticPr fontId="4" type="noConversion"/>
  </si>
  <si>
    <r>
      <t>D</t>
    </r>
    <r>
      <rPr>
        <vertAlign val="subscript"/>
        <sz val="10"/>
        <rFont val="Calibri"/>
        <family val="2"/>
      </rPr>
      <t>E</t>
    </r>
    <phoneticPr fontId="4" type="noConversion"/>
  </si>
  <si>
    <t>1x4</t>
  </si>
  <si>
    <t>2x5</t>
  </si>
  <si>
    <t>3x6</t>
  </si>
  <si>
    <t>6x9</t>
  </si>
  <si>
    <t>ti
(Act/365)</t>
    <phoneticPr fontId="4" type="noConversion"/>
  </si>
  <si>
    <t>ti*Di</t>
    <phoneticPr fontId="4" type="noConversion"/>
  </si>
  <si>
    <t>Di</t>
    <phoneticPr fontId="4" type="noConversion"/>
  </si>
  <si>
    <t>2YR</t>
    <phoneticPr fontId="4" type="noConversion"/>
  </si>
  <si>
    <t>3YR</t>
    <phoneticPr fontId="4" type="noConversion"/>
  </si>
  <si>
    <t>4YR</t>
    <phoneticPr fontId="4" type="noConversion"/>
  </si>
  <si>
    <t>Instrument</t>
    <phoneticPr fontId="1" type="noConversion"/>
  </si>
  <si>
    <t>Mid Rate</t>
    <phoneticPr fontId="1" type="noConversion"/>
  </si>
  <si>
    <t>CASH</t>
    <phoneticPr fontId="1" type="noConversion"/>
  </si>
  <si>
    <t>FRA</t>
    <phoneticPr fontId="1" type="noConversion"/>
  </si>
  <si>
    <t>SWAP</t>
    <phoneticPr fontId="1" type="noConversion"/>
  </si>
  <si>
    <t>1Wk</t>
    <phoneticPr fontId="1" type="noConversion"/>
  </si>
  <si>
    <t>1M</t>
    <phoneticPr fontId="1" type="noConversion"/>
  </si>
  <si>
    <t>2M</t>
    <phoneticPr fontId="1" type="noConversion"/>
  </si>
  <si>
    <t>3M</t>
    <phoneticPr fontId="1" type="noConversion"/>
  </si>
  <si>
    <t>1x4</t>
    <phoneticPr fontId="1" type="noConversion"/>
  </si>
  <si>
    <t>2x5</t>
    <phoneticPr fontId="1" type="noConversion"/>
  </si>
  <si>
    <t>3x6</t>
    <phoneticPr fontId="1" type="noConversion"/>
  </si>
  <si>
    <t>6x9</t>
    <phoneticPr fontId="1" type="noConversion"/>
  </si>
  <si>
    <t>1Y</t>
    <phoneticPr fontId="1" type="noConversion"/>
  </si>
  <si>
    <t>2Y</t>
    <phoneticPr fontId="1" type="noConversion"/>
  </si>
  <si>
    <t>3Y</t>
    <phoneticPr fontId="1" type="noConversion"/>
  </si>
  <si>
    <t>4Y</t>
    <phoneticPr fontId="1" type="noConversion"/>
  </si>
  <si>
    <t>Date</t>
    <phoneticPr fontId="1" type="noConversion"/>
  </si>
  <si>
    <t>Date</t>
    <phoneticPr fontId="4" type="noConversion"/>
  </si>
  <si>
    <t>No. of 
Days from Spot</t>
    <phoneticPr fontId="4" type="noConversion"/>
  </si>
  <si>
    <t>Spot 
DF</t>
    <phoneticPr fontId="4" type="noConversion"/>
  </si>
  <si>
    <t>Spot 
ZC Rate</t>
    <phoneticPr fontId="4" type="noConversion"/>
  </si>
  <si>
    <t>CASH</t>
    <phoneticPr fontId="4" type="noConversion"/>
  </si>
  <si>
    <t>SPOT</t>
    <phoneticPr fontId="4" type="noConversion"/>
  </si>
  <si>
    <t>FRA</t>
    <phoneticPr fontId="4" type="noConversion"/>
  </si>
  <si>
    <t>SWAP</t>
    <phoneticPr fontId="4" type="noConversion"/>
  </si>
  <si>
    <t>1Y</t>
    <phoneticPr fontId="4" type="noConversion"/>
  </si>
  <si>
    <t>Notional Amount</t>
    <phoneticPr fontId="1" type="noConversion"/>
  </si>
  <si>
    <t>Fixed Interest Rate</t>
    <phoneticPr fontId="1" type="noConversion"/>
  </si>
  <si>
    <t>Cash Flow</t>
    <phoneticPr fontId="1" type="noConversion"/>
  </si>
  <si>
    <t>Discount Factor</t>
    <phoneticPr fontId="1" type="noConversion"/>
  </si>
  <si>
    <t>PV</t>
    <phoneticPr fontId="1" type="noConversion"/>
  </si>
  <si>
    <t>Interest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</si>
</sst>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76" formatCode="0.000"/>
    <numFmt numFmtId="177" formatCode="0.000000_ "/>
    <numFmt numFmtId="178" formatCode="0.000%"/>
    <numFmt numFmtId="179" formatCode="_-* #,##0.000000_-;\-* #,##0.000000_-;_-* &quot;-&quot;??_-;_-@_-"/>
    <numFmt numFmtId="180" formatCode="0.000000_);[Red]\(0.000000\)"/>
    <numFmt numFmtId="181" formatCode="0.0000%"/>
    <numFmt numFmtId="182" formatCode="0.00000%"/>
  </numFmts>
  <fonts count="10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b/>
      <sz val="10"/>
      <name val="Calibri"/>
      <family val="2"/>
    </font>
    <font>
      <sz val="8"/>
      <name val="Arial"/>
      <family val="2"/>
    </font>
    <font>
      <sz val="10"/>
      <name val="Calibri"/>
      <family val="2"/>
    </font>
    <font>
      <u/>
      <sz val="12"/>
      <color theme="10"/>
      <name val="等线"/>
      <family val="2"/>
      <charset val="134"/>
      <scheme val="minor"/>
    </font>
    <font>
      <vertAlign val="subscript"/>
      <sz val="10"/>
      <name val="Calibri"/>
      <family val="2"/>
    </font>
    <font>
      <sz val="12"/>
      <name val="等线"/>
      <family val="2"/>
      <charset val="134"/>
      <scheme val="minor"/>
    </font>
    <font>
      <sz val="12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5" fillId="0" borderId="0" xfId="0" applyFont="1" applyAlignment="1"/>
    <xf numFmtId="0" fontId="5" fillId="3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 wrapText="1"/>
    </xf>
    <xf numFmtId="0" fontId="5" fillId="4" borderId="2" xfId="0" applyFont="1" applyFill="1" applyBorder="1" applyAlignment="1">
      <alignment horizontal="right"/>
    </xf>
    <xf numFmtId="176" fontId="5" fillId="0" borderId="0" xfId="0" applyNumberFormat="1" applyFont="1" applyAlignment="1"/>
    <xf numFmtId="3" fontId="5" fillId="0" borderId="0" xfId="0" applyNumberFormat="1" applyFont="1" applyAlignment="1"/>
    <xf numFmtId="177" fontId="5" fillId="0" borderId="0" xfId="0" applyNumberFormat="1" applyFont="1" applyAlignment="1"/>
    <xf numFmtId="10" fontId="5" fillId="0" borderId="0" xfId="0" applyNumberFormat="1" applyFont="1" applyAlignment="1"/>
    <xf numFmtId="177" fontId="5" fillId="5" borderId="0" xfId="0" applyNumberFormat="1" applyFont="1" applyFill="1" applyAlignment="1"/>
    <xf numFmtId="14" fontId="5" fillId="0" borderId="0" xfId="0" applyNumberFormat="1" applyFont="1" applyAlignment="1"/>
    <xf numFmtId="178" fontId="5" fillId="0" borderId="0" xfId="0" applyNumberFormat="1" applyFont="1" applyAlignment="1"/>
    <xf numFmtId="176" fontId="5" fillId="3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179" fontId="5" fillId="0" borderId="0" xfId="2" applyNumberFormat="1" applyFont="1" applyBorder="1" applyAlignment="1"/>
    <xf numFmtId="177" fontId="5" fillId="6" borderId="0" xfId="0" applyNumberFormat="1" applyFont="1" applyFill="1" applyAlignment="1"/>
    <xf numFmtId="0" fontId="5" fillId="7" borderId="0" xfId="0" applyFont="1" applyFill="1" applyAlignment="1"/>
    <xf numFmtId="0" fontId="8" fillId="0" borderId="0" xfId="3" applyFont="1">
      <alignment vertical="center"/>
    </xf>
    <xf numFmtId="10" fontId="0" fillId="0" borderId="0" xfId="0" applyNumberFormat="1">
      <alignment vertical="center"/>
    </xf>
    <xf numFmtId="178" fontId="0" fillId="0" borderId="0" xfId="0" applyNumberFormat="1">
      <alignment vertical="center"/>
    </xf>
    <xf numFmtId="180" fontId="5" fillId="5" borderId="0" xfId="1" applyNumberFormat="1" applyFont="1" applyFill="1" applyBorder="1" applyAlignment="1"/>
    <xf numFmtId="180" fontId="5" fillId="2" borderId="0" xfId="1" applyNumberFormat="1" applyFont="1" applyFill="1" applyBorder="1" applyAlignment="1"/>
    <xf numFmtId="181" fontId="5" fillId="0" borderId="0" xfId="0" applyNumberFormat="1" applyFont="1" applyAlignment="1"/>
    <xf numFmtId="178" fontId="5" fillId="7" borderId="0" xfId="0" applyNumberFormat="1" applyFont="1" applyFill="1" applyAlignment="1"/>
    <xf numFmtId="178" fontId="5" fillId="0" borderId="0" xfId="2" applyNumberFormat="1" applyFont="1" applyBorder="1" applyAlignment="1"/>
    <xf numFmtId="0" fontId="5" fillId="0" borderId="0" xfId="0" applyFont="1" applyAlignment="1">
      <alignment horizontal="right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wrapText="1"/>
    </xf>
    <xf numFmtId="0" fontId="3" fillId="8" borderId="3" xfId="0" applyFont="1" applyFill="1" applyBorder="1" applyAlignment="1">
      <alignment horizontal="center" wrapText="1"/>
    </xf>
    <xf numFmtId="176" fontId="5" fillId="0" borderId="0" xfId="0" applyNumberFormat="1" applyFont="1" applyAlignment="1">
      <alignment horizontal="right"/>
    </xf>
    <xf numFmtId="3" fontId="5" fillId="0" borderId="4" xfId="0" applyNumberFormat="1" applyFont="1" applyBorder="1" applyAlignment="1"/>
    <xf numFmtId="178" fontId="5" fillId="9" borderId="0" xfId="2" applyNumberFormat="1" applyFont="1" applyFill="1" applyAlignment="1">
      <alignment horizontal="right"/>
    </xf>
    <xf numFmtId="178" fontId="5" fillId="9" borderId="0" xfId="2" applyNumberFormat="1" applyFont="1" applyFill="1" applyAlignment="1"/>
    <xf numFmtId="14" fontId="9" fillId="0" borderId="0" xfId="0" applyNumberFormat="1" applyFont="1" applyAlignment="1"/>
    <xf numFmtId="177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4">
    <cellStyle name="百分比" xfId="2" builtinId="5"/>
    <cellStyle name="常规" xfId="0" builtinId="0"/>
    <cellStyle name="超链接" xfId="3" builtinId="8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Discount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'DF and ZC'!$E$1</c:f>
              <c:strCache>
                <c:ptCount val="1"/>
                <c:pt idx="0">
                  <c:v>Spot 
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'DF and ZC'!$C$2:$C$23</c:f>
              <c:numCache>
                <c:formatCode>m/d/yyyy</c:formatCode>
                <c:ptCount val="22"/>
                <c:pt idx="0">
                  <c:v>45526</c:v>
                </c:pt>
                <c:pt idx="1">
                  <c:v>45533</c:v>
                </c:pt>
                <c:pt idx="2">
                  <c:v>45557</c:v>
                </c:pt>
                <c:pt idx="3">
                  <c:v>45587</c:v>
                </c:pt>
                <c:pt idx="4">
                  <c:v>45618</c:v>
                </c:pt>
                <c:pt idx="5">
                  <c:v>45648</c:v>
                </c:pt>
                <c:pt idx="6">
                  <c:v>45679</c:v>
                </c:pt>
                <c:pt idx="7">
                  <c:v>45710</c:v>
                </c:pt>
                <c:pt idx="8">
                  <c:v>45799</c:v>
                </c:pt>
                <c:pt idx="9">
                  <c:v>45891</c:v>
                </c:pt>
                <c:pt idx="10">
                  <c:v>45983</c:v>
                </c:pt>
                <c:pt idx="11">
                  <c:v>46075</c:v>
                </c:pt>
                <c:pt idx="12">
                  <c:v>46164</c:v>
                </c:pt>
                <c:pt idx="13">
                  <c:v>46256</c:v>
                </c:pt>
                <c:pt idx="14">
                  <c:v>46348</c:v>
                </c:pt>
                <c:pt idx="15">
                  <c:v>46440</c:v>
                </c:pt>
                <c:pt idx="16">
                  <c:v>46529</c:v>
                </c:pt>
                <c:pt idx="17">
                  <c:v>46621</c:v>
                </c:pt>
                <c:pt idx="18">
                  <c:v>46713</c:v>
                </c:pt>
                <c:pt idx="19">
                  <c:v>46805</c:v>
                </c:pt>
                <c:pt idx="20">
                  <c:v>46895</c:v>
                </c:pt>
                <c:pt idx="21">
                  <c:v>46987</c:v>
                </c:pt>
              </c:numCache>
            </c:numRef>
          </c:cat>
          <c:val>
            <c:numRef>
              <c:f>'DF and ZC'!$E$2:$E$23</c:f>
              <c:numCache>
                <c:formatCode>0.000000_ </c:formatCode>
                <c:ptCount val="22"/>
                <c:pt idx="0">
                  <c:v>1</c:v>
                </c:pt>
                <c:pt idx="1">
                  <c:v>0.9992909141184747</c:v>
                </c:pt>
                <c:pt idx="2">
                  <c:v>0.99661424202708593</c:v>
                </c:pt>
                <c:pt idx="3">
                  <c:v>0.99302974736234972</c:v>
                </c:pt>
                <c:pt idx="4">
                  <c:v>0.98927785426988579</c:v>
                </c:pt>
                <c:pt idx="5">
                  <c:v>0.9862866052998096</c:v>
                </c:pt>
                <c:pt idx="6">
                  <c:v>0.9831177655073714</c:v>
                </c:pt>
                <c:pt idx="7">
                  <c:v>0.97964778237085393</c:v>
                </c:pt>
                <c:pt idx="8">
                  <c:v>0.97065394228100621</c:v>
                </c:pt>
                <c:pt idx="9">
                  <c:v>0.96534219216570216</c:v>
                </c:pt>
                <c:pt idx="10">
                  <c:v>0.95814998432192955</c:v>
                </c:pt>
                <c:pt idx="11">
                  <c:v>0.95156082372725848</c:v>
                </c:pt>
                <c:pt idx="12">
                  <c:v>0.94574982309090094</c:v>
                </c:pt>
                <c:pt idx="13">
                  <c:v>0.94031734213495288</c:v>
                </c:pt>
                <c:pt idx="14">
                  <c:v>0.93464822495801503</c:v>
                </c:pt>
                <c:pt idx="15">
                  <c:v>0.9293745824679257</c:v>
                </c:pt>
                <c:pt idx="16">
                  <c:v>0.92464320996737626</c:v>
                </c:pt>
                <c:pt idx="17">
                  <c:v>0.92013091644624667</c:v>
                </c:pt>
                <c:pt idx="18">
                  <c:v>0.91406837274963493</c:v>
                </c:pt>
                <c:pt idx="19">
                  <c:v>0.90810560491095249</c:v>
                </c:pt>
                <c:pt idx="20">
                  <c:v>0.90236737450249926</c:v>
                </c:pt>
                <c:pt idx="21">
                  <c:v>0.89659320426696965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F-4E1E-9979-9E64D9D04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846176"/>
        <c:axId val="442860576"/>
      </c:lineChart>
      <c:dateAx>
        <c:axId val="442846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860576"/>
        <c:crosses val="autoZero"/>
        <c:auto val="1"/>
        <c:lblOffset val="100"/>
        <c:baseTimeUnit val="days"/>
      </c:dateAx>
      <c:valAx>
        <c:axId val="4428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84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'DF and ZC'!$F$1</c:f>
              <c:strCache>
                <c:ptCount val="1"/>
                <c:pt idx="0">
                  <c:v>Spot 
ZC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'DF and ZC'!$C$2:$C$23</c:f>
              <c:numCache>
                <c:formatCode>m/d/yyyy</c:formatCode>
                <c:ptCount val="22"/>
                <c:pt idx="0">
                  <c:v>45526</c:v>
                </c:pt>
                <c:pt idx="1">
                  <c:v>45533</c:v>
                </c:pt>
                <c:pt idx="2">
                  <c:v>45557</c:v>
                </c:pt>
                <c:pt idx="3">
                  <c:v>45587</c:v>
                </c:pt>
                <c:pt idx="4">
                  <c:v>45618</c:v>
                </c:pt>
                <c:pt idx="5">
                  <c:v>45648</c:v>
                </c:pt>
                <c:pt idx="6">
                  <c:v>45679</c:v>
                </c:pt>
                <c:pt idx="7">
                  <c:v>45710</c:v>
                </c:pt>
                <c:pt idx="8">
                  <c:v>45799</c:v>
                </c:pt>
                <c:pt idx="9">
                  <c:v>45891</c:v>
                </c:pt>
                <c:pt idx="10">
                  <c:v>45983</c:v>
                </c:pt>
                <c:pt idx="11">
                  <c:v>46075</c:v>
                </c:pt>
                <c:pt idx="12">
                  <c:v>46164</c:v>
                </c:pt>
                <c:pt idx="13">
                  <c:v>46256</c:v>
                </c:pt>
                <c:pt idx="14">
                  <c:v>46348</c:v>
                </c:pt>
                <c:pt idx="15">
                  <c:v>46440</c:v>
                </c:pt>
                <c:pt idx="16">
                  <c:v>46529</c:v>
                </c:pt>
                <c:pt idx="17">
                  <c:v>46621</c:v>
                </c:pt>
                <c:pt idx="18">
                  <c:v>46713</c:v>
                </c:pt>
                <c:pt idx="19">
                  <c:v>46805</c:v>
                </c:pt>
                <c:pt idx="20">
                  <c:v>46895</c:v>
                </c:pt>
                <c:pt idx="21">
                  <c:v>46987</c:v>
                </c:pt>
              </c:numCache>
            </c:numRef>
          </c:cat>
          <c:val>
            <c:numRef>
              <c:f>'DF and ZC'!$F$2:$F$23</c:f>
              <c:numCache>
                <c:formatCode>0.000%</c:formatCode>
                <c:ptCount val="22"/>
                <c:pt idx="1">
                  <c:v>3.7679405159655399E-2</c:v>
                </c:pt>
                <c:pt idx="2">
                  <c:v>4.0740218240265635E-2</c:v>
                </c:pt>
                <c:pt idx="3">
                  <c:v>4.2741480056671666E-2</c:v>
                </c:pt>
                <c:pt idx="4">
                  <c:v>4.3696403067052358E-2</c:v>
                </c:pt>
                <c:pt idx="5">
                  <c:v>4.2176894056462855E-2</c:v>
                </c:pt>
                <c:pt idx="6">
                  <c:v>4.1454662438864309E-2</c:v>
                </c:pt>
                <c:pt idx="7">
                  <c:v>4.1632404635978837E-2</c:v>
                </c:pt>
                <c:pt idx="8">
                  <c:v>4.0626351912747438E-2</c:v>
                </c:pt>
                <c:pt idx="9">
                  <c:v>3.5902095770355302E-2</c:v>
                </c:pt>
                <c:pt idx="10">
                  <c:v>3.4734254257920316E-2</c:v>
                </c:pt>
                <c:pt idx="11">
                  <c:v>3.3561570691294174E-2</c:v>
                </c:pt>
                <c:pt idx="12">
                  <c:v>3.2424742988773847E-2</c:v>
                </c:pt>
                <c:pt idx="13">
                  <c:v>3.1247187445835323E-2</c:v>
                </c:pt>
                <c:pt idx="14">
                  <c:v>3.0465243997198632E-2</c:v>
                </c:pt>
                <c:pt idx="15">
                  <c:v>2.9681244923818628E-2</c:v>
                </c:pt>
                <c:pt idx="16">
                  <c:v>2.8921579432232614E-2</c:v>
                </c:pt>
                <c:pt idx="17">
                  <c:v>2.8134956980622849E-2</c:v>
                </c:pt>
                <c:pt idx="18">
                  <c:v>2.8013867081348565E-2</c:v>
                </c:pt>
                <c:pt idx="19">
                  <c:v>2.7890881187661476E-2</c:v>
                </c:pt>
                <c:pt idx="20">
                  <c:v>2.7769182613834209E-2</c:v>
                </c:pt>
                <c:pt idx="21">
                  <c:v>2.7644796770194713E-2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8-4D42-80EA-C7DD663D4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79936"/>
        <c:axId val="449780416"/>
      </c:lineChart>
      <c:dateAx>
        <c:axId val="449779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780416"/>
        <c:crosses val="autoZero"/>
        <c:auto val="1"/>
        <c:lblOffset val="100"/>
        <c:baseTimeUnit val="days"/>
      </c:dateAx>
      <c:valAx>
        <c:axId val="44978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77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681037</xdr:colOff>
      <xdr:row>1</xdr:row>
      <xdr:rowOff>9525</xdr:rowOff>
    </xdr:from>
    <xdr:to>
      <xdr:col>16</xdr:col>
      <xdr:colOff>352425</xdr:colOff>
      <xdr:row>15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A6218D2-CB98-A342-72D0-BE3F2A390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4760</xdr:colOff>
      <xdr:row>16</xdr:row>
      <xdr:rowOff>114299</xdr:rowOff>
    </xdr:from>
    <xdr:to>
      <xdr:col>16</xdr:col>
      <xdr:colOff>304799</xdr:colOff>
      <xdr:row>33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28568BA-76CC-65CF-E544-70DF6A14C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C49C7-0DF9-4DD8-8741-6CD87E915B73}">
  <dimension ref="A1:C13"/>
  <sheetViews>
    <sheetView zoomScale="159" workbookViewId="0">
      <selection activeCell="D24" sqref="D24"/>
    </sheetView>
  </sheetViews>
  <sheetFormatPr defaultColWidth="8.875" defaultRowHeight="15.75" x14ac:dyDescent="0.25"/>
  <cols>
    <col min="1" max="3" width="12.625" customWidth="1"/>
  </cols>
  <sheetData>
    <row r="1" spans="1:3" x14ac:dyDescent="0.25">
      <c r="A1" t="s">
        <v>26</v>
      </c>
      <c r="B1" t="s">
        <v>0</v>
      </c>
      <c r="C1" t="s">
        <v>27</v>
      </c>
    </row>
    <row r="2" spans="1:3" x14ac:dyDescent="0.25">
      <c r="A2" t="s">
        <v>28</v>
      </c>
      <c r="B2" s="17" t="s">
        <v>31</v>
      </c>
      <c r="C2" s="19">
        <v>3.6999999999999998E-2</v>
      </c>
    </row>
    <row r="3" spans="1:3" x14ac:dyDescent="0.25">
      <c r="A3" t="s">
        <v>28</v>
      </c>
      <c r="B3" t="s">
        <v>32</v>
      </c>
      <c r="C3" s="19">
        <v>0.04</v>
      </c>
    </row>
    <row r="4" spans="1:3" x14ac:dyDescent="0.25">
      <c r="A4" t="s">
        <v>28</v>
      </c>
      <c r="B4" t="s">
        <v>33</v>
      </c>
      <c r="C4" s="19">
        <v>4.2000000000000003E-2</v>
      </c>
    </row>
    <row r="5" spans="1:3" x14ac:dyDescent="0.25">
      <c r="A5" t="s">
        <v>28</v>
      </c>
      <c r="B5" t="s">
        <v>34</v>
      </c>
      <c r="C5" s="19">
        <v>4.2999999999999997E-2</v>
      </c>
    </row>
    <row r="6" spans="1:3" x14ac:dyDescent="0.25">
      <c r="A6" t="s">
        <v>29</v>
      </c>
      <c r="B6" t="s">
        <v>35</v>
      </c>
      <c r="C6" s="19">
        <v>4.2000000000000003E-2</v>
      </c>
    </row>
    <row r="7" spans="1:3" x14ac:dyDescent="0.25">
      <c r="A7" t="s">
        <v>29</v>
      </c>
      <c r="B7" t="s">
        <v>36</v>
      </c>
      <c r="C7" s="19">
        <v>0.04</v>
      </c>
    </row>
    <row r="8" spans="1:3" x14ac:dyDescent="0.25">
      <c r="A8" t="s">
        <v>29</v>
      </c>
      <c r="B8" t="s">
        <v>37</v>
      </c>
      <c r="C8" s="19">
        <v>3.9E-2</v>
      </c>
    </row>
    <row r="9" spans="1:3" x14ac:dyDescent="0.25">
      <c r="A9" t="s">
        <v>29</v>
      </c>
      <c r="B9" t="s">
        <v>38</v>
      </c>
      <c r="C9" s="19">
        <v>3.7999999999999999E-2</v>
      </c>
    </row>
    <row r="10" spans="1:3" x14ac:dyDescent="0.25">
      <c r="A10" t="s">
        <v>30</v>
      </c>
      <c r="B10" t="s">
        <v>39</v>
      </c>
      <c r="C10" s="19">
        <v>3.5499999999999997E-2</v>
      </c>
    </row>
    <row r="11" spans="1:3" x14ac:dyDescent="0.25">
      <c r="A11" t="s">
        <v>30</v>
      </c>
      <c r="B11" t="s">
        <v>40</v>
      </c>
      <c r="C11" s="19">
        <v>3.1E-2</v>
      </c>
    </row>
    <row r="12" spans="1:3" x14ac:dyDescent="0.25">
      <c r="A12" t="s">
        <v>30</v>
      </c>
      <c r="B12" t="s">
        <v>41</v>
      </c>
      <c r="C12" s="19">
        <v>2.8000000000000001E-2</v>
      </c>
    </row>
    <row r="13" spans="1:3" x14ac:dyDescent="0.25">
      <c r="A13" t="s">
        <v>30</v>
      </c>
      <c r="B13" t="s">
        <v>42</v>
      </c>
      <c r="C13" s="19">
        <v>2.75E-2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07D35-6CC7-4EC0-829E-84EB765912AA}">
  <dimension ref="A1:G6"/>
  <sheetViews>
    <sheetView zoomScale="158" workbookViewId="0">
      <selection activeCell="G6" sqref="G6"/>
    </sheetView>
  </sheetViews>
  <sheetFormatPr defaultColWidth="8.875" defaultRowHeight="15.75" x14ac:dyDescent="0.25"/>
  <cols>
    <col min="2" max="2" width="9.125" bestFit="1" customWidth="1"/>
    <col min="3" max="3" width="10" bestFit="1" customWidth="1"/>
    <col min="4" max="7" width="9" bestFit="1" customWidth="1"/>
  </cols>
  <sheetData>
    <row r="1" spans="1:7" ht="25.5" x14ac:dyDescent="0.2">
      <c r="A1" s="2" t="s">
        <v>1</v>
      </c>
      <c r="B1" s="2" t="s">
        <v>2</v>
      </c>
      <c r="C1" s="2" t="s">
        <v>3</v>
      </c>
      <c r="D1" s="2" t="s">
        <v>4</v>
      </c>
      <c r="E1" s="3" t="s">
        <v>5</v>
      </c>
      <c r="F1" s="2" t="s">
        <v>6</v>
      </c>
      <c r="G1" s="4" t="s">
        <v>7</v>
      </c>
    </row>
    <row r="2" spans="1:7" x14ac:dyDescent="0.2">
      <c r="A2" s="5" t="s">
        <v>8</v>
      </c>
      <c r="B2" s="10">
        <v>45526</v>
      </c>
      <c r="C2" s="10">
        <v>45526</v>
      </c>
      <c r="D2" s="6">
        <f>C2-B2</f>
        <v>0</v>
      </c>
      <c r="E2" s="7">
        <f>D2/365</f>
        <v>0</v>
      </c>
      <c r="F2" s="8"/>
      <c r="G2" s="9">
        <f xml:space="preserve"> 1/ (1+E2*F2)</f>
        <v>1</v>
      </c>
    </row>
    <row r="3" spans="1:7" x14ac:dyDescent="0.2">
      <c r="A3" s="5" t="s">
        <v>13</v>
      </c>
      <c r="B3" s="10">
        <v>45526</v>
      </c>
      <c r="C3" s="10">
        <v>45533</v>
      </c>
      <c r="D3" s="6">
        <f t="shared" ref="D3:D6" si="0">C3-B3</f>
        <v>7</v>
      </c>
      <c r="E3" s="7">
        <f t="shared" ref="E3:E6" si="1">D3/365</f>
        <v>1.9178082191780823E-2</v>
      </c>
      <c r="F3" s="11">
        <f>VLOOKUP(A3,RateSource!B2:C13,2,FALSE)</f>
        <v>3.6999999999999998E-2</v>
      </c>
      <c r="G3" s="9">
        <f t="shared" ref="G3:G6" si="2" xml:space="preserve"> 1/ (1+E3*F3)</f>
        <v>0.9992909141184747</v>
      </c>
    </row>
    <row r="4" spans="1:7" x14ac:dyDescent="0.2">
      <c r="A4" s="5" t="s">
        <v>10</v>
      </c>
      <c r="B4" s="10">
        <v>45526</v>
      </c>
      <c r="C4" s="10">
        <v>45557</v>
      </c>
      <c r="D4" s="6">
        <f t="shared" si="0"/>
        <v>31</v>
      </c>
      <c r="E4" s="7">
        <f t="shared" si="1"/>
        <v>8.4931506849315067E-2</v>
      </c>
      <c r="F4" s="11">
        <f>VLOOKUP(A4,RateSource!B3:C14,2,FALSE)</f>
        <v>0.04</v>
      </c>
      <c r="G4" s="9">
        <f t="shared" si="2"/>
        <v>0.99661424202708593</v>
      </c>
    </row>
    <row r="5" spans="1:7" x14ac:dyDescent="0.2">
      <c r="A5" s="5" t="s">
        <v>11</v>
      </c>
      <c r="B5" s="10">
        <v>45526</v>
      </c>
      <c r="C5" s="10">
        <v>45587</v>
      </c>
      <c r="D5" s="6">
        <f t="shared" si="0"/>
        <v>61</v>
      </c>
      <c r="E5" s="7">
        <f t="shared" si="1"/>
        <v>0.16712328767123288</v>
      </c>
      <c r="F5" s="11">
        <f>VLOOKUP(A5,RateSource!B4:C15,2,FALSE)</f>
        <v>4.2000000000000003E-2</v>
      </c>
      <c r="G5" s="9">
        <f t="shared" si="2"/>
        <v>0.99302974736234972</v>
      </c>
    </row>
    <row r="6" spans="1:7" x14ac:dyDescent="0.2">
      <c r="A6" s="5" t="s">
        <v>12</v>
      </c>
      <c r="B6" s="10">
        <v>45526</v>
      </c>
      <c r="C6" s="10">
        <v>45618</v>
      </c>
      <c r="D6" s="6">
        <f t="shared" si="0"/>
        <v>92</v>
      </c>
      <c r="E6" s="7">
        <f t="shared" si="1"/>
        <v>0.25205479452054796</v>
      </c>
      <c r="F6" s="11">
        <f>VLOOKUP(A6,RateSource!B5:C16,2,FALSE)</f>
        <v>4.2999999999999997E-2</v>
      </c>
      <c r="G6" s="9">
        <f t="shared" si="2"/>
        <v>0.98927785426988579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534B-5AEB-405C-A243-5413EFC9C4C8}">
  <dimension ref="A1:H5"/>
  <sheetViews>
    <sheetView zoomScale="150" workbookViewId="0">
      <selection activeCell="G2" sqref="G2"/>
    </sheetView>
  </sheetViews>
  <sheetFormatPr defaultColWidth="8.875" defaultRowHeight="15.75" x14ac:dyDescent="0.25"/>
  <cols>
    <col min="2" max="3" width="10" bestFit="1" customWidth="1"/>
    <col min="4" max="7" width="9" bestFit="1" customWidth="1"/>
    <col min="8" max="8" width="9.375" bestFit="1" customWidth="1"/>
  </cols>
  <sheetData>
    <row r="1" spans="1:8" ht="26.25" x14ac:dyDescent="0.25">
      <c r="A1" s="12" t="s">
        <v>1</v>
      </c>
      <c r="B1" s="2" t="s">
        <v>2</v>
      </c>
      <c r="C1" s="2" t="s">
        <v>3</v>
      </c>
      <c r="D1" s="2" t="s">
        <v>4</v>
      </c>
      <c r="E1" s="3" t="s">
        <v>5</v>
      </c>
      <c r="F1" s="2" t="s">
        <v>6</v>
      </c>
      <c r="G1" s="2" t="s">
        <v>14</v>
      </c>
      <c r="H1" s="13" t="s">
        <v>15</v>
      </c>
    </row>
    <row r="2" spans="1:8" x14ac:dyDescent="0.2">
      <c r="A2" s="5" t="s">
        <v>16</v>
      </c>
      <c r="B2" s="10">
        <v>45557</v>
      </c>
      <c r="C2" s="10">
        <v>45648</v>
      </c>
      <c r="D2" s="6">
        <f>C2-B2</f>
        <v>91</v>
      </c>
      <c r="E2" s="7">
        <f>D2/365</f>
        <v>0.24931506849315069</v>
      </c>
      <c r="F2" s="11">
        <f>VLOOKUP(A2,RateSource!B2:C13,2,FALSE)</f>
        <v>4.2000000000000003E-2</v>
      </c>
      <c r="G2" s="20">
        <f>VLOOKUP("1M",Cash!A2:G6,7,FALSE)</f>
        <v>0.99661424202708593</v>
      </c>
      <c r="H2" s="14">
        <f>G2/ (1 + F2*E2)</f>
        <v>0.9862866052998096</v>
      </c>
    </row>
    <row r="3" spans="1:8" x14ac:dyDescent="0.2">
      <c r="A3" s="5" t="s">
        <v>17</v>
      </c>
      <c r="B3" s="10">
        <v>45587</v>
      </c>
      <c r="C3" s="10">
        <v>45679</v>
      </c>
      <c r="D3" s="6">
        <f t="shared" ref="D3:D5" si="0">C3-B3</f>
        <v>92</v>
      </c>
      <c r="E3" s="7">
        <f t="shared" ref="E3:E5" si="1">D3/365</f>
        <v>0.25205479452054796</v>
      </c>
      <c r="F3" s="11">
        <f>VLOOKUP(A3,RateSource!B3:C14,2,FALSE)</f>
        <v>0.04</v>
      </c>
      <c r="G3" s="20">
        <f>VLOOKUP("2M",Cash!A2:G6,7,FALSE)</f>
        <v>0.99302974736234972</v>
      </c>
      <c r="H3" s="14">
        <f t="shared" ref="H3:H5" si="2">G3/ (1 + F3*E3)</f>
        <v>0.9831177655073714</v>
      </c>
    </row>
    <row r="4" spans="1:8" x14ac:dyDescent="0.2">
      <c r="A4" s="5" t="s">
        <v>18</v>
      </c>
      <c r="B4" s="10">
        <v>45618</v>
      </c>
      <c r="C4" s="10">
        <v>45710</v>
      </c>
      <c r="D4" s="6">
        <f t="shared" si="0"/>
        <v>92</v>
      </c>
      <c r="E4" s="7">
        <f t="shared" si="1"/>
        <v>0.25205479452054796</v>
      </c>
      <c r="F4" s="11">
        <f>VLOOKUP(A4,RateSource!B4:C15,2,FALSE)</f>
        <v>3.9E-2</v>
      </c>
      <c r="G4" s="20">
        <f>VLOOKUP("3M",Cash!A2:G6,7,FALSE)</f>
        <v>0.98927785426988579</v>
      </c>
      <c r="H4" s="14">
        <f t="shared" si="2"/>
        <v>0.97964778237085393</v>
      </c>
    </row>
    <row r="5" spans="1:8" x14ac:dyDescent="0.2">
      <c r="A5" s="5" t="s">
        <v>19</v>
      </c>
      <c r="B5" s="10">
        <v>45710</v>
      </c>
      <c r="C5" s="10">
        <v>45799</v>
      </c>
      <c r="D5" s="6">
        <f t="shared" si="0"/>
        <v>89</v>
      </c>
      <c r="E5" s="7">
        <f t="shared" si="1"/>
        <v>0.24383561643835616</v>
      </c>
      <c r="F5" s="11">
        <f>VLOOKUP(A5,RateSource!B5:C16,2,FALSE)</f>
        <v>3.7999999999999999E-2</v>
      </c>
      <c r="G5" s="21">
        <f>H4</f>
        <v>0.97964778237085393</v>
      </c>
      <c r="H5" s="14">
        <f t="shared" si="2"/>
        <v>0.97065394228100621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16364-0326-4DF2-9CC9-41165B98FE09}">
  <dimension ref="A1:H17"/>
  <sheetViews>
    <sheetView zoomScale="163" workbookViewId="0">
      <selection activeCell="H2" sqref="H2"/>
    </sheetView>
  </sheetViews>
  <sheetFormatPr defaultColWidth="8.875" defaultRowHeight="15.75" x14ac:dyDescent="0.25"/>
  <cols>
    <col min="1" max="1" width="9" bestFit="1" customWidth="1"/>
    <col min="2" max="3" width="10" bestFit="1" customWidth="1"/>
    <col min="4" max="8" width="9" bestFit="1" customWidth="1"/>
  </cols>
  <sheetData>
    <row r="1" spans="1:8" ht="25.5" x14ac:dyDescent="0.2">
      <c r="A1" s="2" t="s">
        <v>1</v>
      </c>
      <c r="B1" s="2" t="s">
        <v>2</v>
      </c>
      <c r="C1" s="2" t="s">
        <v>3</v>
      </c>
      <c r="D1" s="2" t="s">
        <v>4</v>
      </c>
      <c r="E1" s="3" t="s">
        <v>20</v>
      </c>
      <c r="F1" s="2" t="s">
        <v>6</v>
      </c>
      <c r="G1" s="2" t="s">
        <v>21</v>
      </c>
      <c r="H1" s="13" t="s">
        <v>22</v>
      </c>
    </row>
    <row r="2" spans="1:8" x14ac:dyDescent="0.2">
      <c r="A2" s="1">
        <v>3</v>
      </c>
      <c r="B2" s="10">
        <v>45526</v>
      </c>
      <c r="C2" s="10">
        <v>45618</v>
      </c>
      <c r="D2" s="6">
        <f>C2-B2</f>
        <v>92</v>
      </c>
      <c r="E2" s="7">
        <f>D2/365</f>
        <v>0.25205479452054796</v>
      </c>
      <c r="F2" s="22"/>
      <c r="G2" s="7">
        <f>E2*H2</f>
        <v>0.24935222628172465</v>
      </c>
      <c r="H2" s="9">
        <f>VLOOKUP("3M",Cash!A2:G6,7,FALSE)</f>
        <v>0.98927785426988579</v>
      </c>
    </row>
    <row r="3" spans="1:8" x14ac:dyDescent="0.2">
      <c r="A3" s="1">
        <v>6</v>
      </c>
      <c r="B3" s="10">
        <v>45618</v>
      </c>
      <c r="C3" s="10">
        <v>45710</v>
      </c>
      <c r="D3" s="6">
        <f t="shared" ref="D3:D17" si="0">C3-B3</f>
        <v>92</v>
      </c>
      <c r="E3" s="7">
        <f t="shared" ref="E3:E17" si="1">D3/365</f>
        <v>0.25205479452054796</v>
      </c>
      <c r="F3" s="22"/>
      <c r="G3" s="7">
        <f t="shared" ref="G3:G17" si="2">E3*H3</f>
        <v>0.24692492048799608</v>
      </c>
      <c r="H3" s="15">
        <f>VLOOKUP("6x9",FRA!A2:H5,7,FALSE)</f>
        <v>0.97964778237085393</v>
      </c>
    </row>
    <row r="4" spans="1:8" x14ac:dyDescent="0.2">
      <c r="A4" s="1">
        <v>9</v>
      </c>
      <c r="B4" s="10">
        <v>45710</v>
      </c>
      <c r="C4" s="10">
        <v>45799</v>
      </c>
      <c r="D4" s="6">
        <f t="shared" si="0"/>
        <v>89</v>
      </c>
      <c r="E4" s="7">
        <f t="shared" si="1"/>
        <v>0.24383561643835616</v>
      </c>
      <c r="F4" s="22"/>
      <c r="G4" s="7">
        <f t="shared" si="2"/>
        <v>0.23668000236440973</v>
      </c>
      <c r="H4" s="15">
        <f>VLOOKUP("6x9",FRA!A2:H5,8,FALSE)</f>
        <v>0.97065394228100621</v>
      </c>
    </row>
    <row r="5" spans="1:8" x14ac:dyDescent="0.2">
      <c r="A5" s="16">
        <v>12</v>
      </c>
      <c r="B5" s="10">
        <v>45799</v>
      </c>
      <c r="C5" s="10">
        <v>45891</v>
      </c>
      <c r="D5" s="6">
        <f t="shared" si="0"/>
        <v>92</v>
      </c>
      <c r="E5" s="7">
        <f t="shared" si="1"/>
        <v>0.25205479452054796</v>
      </c>
      <c r="F5" s="23">
        <f>VLOOKUP("1Y",RateSource!B2:C13,2,FALSE)</f>
        <v>3.5499999999999997E-2</v>
      </c>
      <c r="G5" s="7">
        <f t="shared" si="2"/>
        <v>0.2433191278883414</v>
      </c>
      <c r="H5" s="7">
        <f xml:space="preserve"> (1 - F5 * SUM($G$2:G4))/(1 + F5 * E5)</f>
        <v>0.96534219216570216</v>
      </c>
    </row>
    <row r="6" spans="1:8" x14ac:dyDescent="0.2">
      <c r="A6" s="1">
        <v>15</v>
      </c>
      <c r="B6" s="10">
        <v>45891</v>
      </c>
      <c r="C6" s="10">
        <v>45983</v>
      </c>
      <c r="D6" s="6">
        <f t="shared" si="0"/>
        <v>92</v>
      </c>
      <c r="E6" s="7">
        <f t="shared" si="1"/>
        <v>0.25205479452054796</v>
      </c>
      <c r="F6" s="24">
        <f>($F$9-$F$5)*E6+F5</f>
        <v>3.436575342465753E-2</v>
      </c>
      <c r="G6" s="7">
        <f t="shared" si="2"/>
        <v>0.24150629741813021</v>
      </c>
      <c r="H6" s="7">
        <f xml:space="preserve"> (1 - F6 * SUM($G$2:G5))/(1 + F6 * E6)</f>
        <v>0.95814998432192955</v>
      </c>
    </row>
    <row r="7" spans="1:8" x14ac:dyDescent="0.2">
      <c r="A7" s="1">
        <v>18</v>
      </c>
      <c r="B7" s="10">
        <v>45983</v>
      </c>
      <c r="C7" s="10">
        <v>46075</v>
      </c>
      <c r="D7" s="6">
        <f t="shared" si="0"/>
        <v>92</v>
      </c>
      <c r="E7" s="7">
        <f t="shared" si="1"/>
        <v>0.25205479452054796</v>
      </c>
      <c r="F7" s="24">
        <f t="shared" ref="F7:F8" si="3">($F$9-$F$5)*E7+F6</f>
        <v>3.3231506849315064E-2</v>
      </c>
      <c r="G7" s="7">
        <f t="shared" si="2"/>
        <v>0.23984546789837749</v>
      </c>
      <c r="H7" s="7">
        <f xml:space="preserve"> (1 - F7 * SUM($G$2:G6))/(1 + F7 * E7)</f>
        <v>0.95156082372725848</v>
      </c>
    </row>
    <row r="8" spans="1:8" x14ac:dyDescent="0.2">
      <c r="A8" s="1">
        <v>21</v>
      </c>
      <c r="B8" s="10">
        <v>46075</v>
      </c>
      <c r="C8" s="10">
        <v>46164</v>
      </c>
      <c r="D8" s="6">
        <f t="shared" si="0"/>
        <v>89</v>
      </c>
      <c r="E8" s="7">
        <f t="shared" si="1"/>
        <v>0.24383561643835616</v>
      </c>
      <c r="F8" s="24">
        <f t="shared" si="3"/>
        <v>3.2134246575342459E-2</v>
      </c>
      <c r="G8" s="7">
        <f t="shared" si="2"/>
        <v>0.23060749110983611</v>
      </c>
      <c r="H8" s="7">
        <f xml:space="preserve"> (1 - F8 * SUM($G$2:G7))/(1 + F8 * E8)</f>
        <v>0.94574982309090094</v>
      </c>
    </row>
    <row r="9" spans="1:8" x14ac:dyDescent="0.2">
      <c r="A9" s="16">
        <v>24</v>
      </c>
      <c r="B9" s="10">
        <v>46164</v>
      </c>
      <c r="C9" s="10">
        <v>46256</v>
      </c>
      <c r="D9" s="6">
        <f t="shared" si="0"/>
        <v>92</v>
      </c>
      <c r="E9" s="7">
        <f t="shared" si="1"/>
        <v>0.25205479452054796</v>
      </c>
      <c r="F9" s="23">
        <f>VLOOKUP("2Y",RateSource!B6:C17,2,FALSE)</f>
        <v>3.1E-2</v>
      </c>
      <c r="G9" s="7">
        <f t="shared" si="2"/>
        <v>0.23701149445593334</v>
      </c>
      <c r="H9" s="7">
        <f xml:space="preserve"> (1 - F9 * SUM($G$2:G8))/(1 + F9 * E9)</f>
        <v>0.94031734213495288</v>
      </c>
    </row>
    <row r="10" spans="1:8" x14ac:dyDescent="0.2">
      <c r="A10" s="1">
        <v>27</v>
      </c>
      <c r="B10" s="10">
        <v>46256</v>
      </c>
      <c r="C10" s="10">
        <v>46348</v>
      </c>
      <c r="D10" s="6">
        <f t="shared" si="0"/>
        <v>92</v>
      </c>
      <c r="E10" s="7">
        <f t="shared" si="1"/>
        <v>0.25205479452054796</v>
      </c>
      <c r="F10" s="24">
        <f>($F$13-$F$9)*E10+F9</f>
        <v>3.0243835616438355E-2</v>
      </c>
      <c r="G10" s="7">
        <f t="shared" si="2"/>
        <v>0.23558256629078736</v>
      </c>
      <c r="H10" s="7">
        <f xml:space="preserve"> (1 - F10 * SUM($G$2:G9))/(1 + F10 * E10)</f>
        <v>0.93464822495801503</v>
      </c>
    </row>
    <row r="11" spans="1:8" x14ac:dyDescent="0.2">
      <c r="A11" s="1">
        <v>30</v>
      </c>
      <c r="B11" s="10">
        <v>46348</v>
      </c>
      <c r="C11" s="10">
        <v>46440</v>
      </c>
      <c r="D11" s="6">
        <f t="shared" si="0"/>
        <v>92</v>
      </c>
      <c r="E11" s="7">
        <f t="shared" si="1"/>
        <v>0.25205479452054796</v>
      </c>
      <c r="F11" s="24">
        <f t="shared" ref="F11:F12" si="4">($F$13-$F$9)*E11+F10</f>
        <v>2.9487671232876711E-2</v>
      </c>
      <c r="G11" s="7">
        <f t="shared" si="2"/>
        <v>0.23425331941657307</v>
      </c>
      <c r="H11" s="7">
        <f xml:space="preserve"> (1 - F11 * SUM($G$2:G10))/(1 + F11 * E11)</f>
        <v>0.9293745824679257</v>
      </c>
    </row>
    <row r="12" spans="1:8" x14ac:dyDescent="0.2">
      <c r="A12" s="1">
        <v>33</v>
      </c>
      <c r="B12" s="10">
        <v>46440</v>
      </c>
      <c r="C12" s="10">
        <v>46529</v>
      </c>
      <c r="D12" s="6">
        <f t="shared" si="0"/>
        <v>89</v>
      </c>
      <c r="E12" s="7">
        <f t="shared" si="1"/>
        <v>0.24383561643835616</v>
      </c>
      <c r="F12" s="24">
        <f t="shared" si="4"/>
        <v>2.8756164383561642E-2</v>
      </c>
      <c r="G12" s="7">
        <f t="shared" si="2"/>
        <v>0.22546094708793557</v>
      </c>
      <c r="H12" s="7">
        <f xml:space="preserve"> (1 - F12 * SUM($G$2:G11))/(1 + F12 * E12)</f>
        <v>0.92464320996737626</v>
      </c>
    </row>
    <row r="13" spans="1:8" x14ac:dyDescent="0.2">
      <c r="A13" s="16">
        <v>36</v>
      </c>
      <c r="B13" s="10">
        <v>46529</v>
      </c>
      <c r="C13" s="10">
        <v>46621</v>
      </c>
      <c r="D13" s="6">
        <f t="shared" si="0"/>
        <v>92</v>
      </c>
      <c r="E13" s="7">
        <f t="shared" si="1"/>
        <v>0.25205479452054796</v>
      </c>
      <c r="F13" s="23">
        <f>VLOOKUP("3Y",RateSource!B6:C17,2,FALSE)</f>
        <v>2.8000000000000001E-2</v>
      </c>
      <c r="G13" s="7">
        <f t="shared" si="2"/>
        <v>0.23192340907686218</v>
      </c>
      <c r="H13" s="7">
        <f xml:space="preserve"> (1 - F13 * SUM($G$2:G12))/(1 + F13 * E13)</f>
        <v>0.92013091644624667</v>
      </c>
    </row>
    <row r="14" spans="1:8" x14ac:dyDescent="0.2">
      <c r="A14" s="1">
        <v>39</v>
      </c>
      <c r="B14" s="10">
        <v>46621</v>
      </c>
      <c r="C14" s="10">
        <v>46713</v>
      </c>
      <c r="D14" s="6">
        <f t="shared" si="0"/>
        <v>92</v>
      </c>
      <c r="E14" s="7">
        <f t="shared" si="1"/>
        <v>0.25205479452054796</v>
      </c>
      <c r="F14" s="24">
        <f>($F$17-$F$13)*E14+F13</f>
        <v>2.7873972602739727E-2</v>
      </c>
      <c r="G14" s="7">
        <f t="shared" si="2"/>
        <v>0.23039531587114087</v>
      </c>
      <c r="H14" s="7">
        <f xml:space="preserve"> (1 - F14 * SUM($G$2:G13))/(1 + F14 * E14)</f>
        <v>0.91406837274963493</v>
      </c>
    </row>
    <row r="15" spans="1:8" x14ac:dyDescent="0.2">
      <c r="A15" s="1">
        <v>42</v>
      </c>
      <c r="B15" s="10">
        <v>46713</v>
      </c>
      <c r="C15" s="10">
        <v>46805</v>
      </c>
      <c r="D15" s="6">
        <f t="shared" si="0"/>
        <v>92</v>
      </c>
      <c r="E15" s="7">
        <f t="shared" si="1"/>
        <v>0.25205479452054796</v>
      </c>
      <c r="F15" s="24">
        <f t="shared" ref="F15:F16" si="5">($F$17-$F$13)*E15+F14</f>
        <v>2.7747945205479452E-2</v>
      </c>
      <c r="G15" s="7">
        <f t="shared" si="2"/>
        <v>0.22889237164878803</v>
      </c>
      <c r="H15" s="7">
        <f xml:space="preserve"> (1 - F15 * SUM($G$2:G14))/(1 + F15 * E15)</f>
        <v>0.90810560491095249</v>
      </c>
    </row>
    <row r="16" spans="1:8" x14ac:dyDescent="0.2">
      <c r="A16" s="1">
        <v>45</v>
      </c>
      <c r="B16" s="10">
        <v>46805</v>
      </c>
      <c r="C16" s="10">
        <v>46895</v>
      </c>
      <c r="D16" s="6">
        <f t="shared" si="0"/>
        <v>90</v>
      </c>
      <c r="E16" s="7">
        <f t="shared" si="1"/>
        <v>0.24657534246575341</v>
      </c>
      <c r="F16" s="24">
        <f t="shared" si="5"/>
        <v>2.7624657534246574E-2</v>
      </c>
      <c r="G16" s="7">
        <f t="shared" si="2"/>
        <v>0.22250154439787651</v>
      </c>
      <c r="H16" s="7">
        <f xml:space="preserve"> (1 - F16 * SUM($G$2:G15))/(1 + F16 * E16)</f>
        <v>0.90236737450249926</v>
      </c>
    </row>
    <row r="17" spans="1:8" x14ac:dyDescent="0.2">
      <c r="A17" s="16">
        <v>48</v>
      </c>
      <c r="B17" s="10">
        <v>46895</v>
      </c>
      <c r="C17" s="10">
        <v>46987</v>
      </c>
      <c r="D17" s="6">
        <f t="shared" si="0"/>
        <v>92</v>
      </c>
      <c r="E17" s="7">
        <f t="shared" si="1"/>
        <v>0.25205479452054796</v>
      </c>
      <c r="F17" s="23">
        <f>VLOOKUP("4Y",RateSource!B6:C17,2,FALSE)</f>
        <v>2.75E-2</v>
      </c>
      <c r="G17" s="7">
        <f t="shared" si="2"/>
        <v>0.22599061587003072</v>
      </c>
      <c r="H17" s="7">
        <f xml:space="preserve"> (1 - F17 * SUM($G$2:G16))/(1 + F17 * E17)</f>
        <v>0.89659320426696965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A6F49-6DA9-453F-B85D-733051CF0615}">
  <dimension ref="A1:F23"/>
  <sheetViews>
    <sheetView zoomScale="134" workbookViewId="0">
      <selection activeCell="C2" sqref="C2"/>
    </sheetView>
  </sheetViews>
  <sheetFormatPr defaultColWidth="8.875" defaultRowHeight="15.75" x14ac:dyDescent="0.25"/>
  <cols>
    <col min="3" max="3" width="10.5" bestFit="1" customWidth="1"/>
    <col min="4" max="6" width="9" bestFit="1" customWidth="1"/>
  </cols>
  <sheetData>
    <row r="1" spans="1:6" ht="39" thickBot="1" x14ac:dyDescent="0.25">
      <c r="A1" s="25"/>
      <c r="B1" s="25"/>
      <c r="C1" s="26" t="s">
        <v>44</v>
      </c>
      <c r="D1" s="27" t="s">
        <v>45</v>
      </c>
      <c r="E1" s="28" t="s">
        <v>46</v>
      </c>
      <c r="F1" s="29" t="s">
        <v>47</v>
      </c>
    </row>
    <row r="2" spans="1:6" x14ac:dyDescent="0.2">
      <c r="A2" s="25" t="s">
        <v>48</v>
      </c>
      <c r="B2" s="30" t="s">
        <v>49</v>
      </c>
      <c r="C2" s="10">
        <v>45526</v>
      </c>
      <c r="D2" s="31">
        <f t="shared" ref="D2:D23" si="0">C2-SpotDate</f>
        <v>0</v>
      </c>
      <c r="E2" s="9">
        <f>VLOOKUP(B2,Cash!$A$2:$G$6,7,FALSE)</f>
        <v>1</v>
      </c>
      <c r="F2" s="32"/>
    </row>
    <row r="3" spans="1:6" x14ac:dyDescent="0.2">
      <c r="A3" s="25"/>
      <c r="B3" s="30" t="s">
        <v>9</v>
      </c>
      <c r="C3" s="10">
        <v>45533</v>
      </c>
      <c r="D3" s="31">
        <f t="shared" si="0"/>
        <v>7</v>
      </c>
      <c r="E3" s="9">
        <f>VLOOKUP(B3,Cash!$A$2:$G$6,7,FALSE)</f>
        <v>0.9992909141184747</v>
      </c>
      <c r="F3" s="33">
        <f>(1/E3)^(365/D3) -1</f>
        <v>3.7679405159655399E-2</v>
      </c>
    </row>
    <row r="4" spans="1:6" x14ac:dyDescent="0.2">
      <c r="A4" s="25"/>
      <c r="B4" s="30" t="s">
        <v>10</v>
      </c>
      <c r="C4" s="10">
        <v>45557</v>
      </c>
      <c r="D4" s="31">
        <f t="shared" si="0"/>
        <v>31</v>
      </c>
      <c r="E4" s="9">
        <f>VLOOKUP(B4,Cash!$A$2:$G$6,7,FALSE)</f>
        <v>0.99661424202708593</v>
      </c>
      <c r="F4" s="33">
        <f t="shared" ref="F4:F23" si="1">(1/E4)^(365/D4) -1</f>
        <v>4.0740218240265635E-2</v>
      </c>
    </row>
    <row r="5" spans="1:6" x14ac:dyDescent="0.2">
      <c r="A5" s="25"/>
      <c r="B5" s="30" t="s">
        <v>11</v>
      </c>
      <c r="C5" s="10">
        <v>45587</v>
      </c>
      <c r="D5" s="31">
        <f t="shared" si="0"/>
        <v>61</v>
      </c>
      <c r="E5" s="9">
        <f>VLOOKUP(B5,Cash!$A$2:$G$6,7,FALSE)</f>
        <v>0.99302974736234972</v>
      </c>
      <c r="F5" s="33">
        <f t="shared" si="1"/>
        <v>4.2741480056671666E-2</v>
      </c>
    </row>
    <row r="6" spans="1:6" x14ac:dyDescent="0.2">
      <c r="A6" s="25"/>
      <c r="B6" s="30" t="s">
        <v>12</v>
      </c>
      <c r="C6" s="10">
        <v>45618</v>
      </c>
      <c r="D6" s="31">
        <f t="shared" si="0"/>
        <v>92</v>
      </c>
      <c r="E6" s="9">
        <f>VLOOKUP(B6,Cash!$A$2:$G$6,7,FALSE)</f>
        <v>0.98927785426988579</v>
      </c>
      <c r="F6" s="33">
        <f t="shared" si="1"/>
        <v>4.3696403067052358E-2</v>
      </c>
    </row>
    <row r="7" spans="1:6" x14ac:dyDescent="0.2">
      <c r="A7" s="25" t="s">
        <v>50</v>
      </c>
      <c r="B7" s="30" t="s">
        <v>16</v>
      </c>
      <c r="C7" s="10">
        <v>45648</v>
      </c>
      <c r="D7" s="31">
        <f t="shared" si="0"/>
        <v>122</v>
      </c>
      <c r="E7" s="9">
        <f>VLOOKUP(B7,FRA!$A$2:$H$5,8,FALSE)</f>
        <v>0.9862866052998096</v>
      </c>
      <c r="F7" s="33">
        <f t="shared" si="1"/>
        <v>4.2176894056462855E-2</v>
      </c>
    </row>
    <row r="8" spans="1:6" x14ac:dyDescent="0.2">
      <c r="A8" s="25"/>
      <c r="B8" s="30" t="s">
        <v>17</v>
      </c>
      <c r="C8" s="10">
        <v>45679</v>
      </c>
      <c r="D8" s="31">
        <f t="shared" si="0"/>
        <v>153</v>
      </c>
      <c r="E8" s="9">
        <f>VLOOKUP(B8,FRA!$A$2:$H$5,8,FALSE)</f>
        <v>0.9831177655073714</v>
      </c>
      <c r="F8" s="33">
        <f t="shared" si="1"/>
        <v>4.1454662438864309E-2</v>
      </c>
    </row>
    <row r="9" spans="1:6" x14ac:dyDescent="0.2">
      <c r="A9" s="25"/>
      <c r="B9" s="30" t="s">
        <v>18</v>
      </c>
      <c r="C9" s="10">
        <v>45710</v>
      </c>
      <c r="D9" s="31">
        <f t="shared" si="0"/>
        <v>184</v>
      </c>
      <c r="E9" s="9">
        <f>VLOOKUP(B9,FRA!$A$2:$H$5,8,FALSE)</f>
        <v>0.97964778237085393</v>
      </c>
      <c r="F9" s="33">
        <f t="shared" si="1"/>
        <v>4.1632404635978837E-2</v>
      </c>
    </row>
    <row r="10" spans="1:6" x14ac:dyDescent="0.2">
      <c r="A10" s="25"/>
      <c r="B10" s="30" t="s">
        <v>19</v>
      </c>
      <c r="C10" s="10">
        <v>45799</v>
      </c>
      <c r="D10" s="31">
        <f t="shared" si="0"/>
        <v>273</v>
      </c>
      <c r="E10" s="9">
        <f>VLOOKUP(B10,FRA!$A$2:$H$5,8,FALSE)</f>
        <v>0.97065394228100621</v>
      </c>
      <c r="F10" s="33">
        <f t="shared" si="1"/>
        <v>4.0626351912747438E-2</v>
      </c>
    </row>
    <row r="11" spans="1:6" x14ac:dyDescent="0.2">
      <c r="A11" s="25" t="s">
        <v>51</v>
      </c>
      <c r="B11" s="25" t="s">
        <v>52</v>
      </c>
      <c r="C11" s="10">
        <v>45891</v>
      </c>
      <c r="D11" s="31">
        <f t="shared" si="0"/>
        <v>365</v>
      </c>
      <c r="E11" s="9">
        <f>VLOOKUP(Swap!A5,Swap!$A$5:$H$17,8,FALSE)</f>
        <v>0.96534219216570216</v>
      </c>
      <c r="F11" s="33">
        <f t="shared" si="1"/>
        <v>3.5902095770355302E-2</v>
      </c>
    </row>
    <row r="12" spans="1:6" x14ac:dyDescent="0.2">
      <c r="A12" s="25"/>
      <c r="B12" s="25"/>
      <c r="C12" s="10">
        <v>45983</v>
      </c>
      <c r="D12" s="31">
        <f t="shared" si="0"/>
        <v>457</v>
      </c>
      <c r="E12" s="9">
        <f>VLOOKUP(Swap!A6,Swap!$A$5:$H$17,8,FALSE)</f>
        <v>0.95814998432192955</v>
      </c>
      <c r="F12" s="33">
        <f t="shared" si="1"/>
        <v>3.4734254257920316E-2</v>
      </c>
    </row>
    <row r="13" spans="1:6" x14ac:dyDescent="0.2">
      <c r="A13" s="25"/>
      <c r="B13" s="25"/>
      <c r="C13" s="10">
        <v>46075</v>
      </c>
      <c r="D13" s="31">
        <f t="shared" si="0"/>
        <v>549</v>
      </c>
      <c r="E13" s="9">
        <f>VLOOKUP(Swap!A7,Swap!$A$5:$H$17,8,FALSE)</f>
        <v>0.95156082372725848</v>
      </c>
      <c r="F13" s="33">
        <f t="shared" si="1"/>
        <v>3.3561570691294174E-2</v>
      </c>
    </row>
    <row r="14" spans="1:6" x14ac:dyDescent="0.2">
      <c r="A14" s="25"/>
      <c r="B14" s="25"/>
      <c r="C14" s="10">
        <v>46164</v>
      </c>
      <c r="D14" s="31">
        <f t="shared" si="0"/>
        <v>638</v>
      </c>
      <c r="E14" s="9">
        <f>VLOOKUP(Swap!A8,Swap!$A$5:$H$17,8,FALSE)</f>
        <v>0.94574982309090094</v>
      </c>
      <c r="F14" s="33">
        <f t="shared" si="1"/>
        <v>3.2424742988773847E-2</v>
      </c>
    </row>
    <row r="15" spans="1:6" x14ac:dyDescent="0.2">
      <c r="A15" s="25"/>
      <c r="B15" s="25" t="s">
        <v>23</v>
      </c>
      <c r="C15" s="10">
        <v>46256</v>
      </c>
      <c r="D15" s="31">
        <f t="shared" si="0"/>
        <v>730</v>
      </c>
      <c r="E15" s="9">
        <f>VLOOKUP(Swap!A9,Swap!$A$5:$H$17,8,FALSE)</f>
        <v>0.94031734213495288</v>
      </c>
      <c r="F15" s="33">
        <f t="shared" si="1"/>
        <v>3.1247187445835323E-2</v>
      </c>
    </row>
    <row r="16" spans="1:6" x14ac:dyDescent="0.2">
      <c r="A16" s="25"/>
      <c r="B16" s="25"/>
      <c r="C16" s="10">
        <v>46348</v>
      </c>
      <c r="D16" s="31">
        <f t="shared" si="0"/>
        <v>822</v>
      </c>
      <c r="E16" s="9">
        <f>VLOOKUP(Swap!A10,Swap!$A$5:$H$17,8,FALSE)</f>
        <v>0.93464822495801503</v>
      </c>
      <c r="F16" s="33">
        <f t="shared" si="1"/>
        <v>3.0465243997198632E-2</v>
      </c>
    </row>
    <row r="17" spans="1:6" x14ac:dyDescent="0.2">
      <c r="A17" s="25"/>
      <c r="B17" s="25"/>
      <c r="C17" s="10">
        <v>46440</v>
      </c>
      <c r="D17" s="31">
        <f t="shared" si="0"/>
        <v>914</v>
      </c>
      <c r="E17" s="9">
        <f>VLOOKUP(Swap!A11,Swap!$A$5:$H$17,8,FALSE)</f>
        <v>0.9293745824679257</v>
      </c>
      <c r="F17" s="33">
        <f t="shared" si="1"/>
        <v>2.9681244923818628E-2</v>
      </c>
    </row>
    <row r="18" spans="1:6" x14ac:dyDescent="0.2">
      <c r="A18" s="25"/>
      <c r="B18" s="25"/>
      <c r="C18" s="10">
        <v>46529</v>
      </c>
      <c r="D18" s="31">
        <f t="shared" si="0"/>
        <v>1003</v>
      </c>
      <c r="E18" s="9">
        <f>VLOOKUP(Swap!A12,Swap!$A$5:$H$17,8,FALSE)</f>
        <v>0.92464320996737626</v>
      </c>
      <c r="F18" s="33">
        <f t="shared" si="1"/>
        <v>2.8921579432232614E-2</v>
      </c>
    </row>
    <row r="19" spans="1:6" x14ac:dyDescent="0.2">
      <c r="A19" s="25"/>
      <c r="B19" s="25" t="s">
        <v>24</v>
      </c>
      <c r="C19" s="10">
        <v>46621</v>
      </c>
      <c r="D19" s="31">
        <f t="shared" si="0"/>
        <v>1095</v>
      </c>
      <c r="E19" s="9">
        <f>VLOOKUP(Swap!A13,Swap!$A$5:$H$17,8,FALSE)</f>
        <v>0.92013091644624667</v>
      </c>
      <c r="F19" s="33">
        <f t="shared" si="1"/>
        <v>2.8134956980622849E-2</v>
      </c>
    </row>
    <row r="20" spans="1:6" x14ac:dyDescent="0.2">
      <c r="A20" s="25"/>
      <c r="B20" s="25"/>
      <c r="C20" s="10">
        <v>46713</v>
      </c>
      <c r="D20" s="31">
        <f t="shared" si="0"/>
        <v>1187</v>
      </c>
      <c r="E20" s="9">
        <f>VLOOKUP(Swap!A14,Swap!$A$5:$H$17,8,FALSE)</f>
        <v>0.91406837274963493</v>
      </c>
      <c r="F20" s="33">
        <f t="shared" si="1"/>
        <v>2.8013867081348565E-2</v>
      </c>
    </row>
    <row r="21" spans="1:6" x14ac:dyDescent="0.2">
      <c r="A21" s="25"/>
      <c r="B21" s="25"/>
      <c r="C21" s="10">
        <v>46805</v>
      </c>
      <c r="D21" s="31">
        <f t="shared" si="0"/>
        <v>1279</v>
      </c>
      <c r="E21" s="9">
        <f>VLOOKUP(Swap!A15,Swap!$A$5:$H$17,8,FALSE)</f>
        <v>0.90810560491095249</v>
      </c>
      <c r="F21" s="33">
        <f t="shared" si="1"/>
        <v>2.7890881187661476E-2</v>
      </c>
    </row>
    <row r="22" spans="1:6" x14ac:dyDescent="0.2">
      <c r="A22" s="25"/>
      <c r="B22" s="25"/>
      <c r="C22" s="10">
        <v>46895</v>
      </c>
      <c r="D22" s="31">
        <f t="shared" si="0"/>
        <v>1369</v>
      </c>
      <c r="E22" s="9">
        <f>VLOOKUP(Swap!A16,Swap!$A$5:$H$17,8,FALSE)</f>
        <v>0.90236737450249926</v>
      </c>
      <c r="F22" s="33">
        <f t="shared" si="1"/>
        <v>2.7769182613834209E-2</v>
      </c>
    </row>
    <row r="23" spans="1:6" x14ac:dyDescent="0.2">
      <c r="A23" s="25"/>
      <c r="B23" s="25" t="s">
        <v>25</v>
      </c>
      <c r="C23" s="10">
        <v>46987</v>
      </c>
      <c r="D23" s="31">
        <f t="shared" si="0"/>
        <v>1461</v>
      </c>
      <c r="E23" s="9">
        <f>VLOOKUP(Swap!A17,Swap!$A$5:$H$17,8,FALSE)</f>
        <v>0.89659320426696965</v>
      </c>
      <c r="F23" s="33">
        <f t="shared" si="1"/>
        <v>2.7644796770194713E-2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A4139-C279-4A6F-B21D-16327CED4245}">
  <dimension ref="A1:D27"/>
  <sheetViews>
    <sheetView tabSelected="1" topLeftCell="A3" zoomScale="150" workbookViewId="0">
      <selection activeCell="C27" sqref="C27"/>
    </sheetView>
  </sheetViews>
  <sheetFormatPr defaultColWidth="8.875" defaultRowHeight="15.75" x14ac:dyDescent="0.25"/>
  <cols>
    <col min="1" max="1" width="19.875" customWidth="1"/>
    <col min="2" max="2" width="11.625" customWidth="1"/>
    <col min="3" max="3" width="20.875" customWidth="1"/>
    <col min="4" max="4" width="12.625" customWidth="1"/>
  </cols>
  <sheetData>
    <row r="1" spans="1:4" x14ac:dyDescent="0.25">
      <c r="A1" t="s">
        <v>53</v>
      </c>
      <c r="B1">
        <v>1000000</v>
      </c>
    </row>
    <row r="2" spans="1:4" x14ac:dyDescent="0.25">
      <c r="A2" t="s">
        <v>54</v>
      </c>
      <c r="B2" s="18">
        <v>2.8000000000000001E-2</v>
      </c>
    </row>
    <row r="3" spans="1:4" x14ac:dyDescent="0.25">
      <c r="A3" t="s">
        <v>58</v>
      </c>
      <c r="B3">
        <f>B1*B2/4</f>
        <v>7000</v>
      </c>
    </row>
    <row r="5" spans="1:4" x14ac:dyDescent="0.25">
      <c r="A5" t="s">
        <v>43</v>
      </c>
      <c r="B5" t="s">
        <v>55</v>
      </c>
      <c r="C5" t="s">
        <v>56</v>
      </c>
      <c r="D5" t="s">
        <v>57</v>
      </c>
    </row>
    <row r="6" spans="1:4" x14ac:dyDescent="0.25">
      <c r="A6" s="34">
        <v>45526</v>
      </c>
      <c r="B6">
        <v>7000</v>
      </c>
      <c r="C6" s="35">
        <f>VLOOKUP(Price!A6,'DF and ZC'!C2:F23,3,FALSE)</f>
        <v>1</v>
      </c>
      <c r="D6">
        <f>B6*C6</f>
        <v>7000</v>
      </c>
    </row>
    <row r="7" spans="1:4" x14ac:dyDescent="0.25">
      <c r="A7" s="34">
        <v>45618</v>
      </c>
      <c r="B7">
        <f t="shared" ref="B7:B17" si="0">$B$3</f>
        <v>7000</v>
      </c>
      <c r="C7" s="35">
        <f>VLOOKUP(Price!A7,'DF and ZC'!C3:F24,3,FALSE)</f>
        <v>0.98927785426988579</v>
      </c>
      <c r="D7">
        <f t="shared" ref="D7:D18" si="1">B7*C7</f>
        <v>6924.9449798892001</v>
      </c>
    </row>
    <row r="8" spans="1:4" x14ac:dyDescent="0.25">
      <c r="A8" s="34">
        <v>45710</v>
      </c>
      <c r="B8">
        <f t="shared" si="0"/>
        <v>7000</v>
      </c>
      <c r="C8" s="35">
        <f>VLOOKUP(Price!A8,'DF and ZC'!C4:F25,3,FALSE)</f>
        <v>0.97964778237085393</v>
      </c>
      <c r="D8">
        <f t="shared" si="1"/>
        <v>6857.5344765959771</v>
      </c>
    </row>
    <row r="9" spans="1:4" x14ac:dyDescent="0.25">
      <c r="A9" s="34">
        <v>45799</v>
      </c>
      <c r="B9">
        <f t="shared" si="0"/>
        <v>7000</v>
      </c>
      <c r="C9" s="35">
        <f>VLOOKUP(Price!A9,'DF and ZC'!C5:F26,3,FALSE)</f>
        <v>0.97065394228100621</v>
      </c>
      <c r="D9">
        <f t="shared" si="1"/>
        <v>6794.5775959670436</v>
      </c>
    </row>
    <row r="10" spans="1:4" x14ac:dyDescent="0.25">
      <c r="A10" s="34">
        <v>45891</v>
      </c>
      <c r="B10">
        <f t="shared" si="0"/>
        <v>7000</v>
      </c>
      <c r="C10" s="35">
        <f>VLOOKUP(Price!A10,'DF and ZC'!C6:F27,3,FALSE)</f>
        <v>0.96534219216570216</v>
      </c>
      <c r="D10">
        <f t="shared" si="1"/>
        <v>6757.3953451599155</v>
      </c>
    </row>
    <row r="11" spans="1:4" x14ac:dyDescent="0.25">
      <c r="A11" s="34">
        <v>45983</v>
      </c>
      <c r="B11">
        <f t="shared" si="0"/>
        <v>7000</v>
      </c>
      <c r="C11" s="35">
        <f>VLOOKUP(Price!A11,'DF and ZC'!C7:F28,3,FALSE)</f>
        <v>0.95814998432192955</v>
      </c>
      <c r="D11">
        <f t="shared" si="1"/>
        <v>6707.0498902535064</v>
      </c>
    </row>
    <row r="12" spans="1:4" x14ac:dyDescent="0.25">
      <c r="A12" s="34">
        <v>46075</v>
      </c>
      <c r="B12">
        <f t="shared" si="0"/>
        <v>7000</v>
      </c>
      <c r="C12" s="35">
        <f>VLOOKUP(Price!A12,'DF and ZC'!C8:F29,3,FALSE)</f>
        <v>0.95156082372725848</v>
      </c>
      <c r="D12">
        <f t="shared" si="1"/>
        <v>6660.9257660908097</v>
      </c>
    </row>
    <row r="13" spans="1:4" x14ac:dyDescent="0.25">
      <c r="A13" s="34">
        <v>46164</v>
      </c>
      <c r="B13">
        <f t="shared" si="0"/>
        <v>7000</v>
      </c>
      <c r="C13" s="35">
        <f>VLOOKUP(Price!A13,'DF and ZC'!C9:F30,3,FALSE)</f>
        <v>0.94574982309090094</v>
      </c>
      <c r="D13">
        <f t="shared" si="1"/>
        <v>6620.2487616363069</v>
      </c>
    </row>
    <row r="14" spans="1:4" x14ac:dyDescent="0.25">
      <c r="A14" s="34">
        <v>46256</v>
      </c>
      <c r="B14">
        <f t="shared" si="0"/>
        <v>7000</v>
      </c>
      <c r="C14" s="35">
        <f>VLOOKUP(Price!A14,'DF and ZC'!C10:F31,3,FALSE)</f>
        <v>0.94031734213495288</v>
      </c>
      <c r="D14">
        <f t="shared" si="1"/>
        <v>6582.2213949446705</v>
      </c>
    </row>
    <row r="15" spans="1:4" x14ac:dyDescent="0.25">
      <c r="A15" s="34">
        <v>46348</v>
      </c>
      <c r="B15">
        <f t="shared" si="0"/>
        <v>7000</v>
      </c>
      <c r="C15" s="35">
        <f>VLOOKUP(Price!A15,'DF and ZC'!C11:F32,3,FALSE)</f>
        <v>0.93464822495801503</v>
      </c>
      <c r="D15">
        <f t="shared" si="1"/>
        <v>6542.5375747061053</v>
      </c>
    </row>
    <row r="16" spans="1:4" x14ac:dyDescent="0.25">
      <c r="A16" s="34">
        <v>46440</v>
      </c>
      <c r="B16">
        <f t="shared" si="0"/>
        <v>7000</v>
      </c>
      <c r="C16" s="35">
        <f>VLOOKUP(Price!A16,'DF and ZC'!C12:F33,3,FALSE)</f>
        <v>0.9293745824679257</v>
      </c>
      <c r="D16">
        <f t="shared" si="1"/>
        <v>6505.6220772754796</v>
      </c>
    </row>
    <row r="17" spans="1:4" x14ac:dyDescent="0.25">
      <c r="A17" s="34">
        <v>46529</v>
      </c>
      <c r="B17">
        <f t="shared" si="0"/>
        <v>7000</v>
      </c>
      <c r="C17" s="35">
        <f>VLOOKUP(Price!A17,'DF and ZC'!C13:F34,3,FALSE)</f>
        <v>0.92464320996737626</v>
      </c>
      <c r="D17">
        <f t="shared" si="1"/>
        <v>6472.5024697716335</v>
      </c>
    </row>
    <row r="18" spans="1:4" x14ac:dyDescent="0.25">
      <c r="A18" s="34">
        <v>46621</v>
      </c>
      <c r="B18">
        <f>$B$3+$B$1</f>
        <v>1007000</v>
      </c>
      <c r="C18" s="35">
        <f>VLOOKUP(Price!A18,'DF and ZC'!C14:F35,3,FALSE)</f>
        <v>0.92013091644624667</v>
      </c>
      <c r="D18">
        <f t="shared" si="1"/>
        <v>926571.83286137041</v>
      </c>
    </row>
    <row r="19" spans="1:4" x14ac:dyDescent="0.25">
      <c r="A19" s="34"/>
      <c r="C19" s="35"/>
    </row>
    <row r="20" spans="1:4" x14ac:dyDescent="0.25">
      <c r="A20" s="34"/>
      <c r="C20" s="35"/>
      <c r="D20">
        <f>SUM(D7:D18)</f>
        <v>999997.393193661</v>
      </c>
    </row>
    <row r="21" spans="1:4" x14ac:dyDescent="0.25">
      <c r="A21" s="34"/>
      <c r="C21" s="35"/>
      <c r="D21" s="36">
        <f>D20/B1</f>
        <v>0.99999739319366099</v>
      </c>
    </row>
    <row r="27" spans="1:4" x14ac:dyDescent="0.25">
      <c r="A27" s="34"/>
      <c r="C27" s="3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RateSource</vt:lpstr>
      <vt:lpstr>Cash</vt:lpstr>
      <vt:lpstr>FRA</vt:lpstr>
      <vt:lpstr>Swap</vt:lpstr>
      <vt:lpstr>DF and ZC</vt:lpstr>
      <vt:lpstr>Price</vt:lpstr>
      <vt:lpstr>SpotDate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Hill</dc:creator>
  <cp:lastModifiedBy>bjh2001@connect.hku.hk</cp:lastModifiedBy>
  <dcterms:created xsi:type="dcterms:W3CDTF">2024-11-05T13:15:59Z</dcterms:created>
  <dcterms:modified xsi:type="dcterms:W3CDTF">2024-11-12T15:40:08Z</dcterms:modified>
</cp:coreProperties>
</file>