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BIM 3RD SEM\excell\"/>
    </mc:Choice>
  </mc:AlternateContent>
  <xr:revisionPtr revIDLastSave="0" documentId="13_ncr:1_{6562EFBF-D2AB-4B1D-8828-0D0AAB258F18}" xr6:coauthVersionLast="46" xr6:coauthVersionMax="46" xr10:uidLastSave="{00000000-0000-0000-0000-000000000000}"/>
  <bookViews>
    <workbookView xWindow="-120" yWindow="-120" windowWidth="20730" windowHeight="11160" activeTab="7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  <sheet name="Sheet6" sheetId="7" r:id="rId6"/>
    <sheet name="Sheet7" sheetId="8" r:id="rId7"/>
    <sheet name="Sheet8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9" l="1"/>
  <c r="C16" i="9"/>
  <c r="C15" i="9"/>
  <c r="I5" i="9"/>
  <c r="I4" i="9"/>
  <c r="H4" i="9"/>
  <c r="D8" i="9"/>
  <c r="D4" i="9"/>
  <c r="C12" i="8"/>
  <c r="C16" i="8"/>
  <c r="C15" i="8"/>
  <c r="C14" i="8"/>
  <c r="C54" i="7"/>
  <c r="C55" i="7" s="1"/>
  <c r="D31" i="7"/>
  <c r="C29" i="7"/>
  <c r="C28" i="7"/>
  <c r="C25" i="7"/>
  <c r="B11" i="6"/>
  <c r="D9" i="6"/>
  <c r="G30" i="5"/>
  <c r="G31" i="5"/>
  <c r="D35" i="5" s="1"/>
  <c r="G33" i="5"/>
  <c r="D30" i="5"/>
  <c r="D31" i="5"/>
  <c r="G16" i="5"/>
  <c r="D13" i="5"/>
  <c r="D16" i="5" s="1"/>
  <c r="D15" i="3"/>
  <c r="C18" i="3"/>
  <c r="C14" i="3"/>
  <c r="E25" i="2"/>
  <c r="D24" i="2"/>
  <c r="D23" i="2"/>
  <c r="E17" i="1"/>
  <c r="C56" i="1"/>
  <c r="H7" i="9"/>
  <c r="B9" i="9"/>
  <c r="C5" i="9"/>
  <c r="C6" i="9"/>
  <c r="C7" i="9"/>
  <c r="C8" i="9"/>
  <c r="C4" i="9"/>
  <c r="C9" i="9" s="1"/>
  <c r="B11" i="9" s="1"/>
  <c r="C57" i="7" l="1"/>
  <c r="H8" i="9"/>
  <c r="I8" i="9" s="1"/>
  <c r="H5" i="9"/>
  <c r="H6" i="9"/>
  <c r="I6" i="9" s="1"/>
  <c r="B12" i="9"/>
  <c r="I7" i="9"/>
  <c r="F38" i="8"/>
  <c r="F39" i="8"/>
  <c r="E36" i="8"/>
  <c r="F36" i="8" s="1"/>
  <c r="E37" i="8"/>
  <c r="F37" i="8" s="1"/>
  <c r="E38" i="8"/>
  <c r="E39" i="8"/>
  <c r="E35" i="8"/>
  <c r="F35" i="8" s="1"/>
  <c r="C40" i="8"/>
  <c r="D36" i="8"/>
  <c r="D37" i="8"/>
  <c r="D38" i="8"/>
  <c r="D39" i="8"/>
  <c r="D35" i="8"/>
  <c r="D40" i="8" s="1"/>
  <c r="C42" i="8" s="1"/>
  <c r="J26" i="8"/>
  <c r="K26" i="8" s="1"/>
  <c r="J25" i="8"/>
  <c r="K25" i="8" s="1"/>
  <c r="J24" i="8"/>
  <c r="K24" i="8" s="1"/>
  <c r="J23" i="8"/>
  <c r="K23" i="8" s="1"/>
  <c r="K27" i="8" s="1"/>
  <c r="E24" i="8"/>
  <c r="E25" i="8"/>
  <c r="D24" i="8"/>
  <c r="D25" i="8"/>
  <c r="D26" i="8"/>
  <c r="E26" i="8" s="1"/>
  <c r="E23" i="8"/>
  <c r="D23" i="8"/>
  <c r="D27" i="8" s="1"/>
  <c r="C29" i="8" s="1"/>
  <c r="K18" i="8"/>
  <c r="K19" i="8" s="1"/>
  <c r="K7" i="8"/>
  <c r="K8" i="8"/>
  <c r="K5" i="8"/>
  <c r="H7" i="8"/>
  <c r="H8" i="8"/>
  <c r="G6" i="8"/>
  <c r="H6" i="8" s="1"/>
  <c r="G7" i="8"/>
  <c r="G8" i="8"/>
  <c r="G9" i="8"/>
  <c r="H9" i="8" s="1"/>
  <c r="G5" i="8"/>
  <c r="G10" i="8" s="1"/>
  <c r="E8" i="8"/>
  <c r="E9" i="8"/>
  <c r="D6" i="8"/>
  <c r="E6" i="8" s="1"/>
  <c r="D7" i="8"/>
  <c r="E7" i="8" s="1"/>
  <c r="D8" i="8"/>
  <c r="D9" i="8"/>
  <c r="D5" i="8"/>
  <c r="E5" i="8" s="1"/>
  <c r="E10" i="8" s="1"/>
  <c r="B10" i="8"/>
  <c r="E27" i="8" l="1"/>
  <c r="C30" i="8" s="1"/>
  <c r="C31" i="8" s="1"/>
  <c r="C32" i="8" s="1"/>
  <c r="F40" i="8"/>
  <c r="C43" i="8" s="1"/>
  <c r="D6" i="9"/>
  <c r="E11" i="9"/>
  <c r="D7" i="9"/>
  <c r="B13" i="9"/>
  <c r="E8" i="9"/>
  <c r="D5" i="9"/>
  <c r="E5" i="9" s="1"/>
  <c r="H5" i="8"/>
  <c r="H10" i="8" s="1"/>
  <c r="G14" i="8" s="1"/>
  <c r="H9" i="9"/>
  <c r="I9" i="9"/>
  <c r="J27" i="8"/>
  <c r="I29" i="8" s="1"/>
  <c r="I30" i="8" s="1"/>
  <c r="I31" i="8" s="1"/>
  <c r="I32" i="8" s="1"/>
  <c r="D10" i="8"/>
  <c r="D55" i="7"/>
  <c r="C53" i="7"/>
  <c r="C21" i="7"/>
  <c r="C22" i="7"/>
  <c r="C23" i="7" s="1"/>
  <c r="C19" i="9" l="1"/>
  <c r="C18" i="9"/>
  <c r="D9" i="9"/>
  <c r="E4" i="9"/>
  <c r="E9" i="9" s="1"/>
  <c r="E11" i="8"/>
  <c r="E7" i="9"/>
  <c r="E6" i="9"/>
  <c r="C89" i="6"/>
  <c r="D89" i="6"/>
  <c r="E89" i="6"/>
  <c r="F89" i="6"/>
  <c r="G89" i="6"/>
  <c r="H89" i="6"/>
  <c r="I89" i="6"/>
  <c r="B89" i="6"/>
  <c r="C88" i="6"/>
  <c r="D88" i="6"/>
  <c r="E88" i="6"/>
  <c r="F88" i="6"/>
  <c r="G88" i="6"/>
  <c r="H88" i="6"/>
  <c r="I88" i="6"/>
  <c r="B88" i="6"/>
  <c r="B91" i="6" s="1"/>
  <c r="B82" i="6"/>
  <c r="D74" i="6"/>
  <c r="B76" i="6" s="1"/>
  <c r="B77" i="6" s="1"/>
  <c r="B78" i="6" s="1"/>
  <c r="D63" i="6"/>
  <c r="B65" i="6" s="1"/>
  <c r="B66" i="6" s="1"/>
  <c r="B67" i="6" s="1"/>
  <c r="D52" i="6"/>
  <c r="B54" i="6" s="1"/>
  <c r="B55" i="6" s="1"/>
  <c r="B56" i="6" s="1"/>
  <c r="D41" i="6"/>
  <c r="B43" i="6" s="1"/>
  <c r="B44" i="6" s="1"/>
  <c r="B45" i="6" s="1"/>
  <c r="D30" i="6"/>
  <c r="B32" i="6" s="1"/>
  <c r="B33" i="6" s="1"/>
  <c r="B34" i="6" s="1"/>
  <c r="D20" i="6"/>
  <c r="B22" i="6" s="1"/>
  <c r="B23" i="6" s="1"/>
  <c r="B24" i="6" s="1"/>
  <c r="B12" i="6"/>
  <c r="B13" i="6" s="1"/>
  <c r="B83" i="6" l="1"/>
  <c r="I28" i="5"/>
  <c r="M23" i="5"/>
  <c r="M24" i="5" s="1"/>
  <c r="M25" i="5" s="1"/>
  <c r="M26" i="5" s="1"/>
  <c r="M27" i="5" s="1"/>
  <c r="H23" i="5"/>
  <c r="J23" i="5" s="1"/>
  <c r="L23" i="5" s="1"/>
  <c r="F24" i="5"/>
  <c r="G24" i="5" s="1"/>
  <c r="F27" i="5"/>
  <c r="G27" i="5" s="1"/>
  <c r="F23" i="5"/>
  <c r="G23" i="5" s="1"/>
  <c r="D28" i="5"/>
  <c r="G29" i="5" s="1"/>
  <c r="E27" i="5"/>
  <c r="E26" i="5"/>
  <c r="F26" i="5" s="1"/>
  <c r="G26" i="5" s="1"/>
  <c r="E25" i="5"/>
  <c r="F25" i="5" s="1"/>
  <c r="G25" i="5" s="1"/>
  <c r="E24" i="5"/>
  <c r="E23" i="5"/>
  <c r="H5" i="5"/>
  <c r="H6" i="5" s="1"/>
  <c r="H7" i="5" s="1"/>
  <c r="H8" i="5" s="1"/>
  <c r="H9" i="5" s="1"/>
  <c r="H10" i="5" s="1"/>
  <c r="G28" i="5" l="1"/>
  <c r="F28" i="5"/>
  <c r="C29" i="5" s="1"/>
  <c r="H24" i="5"/>
  <c r="D17" i="8"/>
  <c r="C13" i="8"/>
  <c r="K23" i="5"/>
  <c r="G10" i="5"/>
  <c r="D11" i="5"/>
  <c r="F10" i="5"/>
  <c r="E10" i="5"/>
  <c r="E9" i="5"/>
  <c r="F9" i="5" s="1"/>
  <c r="G9" i="5" s="1"/>
  <c r="E8" i="5"/>
  <c r="F8" i="5" s="1"/>
  <c r="G8" i="5" s="1"/>
  <c r="E7" i="5"/>
  <c r="F7" i="5" s="1"/>
  <c r="G7" i="5" s="1"/>
  <c r="E6" i="5"/>
  <c r="F6" i="5" s="1"/>
  <c r="G6" i="5" s="1"/>
  <c r="E5" i="5"/>
  <c r="F5" i="5" s="1"/>
  <c r="D19" i="3"/>
  <c r="E20" i="3" s="1"/>
  <c r="E16" i="3"/>
  <c r="F34" i="2"/>
  <c r="F30" i="2"/>
  <c r="E33" i="2"/>
  <c r="E32" i="2"/>
  <c r="E31" i="2"/>
  <c r="E28" i="2"/>
  <c r="E26" i="2"/>
  <c r="C22" i="2"/>
  <c r="C21" i="2"/>
  <c r="C20" i="2"/>
  <c r="C19" i="2"/>
  <c r="C18" i="2"/>
  <c r="E13" i="2"/>
  <c r="E12" i="2"/>
  <c r="C17" i="2"/>
  <c r="C16" i="2"/>
  <c r="C15" i="2"/>
  <c r="D13" i="2"/>
  <c r="D12" i="2"/>
  <c r="C14" i="2" s="1"/>
  <c r="C11" i="2"/>
  <c r="C10" i="2"/>
  <c r="C9" i="2"/>
  <c r="G12" i="5" l="1"/>
  <c r="G14" i="5"/>
  <c r="G15" i="5"/>
  <c r="G13" i="5"/>
  <c r="D18" i="5" s="1"/>
  <c r="D33" i="5"/>
  <c r="G5" i="5"/>
  <c r="G11" i="5" s="1"/>
  <c r="J24" i="5"/>
  <c r="K24" i="5" s="1"/>
  <c r="L24" i="5" s="1"/>
  <c r="H25" i="5"/>
  <c r="F11" i="5"/>
  <c r="C12" i="5" s="1"/>
  <c r="C58" i="1"/>
  <c r="C57" i="1"/>
  <c r="G46" i="1"/>
  <c r="G47" i="1" s="1"/>
  <c r="G48" i="1" s="1"/>
  <c r="G49" i="1" s="1"/>
  <c r="G50" i="1" s="1"/>
  <c r="G51" i="1" s="1"/>
  <c r="C55" i="1"/>
  <c r="F48" i="1"/>
  <c r="F49" i="1"/>
  <c r="F46" i="1"/>
  <c r="E47" i="1"/>
  <c r="F47" i="1" s="1"/>
  <c r="E48" i="1"/>
  <c r="E49" i="1"/>
  <c r="E50" i="1"/>
  <c r="F50" i="1" s="1"/>
  <c r="E51" i="1"/>
  <c r="F51" i="1" s="1"/>
  <c r="E46" i="1"/>
  <c r="D52" i="1"/>
  <c r="F31" i="1"/>
  <c r="F32" i="1" s="1"/>
  <c r="F33" i="1" s="1"/>
  <c r="F34" i="1" s="1"/>
  <c r="F30" i="1"/>
  <c r="E34" i="1"/>
  <c r="E31" i="1"/>
  <c r="E32" i="1"/>
  <c r="E33" i="1"/>
  <c r="E30" i="1"/>
  <c r="E35" i="1" s="1"/>
  <c r="C37" i="1" s="1"/>
  <c r="D35" i="1"/>
  <c r="C38" i="1" s="1"/>
  <c r="D23" i="1"/>
  <c r="E22" i="1"/>
  <c r="G22" i="1" s="1"/>
  <c r="E21" i="1"/>
  <c r="G21" i="1" s="1"/>
  <c r="E20" i="1"/>
  <c r="G20" i="1" s="1"/>
  <c r="E18" i="1"/>
  <c r="G18" i="1" s="1"/>
  <c r="G8" i="1"/>
  <c r="E5" i="1"/>
  <c r="G5" i="1" s="1"/>
  <c r="E6" i="1"/>
  <c r="G6" i="1" s="1"/>
  <c r="E8" i="1"/>
  <c r="E9" i="1"/>
  <c r="G9" i="1" s="1"/>
  <c r="E4" i="1"/>
  <c r="G4" i="1" s="1"/>
  <c r="D10" i="1"/>
  <c r="E19" i="1" s="1"/>
  <c r="G19" i="1" s="1"/>
  <c r="D14" i="5" l="1"/>
  <c r="D15" i="5"/>
  <c r="F52" i="1"/>
  <c r="C54" i="1" s="1"/>
  <c r="E23" i="1"/>
  <c r="H26" i="5"/>
  <c r="J25" i="5"/>
  <c r="K25" i="5" s="1"/>
  <c r="E7" i="1"/>
  <c r="G7" i="1" s="1"/>
  <c r="G10" i="1" s="1"/>
  <c r="D32" i="5"/>
  <c r="G17" i="1"/>
  <c r="G23" i="1" s="1"/>
  <c r="E10" i="1"/>
  <c r="L25" i="5" l="1"/>
  <c r="H27" i="5"/>
  <c r="J27" i="5" s="1"/>
  <c r="K27" i="5" s="1"/>
  <c r="L27" i="5" s="1"/>
  <c r="J26" i="5"/>
  <c r="K26" i="5" s="1"/>
  <c r="L26" i="5" s="1"/>
  <c r="K28" i="5" l="1"/>
  <c r="L28" i="5"/>
</calcChain>
</file>

<file path=xl/sharedStrings.xml><?xml version="1.0" encoding="utf-8"?>
<sst xmlns="http://schemas.openxmlformats.org/spreadsheetml/2006/main" count="353" uniqueCount="197">
  <si>
    <t>x</t>
  </si>
  <si>
    <t>f</t>
  </si>
  <si>
    <t>N=</t>
  </si>
  <si>
    <t>Relative Frequency</t>
  </si>
  <si>
    <t>Percentage frequency</t>
  </si>
  <si>
    <t>Question No. 2A</t>
  </si>
  <si>
    <t>Question No. 2B</t>
  </si>
  <si>
    <t>0-10</t>
  </si>
  <si>
    <t>20-30</t>
  </si>
  <si>
    <t>30-40</t>
  </si>
  <si>
    <t>40-50</t>
  </si>
  <si>
    <t>50-60</t>
  </si>
  <si>
    <t>10-20.</t>
  </si>
  <si>
    <t>Question No. 2C</t>
  </si>
  <si>
    <t>Find Mean , Median and Mode.</t>
  </si>
  <si>
    <t>fx</t>
  </si>
  <si>
    <t>c.f.</t>
  </si>
  <si>
    <t>Mean=</t>
  </si>
  <si>
    <t>Median=</t>
  </si>
  <si>
    <t>Mode=</t>
  </si>
  <si>
    <t>item</t>
  </si>
  <si>
    <t>Midvalue</t>
  </si>
  <si>
    <t>lower limit</t>
  </si>
  <si>
    <t>upper limit</t>
  </si>
  <si>
    <t>Median class=</t>
  </si>
  <si>
    <t>cf</t>
  </si>
  <si>
    <t>Modal class=</t>
  </si>
  <si>
    <t>From the following data, Calculate</t>
  </si>
  <si>
    <t xml:space="preserve">Mean= </t>
  </si>
  <si>
    <t>a.</t>
  </si>
  <si>
    <t>b.</t>
  </si>
  <si>
    <t xml:space="preserve">Median= </t>
  </si>
  <si>
    <t xml:space="preserve">c. </t>
  </si>
  <si>
    <t xml:space="preserve">Mode= </t>
  </si>
  <si>
    <t>d.</t>
  </si>
  <si>
    <t>Maximum value=</t>
  </si>
  <si>
    <t>e.</t>
  </si>
  <si>
    <t>Minimum value=</t>
  </si>
  <si>
    <t>f.</t>
  </si>
  <si>
    <t>Range=</t>
  </si>
  <si>
    <t>g.</t>
  </si>
  <si>
    <t>Q1=</t>
  </si>
  <si>
    <t>h.</t>
  </si>
  <si>
    <t>i.</t>
  </si>
  <si>
    <t>Q2=</t>
  </si>
  <si>
    <t>Q3=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</si>
  <si>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</si>
  <si>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</si>
  <si>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</si>
  <si>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</si>
  <si>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</si>
  <si>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</si>
  <si>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</si>
  <si>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</si>
  <si>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</si>
  <si>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</si>
  <si>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</si>
  <si>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P120=</t>
  </si>
  <si>
    <t>P25=</t>
  </si>
  <si>
    <t>P50=</t>
  </si>
  <si>
    <t>P75=</t>
  </si>
  <si>
    <t>P90=</t>
  </si>
  <si>
    <t>Standard deviation=</t>
  </si>
  <si>
    <t>Variance=</t>
  </si>
  <si>
    <t>Coefficient of variation=</t>
  </si>
  <si>
    <t>Coefficient of Skewness=</t>
  </si>
  <si>
    <t>Coefficient of Kurtosis=</t>
  </si>
  <si>
    <t>u.</t>
  </si>
  <si>
    <t>v.</t>
  </si>
  <si>
    <t>5 point summary</t>
  </si>
  <si>
    <t>Interpretation of Coefficient of Skewness -&gt;</t>
  </si>
  <si>
    <t>Interpretation of Coefficient of Kurtisis -&gt;</t>
  </si>
  <si>
    <t>Givne distribution is positively skewed</t>
  </si>
  <si>
    <t xml:space="preserve">Minimum value= </t>
  </si>
  <si>
    <t>Given distribution is flat(Platykurtic)</t>
  </si>
  <si>
    <t>Group A</t>
  </si>
  <si>
    <t>Coefficient of Variance=</t>
  </si>
  <si>
    <t>Group B</t>
  </si>
  <si>
    <t xml:space="preserve"> </t>
  </si>
  <si>
    <t>Hence, Group A is more uniform as it has smaller coeffcient of variance than Group B.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</si>
  <si>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</si>
  <si>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Standard Deviation=</t>
  </si>
  <si>
    <t>C.v.=</t>
  </si>
  <si>
    <t>Skewness=</t>
  </si>
  <si>
    <t>P10=</t>
  </si>
  <si>
    <t>Kurtosis=</t>
  </si>
  <si>
    <t>The given disribution is negatively skewed</t>
  </si>
  <si>
    <t>From the Following Data Calculate</t>
  </si>
  <si>
    <t>The given disribution is nearly mesokurtic</t>
  </si>
  <si>
    <t>Sec A</t>
  </si>
  <si>
    <t>Sec B</t>
  </si>
  <si>
    <t>Marks</t>
  </si>
  <si>
    <t>From the following data calculate</t>
  </si>
  <si>
    <t>a) corrlation coefficient</t>
  </si>
  <si>
    <t>b) Interpret the result</t>
  </si>
  <si>
    <t>c) Test whether 'r' is significant or not</t>
  </si>
  <si>
    <t xml:space="preserve"> correlation coefficient =</t>
  </si>
  <si>
    <t>y</t>
  </si>
  <si>
    <t>The correlation coefficient is high degree positive correlation</t>
  </si>
  <si>
    <t>s.e.=</t>
  </si>
  <si>
    <t>n=</t>
  </si>
  <si>
    <t>p.e.=</t>
  </si>
  <si>
    <t>6p.e.=</t>
  </si>
  <si>
    <t>As |r|&gt;6p.e., r is highly significant</t>
  </si>
  <si>
    <t>x=x/5</t>
  </si>
  <si>
    <t>y=y/2</t>
  </si>
  <si>
    <t>x=(x-5)/2</t>
  </si>
  <si>
    <t>y=(y-5)/2</t>
  </si>
  <si>
    <t>x=x*10</t>
  </si>
  <si>
    <t>y=y*3</t>
  </si>
  <si>
    <t>y=y</t>
  </si>
  <si>
    <t>x=x</t>
  </si>
  <si>
    <t>Sales in Rs '000</t>
  </si>
  <si>
    <t>Profir in Rs'00</t>
  </si>
  <si>
    <t>limit for correlation coefficient=</t>
  </si>
  <si>
    <t>r-p.e.=</t>
  </si>
  <si>
    <t>r+p.e.=</t>
  </si>
  <si>
    <t>From the following data</t>
  </si>
  <si>
    <t>1) Determine the regression equation of Y on X (Interpret the value of b)</t>
  </si>
  <si>
    <t>2) Estimanet the value of Y when X=10</t>
  </si>
  <si>
    <t>3) Is the Estimated value reliable? Tf yes, Why? Give Reasons.</t>
  </si>
  <si>
    <t>X</t>
  </si>
  <si>
    <t>Y</t>
  </si>
  <si>
    <t xml:space="preserve">b= </t>
  </si>
  <si>
    <t>a=</t>
  </si>
  <si>
    <t>Yc=</t>
  </si>
  <si>
    <t>when X=10</t>
  </si>
  <si>
    <t>Here, when X increases by 1 unit, the value of Y will incerase by 0.50593 unit.</t>
  </si>
  <si>
    <t xml:space="preserve">r= </t>
  </si>
  <si>
    <t>b1=</t>
  </si>
  <si>
    <t>The estimated value of Y when X=10 is realiable as X=10 lies in between the range of X.</t>
  </si>
  <si>
    <t>Then, Yc=</t>
  </si>
  <si>
    <t>Squareroot(b*b1)(r)=</t>
  </si>
  <si>
    <t>Sales in Rs'000</t>
  </si>
  <si>
    <t>Profit in Rs'00</t>
  </si>
  <si>
    <t>when Sales=10000</t>
  </si>
  <si>
    <t>The estimated value of Profit when Sales  is 10000 is realiable as 10000 lies in between the range of Sales.</t>
  </si>
  <si>
    <t>Sales</t>
  </si>
  <si>
    <t>Then, Estimatec Profit=</t>
  </si>
  <si>
    <t>Here, when Sales increases by Rs. 1000 , the value of Profit will incerase by Rs.63.3524.</t>
  </si>
  <si>
    <t>(in Rs. '00)</t>
  </si>
  <si>
    <t xml:space="preserve">From the following data calculate </t>
  </si>
  <si>
    <t>P(x)</t>
  </si>
  <si>
    <t>Sum(x)=</t>
  </si>
  <si>
    <t>Var(x)=</t>
  </si>
  <si>
    <t>s.d.=</t>
  </si>
  <si>
    <t>E(2x)=</t>
  </si>
  <si>
    <t>E(2x+5)=</t>
  </si>
  <si>
    <t>x*P(x)</t>
  </si>
  <si>
    <t>x*x*P(x)</t>
  </si>
  <si>
    <t>Expected Mean[E(x)]=</t>
  </si>
  <si>
    <t>Var(3x)=</t>
  </si>
  <si>
    <t>Var(3x+10)=</t>
  </si>
  <si>
    <t>2x</t>
  </si>
  <si>
    <t>2x*P(x)</t>
  </si>
  <si>
    <t>a</t>
  </si>
  <si>
    <t>b</t>
  </si>
  <si>
    <t>4b</t>
  </si>
  <si>
    <t>1.3+a+4b</t>
  </si>
  <si>
    <t>E(x)=</t>
  </si>
  <si>
    <t>E(x)=1.3+a+4b</t>
  </si>
  <si>
    <t>P(x)=1</t>
  </si>
  <si>
    <t>P(x)=a+b+0.65</t>
  </si>
  <si>
    <t>b=</t>
  </si>
  <si>
    <t>a=0.35-b</t>
  </si>
  <si>
    <t>0.6-4b=0.35-b</t>
  </si>
  <si>
    <t>E(x)=1.95</t>
  </si>
  <si>
    <t>a+4b=0.65</t>
  </si>
  <si>
    <t>a=0.65-4b</t>
  </si>
  <si>
    <t>Sum=</t>
  </si>
  <si>
    <t>var(x)=</t>
  </si>
  <si>
    <t>c.v.(x)=</t>
  </si>
  <si>
    <t>P(y)</t>
  </si>
  <si>
    <t>y*P(y)</t>
  </si>
  <si>
    <t>y*y*P(y)</t>
  </si>
  <si>
    <t>f*x</t>
  </si>
  <si>
    <t>P(x)=f/N</t>
  </si>
  <si>
    <t>Find the binomial probability distribution.</t>
  </si>
  <si>
    <t>mean=</t>
  </si>
  <si>
    <t>P(x=x)</t>
  </si>
  <si>
    <t>no. of observation=</t>
  </si>
  <si>
    <t>p=</t>
  </si>
  <si>
    <t>q=</t>
  </si>
  <si>
    <t>p(x)</t>
  </si>
  <si>
    <t>xmean=</t>
  </si>
  <si>
    <t>ef</t>
  </si>
  <si>
    <t>no. of trials=</t>
  </si>
  <si>
    <t>P(X=2)</t>
  </si>
  <si>
    <t>P(X&gt;=2)</t>
  </si>
  <si>
    <t>P(X&gt;2)</t>
  </si>
  <si>
    <t>P(X&lt;2)</t>
  </si>
  <si>
    <t>P(X&lt;=2)</t>
  </si>
  <si>
    <t>group a</t>
  </si>
  <si>
    <t>group b</t>
  </si>
  <si>
    <t>p90</t>
  </si>
  <si>
    <t>p10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</si>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</sst>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5D28"/>
        <bgColor indexed="64"/>
      </patternFill>
    </fill>
    <fill>
      <patternFill patternType="solid">
        <fgColor rgb="FF9FCC0E"/>
        <bgColor indexed="64"/>
      </patternFill>
    </fill>
    <fill>
      <patternFill patternType="solid">
        <fgColor rgb="FF85059F"/>
        <bgColor indexed="64"/>
      </patternFill>
    </fill>
    <fill>
      <patternFill patternType="solid">
        <fgColor rgb="FFFF090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6" borderId="1" xfId="0" applyFont="1" applyFill="1" applyBorder="1"/>
    <xf numFmtId="0" fontId="2" fillId="6" borderId="1" xfId="0" applyNumberFormat="1" applyFont="1" applyFill="1" applyBorder="1"/>
    <xf numFmtId="0" fontId="4" fillId="7" borderId="1" xfId="0" applyFont="1" applyFill="1" applyBorder="1"/>
    <xf numFmtId="0" fontId="5" fillId="5" borderId="1" xfId="0" applyFont="1" applyFill="1" applyBorder="1"/>
    <xf numFmtId="0" fontId="0" fillId="8" borderId="1" xfId="0" applyFill="1" applyBorder="1"/>
    <xf numFmtId="0" fontId="4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3" fillId="11" borderId="1" xfId="0" applyFont="1" applyFill="1" applyBorder="1"/>
    <xf numFmtId="0" fontId="0" fillId="11" borderId="2" xfId="0" applyFill="1" applyBorder="1"/>
    <xf numFmtId="0" fontId="3" fillId="11" borderId="2" xfId="0" applyNumberFormat="1" applyFont="1" applyFill="1" applyBorder="1"/>
    <xf numFmtId="0" fontId="3" fillId="11" borderId="2" xfId="0" applyFont="1" applyFill="1" applyBorder="1"/>
    <xf numFmtId="0" fontId="0" fillId="0" borderId="0" xfId="0" applyAlignment="1">
      <alignment horizontal="right"/>
    </xf>
    <xf numFmtId="0" fontId="5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909"/>
      <color rgb="FF85059F"/>
      <color rgb="FF9FCC0E"/>
      <color rgb="FF665D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zoomScaleNormal="100" workbookViewId="0">
      <selection activeCell="G23" sqref="G23"/>
    </sheetView>
  </sheetViews>
  <sheetFormatPr defaultRowHeight="15" x14ac:dyDescent="0.25"/>
  <cols>
    <col min="2" max="2" width="13.7109375" customWidth="1"/>
    <col min="3" max="3" width="11" customWidth="1"/>
  </cols>
  <sheetData>
    <row r="1" spans="1:10" x14ac:dyDescent="0.25">
      <c r="A1" t="s">
        <v>5</v>
      </c>
    </row>
    <row r="3" spans="1:10" x14ac:dyDescent="0.25">
      <c r="C3" t="s">
        <v>0</v>
      </c>
      <c r="D3" t="s">
        <v>1</v>
      </c>
      <c r="E3" t="s">
        <v>3</v>
      </c>
      <c r="G3" t="s">
        <v>4</v>
      </c>
    </row>
    <row r="4" spans="1:10" x14ac:dyDescent="0.25">
      <c r="C4">
        <v>10</v>
      </c>
      <c r="D4">
        <v>5</v>
      </c>
      <c r="E4">
        <f>D4/$D$10</f>
        <v>7.1428571428571425E-2</v>
      </c>
      <c r="G4">
        <f>E4*$J$4</f>
        <v>7.1428571428571423</v>
      </c>
      <c r="J4">
        <v>100</v>
      </c>
    </row>
    <row r="5" spans="1:10" x14ac:dyDescent="0.25">
      <c r="C5">
        <v>15</v>
      </c>
      <c r="D5">
        <v>10</v>
      </c>
      <c r="E5">
        <f>D5/$D$10</f>
        <v>0.14285714285714285</v>
      </c>
      <c r="G5">
        <f t="shared" ref="G5:G9" si="0">E5*$J$4</f>
        <v>14.285714285714285</v>
      </c>
    </row>
    <row r="6" spans="1:10" x14ac:dyDescent="0.25">
      <c r="C6">
        <v>20</v>
      </c>
      <c r="D6">
        <v>15</v>
      </c>
      <c r="E6">
        <f t="shared" ref="E6:E9" si="1">D6/$D$10</f>
        <v>0.21428571428571427</v>
      </c>
      <c r="G6">
        <f t="shared" si="0"/>
        <v>21.428571428571427</v>
      </c>
    </row>
    <row r="7" spans="1:10" x14ac:dyDescent="0.25">
      <c r="C7">
        <v>25</v>
      </c>
      <c r="D7">
        <v>18</v>
      </c>
      <c r="E7">
        <f t="shared" si="1"/>
        <v>0.25714285714285712</v>
      </c>
      <c r="G7">
        <f t="shared" si="0"/>
        <v>25.714285714285712</v>
      </c>
    </row>
    <row r="8" spans="1:10" x14ac:dyDescent="0.25">
      <c r="C8">
        <v>30</v>
      </c>
      <c r="D8">
        <v>12</v>
      </c>
      <c r="E8">
        <f t="shared" si="1"/>
        <v>0.17142857142857143</v>
      </c>
      <c r="G8">
        <f t="shared" si="0"/>
        <v>17.142857142857142</v>
      </c>
    </row>
    <row r="9" spans="1:10" x14ac:dyDescent="0.25">
      <c r="C9">
        <v>35</v>
      </c>
      <c r="D9">
        <v>10</v>
      </c>
      <c r="E9">
        <f t="shared" si="1"/>
        <v>0.14285714285714285</v>
      </c>
      <c r="G9">
        <f t="shared" si="0"/>
        <v>14.285714285714285</v>
      </c>
    </row>
    <row r="10" spans="1:10" x14ac:dyDescent="0.25">
      <c r="C10" t="s">
        <v>2</v>
      </c>
      <c r="D10">
        <f>SUM(D4:D9)</f>
        <v>70</v>
      </c>
      <c r="E10">
        <f>SUM(E4:E9)</f>
        <v>1</v>
      </c>
      <c r="G10">
        <f t="shared" ref="G10" si="2">SUM(G4:G9)</f>
        <v>100</v>
      </c>
    </row>
    <row r="13" spans="1:10" x14ac:dyDescent="0.25">
      <c r="A13" t="s">
        <v>6</v>
      </c>
    </row>
    <row r="16" spans="1:10" x14ac:dyDescent="0.25">
      <c r="C16" t="s">
        <v>0</v>
      </c>
      <c r="D16" t="s">
        <v>1</v>
      </c>
      <c r="E16" t="s">
        <v>3</v>
      </c>
      <c r="G16" t="s">
        <v>4</v>
      </c>
    </row>
    <row r="17" spans="1:7" x14ac:dyDescent="0.25">
      <c r="C17" s="1" t="s">
        <v>7</v>
      </c>
      <c r="D17">
        <v>5</v>
      </c>
      <c r="E17">
        <f>D17/$D$10</f>
        <v>7.1428571428571425E-2</v>
      </c>
      <c r="G17">
        <f>E17*$J$4</f>
        <v>7.1428571428571423</v>
      </c>
    </row>
    <row r="18" spans="1:7" x14ac:dyDescent="0.25">
      <c r="C18" s="2" t="s">
        <v>12</v>
      </c>
      <c r="D18">
        <v>10</v>
      </c>
      <c r="E18">
        <f>D18/$D$10</f>
        <v>0.14285714285714285</v>
      </c>
      <c r="G18">
        <f t="shared" ref="G18:G22" si="3">E18*$J$4</f>
        <v>14.285714285714285</v>
      </c>
    </row>
    <row r="19" spans="1:7" x14ac:dyDescent="0.25">
      <c r="C19" s="1" t="s">
        <v>8</v>
      </c>
      <c r="D19">
        <v>15</v>
      </c>
      <c r="E19">
        <f t="shared" ref="E19:E22" si="4">D19/$D$10</f>
        <v>0.21428571428571427</v>
      </c>
      <c r="G19">
        <f t="shared" si="3"/>
        <v>21.428571428571427</v>
      </c>
    </row>
    <row r="20" spans="1:7" x14ac:dyDescent="0.25">
      <c r="C20" s="1" t="s">
        <v>9</v>
      </c>
      <c r="D20">
        <v>18</v>
      </c>
      <c r="E20">
        <f t="shared" si="4"/>
        <v>0.25714285714285712</v>
      </c>
      <c r="G20">
        <f t="shared" si="3"/>
        <v>25.714285714285712</v>
      </c>
    </row>
    <row r="21" spans="1:7" x14ac:dyDescent="0.25">
      <c r="C21" s="1" t="s">
        <v>10</v>
      </c>
      <c r="D21">
        <v>12</v>
      </c>
      <c r="E21">
        <f t="shared" si="4"/>
        <v>0.17142857142857143</v>
      </c>
      <c r="G21">
        <f t="shared" si="3"/>
        <v>17.142857142857142</v>
      </c>
    </row>
    <row r="22" spans="1:7" x14ac:dyDescent="0.25">
      <c r="C22" s="1" t="s">
        <v>11</v>
      </c>
      <c r="D22">
        <v>10</v>
      </c>
      <c r="E22">
        <f t="shared" si="4"/>
        <v>0.14285714285714285</v>
      </c>
      <c r="G22">
        <f t="shared" si="3"/>
        <v>14.285714285714285</v>
      </c>
    </row>
    <row r="23" spans="1:7" x14ac:dyDescent="0.25">
      <c r="C23" t="s">
        <v>2</v>
      </c>
      <c r="D23">
        <f>SUM(D17:D22)</f>
        <v>70</v>
      </c>
      <c r="E23">
        <f>SUM(E17:E22)</f>
        <v>1</v>
      </c>
      <c r="G23">
        <f t="shared" ref="G23" si="5">SUM(G17:G22)</f>
        <v>100</v>
      </c>
    </row>
    <row r="26" spans="1:7" x14ac:dyDescent="0.25">
      <c r="A26" t="s">
        <v>13</v>
      </c>
    </row>
    <row r="27" spans="1:7" x14ac:dyDescent="0.25">
      <c r="A27" t="s">
        <v>14</v>
      </c>
    </row>
    <row r="29" spans="1:7" x14ac:dyDescent="0.25">
      <c r="C29" t="s">
        <v>0</v>
      </c>
      <c r="D29" t="s">
        <v>1</v>
      </c>
      <c r="E29" t="s">
        <v>15</v>
      </c>
      <c r="F29" t="s">
        <v>16</v>
      </c>
    </row>
    <row r="30" spans="1:7" x14ac:dyDescent="0.25">
      <c r="C30">
        <v>10</v>
      </c>
      <c r="D30">
        <v>2</v>
      </c>
      <c r="E30">
        <f>C30*D30</f>
        <v>20</v>
      </c>
      <c r="F30">
        <f>D30</f>
        <v>2</v>
      </c>
    </row>
    <row r="31" spans="1:7" x14ac:dyDescent="0.25">
      <c r="C31">
        <v>20</v>
      </c>
      <c r="D31">
        <v>3</v>
      </c>
      <c r="E31">
        <f t="shared" ref="E31:E33" si="6">C31*D31</f>
        <v>60</v>
      </c>
      <c r="F31">
        <f>F30+D31</f>
        <v>5</v>
      </c>
    </row>
    <row r="32" spans="1:7" x14ac:dyDescent="0.25">
      <c r="C32">
        <v>30</v>
      </c>
      <c r="D32">
        <v>5</v>
      </c>
      <c r="E32">
        <f t="shared" si="6"/>
        <v>150</v>
      </c>
      <c r="F32">
        <f t="shared" ref="F32:F34" si="7">F31+D32</f>
        <v>10</v>
      </c>
    </row>
    <row r="33" spans="1:7" x14ac:dyDescent="0.25">
      <c r="C33">
        <v>40</v>
      </c>
      <c r="D33">
        <v>3</v>
      </c>
      <c r="E33">
        <f t="shared" si="6"/>
        <v>120</v>
      </c>
      <c r="F33">
        <f t="shared" si="7"/>
        <v>13</v>
      </c>
    </row>
    <row r="34" spans="1:7" x14ac:dyDescent="0.25">
      <c r="C34">
        <v>50</v>
      </c>
      <c r="D34">
        <v>2</v>
      </c>
      <c r="E34">
        <f>C34*D34</f>
        <v>100</v>
      </c>
      <c r="F34">
        <f t="shared" si="7"/>
        <v>15</v>
      </c>
    </row>
    <row r="35" spans="1:7" x14ac:dyDescent="0.25">
      <c r="C35" t="s">
        <v>2</v>
      </c>
      <c r="D35">
        <f>SUM(D30:D34)</f>
        <v>15</v>
      </c>
      <c r="E35">
        <f>SUM(E30:E34)</f>
        <v>450</v>
      </c>
    </row>
    <row r="37" spans="1:7" x14ac:dyDescent="0.25">
      <c r="B37" t="s">
        <v>17</v>
      </c>
      <c r="C37">
        <f>E35/D35</f>
        <v>30</v>
      </c>
    </row>
    <row r="38" spans="1:7" x14ac:dyDescent="0.25">
      <c r="B38" t="s">
        <v>18</v>
      </c>
      <c r="C38">
        <f>(D35+1)/2</f>
        <v>8</v>
      </c>
      <c r="D38" t="s">
        <v>20</v>
      </c>
    </row>
    <row r="39" spans="1:7" x14ac:dyDescent="0.25">
      <c r="B39" t="s">
        <v>18</v>
      </c>
      <c r="C39">
        <v>30</v>
      </c>
    </row>
    <row r="40" spans="1:7" x14ac:dyDescent="0.25">
      <c r="B40" t="s">
        <v>19</v>
      </c>
      <c r="C40">
        <v>30</v>
      </c>
    </row>
    <row r="42" spans="1:7" x14ac:dyDescent="0.25">
      <c r="A42" t="s">
        <v>6</v>
      </c>
    </row>
    <row r="45" spans="1:7" x14ac:dyDescent="0.25">
      <c r="B45" t="s">
        <v>22</v>
      </c>
      <c r="C45" t="s">
        <v>23</v>
      </c>
      <c r="D45" t="s">
        <v>1</v>
      </c>
      <c r="E45" t="s">
        <v>21</v>
      </c>
      <c r="F45" t="s">
        <v>15</v>
      </c>
      <c r="G45" t="s">
        <v>25</v>
      </c>
    </row>
    <row r="46" spans="1:7" x14ac:dyDescent="0.25">
      <c r="B46">
        <v>0</v>
      </c>
      <c r="C46" s="3">
        <v>10</v>
      </c>
      <c r="D46">
        <v>5</v>
      </c>
      <c r="E46">
        <f>(C46+B46)/2</f>
        <v>5</v>
      </c>
      <c r="F46">
        <f>D46*E46</f>
        <v>25</v>
      </c>
      <c r="G46">
        <f>D46</f>
        <v>5</v>
      </c>
    </row>
    <row r="47" spans="1:7" x14ac:dyDescent="0.25">
      <c r="B47">
        <v>10</v>
      </c>
      <c r="C47" s="3">
        <v>20</v>
      </c>
      <c r="D47">
        <v>10</v>
      </c>
      <c r="E47">
        <f t="shared" ref="E47:E51" si="8">(C47+B47)/2</f>
        <v>15</v>
      </c>
      <c r="F47">
        <f t="shared" ref="F47:F51" si="9">D47*E47</f>
        <v>150</v>
      </c>
      <c r="G47">
        <f>G46+D47</f>
        <v>15</v>
      </c>
    </row>
    <row r="48" spans="1:7" x14ac:dyDescent="0.25">
      <c r="B48">
        <v>20</v>
      </c>
      <c r="C48">
        <v>30</v>
      </c>
      <c r="D48">
        <v>15</v>
      </c>
      <c r="E48">
        <f t="shared" si="8"/>
        <v>25</v>
      </c>
      <c r="F48">
        <f t="shared" si="9"/>
        <v>375</v>
      </c>
      <c r="G48">
        <f t="shared" ref="G48:G51" si="10">G47+D48</f>
        <v>30</v>
      </c>
    </row>
    <row r="49" spans="2:7" x14ac:dyDescent="0.25">
      <c r="B49">
        <v>30</v>
      </c>
      <c r="C49">
        <v>40</v>
      </c>
      <c r="D49">
        <v>18</v>
      </c>
      <c r="E49">
        <f t="shared" si="8"/>
        <v>35</v>
      </c>
      <c r="F49">
        <f t="shared" si="9"/>
        <v>630</v>
      </c>
      <c r="G49">
        <f t="shared" si="10"/>
        <v>48</v>
      </c>
    </row>
    <row r="50" spans="2:7" x14ac:dyDescent="0.25">
      <c r="B50">
        <v>40</v>
      </c>
      <c r="C50">
        <v>50</v>
      </c>
      <c r="D50">
        <v>12</v>
      </c>
      <c r="E50">
        <f t="shared" si="8"/>
        <v>45</v>
      </c>
      <c r="F50">
        <f t="shared" si="9"/>
        <v>540</v>
      </c>
      <c r="G50">
        <f t="shared" si="10"/>
        <v>60</v>
      </c>
    </row>
    <row r="51" spans="2:7" x14ac:dyDescent="0.25">
      <c r="B51">
        <v>50</v>
      </c>
      <c r="C51">
        <v>60</v>
      </c>
      <c r="D51">
        <v>10</v>
      </c>
      <c r="E51">
        <f t="shared" si="8"/>
        <v>55</v>
      </c>
      <c r="F51">
        <f t="shared" si="9"/>
        <v>550</v>
      </c>
      <c r="G51">
        <f t="shared" si="10"/>
        <v>70</v>
      </c>
    </row>
    <row r="52" spans="2:7" x14ac:dyDescent="0.25">
      <c r="C52" t="s">
        <v>2</v>
      </c>
      <c r="D52">
        <f>SUM(D46:D51)</f>
        <v>70</v>
      </c>
      <c r="F52">
        <f>SUM(F46:F51)</f>
        <v>2270</v>
      </c>
    </row>
    <row r="54" spans="2:7" x14ac:dyDescent="0.25">
      <c r="B54" t="s">
        <v>17</v>
      </c>
      <c r="C54">
        <f>F52/D52</f>
        <v>32.428571428571431</v>
      </c>
    </row>
    <row r="55" spans="2:7" x14ac:dyDescent="0.25">
      <c r="B55" t="s">
        <v>24</v>
      </c>
      <c r="C55">
        <f>D52/2</f>
        <v>35</v>
      </c>
    </row>
    <row r="56" spans="2:7" x14ac:dyDescent="0.25">
      <c r="B56" t="s">
        <v>18</v>
      </c>
      <c r="C56">
        <f>B49+(C55-G48)/D49*(C49-B49)</f>
        <v>32.777777777777779</v>
      </c>
    </row>
    <row r="57" spans="2:7" x14ac:dyDescent="0.25">
      <c r="B57" t="s">
        <v>26</v>
      </c>
      <c r="C57">
        <f>D49</f>
        <v>18</v>
      </c>
    </row>
    <row r="58" spans="2:7" x14ac:dyDescent="0.25">
      <c r="B58" t="s">
        <v>19</v>
      </c>
      <c r="C58">
        <f>B49+(D49-D48)/(D49-D48+D49-D50)*(C49-B49)</f>
        <v>33.333333333333336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4"/>
  <sheetViews>
    <sheetView workbookViewId="0">
      <selection activeCell="B4" sqref="B4"/>
    </sheetView>
  </sheetViews>
  <sheetFormatPr defaultRowHeight="15" x14ac:dyDescent="0.25"/>
  <sheetData>
    <row r="2" spans="1:7" x14ac:dyDescent="0.25">
      <c r="A2" t="s">
        <v>27</v>
      </c>
    </row>
    <row r="4" spans="1:7" x14ac:dyDescent="0.25">
      <c r="B4">
        <v>40</v>
      </c>
      <c r="C4">
        <v>78</v>
      </c>
      <c r="D4">
        <v>65</v>
      </c>
      <c r="E4">
        <v>45</v>
      </c>
      <c r="F4">
        <v>87</v>
      </c>
      <c r="G4">
        <v>56</v>
      </c>
    </row>
    <row r="5" spans="1:7" x14ac:dyDescent="0.25">
      <c r="B5">
        <v>40</v>
      </c>
      <c r="C5">
        <v>68</v>
      </c>
      <c r="D5">
        <v>75</v>
      </c>
      <c r="E5">
        <v>46</v>
      </c>
      <c r="F5">
        <v>86</v>
      </c>
      <c r="G5">
        <v>57</v>
      </c>
    </row>
    <row r="6" spans="1:7" x14ac:dyDescent="0.25">
      <c r="B6">
        <v>43</v>
      </c>
      <c r="C6">
        <v>66</v>
      </c>
      <c r="D6">
        <v>88</v>
      </c>
      <c r="E6">
        <v>45</v>
      </c>
      <c r="F6">
        <v>45</v>
      </c>
      <c r="G6">
        <v>45</v>
      </c>
    </row>
    <row r="7" spans="1:7" x14ac:dyDescent="0.25">
      <c r="B7">
        <v>52</v>
      </c>
      <c r="C7">
        <v>32</v>
      </c>
      <c r="D7">
        <v>54</v>
      </c>
      <c r="E7">
        <v>45</v>
      </c>
      <c r="F7">
        <v>23</v>
      </c>
      <c r="G7">
        <v>45</v>
      </c>
    </row>
    <row r="8" spans="1:7" x14ac:dyDescent="0.25">
      <c r="B8">
        <v>80</v>
      </c>
      <c r="C8">
        <v>80</v>
      </c>
      <c r="D8">
        <v>23</v>
      </c>
    </row>
    <row r="9" spans="1:7" x14ac:dyDescent="0.25">
      <c r="A9" t="s">
        <v>29</v>
      </c>
      <c r="B9" t="s">
        <v>28</v>
      </c>
      <c r="C9">
        <f>AVERAGE(B4:G7)</f>
        <v>55.25</v>
      </c>
    </row>
    <row r="10" spans="1:7" x14ac:dyDescent="0.25">
      <c r="A10" t="s">
        <v>30</v>
      </c>
      <c r="B10" t="s">
        <v>31</v>
      </c>
      <c r="C10">
        <f>MEDIAN(B4:G8)</f>
        <v>52</v>
      </c>
    </row>
    <row r="11" spans="1:7" x14ac:dyDescent="0.25">
      <c r="A11" t="s">
        <v>32</v>
      </c>
      <c r="B11" t="s">
        <v>33</v>
      </c>
      <c r="C11">
        <f>MODE(B4:G8)</f>
        <v>45</v>
      </c>
    </row>
    <row r="12" spans="1:7" x14ac:dyDescent="0.25">
      <c r="A12" t="s">
        <v>34</v>
      </c>
      <c r="B12" t="s">
        <v>35</v>
      </c>
      <c r="D12">
        <f>MAX(B4:G8)</f>
        <v>88</v>
      </c>
      <c r="E12">
        <f>QUARTILE(B4:G8,4)</f>
        <v>88</v>
      </c>
    </row>
    <row r="13" spans="1:7" x14ac:dyDescent="0.25">
      <c r="A13" t="s">
        <v>36</v>
      </c>
      <c r="B13" t="s">
        <v>37</v>
      </c>
      <c r="D13">
        <f>MIN(B4:G8)</f>
        <v>23</v>
      </c>
      <c r="E13">
        <f>QUARTILE(B4:G8,0)</f>
        <v>23</v>
      </c>
    </row>
    <row r="14" spans="1:7" x14ac:dyDescent="0.25">
      <c r="A14" t="s">
        <v>38</v>
      </c>
      <c r="B14" t="s">
        <v>39</v>
      </c>
      <c r="C14">
        <f>D12-D13</f>
        <v>65</v>
      </c>
    </row>
    <row r="15" spans="1:7" x14ac:dyDescent="0.25">
      <c r="A15" t="s">
        <v>40</v>
      </c>
      <c r="B15" t="s">
        <v>41</v>
      </c>
      <c r="C15">
        <f>QUARTILE(B4:G8,1)</f>
        <v>45</v>
      </c>
    </row>
    <row r="16" spans="1:7" x14ac:dyDescent="0.25">
      <c r="A16" t="s">
        <v>42</v>
      </c>
      <c r="B16" t="s">
        <v>44</v>
      </c>
      <c r="C16">
        <f>QUARTILE(B4:G8,2)</f>
        <v>52</v>
      </c>
    </row>
    <row r="17" spans="1:7" x14ac:dyDescent="0.25">
      <c r="A17" t="s">
        <v>43</v>
      </c>
      <c r="B17" t="s">
        <v>45</v>
      </c>
      <c r="C17">
        <f>QUARTILE(B4:G8,3)</f>
        <v>71.5</v>
      </c>
    </row>
    <row r="18" spans="1:7" x14ac:dyDescent="0.25">
      <c r="A18" t="s">
        <v>46</v>
      </c>
      <c r="B18" t="s">
        <v>57</v>
      </c>
      <c r="C18">
        <f>PERCENTILE(B4:G8,0.1)</f>
        <v>36.799999999999997</v>
      </c>
    </row>
    <row r="19" spans="1:7" x14ac:dyDescent="0.25">
      <c r="A19" t="s">
        <v>47</v>
      </c>
      <c r="B19" t="s">
        <v>58</v>
      </c>
      <c r="C19">
        <f>PERCENTILE(B4:G8,0.25)</f>
        <v>45</v>
      </c>
    </row>
    <row r="20" spans="1:7" x14ac:dyDescent="0.25">
      <c r="A20" t="s">
        <v>48</v>
      </c>
      <c r="B20" t="s">
        <v>59</v>
      </c>
      <c r="C20">
        <f>PERCENTILE(B4:G8,0.5)</f>
        <v>52</v>
      </c>
    </row>
    <row r="21" spans="1:7" x14ac:dyDescent="0.25">
      <c r="A21" t="s">
        <v>49</v>
      </c>
      <c r="B21" t="s">
        <v>60</v>
      </c>
      <c r="C21">
        <f>PERCENTILE(B4:G8,0.75)</f>
        <v>71.5</v>
      </c>
    </row>
    <row r="22" spans="1:7" x14ac:dyDescent="0.25">
      <c r="A22" t="s">
        <v>50</v>
      </c>
      <c r="B22" t="s">
        <v>61</v>
      </c>
      <c r="C22">
        <f>PERCENTILE(B4:G8,0.9)</f>
        <v>82.4</v>
      </c>
    </row>
    <row r="23" spans="1:7" x14ac:dyDescent="0.25">
      <c r="A23" t="s">
        <v>51</v>
      </c>
      <c r="B23" t="s">
        <v>62</v>
      </c>
      <c r="D23">
        <f>STDEV(B4:G8)</f>
        <v>19.103631014776173</v>
      </c>
    </row>
    <row r="24" spans="1:7" x14ac:dyDescent="0.25">
      <c r="A24" t="s">
        <v>52</v>
      </c>
      <c r="B24" t="s">
        <v>63</v>
      </c>
      <c r="D24">
        <f>VAR(B4:G8)</f>
        <v>364.94871794871813</v>
      </c>
    </row>
    <row r="25" spans="1:7" x14ac:dyDescent="0.25">
      <c r="A25" t="s">
        <v>53</v>
      </c>
      <c r="B25" t="s">
        <v>64</v>
      </c>
      <c r="E25">
        <f>(D23/C9)*100</f>
        <v>34.576707719051896</v>
      </c>
    </row>
    <row r="26" spans="1:7" x14ac:dyDescent="0.25">
      <c r="A26" t="s">
        <v>54</v>
      </c>
      <c r="B26" t="s">
        <v>65</v>
      </c>
      <c r="E26">
        <f>SKEW(B4:G8)</f>
        <v>0.21562064369554726</v>
      </c>
    </row>
    <row r="27" spans="1:7" x14ac:dyDescent="0.25">
      <c r="A27" t="s">
        <v>55</v>
      </c>
      <c r="B27" t="s">
        <v>70</v>
      </c>
      <c r="G27" t="s">
        <v>72</v>
      </c>
    </row>
    <row r="28" spans="1:7" x14ac:dyDescent="0.25">
      <c r="A28" t="s">
        <v>56</v>
      </c>
      <c r="B28" t="s">
        <v>66</v>
      </c>
      <c r="E28">
        <f>KURT(B4:G8)</f>
        <v>-0.89692405408755382</v>
      </c>
    </row>
    <row r="29" spans="1:7" x14ac:dyDescent="0.25">
      <c r="A29" t="s">
        <v>67</v>
      </c>
      <c r="B29" t="s">
        <v>71</v>
      </c>
      <c r="G29" t="s">
        <v>74</v>
      </c>
    </row>
    <row r="30" spans="1:7" x14ac:dyDescent="0.25">
      <c r="A30" t="s">
        <v>68</v>
      </c>
      <c r="B30" t="s">
        <v>69</v>
      </c>
      <c r="D30" t="s">
        <v>73</v>
      </c>
      <c r="F30">
        <f>MIN(B4:G8)</f>
        <v>23</v>
      </c>
    </row>
    <row r="31" spans="1:7" x14ac:dyDescent="0.25">
      <c r="D31" t="s">
        <v>41</v>
      </c>
      <c r="E31">
        <f>QUARTILE(B4:G8,1)</f>
        <v>45</v>
      </c>
    </row>
    <row r="32" spans="1:7" x14ac:dyDescent="0.25">
      <c r="D32" t="s">
        <v>44</v>
      </c>
      <c r="E32">
        <f>QUARTILE(B4:G8,2)</f>
        <v>52</v>
      </c>
    </row>
    <row r="33" spans="4:6" x14ac:dyDescent="0.25">
      <c r="D33" t="s">
        <v>45</v>
      </c>
      <c r="E33">
        <f>QUARTILE(B4:G8,3)</f>
        <v>71.5</v>
      </c>
    </row>
    <row r="34" spans="4:6" x14ac:dyDescent="0.25">
      <c r="D34" t="s">
        <v>35</v>
      </c>
      <c r="F34">
        <f>MAX(B4:G8)</f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2"/>
  <sheetViews>
    <sheetView workbookViewId="0">
      <selection activeCell="C3" sqref="C3"/>
    </sheetView>
  </sheetViews>
  <sheetFormatPr defaultRowHeight="15" x14ac:dyDescent="0.25"/>
  <sheetData>
    <row r="2" spans="1:5" x14ac:dyDescent="0.25">
      <c r="A2" t="s">
        <v>27</v>
      </c>
    </row>
    <row r="3" spans="1:5" x14ac:dyDescent="0.25">
      <c r="B3" t="s">
        <v>192</v>
      </c>
      <c r="C3" t="s">
        <v>193</v>
      </c>
    </row>
    <row r="4" spans="1:5" x14ac:dyDescent="0.25">
      <c r="B4">
        <v>40</v>
      </c>
      <c r="C4">
        <v>78</v>
      </c>
      <c r="D4">
        <v>65</v>
      </c>
    </row>
    <row r="5" spans="1:5" x14ac:dyDescent="0.25">
      <c r="B5">
        <v>45</v>
      </c>
      <c r="C5">
        <v>87</v>
      </c>
      <c r="D5">
        <v>56</v>
      </c>
    </row>
    <row r="6" spans="1:5" x14ac:dyDescent="0.25">
      <c r="B6">
        <v>40</v>
      </c>
      <c r="C6">
        <v>68</v>
      </c>
      <c r="D6">
        <v>75</v>
      </c>
    </row>
    <row r="7" spans="1:5" x14ac:dyDescent="0.25">
      <c r="B7">
        <v>46</v>
      </c>
      <c r="C7">
        <v>86</v>
      </c>
      <c r="D7">
        <v>57</v>
      </c>
    </row>
    <row r="8" spans="1:5" x14ac:dyDescent="0.25">
      <c r="B8">
        <v>43</v>
      </c>
      <c r="C8">
        <v>66</v>
      </c>
      <c r="D8">
        <v>88</v>
      </c>
    </row>
    <row r="9" spans="1:5" x14ac:dyDescent="0.25">
      <c r="B9">
        <v>45</v>
      </c>
      <c r="C9">
        <v>45</v>
      </c>
      <c r="D9">
        <v>45</v>
      </c>
    </row>
    <row r="10" spans="1:5" x14ac:dyDescent="0.25">
      <c r="B10">
        <v>52</v>
      </c>
      <c r="C10">
        <v>32</v>
      </c>
      <c r="D10">
        <v>54</v>
      </c>
    </row>
    <row r="11" spans="1:5" x14ac:dyDescent="0.25">
      <c r="B11">
        <v>45</v>
      </c>
      <c r="C11">
        <v>23</v>
      </c>
      <c r="D11">
        <v>45</v>
      </c>
    </row>
    <row r="12" spans="1:5" x14ac:dyDescent="0.25">
      <c r="B12">
        <v>80</v>
      </c>
      <c r="C12">
        <v>80</v>
      </c>
      <c r="D12">
        <v>23</v>
      </c>
    </row>
    <row r="13" spans="1:5" x14ac:dyDescent="0.25">
      <c r="B13" t="s">
        <v>75</v>
      </c>
    </row>
    <row r="14" spans="1:5" x14ac:dyDescent="0.25">
      <c r="B14" t="s">
        <v>17</v>
      </c>
      <c r="C14">
        <f>AVERAGE(B4:B12)</f>
        <v>48.444444444444443</v>
      </c>
    </row>
    <row r="15" spans="1:5" x14ac:dyDescent="0.25">
      <c r="B15" t="s">
        <v>62</v>
      </c>
      <c r="D15">
        <f>STDEV(B4:B12)</f>
        <v>12.360330811826106</v>
      </c>
    </row>
    <row r="16" spans="1:5" x14ac:dyDescent="0.25">
      <c r="B16" t="s">
        <v>76</v>
      </c>
      <c r="E16">
        <f>(D15/C14)*100</f>
        <v>25.514444336338293</v>
      </c>
    </row>
    <row r="17" spans="2:5" x14ac:dyDescent="0.25">
      <c r="B17" t="s">
        <v>77</v>
      </c>
    </row>
    <row r="18" spans="2:5" x14ac:dyDescent="0.25">
      <c r="B18" t="s">
        <v>28</v>
      </c>
      <c r="C18">
        <f>AVERAGE(C4:D12)</f>
        <v>59.611111111111114</v>
      </c>
    </row>
    <row r="19" spans="2:5" x14ac:dyDescent="0.25">
      <c r="B19" t="s">
        <v>62</v>
      </c>
      <c r="D19">
        <f>STDEV(C4:D12)</f>
        <v>21.029779694208123</v>
      </c>
    </row>
    <row r="20" spans="2:5" x14ac:dyDescent="0.25">
      <c r="B20" t="s">
        <v>76</v>
      </c>
      <c r="E20">
        <f>(D19/C18)*100</f>
        <v>35.278288396621264</v>
      </c>
    </row>
    <row r="21" spans="2:5" x14ac:dyDescent="0.25">
      <c r="B21" t="s">
        <v>78</v>
      </c>
    </row>
    <row r="22" spans="2:5" x14ac:dyDescent="0.25">
      <c r="B22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6"/>
  <sheetViews>
    <sheetView topLeftCell="A22" workbookViewId="0">
      <selection activeCell="G30" sqref="G30"/>
    </sheetView>
  </sheetViews>
  <sheetFormatPr defaultRowHeight="15" x14ac:dyDescent="0.25"/>
  <sheetData>
    <row r="2" spans="1:8" x14ac:dyDescent="0.25">
      <c r="A2" t="s">
        <v>87</v>
      </c>
    </row>
    <row r="4" spans="1:8" ht="17.25" x14ac:dyDescent="0.25">
      <c r="B4" s="6" t="s">
        <v>22</v>
      </c>
      <c r="C4" s="6" t="s">
        <v>23</v>
      </c>
      <c r="D4" s="6" t="s">
        <v>1</v>
      </c>
      <c r="E4" s="6" t="s">
        <v>21</v>
      </c>
      <c r="F4" s="6" t="s">
        <v>15</v>
      </c>
      <c r="G4" s="6" t="s">
        <v>80</v>
      </c>
      <c r="H4" s="6" t="s">
        <v>25</v>
      </c>
    </row>
    <row r="5" spans="1:8" x14ac:dyDescent="0.25">
      <c r="B5" s="9">
        <v>0</v>
      </c>
      <c r="C5" s="10">
        <v>10</v>
      </c>
      <c r="D5" s="11">
        <v>5</v>
      </c>
      <c r="E5" s="12">
        <f>(C5+B5)/2</f>
        <v>5</v>
      </c>
      <c r="F5" s="13">
        <f>D5*E5</f>
        <v>25</v>
      </c>
      <c r="G5" s="14">
        <f>75*E5</f>
        <v>375</v>
      </c>
      <c r="H5" s="15">
        <f>D5</f>
        <v>5</v>
      </c>
    </row>
    <row r="6" spans="1:8" x14ac:dyDescent="0.25">
      <c r="B6" s="9">
        <v>10</v>
      </c>
      <c r="C6" s="10">
        <v>20</v>
      </c>
      <c r="D6" s="11">
        <v>10</v>
      </c>
      <c r="E6" s="12">
        <f t="shared" ref="E6:E10" si="0">(C6+B6)/2</f>
        <v>15</v>
      </c>
      <c r="F6" s="13">
        <f t="shared" ref="F6:F10" si="1">D6*E6</f>
        <v>150</v>
      </c>
      <c r="G6" s="14">
        <f>F6*E6</f>
        <v>2250</v>
      </c>
      <c r="H6" s="15">
        <f>H5+D6</f>
        <v>15</v>
      </c>
    </row>
    <row r="7" spans="1:8" x14ac:dyDescent="0.25">
      <c r="B7" s="9">
        <v>20</v>
      </c>
      <c r="C7" s="9">
        <v>30</v>
      </c>
      <c r="D7" s="11">
        <v>15</v>
      </c>
      <c r="E7" s="12">
        <f t="shared" si="0"/>
        <v>25</v>
      </c>
      <c r="F7" s="13">
        <f t="shared" si="1"/>
        <v>375</v>
      </c>
      <c r="G7" s="14">
        <f t="shared" ref="G7:G10" si="2">F7*E7</f>
        <v>9375</v>
      </c>
      <c r="H7" s="15">
        <f t="shared" ref="H7:H10" si="3">H6+D7</f>
        <v>30</v>
      </c>
    </row>
    <row r="8" spans="1:8" x14ac:dyDescent="0.25">
      <c r="B8" s="9">
        <v>30</v>
      </c>
      <c r="C8" s="9">
        <v>40</v>
      </c>
      <c r="D8" s="11">
        <v>18</v>
      </c>
      <c r="E8" s="12">
        <f t="shared" si="0"/>
        <v>35</v>
      </c>
      <c r="F8" s="13">
        <f t="shared" si="1"/>
        <v>630</v>
      </c>
      <c r="G8" s="14">
        <f t="shared" si="2"/>
        <v>22050</v>
      </c>
      <c r="H8" s="15">
        <f t="shared" si="3"/>
        <v>48</v>
      </c>
    </row>
    <row r="9" spans="1:8" x14ac:dyDescent="0.25">
      <c r="B9" s="9">
        <v>40</v>
      </c>
      <c r="C9" s="9">
        <v>50</v>
      </c>
      <c r="D9" s="11">
        <v>12</v>
      </c>
      <c r="E9" s="12">
        <f t="shared" si="0"/>
        <v>45</v>
      </c>
      <c r="F9" s="13">
        <f t="shared" si="1"/>
        <v>540</v>
      </c>
      <c r="G9" s="14">
        <f t="shared" si="2"/>
        <v>24300</v>
      </c>
      <c r="H9" s="15">
        <f t="shared" si="3"/>
        <v>60</v>
      </c>
    </row>
    <row r="10" spans="1:8" x14ac:dyDescent="0.25">
      <c r="B10" s="9">
        <v>50</v>
      </c>
      <c r="C10" s="9">
        <v>60</v>
      </c>
      <c r="D10" s="11">
        <v>10</v>
      </c>
      <c r="E10" s="12">
        <f t="shared" si="0"/>
        <v>55</v>
      </c>
      <c r="F10" s="13">
        <f t="shared" si="1"/>
        <v>550</v>
      </c>
      <c r="G10" s="14">
        <f t="shared" si="2"/>
        <v>30250</v>
      </c>
      <c r="H10" s="15">
        <f t="shared" si="3"/>
        <v>70</v>
      </c>
    </row>
    <row r="11" spans="1:8" x14ac:dyDescent="0.25">
      <c r="B11" s="5"/>
      <c r="C11" s="7" t="s">
        <v>2</v>
      </c>
      <c r="D11" s="8">
        <f>SUM(D5:D10)</f>
        <v>70</v>
      </c>
      <c r="E11" s="5"/>
      <c r="F11" s="8">
        <f>SUM(F5:F10)</f>
        <v>2270</v>
      </c>
      <c r="G11" s="8">
        <f>SUM(G5:G10)</f>
        <v>88600</v>
      </c>
      <c r="H11" s="5"/>
    </row>
    <row r="12" spans="1:8" x14ac:dyDescent="0.25">
      <c r="B12" t="s">
        <v>17</v>
      </c>
      <c r="C12">
        <f>F11/D11</f>
        <v>32.428571428571431</v>
      </c>
      <c r="F12" t="s">
        <v>41</v>
      </c>
      <c r="G12">
        <f>B7+(D11/4-H6)/D7*10</f>
        <v>21.666666666666668</v>
      </c>
    </row>
    <row r="13" spans="1:8" x14ac:dyDescent="0.25">
      <c r="B13" t="s">
        <v>81</v>
      </c>
      <c r="D13">
        <f>SQRT((G11/D11)-(C12*C12))</f>
        <v>14.632226105973299</v>
      </c>
      <c r="F13" t="s">
        <v>45</v>
      </c>
      <c r="G13">
        <f>B9+(D11*3/4-H8)/D9*10</f>
        <v>43.75</v>
      </c>
    </row>
    <row r="14" spans="1:8" x14ac:dyDescent="0.25">
      <c r="B14" t="s">
        <v>63</v>
      </c>
      <c r="D14">
        <f>D13*D13</f>
        <v>214.10204081632654</v>
      </c>
      <c r="F14" t="s">
        <v>84</v>
      </c>
      <c r="G14">
        <f>B6+(D11/10-H5)/D6*10</f>
        <v>12</v>
      </c>
    </row>
    <row r="15" spans="1:8" x14ac:dyDescent="0.25">
      <c r="B15" t="s">
        <v>82</v>
      </c>
      <c r="D15">
        <f>D13/C12*100</f>
        <v>45.121402088904446</v>
      </c>
      <c r="F15" t="s">
        <v>61</v>
      </c>
      <c r="G15">
        <f>B10+(D11*9/10-H9)/D10*10</f>
        <v>53</v>
      </c>
    </row>
    <row r="16" spans="1:8" x14ac:dyDescent="0.25">
      <c r="B16" t="s">
        <v>83</v>
      </c>
      <c r="D16">
        <f>(C12-G16)/D13</f>
        <v>-6.1833510376972309E-2</v>
      </c>
      <c r="F16" t="s">
        <v>33</v>
      </c>
      <c r="G16">
        <f>B8+(D8-D7)/(D8-D9+D8-D7)*10</f>
        <v>33.333333333333336</v>
      </c>
    </row>
    <row r="17" spans="2:13" x14ac:dyDescent="0.25">
      <c r="B17" t="s">
        <v>86</v>
      </c>
    </row>
    <row r="18" spans="2:13" x14ac:dyDescent="0.25">
      <c r="B18" t="s">
        <v>85</v>
      </c>
      <c r="D18">
        <f>(1/2*(G13-G12))/(G15-G14)</f>
        <v>0.26930894308943087</v>
      </c>
    </row>
    <row r="19" spans="2:13" x14ac:dyDescent="0.25">
      <c r="B19" t="s">
        <v>88</v>
      </c>
    </row>
    <row r="21" spans="2:13" x14ac:dyDescent="0.25">
      <c r="B21" t="s">
        <v>91</v>
      </c>
      <c r="D21" s="4"/>
      <c r="E21" s="4"/>
      <c r="F21" s="4" t="s">
        <v>89</v>
      </c>
      <c r="G21" s="4"/>
      <c r="H21" s="4"/>
      <c r="K21" t="s">
        <v>90</v>
      </c>
    </row>
    <row r="22" spans="2:13" ht="17.25" x14ac:dyDescent="0.25">
      <c r="B22" s="16" t="s">
        <v>22</v>
      </c>
      <c r="C22" s="18" t="s">
        <v>23</v>
      </c>
      <c r="D22" s="5" t="s">
        <v>1</v>
      </c>
      <c r="E22" s="6" t="s">
        <v>21</v>
      </c>
      <c r="F22" s="5" t="s">
        <v>15</v>
      </c>
      <c r="G22" s="5" t="s">
        <v>80</v>
      </c>
      <c r="H22" s="5" t="s">
        <v>25</v>
      </c>
      <c r="I22" s="6" t="s">
        <v>1</v>
      </c>
      <c r="J22" s="6" t="s">
        <v>21</v>
      </c>
      <c r="K22" s="6" t="s">
        <v>15</v>
      </c>
      <c r="L22" s="6" t="s">
        <v>80</v>
      </c>
      <c r="M22" s="6" t="s">
        <v>25</v>
      </c>
    </row>
    <row r="23" spans="2:13" x14ac:dyDescent="0.25">
      <c r="B23" s="17">
        <v>0</v>
      </c>
      <c r="C23" s="19">
        <v>10</v>
      </c>
      <c r="D23" s="5">
        <v>5</v>
      </c>
      <c r="E23" s="17">
        <f>(C23+B23)/2</f>
        <v>5</v>
      </c>
      <c r="F23" s="5">
        <f>D23*E23</f>
        <v>25</v>
      </c>
      <c r="G23" s="5">
        <f>F23*D23</f>
        <v>125</v>
      </c>
      <c r="H23" s="5">
        <f>D23</f>
        <v>5</v>
      </c>
      <c r="I23" s="17">
        <v>3</v>
      </c>
      <c r="J23" s="12">
        <f>(H23+G23)/2</f>
        <v>65</v>
      </c>
      <c r="K23" s="13">
        <f>I23*J23</f>
        <v>195</v>
      </c>
      <c r="L23" s="14">
        <f>75*J23</f>
        <v>4875</v>
      </c>
      <c r="M23" s="15">
        <f>I23</f>
        <v>3</v>
      </c>
    </row>
    <row r="24" spans="2:13" x14ac:dyDescent="0.25">
      <c r="B24" s="17">
        <v>10</v>
      </c>
      <c r="C24" s="19">
        <v>20</v>
      </c>
      <c r="D24" s="5">
        <v>8</v>
      </c>
      <c r="E24" s="22">
        <f t="shared" ref="E24:E27" si="4">(C24+B24)/2</f>
        <v>15</v>
      </c>
      <c r="F24" s="5">
        <f t="shared" ref="F24:F27" si="5">D24*E24</f>
        <v>120</v>
      </c>
      <c r="G24" s="5">
        <f t="shared" ref="G24:G27" si="6">F24*D24</f>
        <v>960</v>
      </c>
      <c r="H24" s="5">
        <f>H23+D24</f>
        <v>13</v>
      </c>
      <c r="I24" s="17">
        <v>5</v>
      </c>
      <c r="J24" s="12">
        <f t="shared" ref="J24:J27" si="7">(H24+G24)/2</f>
        <v>486.5</v>
      </c>
      <c r="K24" s="13">
        <f t="shared" ref="K24:K27" si="8">I24*J24</f>
        <v>2432.5</v>
      </c>
      <c r="L24" s="14">
        <f>K24*J24</f>
        <v>1183411.25</v>
      </c>
      <c r="M24" s="15">
        <f>M23+I24</f>
        <v>8</v>
      </c>
    </row>
    <row r="25" spans="2:13" x14ac:dyDescent="0.25">
      <c r="B25" s="17">
        <v>20</v>
      </c>
      <c r="C25" s="20">
        <v>30</v>
      </c>
      <c r="D25" s="5">
        <v>10</v>
      </c>
      <c r="E25" s="22">
        <f t="shared" si="4"/>
        <v>25</v>
      </c>
      <c r="F25" s="5">
        <f t="shared" si="5"/>
        <v>250</v>
      </c>
      <c r="G25" s="5">
        <f t="shared" si="6"/>
        <v>2500</v>
      </c>
      <c r="H25" s="5">
        <f t="shared" ref="H25:H27" si="9">H24+D25</f>
        <v>23</v>
      </c>
      <c r="I25" s="11">
        <v>12</v>
      </c>
      <c r="J25" s="12">
        <f t="shared" si="7"/>
        <v>1261.5</v>
      </c>
      <c r="K25" s="13">
        <f t="shared" si="8"/>
        <v>15138</v>
      </c>
      <c r="L25" s="14">
        <f t="shared" ref="L25:L27" si="10">K25*J25</f>
        <v>19096587</v>
      </c>
      <c r="M25" s="15">
        <f t="shared" ref="M25:M27" si="11">M24+I25</f>
        <v>20</v>
      </c>
    </row>
    <row r="26" spans="2:13" x14ac:dyDescent="0.25">
      <c r="B26" s="17">
        <v>30</v>
      </c>
      <c r="C26" s="20">
        <v>40</v>
      </c>
      <c r="D26" s="5">
        <v>6</v>
      </c>
      <c r="E26" s="22">
        <f t="shared" si="4"/>
        <v>35</v>
      </c>
      <c r="F26" s="5">
        <f t="shared" si="5"/>
        <v>210</v>
      </c>
      <c r="G26" s="5">
        <f t="shared" si="6"/>
        <v>1260</v>
      </c>
      <c r="H26" s="5">
        <f t="shared" si="9"/>
        <v>29</v>
      </c>
      <c r="I26" s="11">
        <v>8</v>
      </c>
      <c r="J26" s="12">
        <f t="shared" si="7"/>
        <v>644.5</v>
      </c>
      <c r="K26" s="13">
        <f t="shared" si="8"/>
        <v>5156</v>
      </c>
      <c r="L26" s="14">
        <f t="shared" si="10"/>
        <v>3323042</v>
      </c>
      <c r="M26" s="15">
        <f t="shared" si="11"/>
        <v>28</v>
      </c>
    </row>
    <row r="27" spans="2:13" x14ac:dyDescent="0.25">
      <c r="B27" s="17">
        <v>40</v>
      </c>
      <c r="C27" s="20">
        <v>50</v>
      </c>
      <c r="D27" s="5">
        <v>4</v>
      </c>
      <c r="E27" s="22">
        <f t="shared" si="4"/>
        <v>45</v>
      </c>
      <c r="F27" s="5">
        <f t="shared" si="5"/>
        <v>180</v>
      </c>
      <c r="G27" s="5">
        <f t="shared" si="6"/>
        <v>720</v>
      </c>
      <c r="H27" s="5">
        <f t="shared" si="9"/>
        <v>33</v>
      </c>
      <c r="I27" s="11">
        <v>2</v>
      </c>
      <c r="J27" s="12">
        <f t="shared" si="7"/>
        <v>376.5</v>
      </c>
      <c r="K27" s="13">
        <f t="shared" si="8"/>
        <v>753</v>
      </c>
      <c r="L27" s="14">
        <f t="shared" si="10"/>
        <v>283504.5</v>
      </c>
      <c r="M27" s="15">
        <f t="shared" si="11"/>
        <v>30</v>
      </c>
    </row>
    <row r="28" spans="2:13" x14ac:dyDescent="0.25">
      <c r="D28" s="5">
        <f>SUM(D23:D27)</f>
        <v>33</v>
      </c>
      <c r="E28" s="12"/>
      <c r="F28" s="5">
        <f>SUM(F23:F27)</f>
        <v>785</v>
      </c>
      <c r="G28" s="5">
        <f>SUM(G23:G27)</f>
        <v>5565</v>
      </c>
      <c r="H28" s="5"/>
      <c r="I28" s="5">
        <f>SUM(I23:I27)</f>
        <v>30</v>
      </c>
      <c r="J28" s="12"/>
      <c r="K28" s="5">
        <f>SUM(K23:K27)</f>
        <v>23674.5</v>
      </c>
      <c r="L28" s="5">
        <f>SUM(L23:L27)</f>
        <v>23891419.75</v>
      </c>
      <c r="M28" s="5"/>
    </row>
    <row r="29" spans="2:13" x14ac:dyDescent="0.25">
      <c r="B29" t="s">
        <v>17</v>
      </c>
      <c r="C29">
        <f>F28/D28</f>
        <v>23.787878787878789</v>
      </c>
      <c r="F29" t="s">
        <v>41</v>
      </c>
      <c r="G29">
        <f>B24+(D28/4-H23)/D24*10</f>
        <v>14.0625</v>
      </c>
      <c r="I29" s="8"/>
      <c r="J29" s="5"/>
      <c r="K29" s="8"/>
      <c r="L29" s="8"/>
      <c r="M29" s="5"/>
    </row>
    <row r="30" spans="2:13" x14ac:dyDescent="0.25">
      <c r="B30" t="s">
        <v>81</v>
      </c>
      <c r="D30">
        <f>SQRT((G28/D28)-(C29*C29)/D28)</f>
        <v>12.308086554354844</v>
      </c>
      <c r="F30" t="s">
        <v>45</v>
      </c>
      <c r="G30">
        <f>B26+(D28*3/4-H25)/D26*10</f>
        <v>32.916666666666664</v>
      </c>
    </row>
    <row r="31" spans="2:13" x14ac:dyDescent="0.25">
      <c r="B31" t="s">
        <v>63</v>
      </c>
      <c r="D31">
        <f>D30*D30</f>
        <v>151.48899462949049</v>
      </c>
      <c r="F31" t="s">
        <v>194</v>
      </c>
      <c r="G31" t="e">
        <f>per</f>
        <v>#NAME?</v>
      </c>
    </row>
    <row r="32" spans="2:13" x14ac:dyDescent="0.25">
      <c r="B32" t="s">
        <v>82</v>
      </c>
      <c r="D32">
        <f>D30/C29*100</f>
        <v>51.741000801746473</v>
      </c>
      <c r="F32" t="s">
        <v>195</v>
      </c>
    </row>
    <row r="33" spans="2:7" x14ac:dyDescent="0.25">
      <c r="B33" t="s">
        <v>83</v>
      </c>
      <c r="D33">
        <f>(C29-G33)/D30</f>
        <v>3.6930635199719945E-2</v>
      </c>
      <c r="F33" t="s">
        <v>33</v>
      </c>
      <c r="G33">
        <f>B25+(D25-D24)/(D25-D26+D25-D24)*10</f>
        <v>23.333333333333332</v>
      </c>
    </row>
    <row r="34" spans="2:7" x14ac:dyDescent="0.25">
      <c r="B34" t="s">
        <v>86</v>
      </c>
    </row>
    <row r="35" spans="2:7" x14ac:dyDescent="0.25">
      <c r="B35" t="s">
        <v>85</v>
      </c>
      <c r="D35" t="e">
        <f>(1/2*(G30-G29))/(G32-G31)</f>
        <v>#NAME?</v>
      </c>
    </row>
    <row r="36" spans="2:7" x14ac:dyDescent="0.25">
      <c r="B36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1"/>
  <sheetViews>
    <sheetView topLeftCell="A82" zoomScale="115" zoomScaleNormal="115" workbookViewId="0">
      <selection activeCell="D16" sqref="D16"/>
    </sheetView>
  </sheetViews>
  <sheetFormatPr defaultRowHeight="15" x14ac:dyDescent="0.25"/>
  <cols>
    <col min="1" max="1" width="13.28515625" customWidth="1"/>
  </cols>
  <sheetData>
    <row r="1" spans="1:11" x14ac:dyDescent="0.25">
      <c r="A1" t="s">
        <v>92</v>
      </c>
    </row>
    <row r="2" spans="1:11" x14ac:dyDescent="0.25">
      <c r="A2" t="s">
        <v>93</v>
      </c>
    </row>
    <row r="3" spans="1:11" x14ac:dyDescent="0.25">
      <c r="A3" t="s">
        <v>94</v>
      </c>
    </row>
    <row r="4" spans="1:11" x14ac:dyDescent="0.25">
      <c r="A4" t="s">
        <v>95</v>
      </c>
    </row>
    <row r="6" spans="1:11" x14ac:dyDescent="0.25">
      <c r="A6" t="s">
        <v>0</v>
      </c>
      <c r="B6">
        <v>10</v>
      </c>
      <c r="C6">
        <v>12</v>
      </c>
      <c r="D6">
        <v>15</v>
      </c>
      <c r="E6">
        <v>18</v>
      </c>
      <c r="F6">
        <v>20</v>
      </c>
      <c r="G6">
        <v>25</v>
      </c>
      <c r="H6">
        <v>30</v>
      </c>
      <c r="I6">
        <v>35</v>
      </c>
      <c r="J6">
        <v>40</v>
      </c>
      <c r="K6">
        <v>45</v>
      </c>
    </row>
    <row r="7" spans="1:11" x14ac:dyDescent="0.25">
      <c r="A7" t="s">
        <v>97</v>
      </c>
      <c r="B7">
        <v>2</v>
      </c>
      <c r="C7">
        <v>4</v>
      </c>
      <c r="D7">
        <v>5</v>
      </c>
      <c r="E7">
        <v>8</v>
      </c>
      <c r="F7">
        <v>9</v>
      </c>
      <c r="G7">
        <v>10</v>
      </c>
      <c r="H7">
        <v>12</v>
      </c>
      <c r="I7">
        <v>15</v>
      </c>
      <c r="J7">
        <v>16</v>
      </c>
      <c r="K7">
        <v>17</v>
      </c>
    </row>
    <row r="9" spans="1:11" x14ac:dyDescent="0.25">
      <c r="A9" t="s">
        <v>96</v>
      </c>
      <c r="D9">
        <f>CORREL(B6:K6,B7:K7)</f>
        <v>0.98301206474087044</v>
      </c>
      <c r="G9" t="s">
        <v>100</v>
      </c>
      <c r="H9">
        <v>10</v>
      </c>
    </row>
    <row r="10" spans="1:11" x14ac:dyDescent="0.25">
      <c r="B10" t="s">
        <v>98</v>
      </c>
    </row>
    <row r="11" spans="1:11" x14ac:dyDescent="0.25">
      <c r="A11" t="s">
        <v>99</v>
      </c>
      <c r="B11">
        <f>((1-(D9*D9))/SQRT(H9))</f>
        <v>1.0652853479063877E-2</v>
      </c>
    </row>
    <row r="12" spans="1:11" x14ac:dyDescent="0.25">
      <c r="A12" t="s">
        <v>101</v>
      </c>
      <c r="B12">
        <f>B11*0.6745</f>
        <v>7.1853496716285849E-3</v>
      </c>
    </row>
    <row r="13" spans="1:11" x14ac:dyDescent="0.25">
      <c r="A13" t="s">
        <v>102</v>
      </c>
      <c r="B13">
        <f>6*B12</f>
        <v>4.3112098029771506E-2</v>
      </c>
    </row>
    <row r="14" spans="1:11" x14ac:dyDescent="0.25">
      <c r="B14" t="s">
        <v>103</v>
      </c>
    </row>
    <row r="16" spans="1:11" x14ac:dyDescent="0.25">
      <c r="C16" t="s">
        <v>104</v>
      </c>
      <c r="D16" t="s">
        <v>105</v>
      </c>
    </row>
    <row r="17" spans="1:11" x14ac:dyDescent="0.25">
      <c r="A17" t="s">
        <v>0</v>
      </c>
      <c r="B17">
        <v>2</v>
      </c>
      <c r="C17">
        <v>2.4</v>
      </c>
      <c r="D17">
        <v>3</v>
      </c>
      <c r="E17">
        <v>3.6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</row>
    <row r="18" spans="1:11" x14ac:dyDescent="0.25">
      <c r="A18" t="s">
        <v>97</v>
      </c>
      <c r="B18">
        <v>1</v>
      </c>
      <c r="C18">
        <v>2</v>
      </c>
      <c r="D18">
        <v>2.5</v>
      </c>
      <c r="E18">
        <v>4</v>
      </c>
      <c r="F18">
        <v>4.5</v>
      </c>
      <c r="G18">
        <v>5</v>
      </c>
      <c r="H18">
        <v>6</v>
      </c>
      <c r="I18">
        <v>7.5</v>
      </c>
      <c r="J18">
        <v>8</v>
      </c>
      <c r="K18">
        <v>8.5</v>
      </c>
    </row>
    <row r="20" spans="1:11" x14ac:dyDescent="0.25">
      <c r="A20" t="s">
        <v>96</v>
      </c>
      <c r="D20">
        <f>CORREL(B17:K17,B18:K18)</f>
        <v>0.98301206474087033</v>
      </c>
      <c r="G20" t="s">
        <v>100</v>
      </c>
      <c r="H20">
        <v>10</v>
      </c>
    </row>
    <row r="21" spans="1:11" x14ac:dyDescent="0.25">
      <c r="B21" t="s">
        <v>98</v>
      </c>
    </row>
    <row r="22" spans="1:11" x14ac:dyDescent="0.25">
      <c r="A22" t="s">
        <v>99</v>
      </c>
      <c r="B22">
        <f>((1-(D20*D20))/SQRT(H20))</f>
        <v>1.0652853479063947E-2</v>
      </c>
    </row>
    <row r="23" spans="1:11" x14ac:dyDescent="0.25">
      <c r="A23" t="s">
        <v>101</v>
      </c>
      <c r="B23">
        <f>B22*0.6745</f>
        <v>7.1853496716286318E-3</v>
      </c>
    </row>
    <row r="24" spans="1:11" x14ac:dyDescent="0.25">
      <c r="A24" t="s">
        <v>102</v>
      </c>
      <c r="B24">
        <f>6*B23</f>
        <v>4.3112098029771791E-2</v>
      </c>
    </row>
    <row r="25" spans="1:11" x14ac:dyDescent="0.25">
      <c r="B25" t="s">
        <v>103</v>
      </c>
    </row>
    <row r="26" spans="1:11" x14ac:dyDescent="0.25">
      <c r="D26" t="s">
        <v>108</v>
      </c>
      <c r="E26" t="s">
        <v>109</v>
      </c>
    </row>
    <row r="27" spans="1:11" x14ac:dyDescent="0.25">
      <c r="A27" t="s">
        <v>0</v>
      </c>
      <c r="B27">
        <v>100</v>
      </c>
      <c r="C27">
        <v>120</v>
      </c>
      <c r="D27">
        <v>150</v>
      </c>
      <c r="E27">
        <v>180</v>
      </c>
      <c r="F27">
        <v>200</v>
      </c>
      <c r="G27">
        <v>250</v>
      </c>
      <c r="H27">
        <v>300</v>
      </c>
      <c r="I27">
        <v>350</v>
      </c>
      <c r="J27">
        <v>400</v>
      </c>
      <c r="K27">
        <v>450</v>
      </c>
    </row>
    <row r="28" spans="1:11" x14ac:dyDescent="0.25">
      <c r="A28" t="s">
        <v>97</v>
      </c>
      <c r="B28">
        <v>6</v>
      </c>
      <c r="C28">
        <v>12</v>
      </c>
      <c r="D28">
        <v>15</v>
      </c>
      <c r="E28">
        <v>24</v>
      </c>
      <c r="F28">
        <v>27</v>
      </c>
      <c r="G28">
        <v>30</v>
      </c>
      <c r="H28">
        <v>36</v>
      </c>
      <c r="I28">
        <v>45</v>
      </c>
      <c r="J28">
        <v>48</v>
      </c>
      <c r="K28">
        <v>51</v>
      </c>
    </row>
    <row r="30" spans="1:11" x14ac:dyDescent="0.25">
      <c r="A30" t="s">
        <v>96</v>
      </c>
      <c r="D30">
        <f>CORREL(B27:K27,B28:K28)</f>
        <v>0.98301206474087066</v>
      </c>
      <c r="G30" t="s">
        <v>100</v>
      </c>
      <c r="H30">
        <v>10</v>
      </c>
    </row>
    <row r="31" spans="1:11" x14ac:dyDescent="0.25">
      <c r="B31" t="s">
        <v>98</v>
      </c>
    </row>
    <row r="32" spans="1:11" x14ac:dyDescent="0.25">
      <c r="A32" t="s">
        <v>99</v>
      </c>
      <c r="B32">
        <f>((1-(D30*D30))/SQRT(H30))</f>
        <v>1.0652853479063737E-2</v>
      </c>
    </row>
    <row r="33" spans="1:11" x14ac:dyDescent="0.25">
      <c r="A33" t="s">
        <v>101</v>
      </c>
      <c r="B33">
        <f>B32*0.6745</f>
        <v>7.1853496716284904E-3</v>
      </c>
    </row>
    <row r="34" spans="1:11" x14ac:dyDescent="0.25">
      <c r="A34" t="s">
        <v>102</v>
      </c>
      <c r="B34">
        <f>6*B33</f>
        <v>4.3112098029770944E-2</v>
      </c>
    </row>
    <row r="35" spans="1:11" x14ac:dyDescent="0.25">
      <c r="B35" t="s">
        <v>103</v>
      </c>
    </row>
    <row r="37" spans="1:11" x14ac:dyDescent="0.25">
      <c r="C37" t="s">
        <v>106</v>
      </c>
      <c r="D37" t="s">
        <v>107</v>
      </c>
    </row>
    <row r="38" spans="1:11" x14ac:dyDescent="0.25">
      <c r="A38" t="s">
        <v>0</v>
      </c>
      <c r="B38">
        <v>2.5</v>
      </c>
      <c r="C38">
        <v>3.5</v>
      </c>
      <c r="D38">
        <v>5</v>
      </c>
      <c r="E38">
        <v>6.5</v>
      </c>
      <c r="F38">
        <v>7.5</v>
      </c>
      <c r="G38">
        <v>10</v>
      </c>
      <c r="H38">
        <v>12.5</v>
      </c>
      <c r="I38">
        <v>15</v>
      </c>
      <c r="J38">
        <v>17.5</v>
      </c>
      <c r="K38">
        <v>20</v>
      </c>
    </row>
    <row r="39" spans="1:11" x14ac:dyDescent="0.25">
      <c r="A39" t="s">
        <v>97</v>
      </c>
      <c r="B39">
        <v>-1.5</v>
      </c>
      <c r="C39">
        <v>-0.5</v>
      </c>
      <c r="D39">
        <v>0</v>
      </c>
      <c r="E39">
        <v>1.5</v>
      </c>
      <c r="F39">
        <v>2</v>
      </c>
      <c r="G39">
        <v>2.5</v>
      </c>
      <c r="H39">
        <v>3.5</v>
      </c>
      <c r="I39">
        <v>5</v>
      </c>
      <c r="J39">
        <v>5.5</v>
      </c>
      <c r="K39">
        <v>6</v>
      </c>
    </row>
    <row r="41" spans="1:11" x14ac:dyDescent="0.25">
      <c r="A41" t="s">
        <v>96</v>
      </c>
      <c r="D41">
        <f>CORREL(B38:K38,B39:K39)</f>
        <v>0.98301206474087077</v>
      </c>
      <c r="G41" t="s">
        <v>100</v>
      </c>
      <c r="H41">
        <v>10</v>
      </c>
    </row>
    <row r="42" spans="1:11" x14ac:dyDescent="0.25">
      <c r="B42" t="s">
        <v>98</v>
      </c>
    </row>
    <row r="43" spans="1:11" x14ac:dyDescent="0.25">
      <c r="A43" t="s">
        <v>99</v>
      </c>
      <c r="B43">
        <f>((1-(D41*D41))/SQRT(H41))</f>
        <v>1.0652853479063702E-2</v>
      </c>
    </row>
    <row r="44" spans="1:11" x14ac:dyDescent="0.25">
      <c r="A44" t="s">
        <v>101</v>
      </c>
      <c r="B44">
        <f>B43*0.6745</f>
        <v>7.185349671628467E-3</v>
      </c>
    </row>
    <row r="45" spans="1:11" x14ac:dyDescent="0.25">
      <c r="A45" t="s">
        <v>102</v>
      </c>
      <c r="B45">
        <f>6*B44</f>
        <v>4.3112098029770798E-2</v>
      </c>
    </row>
    <row r="46" spans="1:11" x14ac:dyDescent="0.25">
      <c r="B46" t="s">
        <v>103</v>
      </c>
    </row>
    <row r="48" spans="1:11" x14ac:dyDescent="0.25">
      <c r="C48" t="s">
        <v>106</v>
      </c>
      <c r="D48" t="s">
        <v>110</v>
      </c>
    </row>
    <row r="49" spans="1:11" x14ac:dyDescent="0.25">
      <c r="A49" t="s">
        <v>0</v>
      </c>
      <c r="B49">
        <v>2.5</v>
      </c>
      <c r="C49">
        <v>3.5</v>
      </c>
      <c r="D49">
        <v>5</v>
      </c>
      <c r="E49">
        <v>6.5</v>
      </c>
      <c r="F49">
        <v>7.5</v>
      </c>
      <c r="G49">
        <v>10</v>
      </c>
      <c r="H49">
        <v>12.5</v>
      </c>
      <c r="I49">
        <v>15</v>
      </c>
      <c r="J49">
        <v>17.5</v>
      </c>
      <c r="K49">
        <v>20</v>
      </c>
    </row>
    <row r="50" spans="1:11" x14ac:dyDescent="0.25">
      <c r="A50" t="s">
        <v>97</v>
      </c>
      <c r="B50">
        <v>2</v>
      </c>
      <c r="C50">
        <v>4</v>
      </c>
      <c r="D50">
        <v>5</v>
      </c>
      <c r="E50">
        <v>8</v>
      </c>
      <c r="F50">
        <v>9</v>
      </c>
      <c r="G50">
        <v>10</v>
      </c>
      <c r="H50">
        <v>12</v>
      </c>
      <c r="I50">
        <v>15</v>
      </c>
      <c r="J50">
        <v>16</v>
      </c>
      <c r="K50">
        <v>17</v>
      </c>
    </row>
    <row r="52" spans="1:11" x14ac:dyDescent="0.25">
      <c r="A52" t="s">
        <v>96</v>
      </c>
      <c r="D52">
        <f>CORREL(B49:K49,B50:K50)</f>
        <v>0.98301206474087044</v>
      </c>
      <c r="G52" t="s">
        <v>100</v>
      </c>
      <c r="H52">
        <v>10</v>
      </c>
    </row>
    <row r="53" spans="1:11" x14ac:dyDescent="0.25">
      <c r="B53" t="s">
        <v>98</v>
      </c>
    </row>
    <row r="54" spans="1:11" x14ac:dyDescent="0.25">
      <c r="A54" t="s">
        <v>99</v>
      </c>
      <c r="B54">
        <f>((1-(D52*D52))/SQRT(H52))</f>
        <v>1.0652853479063877E-2</v>
      </c>
    </row>
    <row r="55" spans="1:11" x14ac:dyDescent="0.25">
      <c r="A55" t="s">
        <v>101</v>
      </c>
      <c r="B55">
        <f>B54*0.6745</f>
        <v>7.1853496716285849E-3</v>
      </c>
    </row>
    <row r="56" spans="1:11" x14ac:dyDescent="0.25">
      <c r="A56" t="s">
        <v>102</v>
      </c>
      <c r="B56">
        <f>6*B55</f>
        <v>4.3112098029771506E-2</v>
      </c>
    </row>
    <row r="57" spans="1:11" x14ac:dyDescent="0.25">
      <c r="B57" t="s">
        <v>103</v>
      </c>
    </row>
    <row r="59" spans="1:11" x14ac:dyDescent="0.25">
      <c r="C59" t="s">
        <v>111</v>
      </c>
      <c r="D59" t="s">
        <v>107</v>
      </c>
    </row>
    <row r="60" spans="1:11" x14ac:dyDescent="0.25">
      <c r="A60" t="s">
        <v>0</v>
      </c>
      <c r="B60">
        <v>10</v>
      </c>
      <c r="C60">
        <v>12</v>
      </c>
      <c r="D60">
        <v>15</v>
      </c>
      <c r="E60">
        <v>18</v>
      </c>
      <c r="F60">
        <v>20</v>
      </c>
      <c r="G60">
        <v>25</v>
      </c>
      <c r="H60">
        <v>30</v>
      </c>
      <c r="I60">
        <v>35</v>
      </c>
      <c r="J60">
        <v>40</v>
      </c>
      <c r="K60">
        <v>45</v>
      </c>
    </row>
    <row r="61" spans="1:11" x14ac:dyDescent="0.25">
      <c r="A61" t="s">
        <v>97</v>
      </c>
      <c r="B61">
        <v>-1.5</v>
      </c>
      <c r="C61">
        <v>-0.5</v>
      </c>
      <c r="D61">
        <v>0</v>
      </c>
      <c r="E61">
        <v>1.5</v>
      </c>
      <c r="F61">
        <v>2</v>
      </c>
      <c r="G61">
        <v>2.5</v>
      </c>
      <c r="H61">
        <v>3.5</v>
      </c>
      <c r="I61">
        <v>5</v>
      </c>
      <c r="J61">
        <v>5.5</v>
      </c>
      <c r="K61">
        <v>6</v>
      </c>
    </row>
    <row r="63" spans="1:11" x14ac:dyDescent="0.25">
      <c r="A63" t="s">
        <v>96</v>
      </c>
      <c r="D63">
        <f>CORREL(B60:K60,B61:K61)</f>
        <v>0.98301206474087077</v>
      </c>
      <c r="G63" t="s">
        <v>100</v>
      </c>
      <c r="H63">
        <v>10</v>
      </c>
    </row>
    <row r="64" spans="1:11" x14ac:dyDescent="0.25">
      <c r="B64" t="s">
        <v>98</v>
      </c>
    </row>
    <row r="65" spans="1:9" x14ac:dyDescent="0.25">
      <c r="A65" t="s">
        <v>99</v>
      </c>
      <c r="B65">
        <f>((1-(D63*D63))/SQRT(H63))</f>
        <v>1.0652853479063702E-2</v>
      </c>
    </row>
    <row r="66" spans="1:9" x14ac:dyDescent="0.25">
      <c r="A66" t="s">
        <v>101</v>
      </c>
      <c r="B66">
        <f>B65*0.6745</f>
        <v>7.185349671628467E-3</v>
      </c>
    </row>
    <row r="67" spans="1:9" x14ac:dyDescent="0.25">
      <c r="A67" t="s">
        <v>102</v>
      </c>
      <c r="B67">
        <f>6*B66</f>
        <v>4.3112098029770798E-2</v>
      </c>
    </row>
    <row r="68" spans="1:9" x14ac:dyDescent="0.25">
      <c r="B68" t="s">
        <v>103</v>
      </c>
    </row>
    <row r="71" spans="1:9" x14ac:dyDescent="0.25">
      <c r="A71" t="s">
        <v>112</v>
      </c>
      <c r="B71">
        <v>10</v>
      </c>
      <c r="C71">
        <v>15</v>
      </c>
      <c r="D71">
        <v>18</v>
      </c>
      <c r="E71">
        <v>20</v>
      </c>
      <c r="F71">
        <v>25</v>
      </c>
      <c r="G71">
        <v>30</v>
      </c>
      <c r="H71">
        <v>35</v>
      </c>
      <c r="I71">
        <v>40</v>
      </c>
    </row>
    <row r="72" spans="1:9" x14ac:dyDescent="0.25">
      <c r="A72" t="s">
        <v>113</v>
      </c>
      <c r="B72">
        <v>8</v>
      </c>
      <c r="C72">
        <v>12</v>
      </c>
      <c r="D72">
        <v>14</v>
      </c>
      <c r="E72">
        <v>16</v>
      </c>
      <c r="F72">
        <v>18</v>
      </c>
      <c r="G72">
        <v>20</v>
      </c>
      <c r="H72">
        <v>25</v>
      </c>
      <c r="I72">
        <v>28</v>
      </c>
    </row>
    <row r="74" spans="1:9" x14ac:dyDescent="0.25">
      <c r="A74" t="s">
        <v>96</v>
      </c>
      <c r="D74">
        <f>CORREL(B71:I71,B72:I72)</f>
        <v>0.99401114629165654</v>
      </c>
      <c r="G74" t="s">
        <v>100</v>
      </c>
      <c r="H74">
        <v>8</v>
      </c>
    </row>
    <row r="75" spans="1:9" x14ac:dyDescent="0.25">
      <c r="B75" t="s">
        <v>98</v>
      </c>
    </row>
    <row r="76" spans="1:9" x14ac:dyDescent="0.25">
      <c r="A76" t="s">
        <v>99</v>
      </c>
      <c r="B76">
        <f>((1-(D74*D74))/SQRT(H74))</f>
        <v>4.2220783924275711E-3</v>
      </c>
    </row>
    <row r="77" spans="1:9" x14ac:dyDescent="0.25">
      <c r="A77" t="s">
        <v>101</v>
      </c>
      <c r="B77">
        <f>B76*0.6745</f>
        <v>2.8477918756923968E-3</v>
      </c>
    </row>
    <row r="78" spans="1:9" x14ac:dyDescent="0.25">
      <c r="A78" t="s">
        <v>102</v>
      </c>
      <c r="B78">
        <f>6*B77</f>
        <v>1.7086751254154382E-2</v>
      </c>
    </row>
    <row r="79" spans="1:9" x14ac:dyDescent="0.25">
      <c r="B79" t="s">
        <v>103</v>
      </c>
    </row>
    <row r="81" spans="1:9" x14ac:dyDescent="0.25">
      <c r="B81" t="s">
        <v>114</v>
      </c>
    </row>
    <row r="82" spans="1:9" x14ac:dyDescent="0.25">
      <c r="A82" t="s">
        <v>115</v>
      </c>
      <c r="B82">
        <f>D74-B77</f>
        <v>0.99116335441596415</v>
      </c>
    </row>
    <row r="83" spans="1:9" x14ac:dyDescent="0.25">
      <c r="A83" t="s">
        <v>116</v>
      </c>
      <c r="B83">
        <f>D74+B77</f>
        <v>0.99685893816734894</v>
      </c>
    </row>
    <row r="85" spans="1:9" x14ac:dyDescent="0.25">
      <c r="B85">
        <v>10</v>
      </c>
      <c r="C85">
        <v>15</v>
      </c>
      <c r="D85">
        <v>18</v>
      </c>
      <c r="E85">
        <v>20</v>
      </c>
      <c r="F85">
        <v>25</v>
      </c>
      <c r="G85">
        <v>30</v>
      </c>
      <c r="H85">
        <v>35</v>
      </c>
      <c r="I85">
        <v>40</v>
      </c>
    </row>
    <row r="86" spans="1:9" x14ac:dyDescent="0.25">
      <c r="B86">
        <v>8</v>
      </c>
      <c r="C86">
        <v>12</v>
      </c>
      <c r="D86">
        <v>14</v>
      </c>
      <c r="E86">
        <v>16</v>
      </c>
      <c r="F86">
        <v>18</v>
      </c>
      <c r="G86">
        <v>20</v>
      </c>
      <c r="H86">
        <v>25</v>
      </c>
      <c r="I86">
        <v>28</v>
      </c>
    </row>
    <row r="88" spans="1:9" x14ac:dyDescent="0.25">
      <c r="B88">
        <f>B85*1000</f>
        <v>10000</v>
      </c>
      <c r="C88">
        <f t="shared" ref="C88:I88" si="0">C85*1000</f>
        <v>15000</v>
      </c>
      <c r="D88">
        <f t="shared" si="0"/>
        <v>18000</v>
      </c>
      <c r="E88">
        <f t="shared" si="0"/>
        <v>20000</v>
      </c>
      <c r="F88">
        <f t="shared" si="0"/>
        <v>25000</v>
      </c>
      <c r="G88">
        <f t="shared" si="0"/>
        <v>30000</v>
      </c>
      <c r="H88">
        <f t="shared" si="0"/>
        <v>35000</v>
      </c>
      <c r="I88">
        <f t="shared" si="0"/>
        <v>40000</v>
      </c>
    </row>
    <row r="89" spans="1:9" x14ac:dyDescent="0.25">
      <c r="B89">
        <f>B86*100</f>
        <v>800</v>
      </c>
      <c r="C89">
        <f t="shared" ref="C89:I89" si="1">C86*100</f>
        <v>1200</v>
      </c>
      <c r="D89">
        <f t="shared" si="1"/>
        <v>1400</v>
      </c>
      <c r="E89">
        <f t="shared" si="1"/>
        <v>1600</v>
      </c>
      <c r="F89">
        <f t="shared" si="1"/>
        <v>1800</v>
      </c>
      <c r="G89">
        <f t="shared" si="1"/>
        <v>2000</v>
      </c>
      <c r="H89">
        <f t="shared" si="1"/>
        <v>2500</v>
      </c>
      <c r="I89">
        <f t="shared" si="1"/>
        <v>2800</v>
      </c>
    </row>
    <row r="91" spans="1:9" x14ac:dyDescent="0.25">
      <c r="B91">
        <f>CORREL(B88:I88,B89:I89)</f>
        <v>0.99401114629165643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topLeftCell="A49" zoomScaleNormal="100" workbookViewId="0">
      <selection activeCell="D54" sqref="D54"/>
    </sheetView>
  </sheetViews>
  <sheetFormatPr defaultRowHeight="15" x14ac:dyDescent="0.25"/>
  <sheetData>
    <row r="1" spans="1:9" x14ac:dyDescent="0.25">
      <c r="A1" t="s">
        <v>117</v>
      </c>
    </row>
    <row r="3" spans="1:9" x14ac:dyDescent="0.25">
      <c r="A3" t="s">
        <v>118</v>
      </c>
    </row>
    <row r="4" spans="1:9" x14ac:dyDescent="0.25">
      <c r="A4" t="s">
        <v>119</v>
      </c>
    </row>
    <row r="5" spans="1:9" x14ac:dyDescent="0.25">
      <c r="A5" t="s">
        <v>120</v>
      </c>
    </row>
    <row r="7" spans="1:9" x14ac:dyDescent="0.25">
      <c r="A7" t="s">
        <v>121</v>
      </c>
      <c r="B7">
        <v>6</v>
      </c>
      <c r="C7">
        <v>9</v>
      </c>
      <c r="D7">
        <v>12</v>
      </c>
      <c r="E7">
        <v>13</v>
      </c>
      <c r="F7">
        <v>15</v>
      </c>
      <c r="G7">
        <v>18</v>
      </c>
      <c r="H7">
        <v>20</v>
      </c>
      <c r="I7">
        <v>25</v>
      </c>
    </row>
    <row r="8" spans="1:9" x14ac:dyDescent="0.25">
      <c r="A8" t="s">
        <v>122</v>
      </c>
      <c r="B8">
        <v>2</v>
      </c>
      <c r="C8">
        <v>3</v>
      </c>
      <c r="D8">
        <v>4</v>
      </c>
      <c r="E8">
        <v>5</v>
      </c>
      <c r="F8">
        <v>7</v>
      </c>
      <c r="G8">
        <v>8</v>
      </c>
      <c r="H8">
        <v>9</v>
      </c>
      <c r="I8">
        <v>11</v>
      </c>
    </row>
    <row r="11" spans="1:9" x14ac:dyDescent="0.25">
      <c r="B11" t="s">
        <v>121</v>
      </c>
      <c r="C11" t="s">
        <v>122</v>
      </c>
    </row>
    <row r="12" spans="1:9" x14ac:dyDescent="0.25">
      <c r="B12">
        <v>6</v>
      </c>
      <c r="C12">
        <v>2</v>
      </c>
    </row>
    <row r="13" spans="1:9" x14ac:dyDescent="0.25">
      <c r="B13">
        <v>9</v>
      </c>
      <c r="C13">
        <v>3</v>
      </c>
    </row>
    <row r="14" spans="1:9" x14ac:dyDescent="0.25">
      <c r="B14">
        <v>12</v>
      </c>
      <c r="C14">
        <v>4</v>
      </c>
    </row>
    <row r="15" spans="1:9" x14ac:dyDescent="0.25">
      <c r="B15">
        <v>13</v>
      </c>
      <c r="C15">
        <v>5</v>
      </c>
    </row>
    <row r="16" spans="1:9" x14ac:dyDescent="0.25">
      <c r="B16">
        <v>15</v>
      </c>
      <c r="C16">
        <v>7</v>
      </c>
    </row>
    <row r="17" spans="1:5" x14ac:dyDescent="0.25">
      <c r="B17">
        <v>18</v>
      </c>
      <c r="C17">
        <v>8</v>
      </c>
    </row>
    <row r="18" spans="1:5" x14ac:dyDescent="0.25">
      <c r="B18">
        <v>20</v>
      </c>
      <c r="C18">
        <v>9</v>
      </c>
    </row>
    <row r="19" spans="1:5" x14ac:dyDescent="0.25">
      <c r="B19">
        <v>25</v>
      </c>
      <c r="C19">
        <v>11</v>
      </c>
    </row>
    <row r="21" spans="1:5" x14ac:dyDescent="0.25">
      <c r="B21" t="s">
        <v>123</v>
      </c>
      <c r="C21">
        <f>SLOPE(C12:C19,B12:B19)</f>
        <v>0.5056925996204934</v>
      </c>
      <c r="E21" t="s">
        <v>127</v>
      </c>
    </row>
    <row r="22" spans="1:5" x14ac:dyDescent="0.25">
      <c r="B22" t="s">
        <v>124</v>
      </c>
      <c r="C22">
        <f>INTERCEPT(C12:C19,B12:B19)</f>
        <v>-1.3339658444022779</v>
      </c>
    </row>
    <row r="23" spans="1:5" x14ac:dyDescent="0.25">
      <c r="B23" t="s">
        <v>131</v>
      </c>
      <c r="C23">
        <f>C22</f>
        <v>-1.3339658444022779</v>
      </c>
      <c r="D23">
        <v>0.50569299999999995</v>
      </c>
      <c r="E23" t="s">
        <v>0</v>
      </c>
    </row>
    <row r="24" spans="1:5" x14ac:dyDescent="0.25">
      <c r="B24" t="s">
        <v>126</v>
      </c>
    </row>
    <row r="25" spans="1:5" x14ac:dyDescent="0.25">
      <c r="B25" t="s">
        <v>125</v>
      </c>
      <c r="C25">
        <f>C22+C21*10</f>
        <v>3.7229601518026563</v>
      </c>
    </row>
    <row r="26" spans="1:5" x14ac:dyDescent="0.25">
      <c r="B26" t="s">
        <v>130</v>
      </c>
    </row>
    <row r="28" spans="1:5" x14ac:dyDescent="0.25">
      <c r="B28" t="s">
        <v>128</v>
      </c>
      <c r="C28">
        <f>CORREL(B12:B19,C12:C19)</f>
        <v>0.98911343756377623</v>
      </c>
    </row>
    <row r="29" spans="1:5" x14ac:dyDescent="0.25">
      <c r="B29" t="s">
        <v>129</v>
      </c>
      <c r="C29">
        <f>SLOPE(B12:B19,C12:C19)</f>
        <v>1.9346642468239565</v>
      </c>
    </row>
    <row r="31" spans="1:5" x14ac:dyDescent="0.25">
      <c r="A31" t="s">
        <v>132</v>
      </c>
      <c r="D31">
        <f>SQRT(C21*C29)</f>
        <v>0.98911343756377634</v>
      </c>
    </row>
    <row r="33" spans="1:8" x14ac:dyDescent="0.25">
      <c r="A33" t="s">
        <v>117</v>
      </c>
    </row>
    <row r="35" spans="1:8" x14ac:dyDescent="0.25">
      <c r="A35" t="s">
        <v>118</v>
      </c>
    </row>
    <row r="36" spans="1:8" x14ac:dyDescent="0.25">
      <c r="A36" t="s">
        <v>119</v>
      </c>
    </row>
    <row r="37" spans="1:8" x14ac:dyDescent="0.25">
      <c r="A37" t="s">
        <v>120</v>
      </c>
    </row>
    <row r="39" spans="1:8" x14ac:dyDescent="0.25">
      <c r="A39" t="s">
        <v>133</v>
      </c>
      <c r="B39">
        <v>9</v>
      </c>
      <c r="C39">
        <v>11</v>
      </c>
      <c r="D39">
        <v>13</v>
      </c>
      <c r="E39">
        <v>15</v>
      </c>
      <c r="F39">
        <v>18</v>
      </c>
      <c r="G39">
        <v>20</v>
      </c>
      <c r="H39">
        <v>25</v>
      </c>
    </row>
    <row r="40" spans="1:8" x14ac:dyDescent="0.25">
      <c r="A40" t="s">
        <v>113</v>
      </c>
      <c r="B40">
        <v>3</v>
      </c>
      <c r="C40">
        <v>5</v>
      </c>
      <c r="D40">
        <v>7</v>
      </c>
      <c r="E40">
        <v>9</v>
      </c>
      <c r="F40">
        <v>10</v>
      </c>
      <c r="G40">
        <v>12</v>
      </c>
      <c r="H40">
        <v>13</v>
      </c>
    </row>
    <row r="43" spans="1:8" x14ac:dyDescent="0.25">
      <c r="B43" t="s">
        <v>133</v>
      </c>
      <c r="C43" t="s">
        <v>134</v>
      </c>
    </row>
    <row r="44" spans="1:8" x14ac:dyDescent="0.25">
      <c r="B44">
        <v>9</v>
      </c>
      <c r="C44">
        <v>3</v>
      </c>
    </row>
    <row r="45" spans="1:8" x14ac:dyDescent="0.25">
      <c r="B45">
        <v>11</v>
      </c>
      <c r="C45">
        <v>5</v>
      </c>
    </row>
    <row r="46" spans="1:8" x14ac:dyDescent="0.25">
      <c r="B46">
        <v>13</v>
      </c>
      <c r="C46">
        <v>7</v>
      </c>
    </row>
    <row r="47" spans="1:8" x14ac:dyDescent="0.25">
      <c r="B47">
        <v>15</v>
      </c>
      <c r="C47">
        <v>9</v>
      </c>
    </row>
    <row r="48" spans="1:8" x14ac:dyDescent="0.25">
      <c r="B48">
        <v>18</v>
      </c>
      <c r="C48">
        <v>10</v>
      </c>
    </row>
    <row r="49" spans="1:5" x14ac:dyDescent="0.25">
      <c r="B49">
        <v>20</v>
      </c>
      <c r="C49">
        <v>12</v>
      </c>
    </row>
    <row r="50" spans="1:5" x14ac:dyDescent="0.25">
      <c r="B50">
        <v>25</v>
      </c>
      <c r="C50">
        <v>13</v>
      </c>
    </row>
    <row r="53" spans="1:5" x14ac:dyDescent="0.25">
      <c r="B53" t="s">
        <v>123</v>
      </c>
      <c r="C53">
        <f>SLOPE(C44:C50,B44:B50)</f>
        <v>0.63523956723338493</v>
      </c>
      <c r="E53" t="s">
        <v>139</v>
      </c>
    </row>
    <row r="54" spans="1:5" x14ac:dyDescent="0.25">
      <c r="B54" t="s">
        <v>124</v>
      </c>
      <c r="C54">
        <f>INTERCEPT(C44:C50,B44:B50)</f>
        <v>-1.6445131375579614</v>
      </c>
    </row>
    <row r="55" spans="1:5" x14ac:dyDescent="0.25">
      <c r="A55" t="s">
        <v>138</v>
      </c>
      <c r="C55">
        <f>C54</f>
        <v>-1.6445131375579614</v>
      </c>
      <c r="D55">
        <f>C53</f>
        <v>0.63523956723338493</v>
      </c>
      <c r="E55" t="s">
        <v>137</v>
      </c>
    </row>
    <row r="56" spans="1:5" x14ac:dyDescent="0.25">
      <c r="B56" t="s">
        <v>135</v>
      </c>
    </row>
    <row r="57" spans="1:5" x14ac:dyDescent="0.25">
      <c r="B57" t="s">
        <v>125</v>
      </c>
      <c r="C57">
        <f>C54+C53*C56</f>
        <v>-1.6445131375579614</v>
      </c>
      <c r="D57" t="s">
        <v>140</v>
      </c>
    </row>
    <row r="58" spans="1:5" x14ac:dyDescent="0.25">
      <c r="B58" t="s">
        <v>136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topLeftCell="A7" zoomScale="115" zoomScaleNormal="115" workbookViewId="0">
      <selection activeCell="C12" sqref="C12"/>
    </sheetView>
  </sheetViews>
  <sheetFormatPr defaultRowHeight="15" x14ac:dyDescent="0.25"/>
  <sheetData>
    <row r="1" spans="1:11" x14ac:dyDescent="0.25">
      <c r="A1" t="s">
        <v>78</v>
      </c>
    </row>
    <row r="2" spans="1:11" x14ac:dyDescent="0.25">
      <c r="A2" t="s">
        <v>141</v>
      </c>
    </row>
    <row r="4" spans="1:11" x14ac:dyDescent="0.25">
      <c r="B4" t="s">
        <v>0</v>
      </c>
      <c r="C4" t="s">
        <v>142</v>
      </c>
      <c r="D4" t="s">
        <v>148</v>
      </c>
      <c r="E4" t="s">
        <v>149</v>
      </c>
      <c r="G4" t="s">
        <v>153</v>
      </c>
      <c r="H4" t="s">
        <v>154</v>
      </c>
      <c r="J4" s="21" t="s">
        <v>142</v>
      </c>
      <c r="K4" s="21" t="s">
        <v>148</v>
      </c>
    </row>
    <row r="5" spans="1:11" x14ac:dyDescent="0.25">
      <c r="B5">
        <v>0</v>
      </c>
      <c r="C5">
        <v>0.1</v>
      </c>
      <c r="D5">
        <f>B5*C5</f>
        <v>0</v>
      </c>
      <c r="E5">
        <f>D5*B5</f>
        <v>0</v>
      </c>
      <c r="G5">
        <f>2*B5</f>
        <v>0</v>
      </c>
      <c r="H5">
        <f>G5*C5</f>
        <v>0</v>
      </c>
      <c r="J5" s="21">
        <v>0.1</v>
      </c>
      <c r="K5" s="21">
        <f>B5*J5</f>
        <v>0</v>
      </c>
    </row>
    <row r="6" spans="1:11" x14ac:dyDescent="0.25">
      <c r="B6">
        <v>1</v>
      </c>
      <c r="C6">
        <v>0.25</v>
      </c>
      <c r="D6">
        <f t="shared" ref="D6:D9" si="0">B6*C6</f>
        <v>0.25</v>
      </c>
      <c r="E6">
        <f t="shared" ref="E6:E9" si="1">D6*B6</f>
        <v>0.25</v>
      </c>
      <c r="G6">
        <f t="shared" ref="G6:G9" si="2">2*B6</f>
        <v>2</v>
      </c>
      <c r="H6">
        <f t="shared" ref="H6:H9" si="3">G6*C6</f>
        <v>0.5</v>
      </c>
      <c r="J6" s="21" t="s">
        <v>155</v>
      </c>
      <c r="K6" s="21" t="s">
        <v>155</v>
      </c>
    </row>
    <row r="7" spans="1:11" x14ac:dyDescent="0.25">
      <c r="B7">
        <v>2</v>
      </c>
      <c r="C7">
        <v>0.35</v>
      </c>
      <c r="D7">
        <f t="shared" si="0"/>
        <v>0.7</v>
      </c>
      <c r="E7">
        <f t="shared" si="1"/>
        <v>1.4</v>
      </c>
      <c r="G7">
        <f t="shared" si="2"/>
        <v>4</v>
      </c>
      <c r="H7">
        <f t="shared" si="3"/>
        <v>1.4</v>
      </c>
      <c r="J7" s="21">
        <v>0.35</v>
      </c>
      <c r="K7" s="21">
        <f t="shared" ref="K7:K8" si="4">B7*J7</f>
        <v>0.7</v>
      </c>
    </row>
    <row r="8" spans="1:11" x14ac:dyDescent="0.25">
      <c r="B8">
        <v>3</v>
      </c>
      <c r="C8">
        <v>0.2</v>
      </c>
      <c r="D8">
        <f t="shared" si="0"/>
        <v>0.60000000000000009</v>
      </c>
      <c r="E8">
        <f t="shared" si="1"/>
        <v>1.8000000000000003</v>
      </c>
      <c r="G8">
        <f t="shared" si="2"/>
        <v>6</v>
      </c>
      <c r="H8">
        <f t="shared" si="3"/>
        <v>1.2000000000000002</v>
      </c>
      <c r="J8" s="21">
        <v>0.2</v>
      </c>
      <c r="K8" s="21">
        <f t="shared" si="4"/>
        <v>0.60000000000000009</v>
      </c>
    </row>
    <row r="9" spans="1:11" x14ac:dyDescent="0.25">
      <c r="B9">
        <v>4</v>
      </c>
      <c r="C9">
        <v>0.1</v>
      </c>
      <c r="D9">
        <f t="shared" si="0"/>
        <v>0.4</v>
      </c>
      <c r="E9">
        <f t="shared" si="1"/>
        <v>1.6</v>
      </c>
      <c r="G9">
        <f t="shared" si="2"/>
        <v>8</v>
      </c>
      <c r="H9">
        <f t="shared" si="3"/>
        <v>0.8</v>
      </c>
      <c r="J9" s="21" t="s">
        <v>156</v>
      </c>
      <c r="K9" s="21" t="s">
        <v>157</v>
      </c>
    </row>
    <row r="10" spans="1:11" x14ac:dyDescent="0.25">
      <c r="A10" t="s">
        <v>143</v>
      </c>
      <c r="B10">
        <f>SUM(B5:B9)</f>
        <v>10</v>
      </c>
      <c r="D10">
        <f>SUM(D5:D9)</f>
        <v>1.9500000000000002</v>
      </c>
      <c r="E10">
        <f>SUM(E5:E9)</f>
        <v>5.0500000000000007</v>
      </c>
      <c r="G10">
        <f>SUM(G5:G9)</f>
        <v>20</v>
      </c>
      <c r="H10">
        <f>SUM(H5:H9)</f>
        <v>3.9000000000000004</v>
      </c>
      <c r="K10" t="s">
        <v>158</v>
      </c>
    </row>
    <row r="11" spans="1:11" x14ac:dyDescent="0.25">
      <c r="B11" t="s">
        <v>150</v>
      </c>
      <c r="E11">
        <f>D10</f>
        <v>1.9500000000000002</v>
      </c>
    </row>
    <row r="12" spans="1:11" x14ac:dyDescent="0.25">
      <c r="B12" t="s">
        <v>144</v>
      </c>
      <c r="C12">
        <f>E10-(E11*E11)</f>
        <v>1.2475000000000001</v>
      </c>
      <c r="J12" t="s">
        <v>166</v>
      </c>
      <c r="K12" t="s">
        <v>160</v>
      </c>
    </row>
    <row r="13" spans="1:11" x14ac:dyDescent="0.25">
      <c r="B13" t="s">
        <v>145</v>
      </c>
      <c r="C13">
        <f>SQRT(C12)</f>
        <v>1.1169153951844339</v>
      </c>
      <c r="J13" t="s">
        <v>167</v>
      </c>
    </row>
    <row r="14" spans="1:11" x14ac:dyDescent="0.25">
      <c r="B14" t="s">
        <v>146</v>
      </c>
      <c r="C14">
        <f>2*E11</f>
        <v>3.9000000000000004</v>
      </c>
      <c r="F14" t="s">
        <v>146</v>
      </c>
      <c r="G14">
        <f>H10</f>
        <v>3.9000000000000004</v>
      </c>
      <c r="J14" t="s">
        <v>168</v>
      </c>
    </row>
    <row r="15" spans="1:11" x14ac:dyDescent="0.25">
      <c r="B15" t="s">
        <v>147</v>
      </c>
      <c r="C15">
        <f>C14+5</f>
        <v>8.9</v>
      </c>
      <c r="J15" t="s">
        <v>161</v>
      </c>
      <c r="K15" t="s">
        <v>162</v>
      </c>
    </row>
    <row r="16" spans="1:11" x14ac:dyDescent="0.25">
      <c r="B16" t="s">
        <v>151</v>
      </c>
      <c r="C16">
        <f>3*3*C12</f>
        <v>11.227500000000001</v>
      </c>
      <c r="J16" t="s">
        <v>164</v>
      </c>
    </row>
    <row r="17" spans="1:11" x14ac:dyDescent="0.25">
      <c r="B17" t="s">
        <v>152</v>
      </c>
      <c r="D17">
        <f>3*3*C12</f>
        <v>11.227500000000001</v>
      </c>
      <c r="J17" t="s">
        <v>165</v>
      </c>
    </row>
    <row r="18" spans="1:11" x14ac:dyDescent="0.25">
      <c r="J18" t="s">
        <v>163</v>
      </c>
      <c r="K18">
        <f>0.3/3</f>
        <v>9.9999999999999992E-2</v>
      </c>
    </row>
    <row r="19" spans="1:11" x14ac:dyDescent="0.25">
      <c r="J19" t="s">
        <v>124</v>
      </c>
      <c r="K19">
        <f>0.65-(4*K18)</f>
        <v>0.25000000000000006</v>
      </c>
    </row>
    <row r="22" spans="1:11" x14ac:dyDescent="0.25">
      <c r="B22" t="s">
        <v>0</v>
      </c>
      <c r="C22" t="s">
        <v>142</v>
      </c>
      <c r="D22" t="s">
        <v>148</v>
      </c>
      <c r="E22" t="s">
        <v>149</v>
      </c>
      <c r="H22" t="s">
        <v>97</v>
      </c>
      <c r="I22" t="s">
        <v>172</v>
      </c>
      <c r="J22" t="s">
        <v>173</v>
      </c>
      <c r="K22" t="s">
        <v>174</v>
      </c>
    </row>
    <row r="23" spans="1:11" x14ac:dyDescent="0.25">
      <c r="B23">
        <v>-100</v>
      </c>
      <c r="C23">
        <v>0.1</v>
      </c>
      <c r="D23">
        <f>B23*C23</f>
        <v>-10</v>
      </c>
      <c r="E23">
        <f>D23*B23</f>
        <v>1000</v>
      </c>
      <c r="H23">
        <v>50</v>
      </c>
      <c r="I23">
        <v>0.1</v>
      </c>
      <c r="J23">
        <f>H23*I23</f>
        <v>5</v>
      </c>
      <c r="K23">
        <f>J23*H23</f>
        <v>250</v>
      </c>
    </row>
    <row r="24" spans="1:11" x14ac:dyDescent="0.25">
      <c r="B24">
        <v>0</v>
      </c>
      <c r="C24">
        <v>0.3</v>
      </c>
      <c r="D24">
        <f t="shared" ref="D24:D26" si="5">B24*C24</f>
        <v>0</v>
      </c>
      <c r="E24">
        <f t="shared" ref="E24:E26" si="6">D24*B24</f>
        <v>0</v>
      </c>
      <c r="H24">
        <v>100</v>
      </c>
      <c r="I24">
        <v>0.3</v>
      </c>
      <c r="J24">
        <f t="shared" ref="J24:J26" si="7">H24*I24</f>
        <v>30</v>
      </c>
      <c r="K24">
        <f t="shared" ref="K24:K26" si="8">J24*H24</f>
        <v>3000</v>
      </c>
    </row>
    <row r="25" spans="1:11" x14ac:dyDescent="0.25">
      <c r="B25">
        <v>80</v>
      </c>
      <c r="C25">
        <v>0.3</v>
      </c>
      <c r="D25">
        <f t="shared" si="5"/>
        <v>24</v>
      </c>
      <c r="E25">
        <f t="shared" si="6"/>
        <v>1920</v>
      </c>
      <c r="H25">
        <v>-20</v>
      </c>
      <c r="I25">
        <v>0.3</v>
      </c>
      <c r="J25">
        <f t="shared" si="7"/>
        <v>-6</v>
      </c>
      <c r="K25">
        <f t="shared" si="8"/>
        <v>120</v>
      </c>
    </row>
    <row r="26" spans="1:11" x14ac:dyDescent="0.25">
      <c r="B26">
        <v>150</v>
      </c>
      <c r="C26">
        <v>0.3</v>
      </c>
      <c r="D26">
        <f t="shared" si="5"/>
        <v>45</v>
      </c>
      <c r="E26">
        <f t="shared" si="6"/>
        <v>6750</v>
      </c>
      <c r="H26">
        <v>100</v>
      </c>
      <c r="I26">
        <v>0.3</v>
      </c>
      <c r="J26">
        <f t="shared" si="7"/>
        <v>30</v>
      </c>
      <c r="K26">
        <f t="shared" si="8"/>
        <v>3000</v>
      </c>
    </row>
    <row r="27" spans="1:11" x14ac:dyDescent="0.25">
      <c r="A27" t="s">
        <v>169</v>
      </c>
      <c r="D27">
        <f>SUM(D23:D26)</f>
        <v>59</v>
      </c>
      <c r="E27">
        <f>SUM(E23:E26)</f>
        <v>9670</v>
      </c>
      <c r="J27">
        <f>SUM(J23:J26)</f>
        <v>59</v>
      </c>
      <c r="K27">
        <f>SUM(K23:K26)</f>
        <v>6370</v>
      </c>
    </row>
    <row r="29" spans="1:11" x14ac:dyDescent="0.25">
      <c r="B29" t="s">
        <v>159</v>
      </c>
      <c r="C29">
        <f>D27</f>
        <v>59</v>
      </c>
      <c r="H29" t="s">
        <v>159</v>
      </c>
      <c r="I29">
        <f>J27</f>
        <v>59</v>
      </c>
    </row>
    <row r="30" spans="1:11" x14ac:dyDescent="0.25">
      <c r="B30" t="s">
        <v>170</v>
      </c>
      <c r="C30">
        <f>E27-(C29*C29)</f>
        <v>6189</v>
      </c>
      <c r="H30" t="s">
        <v>170</v>
      </c>
      <c r="I30">
        <f>K27-(I29*I29)</f>
        <v>2889</v>
      </c>
    </row>
    <row r="31" spans="1:11" x14ac:dyDescent="0.25">
      <c r="B31" t="s">
        <v>145</v>
      </c>
      <c r="C31">
        <f>SQRT(C30)</f>
        <v>78.670197660867743</v>
      </c>
      <c r="H31" t="s">
        <v>145</v>
      </c>
      <c r="I31">
        <f>SQRT(I30)</f>
        <v>53.749418601506754</v>
      </c>
    </row>
    <row r="32" spans="1:11" x14ac:dyDescent="0.25">
      <c r="B32" t="s">
        <v>171</v>
      </c>
      <c r="C32">
        <f>(C31/C29)*100</f>
        <v>133.33931806926736</v>
      </c>
      <c r="H32" t="s">
        <v>171</v>
      </c>
      <c r="I32">
        <f>(I31/I29)*100</f>
        <v>91.10070949407924</v>
      </c>
    </row>
    <row r="34" spans="1:6" x14ac:dyDescent="0.25">
      <c r="B34" t="s">
        <v>0</v>
      </c>
      <c r="C34" t="s">
        <v>1</v>
      </c>
      <c r="D34" t="s">
        <v>175</v>
      </c>
      <c r="E34" t="s">
        <v>176</v>
      </c>
      <c r="F34" t="s">
        <v>148</v>
      </c>
    </row>
    <row r="35" spans="1:6" x14ac:dyDescent="0.25">
      <c r="B35">
        <v>0</v>
      </c>
      <c r="C35">
        <v>25</v>
      </c>
      <c r="D35">
        <f>B35*C35</f>
        <v>0</v>
      </c>
      <c r="E35">
        <f>C35/130</f>
        <v>0.19230769230769232</v>
      </c>
      <c r="F35">
        <f>B35*E35</f>
        <v>0</v>
      </c>
    </row>
    <row r="36" spans="1:6" x14ac:dyDescent="0.25">
      <c r="B36">
        <v>1</v>
      </c>
      <c r="C36">
        <v>35</v>
      </c>
      <c r="D36">
        <f t="shared" ref="D36:D39" si="9">B36*C36</f>
        <v>35</v>
      </c>
      <c r="E36">
        <f t="shared" ref="E36:E39" si="10">C36/130</f>
        <v>0.26923076923076922</v>
      </c>
      <c r="F36">
        <f t="shared" ref="F36:F39" si="11">B36*E36</f>
        <v>0.26923076923076922</v>
      </c>
    </row>
    <row r="37" spans="1:6" x14ac:dyDescent="0.25">
      <c r="B37">
        <v>2</v>
      </c>
      <c r="C37">
        <v>45</v>
      </c>
      <c r="D37">
        <f t="shared" si="9"/>
        <v>90</v>
      </c>
      <c r="E37">
        <f t="shared" si="10"/>
        <v>0.34615384615384615</v>
      </c>
      <c r="F37">
        <f t="shared" si="11"/>
        <v>0.69230769230769229</v>
      </c>
    </row>
    <row r="38" spans="1:6" x14ac:dyDescent="0.25">
      <c r="B38">
        <v>3</v>
      </c>
      <c r="C38">
        <v>15</v>
      </c>
      <c r="D38">
        <f t="shared" si="9"/>
        <v>45</v>
      </c>
      <c r="E38">
        <f t="shared" si="10"/>
        <v>0.11538461538461539</v>
      </c>
      <c r="F38">
        <f t="shared" si="11"/>
        <v>0.34615384615384615</v>
      </c>
    </row>
    <row r="39" spans="1:6" x14ac:dyDescent="0.25">
      <c r="B39">
        <v>4</v>
      </c>
      <c r="C39">
        <v>10</v>
      </c>
      <c r="D39">
        <f t="shared" si="9"/>
        <v>40</v>
      </c>
      <c r="E39">
        <f t="shared" si="10"/>
        <v>7.6923076923076927E-2</v>
      </c>
      <c r="F39">
        <f t="shared" si="11"/>
        <v>0.30769230769230771</v>
      </c>
    </row>
    <row r="40" spans="1:6" x14ac:dyDescent="0.25">
      <c r="A40" t="s">
        <v>169</v>
      </c>
      <c r="C40">
        <f>SUM(C35:C39)</f>
        <v>130</v>
      </c>
      <c r="D40">
        <f>SUM(D35:D39)</f>
        <v>210</v>
      </c>
      <c r="F40">
        <f>SUM(F35:F39)</f>
        <v>1.6153846153846152</v>
      </c>
    </row>
    <row r="42" spans="1:6" x14ac:dyDescent="0.25">
      <c r="B42" t="s">
        <v>17</v>
      </c>
      <c r="C42">
        <f>C40/D40</f>
        <v>0.61904761904761907</v>
      </c>
    </row>
    <row r="43" spans="1:6" x14ac:dyDescent="0.25">
      <c r="B43" t="s">
        <v>159</v>
      </c>
      <c r="C43">
        <f>F40</f>
        <v>1.6153846153846152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"/>
  <sheetViews>
    <sheetView tabSelected="1" workbookViewId="0">
      <selection activeCell="E4" sqref="E4"/>
    </sheetView>
  </sheetViews>
  <sheetFormatPr defaultRowHeight="15" x14ac:dyDescent="0.25"/>
  <cols>
    <col min="6" max="6" width="31.28515625" customWidth="1"/>
  </cols>
  <sheetData>
    <row r="1" spans="1:13" x14ac:dyDescent="0.25">
      <c r="A1" t="s">
        <v>177</v>
      </c>
    </row>
    <row r="3" spans="1:13" x14ac:dyDescent="0.25">
      <c r="A3" t="s">
        <v>0</v>
      </c>
      <c r="B3" t="s">
        <v>1</v>
      </c>
      <c r="C3" t="s">
        <v>15</v>
      </c>
      <c r="D3" t="s">
        <v>183</v>
      </c>
      <c r="E3" t="s">
        <v>185</v>
      </c>
      <c r="H3" t="s">
        <v>179</v>
      </c>
      <c r="I3" t="s">
        <v>185</v>
      </c>
      <c r="K3" t="s">
        <v>180</v>
      </c>
      <c r="M3">
        <v>5</v>
      </c>
    </row>
    <row r="4" spans="1:13" x14ac:dyDescent="0.25">
      <c r="A4">
        <v>0</v>
      </c>
      <c r="B4">
        <v>10</v>
      </c>
      <c r="C4">
        <f>B4*A4</f>
        <v>0</v>
      </c>
      <c r="D4">
        <f>_xlfn.BINOM.DIST(A4,$M$4,$B$12,)</f>
        <v>6.25E-2</v>
      </c>
      <c r="E4">
        <f>100*D4</f>
        <v>6.25</v>
      </c>
      <c r="G4">
        <v>0</v>
      </c>
      <c r="H4">
        <f>_xlfn.POISSON.DIST(A4,$B$11,FALSE)</f>
        <v>0.1353352832366127</v>
      </c>
      <c r="I4">
        <f>H4*100</f>
        <v>13.533528323661271</v>
      </c>
      <c r="K4" t="s">
        <v>186</v>
      </c>
      <c r="M4">
        <v>4</v>
      </c>
    </row>
    <row r="5" spans="1:13" x14ac:dyDescent="0.25">
      <c r="A5">
        <v>1</v>
      </c>
      <c r="B5">
        <v>25</v>
      </c>
      <c r="C5">
        <f t="shared" ref="C5:C8" si="0">B5*A5</f>
        <v>25</v>
      </c>
      <c r="D5">
        <f t="shared" ref="D5:D8" si="1">_xlfn.BINOM.DIST(A5,$M$4,$B$12,)</f>
        <v>0.24999999999999994</v>
      </c>
      <c r="E5">
        <f>100*D5</f>
        <v>24.999999999999993</v>
      </c>
      <c r="G5">
        <v>1</v>
      </c>
      <c r="H5">
        <f>_xlfn.POISSON.DIST(A5,$B$11,FALSE)</f>
        <v>0.27067056647322535</v>
      </c>
      <c r="I5">
        <f>H5*100</f>
        <v>27.067056647322534</v>
      </c>
    </row>
    <row r="6" spans="1:13" x14ac:dyDescent="0.25">
      <c r="A6">
        <v>2</v>
      </c>
      <c r="B6">
        <v>30</v>
      </c>
      <c r="C6">
        <f t="shared" si="0"/>
        <v>60</v>
      </c>
      <c r="D6">
        <f t="shared" si="1"/>
        <v>0.375</v>
      </c>
      <c r="E6">
        <f>100*D6</f>
        <v>37.5</v>
      </c>
      <c r="G6">
        <v>2</v>
      </c>
      <c r="H6">
        <f>_xlfn.POISSON.DIST(A6,$B$11,FALSE)</f>
        <v>0.27067056647322546</v>
      </c>
      <c r="I6">
        <f t="shared" ref="I5:I8" si="2">H6*100</f>
        <v>27.067056647322545</v>
      </c>
    </row>
    <row r="7" spans="1:13" x14ac:dyDescent="0.25">
      <c r="A7">
        <v>3</v>
      </c>
      <c r="B7">
        <v>25</v>
      </c>
      <c r="C7">
        <f t="shared" si="0"/>
        <v>75</v>
      </c>
      <c r="D7">
        <f t="shared" si="1"/>
        <v>0.25</v>
      </c>
      <c r="E7">
        <f>100*D7</f>
        <v>25</v>
      </c>
      <c r="G7">
        <v>3</v>
      </c>
      <c r="H7">
        <f>_xlfn.POISSON.DIST(A7,$B$11,FALSE)</f>
        <v>0.18044704431548364</v>
      </c>
      <c r="I7">
        <f t="shared" si="2"/>
        <v>18.044704431548364</v>
      </c>
    </row>
    <row r="8" spans="1:13" x14ac:dyDescent="0.25">
      <c r="A8">
        <v>4</v>
      </c>
      <c r="B8">
        <v>10</v>
      </c>
      <c r="C8">
        <f t="shared" si="0"/>
        <v>40</v>
      </c>
      <c r="D8">
        <f>_xlfn.BINOM.DIST(A8,$M$4,$B$12,)</f>
        <v>6.25E-2</v>
      </c>
      <c r="E8">
        <f>100*D8</f>
        <v>6.25</v>
      </c>
      <c r="G8">
        <v>4</v>
      </c>
      <c r="H8">
        <f>_xlfn.POISSON.DIST(A8,$B$11,FALSE)</f>
        <v>9.022352215774182E-2</v>
      </c>
      <c r="I8">
        <f t="shared" si="2"/>
        <v>9.0223522157741822</v>
      </c>
    </row>
    <row r="9" spans="1:13" x14ac:dyDescent="0.25">
      <c r="B9">
        <f>SUM(B4:B8)</f>
        <v>100</v>
      </c>
      <c r="C9">
        <f>SUM(C4:C8)</f>
        <v>200</v>
      </c>
      <c r="D9">
        <f>SUM(D4:D8)</f>
        <v>1</v>
      </c>
      <c r="E9">
        <f>SUM(E4:E8)</f>
        <v>100</v>
      </c>
      <c r="G9" t="s">
        <v>196</v>
      </c>
      <c r="H9">
        <f>SUM(H4:H8)</f>
        <v>0.94734698265628903</v>
      </c>
      <c r="I9">
        <f>SUM(I4:I8)</f>
        <v>94.734698265628893</v>
      </c>
    </row>
    <row r="11" spans="1:13" x14ac:dyDescent="0.25">
      <c r="A11" t="s">
        <v>178</v>
      </c>
      <c r="B11">
        <f>C9/B9</f>
        <v>2</v>
      </c>
      <c r="D11" t="s">
        <v>184</v>
      </c>
      <c r="E11">
        <f>M3*B12</f>
        <v>2.5</v>
      </c>
    </row>
    <row r="12" spans="1:13" x14ac:dyDescent="0.25">
      <c r="A12" t="s">
        <v>181</v>
      </c>
      <c r="B12">
        <f>B11/M4</f>
        <v>0.5</v>
      </c>
    </row>
    <row r="13" spans="1:13" x14ac:dyDescent="0.25">
      <c r="A13" t="s">
        <v>182</v>
      </c>
      <c r="B13">
        <f>1-B12</f>
        <v>0.5</v>
      </c>
    </row>
    <row r="15" spans="1:13" x14ac:dyDescent="0.25">
      <c r="B15" t="s">
        <v>187</v>
      </c>
      <c r="C15">
        <f>D6</f>
        <v>0.375</v>
      </c>
    </row>
    <row r="16" spans="1:13" x14ac:dyDescent="0.25">
      <c r="B16" t="s">
        <v>188</v>
      </c>
      <c r="C16">
        <f>D7+D8+D6</f>
        <v>0.6875</v>
      </c>
    </row>
    <row r="17" spans="2:3" x14ac:dyDescent="0.25">
      <c r="B17" t="s">
        <v>189</v>
      </c>
      <c r="C17">
        <f>D7+D8</f>
        <v>0.3125</v>
      </c>
    </row>
    <row r="18" spans="2:3" x14ac:dyDescent="0.25">
      <c r="B18" t="s">
        <v>190</v>
      </c>
      <c r="C18">
        <f>D4+D5</f>
        <v>0.31249999999999994</v>
      </c>
    </row>
    <row r="19" spans="2:3" x14ac:dyDescent="0.25">
      <c r="B19" t="s">
        <v>191</v>
      </c>
      <c r="C19">
        <f>D4+D5+D6</f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 rajkarnikar</dc:creator>
  <cp:lastModifiedBy>Dell</cp:lastModifiedBy>
  <cp:lastPrinted>2019-11-29T09:19:07Z</cp:lastPrinted>
  <dcterms:created xsi:type="dcterms:W3CDTF">2019-11-24T08:49:10Z</dcterms:created>
  <dcterms:modified xsi:type="dcterms:W3CDTF">2021-02-16T08:37:47Z</dcterms:modified>
</cp:coreProperties>
</file>