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5.xml" ContentType="application/vnd.ms-excel.controlproperties+xml"/>
  <Override PartName="/xl/tables/table6.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trlProps/ctrlProp6.xml" ContentType="application/vnd.ms-excel.controlproperties+xml"/>
  <Override PartName="/xl/tables/table7.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7.xml" ContentType="application/vnd.ms-excel.controlproperties+xml"/>
  <Override PartName="/xl/tables/table8.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8.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tables/table11.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9.xml" ContentType="application/vnd.openxmlformats-officedocument.drawing+xml"/>
  <Override PartName="/xl/ctrlProps/ctrlProp10.xml" ContentType="application/vnd.ms-excel.controlproperties+xml"/>
  <Override PartName="/xl/tables/table1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10.xml" ContentType="application/vnd.openxmlformats-officedocument.drawing+xml"/>
  <Override PartName="/xl/ctrlProps/ctrlProp11.xml" ContentType="application/vnd.ms-excel.controlproperties+xml"/>
  <Override PartName="/xl/tables/table1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tables/table17.xml" ContentType="application/vnd.openxmlformats-officedocument.spreadsheetml.table+xml"/>
  <Override PartName="/xl/tables/table18.xml" ContentType="application/vnd.openxmlformats-officedocument.spreadsheetml.table+xml"/>
  <Override PartName="/xl/drawings/drawing11.xml" ContentType="application/vnd.openxmlformats-officedocument.drawing+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tables/table21.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Git Projects\PsychroCalc\"/>
    </mc:Choice>
  </mc:AlternateContent>
  <xr:revisionPtr revIDLastSave="0" documentId="13_ncr:1_{862D4538-956E-43CB-A8CE-C3ABDC37F52D}" xr6:coauthVersionLast="47" xr6:coauthVersionMax="47" xr10:uidLastSave="{00000000-0000-0000-0000-000000000000}"/>
  <bookViews>
    <workbookView xWindow="-108" yWindow="-108" windowWidth="30936" windowHeight="16776" tabRatio="605" activeTab="7" xr2:uid="{00000000-000D-0000-FFFF-FFFF00000000}"/>
  </bookViews>
  <sheets>
    <sheet name="INPUT_OUTPUTS" sheetId="64" r:id="rId1"/>
    <sheet name="Humidifier_Schedule" sheetId="139" state="hidden" r:id="rId2"/>
    <sheet name="AshraeTable4a" sheetId="111" state="hidden" r:id="rId3"/>
    <sheet name="CAV_SCHEDULES" sheetId="129" state="hidden" r:id="rId4"/>
    <sheet name="62.1_MULTI_ZONE" sheetId="107" state="hidden" r:id="rId5"/>
    <sheet name="VAV_SCHEDULES" sheetId="120" state="hidden" r:id="rId6"/>
    <sheet name="Room Temperature" sheetId="119" state="hidden" r:id="rId7"/>
    <sheet name="AH1" sheetId="156" r:id="rId8"/>
    <sheet name="AH2" sheetId="157" r:id="rId9"/>
    <sheet name="AHU_SCHEDULES" sheetId="45" r:id="rId10"/>
    <sheet name="Sequences" sheetId="146" state="hidden" r:id="rId11"/>
    <sheet name="HCAI_Fan_Power" sheetId="147" state="hidden" r:id="rId12"/>
    <sheet name="62.1_SINGLE_ZONE" sheetId="104" state="hidden" r:id="rId13"/>
    <sheet name="Title_24" sheetId="144" state="hidden" r:id="rId14"/>
    <sheet name="CH_and_Boiler_Schedule " sheetId="124" state="hidden" r:id="rId15"/>
    <sheet name="Misc_Rooms" sheetId="116" state="hidden" r:id="rId16"/>
    <sheet name="FCU_SCHEDULES" sheetId="118" state="hidden" r:id="rId17"/>
    <sheet name="CALIFORNIA_TABLE" sheetId="143" state="hidden" r:id="rId18"/>
    <sheet name="ASHRAE Table" sheetId="105" state="hidden" r:id="rId19"/>
    <sheet name="UMC Table 4-A" sheetId="37" state="hidden" r:id="rId20"/>
    <sheet name="DO NOT TOUCH" sheetId="63" state="hidden" r:id="rId21"/>
  </sheets>
  <functionGroups builtInGroupCount="19"/>
  <externalReferences>
    <externalReference r:id="rId22"/>
    <externalReference r:id="rId23"/>
  </externalReferences>
  <definedNames>
    <definedName name="_CAV1" localSheetId="15">#REF!</definedName>
    <definedName name="_CAV1">#REF!</definedName>
    <definedName name="_CAV1." localSheetId="2">AshraeTable4a!#REF!</definedName>
    <definedName name="_CAV1." localSheetId="15">#REF!</definedName>
    <definedName name="_CAV1.">#REF!</definedName>
    <definedName name="_CAV2" localSheetId="15">#REF!</definedName>
    <definedName name="_CAV2">#REF!</definedName>
    <definedName name="_CAV3">#REF!</definedName>
    <definedName name="_CAV4">#REF!</definedName>
    <definedName name="_Ref38822284" localSheetId="10">Sequences!$A$134</definedName>
    <definedName name="_Ref440015150" localSheetId="10">Sequences!$G$12</definedName>
    <definedName name="_Ref440015169" localSheetId="10">Sequences!$G$11</definedName>
    <definedName name="_Ref440033356" localSheetId="10">Sequences!$D$27</definedName>
    <definedName name="_Ref73449741" localSheetId="10">Sequences!$A$38</definedName>
    <definedName name="_Ref73449755" localSheetId="10">Sequences!$A$37</definedName>
    <definedName name="_Ref73450375" localSheetId="10">Sequences!$A$48</definedName>
    <definedName name="_Ref73450525" localSheetId="10">Sequences!$A$59</definedName>
    <definedName name="_Ref73451565" localSheetId="10">Sequences!$A$103</definedName>
    <definedName name="_Ref73451586" localSheetId="10">Sequences!$A$299</definedName>
    <definedName name="_xlcn.WorksheetConnection_RevampedAHUPsycCalcsHCAI.xlsmAHU_Options1" hidden="1">AHU_Options[]</definedName>
    <definedName name="_xlcn.WorksheetConnection_RevampedAHUPsycCalcsHCAI.xlsmTable71" hidden="1">AHU_Schedules[]</definedName>
    <definedName name="AHU_1AC_AV" localSheetId="2">CAV_SCHEDULES!$A$5:$M$6</definedName>
    <definedName name="AHU_1AC_AV">#REF!</definedName>
    <definedName name="AHUs" localSheetId="4">AHU_Schedules[TAG]</definedName>
    <definedName name="CAV_1A_SCHEDULE" localSheetId="2">AshraeTable4a!#REF!</definedName>
    <definedName name="CAV_1A_SCHEDULE" localSheetId="15">#REF!</definedName>
    <definedName name="CAV_1A_SCHEDULE">#REF!</definedName>
    <definedName name="CAV_1B_SCHEDULE" localSheetId="15">#REF!</definedName>
    <definedName name="CAV_1B_SCHEDULE">#REF!</definedName>
    <definedName name="CAV_1C_SCHEDULE">#REF!</definedName>
    <definedName name="CAV_2_SCHEDULE">#REF!</definedName>
    <definedName name="CAV_3_SCHEDULE">#REF!</definedName>
    <definedName name="FCU" localSheetId="4">#REF!</definedName>
    <definedName name="FCU">#REF!</definedName>
    <definedName name="_xlnm.Print_Area" localSheetId="9">AHU_SCHEDULES!$A$8:$BD$15</definedName>
    <definedName name="_xlnm.Print_Area" localSheetId="2">AshraeTable4a!$D$3:$W$5</definedName>
    <definedName name="_xlnm.Print_Area" localSheetId="16">FCU_SCHEDULES!$A$8:$AC$13</definedName>
    <definedName name="_xlnm.Print_Area" localSheetId="19">'UMC Table 4-A'!$A$1:$E$132</definedName>
    <definedName name="_xlnm.Print_Titles" localSheetId="2">AshraeTable4a!$3:$4</definedName>
    <definedName name="_xlnm.Print_Titles" localSheetId="19">'UMC Table 4-A'!$A:$B,'UMC Table 4-A'!$1:$1</definedName>
    <definedName name="Space_air_rates">'[1]Table 6-1 Rates'!$A$5:$F$84</definedName>
    <definedName name="Space_index">#REF!</definedName>
    <definedName name="table_4_a">'UMC Table 4-A'!$A$2:$E$132</definedName>
    <definedName name="VENTILATION_SCHEDULE_AHU_3">#REF!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 name="Table7" connection="WorksheetConnection_Revamped AHU Psyc Calcs (HCAI).xlsm!Table7"/>
          <x15:modelTable id="AHU_Options" name="AHU_Options" connection="WorksheetConnection_Revamped AHU Psyc Calcs (HCAI).xlsm!AHU_Options"/>
        </x15:modelTables>
        <x15:modelRelationships>
          <x15:modelRelationship fromTable="AHU_Options" fromColumn="AHU NAME" toTable="Table7" toColumn="TAG"/>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 i="45" l="1"/>
  <c r="J14" i="45"/>
  <c r="L14" i="45"/>
  <c r="M14" i="45"/>
  <c r="N14" i="45"/>
  <c r="Y14" i="45"/>
  <c r="Z14" i="45"/>
  <c r="AE14" i="45"/>
  <c r="AF14" i="45"/>
  <c r="AK14" i="45"/>
  <c r="AL14" i="45"/>
  <c r="J11" i="157"/>
  <c r="I11" i="157"/>
  <c r="D11" i="157"/>
  <c r="C11" i="157"/>
  <c r="Y10" i="157"/>
  <c r="X10" i="157"/>
  <c r="Z10" i="157" s="1"/>
  <c r="W10" i="157"/>
  <c r="S10" i="157"/>
  <c r="U10" i="157" s="1"/>
  <c r="R10" i="157"/>
  <c r="Q10" i="157"/>
  <c r="P10" i="157"/>
  <c r="T10" i="157" s="1"/>
  <c r="H10" i="157"/>
  <c r="Y9" i="157"/>
  <c r="X9" i="157"/>
  <c r="Z9" i="157" s="1"/>
  <c r="W9" i="157"/>
  <c r="S9" i="157"/>
  <c r="U9" i="157" s="1"/>
  <c r="R9" i="157"/>
  <c r="Q9" i="157"/>
  <c r="P9" i="157"/>
  <c r="T9" i="157" s="1"/>
  <c r="H9" i="157"/>
  <c r="Y8" i="157"/>
  <c r="X8" i="157"/>
  <c r="Z8" i="157" s="1"/>
  <c r="W8" i="157"/>
  <c r="U8" i="157"/>
  <c r="S8" i="157"/>
  <c r="R8" i="157"/>
  <c r="Q8" i="157"/>
  <c r="P8" i="157"/>
  <c r="T8" i="157" s="1"/>
  <c r="H8" i="157"/>
  <c r="Y7" i="157"/>
  <c r="X7" i="157"/>
  <c r="Z7" i="157" s="1"/>
  <c r="W7" i="157"/>
  <c r="S7" i="157"/>
  <c r="U7" i="157" s="1"/>
  <c r="R7" i="157"/>
  <c r="Q7" i="157"/>
  <c r="P7" i="157"/>
  <c r="T7" i="157" s="1"/>
  <c r="H7" i="157"/>
  <c r="Y6" i="157"/>
  <c r="X6" i="157"/>
  <c r="Z6" i="157" s="1"/>
  <c r="W6" i="157"/>
  <c r="T6" i="157"/>
  <c r="S6" i="157"/>
  <c r="U6" i="157" s="1"/>
  <c r="R6" i="157"/>
  <c r="Q6" i="157"/>
  <c r="P6" i="157"/>
  <c r="H6" i="157"/>
  <c r="AA7" i="157" a="1"/>
  <c r="AA8" i="157" a="1"/>
  <c r="AA9" i="157" a="1"/>
  <c r="AA10" i="157" a="1"/>
  <c r="AG14" i="45" a="1"/>
  <c r="U14" i="45" a="1"/>
  <c r="AA6" i="157" a="1"/>
  <c r="H14" i="45" l="1"/>
  <c r="K14" i="45" s="1"/>
  <c r="T11" i="157"/>
  <c r="H13" i="45"/>
  <c r="H12" i="45"/>
  <c r="U14" i="45"/>
  <c r="AG14" i="45"/>
  <c r="AV14" i="45"/>
  <c r="AU14" i="45"/>
  <c r="AS14" i="45"/>
  <c r="AR14" i="45"/>
  <c r="AA10" i="157"/>
  <c r="AA9" i="157"/>
  <c r="AA8" i="157"/>
  <c r="AA7" i="157"/>
  <c r="AA6" i="157"/>
  <c r="V9" i="157"/>
  <c r="V6" i="157"/>
  <c r="V8" i="157"/>
  <c r="V10" i="157"/>
  <c r="V7" i="157"/>
  <c r="I13" i="45"/>
  <c r="J13" i="45"/>
  <c r="L13" i="45"/>
  <c r="M13" i="45"/>
  <c r="N13" i="45"/>
  <c r="Y13" i="45"/>
  <c r="Z13" i="45"/>
  <c r="AE13" i="45"/>
  <c r="AF13" i="45"/>
  <c r="AK13" i="45"/>
  <c r="AL13" i="45"/>
  <c r="J11" i="156"/>
  <c r="I11" i="156"/>
  <c r="D11" i="156"/>
  <c r="C11" i="156"/>
  <c r="Y10" i="156"/>
  <c r="X10" i="156"/>
  <c r="W10" i="156"/>
  <c r="S10" i="156"/>
  <c r="U10" i="156" s="1"/>
  <c r="R10" i="156"/>
  <c r="Q10" i="156"/>
  <c r="P10" i="156"/>
  <c r="T10" i="156" s="1"/>
  <c r="H10" i="156"/>
  <c r="Y9" i="156"/>
  <c r="X9" i="156"/>
  <c r="Z9" i="156" s="1"/>
  <c r="W9" i="156"/>
  <c r="S9" i="156"/>
  <c r="R9" i="156"/>
  <c r="Q9" i="156"/>
  <c r="P9" i="156"/>
  <c r="T9" i="156" s="1"/>
  <c r="H9" i="156"/>
  <c r="Y8" i="156"/>
  <c r="X8" i="156"/>
  <c r="W8" i="156"/>
  <c r="S8" i="156"/>
  <c r="U8" i="156" s="1"/>
  <c r="R8" i="156"/>
  <c r="Q8" i="156"/>
  <c r="P8" i="156"/>
  <c r="T8" i="156" s="1"/>
  <c r="H8" i="156"/>
  <c r="Y7" i="156"/>
  <c r="X7" i="156"/>
  <c r="W7" i="156"/>
  <c r="S7" i="156"/>
  <c r="R7" i="156"/>
  <c r="Q7" i="156"/>
  <c r="P7" i="156"/>
  <c r="T7" i="156" s="1"/>
  <c r="H7" i="156"/>
  <c r="Y6" i="156"/>
  <c r="X6" i="156"/>
  <c r="W6" i="156"/>
  <c r="S6" i="156"/>
  <c r="U6" i="156" s="1"/>
  <c r="R6" i="156"/>
  <c r="Q6" i="156"/>
  <c r="P6" i="156"/>
  <c r="T6" i="156" s="1"/>
  <c r="H6" i="156"/>
  <c r="AB8" i="157" a="1"/>
  <c r="AA7" i="156" a="1"/>
  <c r="U13" i="45" a="1"/>
  <c r="AB9" i="157" a="1"/>
  <c r="AC8" i="157" a="1"/>
  <c r="AB7" i="157" a="1"/>
  <c r="AB6" i="157" a="1"/>
  <c r="AA10" i="156" a="1"/>
  <c r="AG13" i="45" a="1"/>
  <c r="AA8" i="156" a="1"/>
  <c r="AC10" i="157" a="1"/>
  <c r="AC7" i="157" a="1"/>
  <c r="AC6" i="157" a="1"/>
  <c r="AA9" i="156" a="1"/>
  <c r="AA6" i="156" a="1"/>
  <c r="AB10" i="157" a="1"/>
  <c r="AC9" i="157" a="1"/>
  <c r="Z6" i="156" l="1"/>
  <c r="U9" i="156"/>
  <c r="C12" i="45"/>
  <c r="C13" i="45"/>
  <c r="C14" i="45"/>
  <c r="AC6" i="157"/>
  <c r="AB6" i="157"/>
  <c r="AC7" i="157"/>
  <c r="AB7" i="157"/>
  <c r="AB8" i="157"/>
  <c r="AC8" i="157"/>
  <c r="AC9" i="157"/>
  <c r="AB9" i="157"/>
  <c r="AC10" i="157"/>
  <c r="AB10" i="157"/>
  <c r="AA11" i="157"/>
  <c r="Z8" i="156"/>
  <c r="Z7" i="156"/>
  <c r="K13" i="45"/>
  <c r="Z10" i="156"/>
  <c r="U7" i="156"/>
  <c r="U13" i="45"/>
  <c r="AG13" i="45"/>
  <c r="AV13" i="45"/>
  <c r="AU13" i="45"/>
  <c r="AS13" i="45"/>
  <c r="AR13" i="45"/>
  <c r="AA8" i="156"/>
  <c r="AA10" i="156"/>
  <c r="AA7" i="156"/>
  <c r="AA9" i="156"/>
  <c r="AA6" i="156"/>
  <c r="T11" i="156"/>
  <c r="S16" i="120"/>
  <c r="J16" i="120"/>
  <c r="I16" i="120"/>
  <c r="S15" i="120"/>
  <c r="J15" i="120"/>
  <c r="I15" i="120"/>
  <c r="S14" i="120"/>
  <c r="J14" i="120"/>
  <c r="I14" i="120"/>
  <c r="S13" i="120"/>
  <c r="J13" i="120"/>
  <c r="I13" i="120"/>
  <c r="S12" i="120"/>
  <c r="J12" i="120"/>
  <c r="I12" i="120"/>
  <c r="S11" i="120"/>
  <c r="J11" i="120"/>
  <c r="I11" i="120"/>
  <c r="S10" i="120"/>
  <c r="J10" i="120"/>
  <c r="I10" i="120"/>
  <c r="S9" i="120"/>
  <c r="J9" i="120"/>
  <c r="I9" i="120"/>
  <c r="S8" i="120"/>
  <c r="J8" i="120"/>
  <c r="I8" i="120"/>
  <c r="S7" i="120"/>
  <c r="J7" i="120"/>
  <c r="I7" i="120"/>
  <c r="Y10" i="144"/>
  <c r="X10" i="144"/>
  <c r="W10" i="144"/>
  <c r="S10" i="144"/>
  <c r="R10" i="144"/>
  <c r="Q10" i="144"/>
  <c r="P10" i="144"/>
  <c r="T10" i="144" s="1"/>
  <c r="H10" i="144"/>
  <c r="Y9" i="144"/>
  <c r="X9" i="144"/>
  <c r="W9" i="144"/>
  <c r="S9" i="144"/>
  <c r="R9" i="144"/>
  <c r="Q9" i="144"/>
  <c r="P9" i="144"/>
  <c r="T9" i="144" s="1"/>
  <c r="H9" i="144"/>
  <c r="F40" i="147"/>
  <c r="F20" i="147"/>
  <c r="S7" i="144"/>
  <c r="S8" i="144"/>
  <c r="S6" i="144"/>
  <c r="Y7" i="144"/>
  <c r="Y8" i="144"/>
  <c r="Y6" i="144"/>
  <c r="X7" i="144"/>
  <c r="X8" i="144"/>
  <c r="X6" i="144"/>
  <c r="J11" i="144"/>
  <c r="H7" i="144"/>
  <c r="H8" i="144"/>
  <c r="H6" i="144"/>
  <c r="R7" i="144"/>
  <c r="R8" i="144"/>
  <c r="R6" i="144"/>
  <c r="Q7" i="144"/>
  <c r="Q8" i="144"/>
  <c r="Q6" i="144"/>
  <c r="P7" i="144"/>
  <c r="T7" i="144" s="1"/>
  <c r="P8" i="144"/>
  <c r="T8" i="144" s="1"/>
  <c r="P6" i="144"/>
  <c r="T6" i="144" s="1"/>
  <c r="W6" i="144"/>
  <c r="I11" i="144"/>
  <c r="D11" i="144"/>
  <c r="C11" i="144"/>
  <c r="W8" i="144"/>
  <c r="W7" i="144"/>
  <c r="H18" i="107"/>
  <c r="G9" i="104"/>
  <c r="L12" i="118"/>
  <c r="K12" i="118"/>
  <c r="AI12" i="111"/>
  <c r="AH12" i="111"/>
  <c r="AJ12" i="111" s="1"/>
  <c r="AG12" i="111"/>
  <c r="AE12" i="111"/>
  <c r="AD12" i="111"/>
  <c r="AC12" i="111"/>
  <c r="AB12" i="111"/>
  <c r="AA12" i="111"/>
  <c r="Z12" i="111"/>
  <c r="Y12" i="111"/>
  <c r="X12" i="111"/>
  <c r="W12" i="111"/>
  <c r="V12" i="111"/>
  <c r="Q12" i="111"/>
  <c r="O12" i="111"/>
  <c r="P12" i="111" s="1"/>
  <c r="M12" i="111"/>
  <c r="N12" i="111" s="1"/>
  <c r="AK12" i="111" s="1"/>
  <c r="L12" i="111"/>
  <c r="J12" i="111"/>
  <c r="G12" i="111"/>
  <c r="R12" i="111" s="1"/>
  <c r="AI11" i="111"/>
  <c r="AH11" i="111"/>
  <c r="AJ11" i="111" s="1"/>
  <c r="AG11" i="111"/>
  <c r="AE11" i="111"/>
  <c r="AD11" i="111"/>
  <c r="AC11" i="111"/>
  <c r="AB11" i="111"/>
  <c r="AA11" i="111"/>
  <c r="Z11" i="111"/>
  <c r="Y11" i="111"/>
  <c r="X11" i="111"/>
  <c r="W11" i="111"/>
  <c r="V11" i="111"/>
  <c r="Q11" i="111"/>
  <c r="O11" i="111"/>
  <c r="P11" i="111" s="1"/>
  <c r="M11" i="111"/>
  <c r="N11" i="111" s="1"/>
  <c r="AK11" i="111" s="1"/>
  <c r="L11" i="111"/>
  <c r="J11" i="111"/>
  <c r="G11" i="111"/>
  <c r="R11" i="111" s="1"/>
  <c r="AI10" i="111"/>
  <c r="AH10" i="111"/>
  <c r="AJ10" i="111" s="1"/>
  <c r="AG10" i="111"/>
  <c r="AE10" i="111"/>
  <c r="AD10" i="111"/>
  <c r="AC10" i="111"/>
  <c r="AB10" i="111"/>
  <c r="AA10" i="111"/>
  <c r="Z10" i="111"/>
  <c r="Y10" i="111"/>
  <c r="X10" i="111"/>
  <c r="W10" i="111"/>
  <c r="V10" i="111"/>
  <c r="Q10" i="111"/>
  <c r="O10" i="111"/>
  <c r="P10" i="111" s="1"/>
  <c r="M10" i="111"/>
  <c r="N10" i="111" s="1"/>
  <c r="AK10" i="111" s="1"/>
  <c r="L10" i="111"/>
  <c r="J10" i="111"/>
  <c r="G10" i="111"/>
  <c r="R10" i="111" s="1"/>
  <c r="AI9" i="111"/>
  <c r="AH9" i="111"/>
  <c r="AJ9" i="111" s="1"/>
  <c r="AG9" i="111"/>
  <c r="AE9" i="111"/>
  <c r="AD9" i="111"/>
  <c r="AC9" i="111"/>
  <c r="AB9" i="111"/>
  <c r="AA9" i="111"/>
  <c r="Z9" i="111"/>
  <c r="Y9" i="111"/>
  <c r="X9" i="111"/>
  <c r="W9" i="111"/>
  <c r="V9" i="111"/>
  <c r="Q9" i="111"/>
  <c r="O9" i="111"/>
  <c r="P9" i="111" s="1"/>
  <c r="M9" i="111"/>
  <c r="N9" i="111" s="1"/>
  <c r="AK9" i="111" s="1"/>
  <c r="L9" i="111"/>
  <c r="J9" i="111"/>
  <c r="G9" i="111"/>
  <c r="R9" i="111" s="1"/>
  <c r="AI8" i="111"/>
  <c r="AH8" i="111"/>
  <c r="AJ8" i="111" s="1"/>
  <c r="AG8" i="111"/>
  <c r="AE8" i="111"/>
  <c r="AD8" i="111"/>
  <c r="AC8" i="111"/>
  <c r="AB8" i="111"/>
  <c r="AA8" i="111"/>
  <c r="Z8" i="111"/>
  <c r="Y8" i="111"/>
  <c r="X8" i="111"/>
  <c r="W8" i="111"/>
  <c r="V8" i="111"/>
  <c r="Q8" i="111"/>
  <c r="O8" i="111"/>
  <c r="P8" i="111" s="1"/>
  <c r="M8" i="111"/>
  <c r="N8" i="111" s="1"/>
  <c r="AK8" i="111" s="1"/>
  <c r="L8" i="111"/>
  <c r="J8" i="111"/>
  <c r="G8" i="111"/>
  <c r="R8" i="111" s="1"/>
  <c r="AI7" i="111"/>
  <c r="AH7" i="111"/>
  <c r="AJ7" i="111" s="1"/>
  <c r="AG7" i="111"/>
  <c r="AE7" i="111"/>
  <c r="AD7" i="111"/>
  <c r="AC7" i="111"/>
  <c r="AB7" i="111"/>
  <c r="AA7" i="111"/>
  <c r="Z7" i="111"/>
  <c r="Y7" i="111"/>
  <c r="X7" i="111"/>
  <c r="W7" i="111"/>
  <c r="V7" i="111"/>
  <c r="Q7" i="111"/>
  <c r="O7" i="111"/>
  <c r="P7" i="111" s="1"/>
  <c r="M7" i="111"/>
  <c r="N7" i="111" s="1"/>
  <c r="AK7" i="111" s="1"/>
  <c r="L7" i="111"/>
  <c r="J7" i="111"/>
  <c r="G7" i="111"/>
  <c r="R7" i="111" s="1"/>
  <c r="AI6" i="111"/>
  <c r="AH6" i="111"/>
  <c r="AJ6" i="111" s="1"/>
  <c r="AG6" i="111"/>
  <c r="AE6" i="111"/>
  <c r="AD6" i="111"/>
  <c r="AC6" i="111"/>
  <c r="AB6" i="111"/>
  <c r="AA6" i="111"/>
  <c r="Z6" i="111"/>
  <c r="Y6" i="111"/>
  <c r="X6" i="111"/>
  <c r="W6" i="111"/>
  <c r="V6" i="111"/>
  <c r="Q6" i="111"/>
  <c r="O6" i="111"/>
  <c r="P6" i="111" s="1"/>
  <c r="M6" i="111"/>
  <c r="N6" i="111" s="1"/>
  <c r="AK6" i="111" s="1"/>
  <c r="L6" i="111"/>
  <c r="J6" i="111"/>
  <c r="G6" i="111"/>
  <c r="R6" i="111" s="1"/>
  <c r="E18" i="107"/>
  <c r="AG17" i="107"/>
  <c r="AF17" i="107"/>
  <c r="AE17" i="107"/>
  <c r="AB17" i="107"/>
  <c r="Q17" i="107"/>
  <c r="N17" i="107"/>
  <c r="R17" i="107" s="1"/>
  <c r="M17" i="107"/>
  <c r="P17" i="107" s="1"/>
  <c r="L17" i="107"/>
  <c r="G17" i="107"/>
  <c r="AG16" i="107"/>
  <c r="AF16" i="107"/>
  <c r="AE16" i="107"/>
  <c r="AB16" i="107"/>
  <c r="Q16" i="107"/>
  <c r="N16" i="107"/>
  <c r="M16" i="107"/>
  <c r="P16" i="107" s="1"/>
  <c r="L16" i="107"/>
  <c r="G16" i="107"/>
  <c r="AG15" i="107"/>
  <c r="AF15" i="107"/>
  <c r="AE15" i="107"/>
  <c r="AB15" i="107"/>
  <c r="Q15" i="107"/>
  <c r="N15" i="107"/>
  <c r="R15" i="107" s="1"/>
  <c r="M15" i="107"/>
  <c r="P15" i="107" s="1"/>
  <c r="L15" i="107"/>
  <c r="G15" i="107"/>
  <c r="AG14" i="107"/>
  <c r="AF14" i="107"/>
  <c r="AE14" i="107"/>
  <c r="AB14" i="107"/>
  <c r="Q14" i="107"/>
  <c r="N14" i="107"/>
  <c r="M14" i="107"/>
  <c r="P14" i="107" s="1"/>
  <c r="L14" i="107"/>
  <c r="G14" i="107"/>
  <c r="AG13" i="107"/>
  <c r="AF13" i="107"/>
  <c r="AE13" i="107"/>
  <c r="AB13" i="107"/>
  <c r="Q13" i="107"/>
  <c r="N13" i="107"/>
  <c r="R13" i="107" s="1"/>
  <c r="M13" i="107"/>
  <c r="P13" i="107" s="1"/>
  <c r="L13" i="107"/>
  <c r="G13" i="107"/>
  <c r="AG12" i="107"/>
  <c r="AF12" i="107"/>
  <c r="AE12" i="107"/>
  <c r="AB12" i="107"/>
  <c r="Q12" i="107"/>
  <c r="N12" i="107"/>
  <c r="M12" i="107"/>
  <c r="P12" i="107" s="1"/>
  <c r="L12" i="107"/>
  <c r="G12" i="107"/>
  <c r="AG11" i="107"/>
  <c r="AF11" i="107"/>
  <c r="AE11" i="107"/>
  <c r="AB11" i="107"/>
  <c r="Q11" i="107"/>
  <c r="N11" i="107"/>
  <c r="R11" i="107" s="1"/>
  <c r="M11" i="107"/>
  <c r="P11" i="107" s="1"/>
  <c r="L11" i="107"/>
  <c r="G11" i="107"/>
  <c r="AG10" i="107"/>
  <c r="AF10" i="107"/>
  <c r="AE10" i="107"/>
  <c r="AB10" i="107"/>
  <c r="Q10" i="107"/>
  <c r="N10" i="107"/>
  <c r="R10" i="107" s="1"/>
  <c r="M10" i="107"/>
  <c r="P10" i="107" s="1"/>
  <c r="L10" i="107"/>
  <c r="G10" i="107"/>
  <c r="AG9" i="107"/>
  <c r="AF9" i="107"/>
  <c r="AE9" i="107"/>
  <c r="AB9" i="107"/>
  <c r="Q9" i="107"/>
  <c r="N9" i="107"/>
  <c r="M9" i="107"/>
  <c r="P9" i="107" s="1"/>
  <c r="L9" i="107"/>
  <c r="G9" i="107"/>
  <c r="AG8" i="107"/>
  <c r="AF8" i="107"/>
  <c r="AE8" i="107"/>
  <c r="AB8" i="107"/>
  <c r="Q8" i="107"/>
  <c r="N8" i="107"/>
  <c r="R8" i="107" s="1"/>
  <c r="M8" i="107"/>
  <c r="P8" i="107" s="1"/>
  <c r="L8" i="107"/>
  <c r="G8" i="107"/>
  <c r="V7" i="104"/>
  <c r="V8" i="104"/>
  <c r="W7" i="104"/>
  <c r="W8" i="104"/>
  <c r="U7" i="104"/>
  <c r="U8" i="104"/>
  <c r="U6" i="104"/>
  <c r="AE6" i="107"/>
  <c r="AE7" i="107"/>
  <c r="AE5" i="107"/>
  <c r="AG7" i="107"/>
  <c r="AF7" i="107"/>
  <c r="AB7" i="107"/>
  <c r="Q7" i="107"/>
  <c r="N7" i="107"/>
  <c r="M7" i="107"/>
  <c r="P7" i="107" s="1"/>
  <c r="L7" i="107"/>
  <c r="G7" i="107"/>
  <c r="G6" i="107"/>
  <c r="L6" i="107"/>
  <c r="M6" i="107"/>
  <c r="P6" i="107" s="1"/>
  <c r="N6" i="107"/>
  <c r="R6" i="107" s="1"/>
  <c r="Q6" i="107"/>
  <c r="AB6" i="107"/>
  <c r="AF6" i="107"/>
  <c r="AG6" i="107"/>
  <c r="S26" i="105"/>
  <c r="AL12" i="111" a="1"/>
  <c r="AL8" i="111" a="1"/>
  <c r="AL9" i="111" a="1"/>
  <c r="AC10" i="156" a="1"/>
  <c r="AB7" i="156" a="1"/>
  <c r="AL10" i="111" a="1"/>
  <c r="AB10" i="156" a="1"/>
  <c r="AC6" i="156" a="1"/>
  <c r="AL6" i="111" a="1"/>
  <c r="AL7" i="111" a="1"/>
  <c r="AL11" i="111" a="1"/>
  <c r="AB8" i="156" a="1"/>
  <c r="AB6" i="156" a="1"/>
  <c r="L4" i="116" a="1"/>
  <c r="AC8" i="156" a="1"/>
  <c r="AB9" i="156" a="1"/>
  <c r="AC7" i="156" a="1"/>
  <c r="AC9" i="156" a="1"/>
  <c r="AD7" i="157" l="1"/>
  <c r="AD10" i="157"/>
  <c r="AD9" i="157"/>
  <c r="AD8" i="157"/>
  <c r="E12" i="45"/>
  <c r="E13" i="45"/>
  <c r="E14" i="45"/>
  <c r="B14" i="45"/>
  <c r="AQ14" i="45"/>
  <c r="AT14" i="45" s="1"/>
  <c r="AW14" i="45" s="1"/>
  <c r="AD6" i="157"/>
  <c r="AB11" i="157"/>
  <c r="AC11" i="157"/>
  <c r="AB6" i="156"/>
  <c r="AC6" i="156"/>
  <c r="AB9" i="156"/>
  <c r="AC9" i="156"/>
  <c r="AC7" i="156"/>
  <c r="AB7" i="156"/>
  <c r="AB10" i="156"/>
  <c r="AC10" i="156"/>
  <c r="AC8" i="156"/>
  <c r="AB8" i="156"/>
  <c r="V6" i="156"/>
  <c r="V10" i="156"/>
  <c r="V8" i="156"/>
  <c r="V9" i="156"/>
  <c r="V7" i="156"/>
  <c r="AA11" i="156"/>
  <c r="U10" i="144"/>
  <c r="Z10" i="144"/>
  <c r="U9" i="144"/>
  <c r="Z9" i="144"/>
  <c r="U7" i="144"/>
  <c r="U6" i="144"/>
  <c r="U8" i="144"/>
  <c r="T11" i="144"/>
  <c r="Z6" i="144"/>
  <c r="Z7" i="144"/>
  <c r="Z8" i="144"/>
  <c r="O6" i="107"/>
  <c r="O13" i="107"/>
  <c r="O11" i="107"/>
  <c r="O8" i="107"/>
  <c r="O17" i="107"/>
  <c r="O10" i="107"/>
  <c r="O15" i="107"/>
  <c r="AH16" i="107"/>
  <c r="X7" i="104"/>
  <c r="L4" i="116"/>
  <c r="AH13" i="107"/>
  <c r="X8" i="104"/>
  <c r="AH15" i="107"/>
  <c r="AH12" i="107"/>
  <c r="AH17" i="107"/>
  <c r="AL12" i="111"/>
  <c r="AL11" i="111"/>
  <c r="AL6" i="111"/>
  <c r="AL9" i="111"/>
  <c r="AL8" i="111"/>
  <c r="AL7" i="111"/>
  <c r="AL10" i="111"/>
  <c r="AH11" i="107"/>
  <c r="AH9" i="107"/>
  <c r="AH14" i="107"/>
  <c r="W8" i="107"/>
  <c r="Y8" i="107" s="1"/>
  <c r="W10" i="107"/>
  <c r="Y10" i="107" s="1"/>
  <c r="W11" i="107"/>
  <c r="Y11" i="107" s="1"/>
  <c r="R14" i="107"/>
  <c r="R12" i="107"/>
  <c r="W13" i="107"/>
  <c r="Y13" i="107" s="1"/>
  <c r="R9" i="107"/>
  <c r="W15" i="107"/>
  <c r="Y15" i="107" s="1"/>
  <c r="W17" i="107"/>
  <c r="Y17" i="107" s="1"/>
  <c r="AH8" i="107"/>
  <c r="AH10" i="107"/>
  <c r="AH7" i="107"/>
  <c r="R16" i="107"/>
  <c r="R7" i="107"/>
  <c r="AH6" i="107"/>
  <c r="W6" i="107"/>
  <c r="Y6" i="107" s="1"/>
  <c r="R6" i="129"/>
  <c r="Q6" i="129"/>
  <c r="O6" i="129"/>
  <c r="J6" i="129"/>
  <c r="I6" i="129"/>
  <c r="H6" i="129"/>
  <c r="G6" i="129"/>
  <c r="F6" i="129"/>
  <c r="Q5" i="129"/>
  <c r="H5" i="129"/>
  <c r="G5" i="129"/>
  <c r="AA15" i="107" a="1"/>
  <c r="AA17" i="107" a="1"/>
  <c r="AA8" i="144" a="1"/>
  <c r="AA6" i="144" a="1"/>
  <c r="AA11" i="107" a="1"/>
  <c r="AA9" i="144" a="1"/>
  <c r="AA10" i="144" a="1"/>
  <c r="AA13" i="107" a="1"/>
  <c r="AA10" i="107" a="1"/>
  <c r="AA8" i="107" a="1"/>
  <c r="AA7" i="144" a="1"/>
  <c r="AA6" i="107" a="1"/>
  <c r="AD8" i="156" l="1"/>
  <c r="D14" i="45"/>
  <c r="AD7" i="156"/>
  <c r="AD9" i="156"/>
  <c r="O13" i="45"/>
  <c r="B13" i="45"/>
  <c r="AQ13" i="45"/>
  <c r="AT13" i="45" s="1"/>
  <c r="AW13" i="45" s="1"/>
  <c r="AD10" i="156"/>
  <c r="AD6" i="156"/>
  <c r="AC11" i="156"/>
  <c r="AB11" i="156"/>
  <c r="B12" i="45"/>
  <c r="AA10" i="144"/>
  <c r="V10" i="144"/>
  <c r="AA9" i="144"/>
  <c r="V9" i="144"/>
  <c r="V7" i="144"/>
  <c r="V6" i="144"/>
  <c r="V8" i="144"/>
  <c r="AA6" i="144"/>
  <c r="AA8" i="144"/>
  <c r="AA7" i="144"/>
  <c r="AA15" i="107"/>
  <c r="AA13" i="107"/>
  <c r="AA17" i="107"/>
  <c r="AA6" i="107"/>
  <c r="AC6" i="107" s="1"/>
  <c r="AA10" i="107"/>
  <c r="AA8" i="107"/>
  <c r="AA11" i="107"/>
  <c r="AC11" i="107" s="1"/>
  <c r="W12" i="107"/>
  <c r="Y12" i="107" s="1"/>
  <c r="O12" i="107"/>
  <c r="W14" i="107"/>
  <c r="Y14" i="107" s="1"/>
  <c r="O14" i="107"/>
  <c r="W9" i="107"/>
  <c r="Y9" i="107" s="1"/>
  <c r="O9" i="107"/>
  <c r="W7" i="107"/>
  <c r="Y7" i="107" s="1"/>
  <c r="O7" i="107"/>
  <c r="W16" i="107"/>
  <c r="Y16" i="107" s="1"/>
  <c r="O16" i="107"/>
  <c r="AM11" i="111"/>
  <c r="AQ11" i="111"/>
  <c r="AQ12" i="111"/>
  <c r="AM12" i="111"/>
  <c r="AM6" i="111"/>
  <c r="AQ6" i="111"/>
  <c r="AQ10" i="111"/>
  <c r="AM10" i="111"/>
  <c r="AQ7" i="111"/>
  <c r="AM7" i="111"/>
  <c r="AM8" i="111"/>
  <c r="AQ8" i="111"/>
  <c r="AM9" i="111"/>
  <c r="AQ9" i="111"/>
  <c r="G4" i="124"/>
  <c r="E11" i="124"/>
  <c r="F11" i="124"/>
  <c r="F4" i="124"/>
  <c r="E4" i="124"/>
  <c r="T6" i="120"/>
  <c r="S6" i="120"/>
  <c r="Q6" i="120"/>
  <c r="L6" i="120"/>
  <c r="K6" i="120"/>
  <c r="J6" i="120"/>
  <c r="I6" i="120"/>
  <c r="G6" i="120"/>
  <c r="E6" i="120"/>
  <c r="F6" i="120" s="1"/>
  <c r="R6" i="120" s="1"/>
  <c r="D6" i="120"/>
  <c r="H6" i="120" s="1"/>
  <c r="S5" i="120"/>
  <c r="J5" i="120"/>
  <c r="I5" i="120"/>
  <c r="AB12" i="118"/>
  <c r="AA12" i="118"/>
  <c r="U12" i="118"/>
  <c r="T12" i="118"/>
  <c r="I12" i="118"/>
  <c r="H12" i="118"/>
  <c r="G12" i="118"/>
  <c r="I10" i="116"/>
  <c r="J10" i="116"/>
  <c r="K10" i="116"/>
  <c r="I11" i="116"/>
  <c r="J11" i="116"/>
  <c r="K11" i="116"/>
  <c r="I12" i="116"/>
  <c r="J12" i="116"/>
  <c r="K12" i="116"/>
  <c r="AB8" i="144" a="1"/>
  <c r="AB6" i="144" a="1"/>
  <c r="Q13" i="45" a="1"/>
  <c r="AO6" i="111" a="1"/>
  <c r="AC8" i="144" a="1"/>
  <c r="AC6" i="144" a="1"/>
  <c r="AB10" i="144" a="1"/>
  <c r="AO9" i="111" a="1"/>
  <c r="AA9" i="107" a="1"/>
  <c r="AC10" i="144" a="1"/>
  <c r="P13" i="45" a="1"/>
  <c r="AN9" i="111" a="1"/>
  <c r="AB7" i="144" a="1"/>
  <c r="AN11" i="111" a="1"/>
  <c r="AA7" i="107" a="1"/>
  <c r="AN10" i="111" a="1"/>
  <c r="AC9" i="144" a="1"/>
  <c r="AN6" i="111" a="1"/>
  <c r="AO10" i="111" a="1"/>
  <c r="AB9" i="144" a="1"/>
  <c r="P12" i="118" a="1"/>
  <c r="AN8" i="111" a="1"/>
  <c r="AO7" i="111" a="1"/>
  <c r="AA12" i="107" a="1"/>
  <c r="AC7" i="144" a="1"/>
  <c r="AA14" i="107" a="1"/>
  <c r="AO11" i="111" a="1"/>
  <c r="AN7" i="111" a="1"/>
  <c r="AO8" i="111" a="1"/>
  <c r="AO12" i="111" a="1"/>
  <c r="AA16" i="107" a="1"/>
  <c r="AN12" i="111" a="1"/>
  <c r="O14" i="45" l="1"/>
  <c r="AB14" i="45" s="1"/>
  <c r="AH14" i="45" s="1"/>
  <c r="D13" i="45"/>
  <c r="Q13" i="45"/>
  <c r="P13" i="45"/>
  <c r="V13" i="45" s="1"/>
  <c r="AB13" i="45"/>
  <c r="AH13" i="45" s="1"/>
  <c r="AC13" i="45"/>
  <c r="D12" i="45"/>
  <c r="AB10" i="144"/>
  <c r="AC10" i="144"/>
  <c r="AB9" i="144"/>
  <c r="AC9" i="144"/>
  <c r="AB8" i="144"/>
  <c r="AC8" i="144"/>
  <c r="AC6" i="144"/>
  <c r="AB6" i="144"/>
  <c r="AB7" i="144"/>
  <c r="AC7" i="144"/>
  <c r="AA11" i="144"/>
  <c r="AA16" i="107"/>
  <c r="AA7" i="107"/>
  <c r="AA9" i="107"/>
  <c r="AA14" i="107"/>
  <c r="AA12" i="107"/>
  <c r="V12" i="118"/>
  <c r="AO12" i="111"/>
  <c r="AN12" i="111"/>
  <c r="AO11" i="111"/>
  <c r="AN11" i="111"/>
  <c r="AS12" i="111"/>
  <c r="AR12" i="111"/>
  <c r="AS11" i="111"/>
  <c r="AR11" i="111"/>
  <c r="AN6" i="111"/>
  <c r="AO6" i="111"/>
  <c r="AO9" i="111"/>
  <c r="AN9" i="111"/>
  <c r="AN8" i="111"/>
  <c r="AO8" i="111"/>
  <c r="AO7" i="111"/>
  <c r="AN7" i="111"/>
  <c r="AO10" i="111"/>
  <c r="AN10" i="111"/>
  <c r="AS6" i="111"/>
  <c r="AR6" i="111"/>
  <c r="AR9" i="111"/>
  <c r="AS9" i="111"/>
  <c r="AR8" i="111"/>
  <c r="AS8" i="111"/>
  <c r="AR7" i="111"/>
  <c r="AS7" i="111"/>
  <c r="AS10" i="111"/>
  <c r="AR10" i="111"/>
  <c r="L11" i="116"/>
  <c r="M6" i="120"/>
  <c r="N6" i="120" s="1"/>
  <c r="O6" i="120" s="1"/>
  <c r="P6" i="120" s="1"/>
  <c r="P12" i="118"/>
  <c r="L12" i="116"/>
  <c r="L10" i="116"/>
  <c r="R13" i="45" a="1"/>
  <c r="AD13" i="45" a="1"/>
  <c r="AC14" i="45" l="1"/>
  <c r="AD13" i="45"/>
  <c r="AI13" i="45" s="1"/>
  <c r="R13" i="45"/>
  <c r="W13" i="45" s="1"/>
  <c r="AA13" i="45" s="1"/>
  <c r="AD10" i="144"/>
  <c r="AD9" i="144"/>
  <c r="AD7" i="144"/>
  <c r="AD6" i="144"/>
  <c r="AC11" i="144"/>
  <c r="AD8" i="144"/>
  <c r="AB11" i="144"/>
  <c r="AP11" i="111"/>
  <c r="AT11" i="111" s="1"/>
  <c r="AP12" i="111"/>
  <c r="AT12" i="111" s="1"/>
  <c r="AP7" i="111"/>
  <c r="AT7" i="111" s="1"/>
  <c r="AP9" i="111"/>
  <c r="AT9" i="111" s="1"/>
  <c r="AP8" i="111"/>
  <c r="AT8" i="111" s="1"/>
  <c r="AP6" i="111"/>
  <c r="AT6" i="111" s="1"/>
  <c r="AP10" i="111"/>
  <c r="AT10" i="111" s="1"/>
  <c r="L13" i="116"/>
  <c r="K4" i="116" s="1"/>
  <c r="P14" i="45" a="1"/>
  <c r="Q14" i="45" a="1"/>
  <c r="AD14" i="45" a="1"/>
  <c r="Q14" i="45" l="1"/>
  <c r="P14" i="45"/>
  <c r="V14" i="45" s="1"/>
  <c r="AD14" i="45"/>
  <c r="AI14" i="45" s="1"/>
  <c r="AJ14" i="45" s="1"/>
  <c r="X13" i="45"/>
  <c r="AM13" i="45"/>
  <c r="AP13" i="45" s="1"/>
  <c r="AJ13" i="45"/>
  <c r="J4" i="116"/>
  <c r="Y5" i="111"/>
  <c r="X5" i="111"/>
  <c r="AA5" i="111" s="1"/>
  <c r="Z5" i="111" s="1"/>
  <c r="W5" i="111"/>
  <c r="V5" i="111"/>
  <c r="AI5" i="111"/>
  <c r="AH5" i="111"/>
  <c r="AJ5" i="111" s="1"/>
  <c r="AG5" i="111"/>
  <c r="E13" i="111"/>
  <c r="Q5" i="111"/>
  <c r="O5" i="111"/>
  <c r="P5" i="111" s="1"/>
  <c r="M5" i="111"/>
  <c r="N5" i="111" s="1"/>
  <c r="AK5" i="111" s="1"/>
  <c r="L5" i="111"/>
  <c r="J5" i="111"/>
  <c r="G5" i="111"/>
  <c r="AQ8" i="45"/>
  <c r="G5" i="107"/>
  <c r="F7" i="104"/>
  <c r="F8" i="104"/>
  <c r="F6" i="104"/>
  <c r="AG5" i="107"/>
  <c r="AF5" i="107"/>
  <c r="AB5" i="107"/>
  <c r="Q5" i="107"/>
  <c r="N5" i="107"/>
  <c r="M5" i="107"/>
  <c r="P5" i="107" s="1"/>
  <c r="L5" i="107"/>
  <c r="V6" i="104"/>
  <c r="W6" i="104"/>
  <c r="R14" i="45" a="1"/>
  <c r="U12" i="45" a="1"/>
  <c r="C17" i="63" a="1"/>
  <c r="R14" i="45" l="1"/>
  <c r="W14" i="45" s="1"/>
  <c r="AM14" i="45"/>
  <c r="AO14" i="45"/>
  <c r="X14" i="45"/>
  <c r="AN14" i="45" s="1"/>
  <c r="AA14" i="45"/>
  <c r="AP14" i="45" s="1"/>
  <c r="AN13" i="45"/>
  <c r="AO13" i="45"/>
  <c r="AH5" i="107"/>
  <c r="X6" i="104"/>
  <c r="U12" i="45"/>
  <c r="R5" i="111"/>
  <c r="P13" i="111"/>
  <c r="C17" i="63"/>
  <c r="AL5" i="111" a="1"/>
  <c r="C18" i="63" a="1"/>
  <c r="S12" i="118" l="1"/>
  <c r="AL5" i="111"/>
  <c r="AQ5" i="111" s="1"/>
  <c r="R13" i="111"/>
  <c r="Z13" i="111"/>
  <c r="AA13" i="111"/>
  <c r="N13" i="111"/>
  <c r="C18" i="63"/>
  <c r="K7" i="104"/>
  <c r="L7" i="104"/>
  <c r="M7" i="104"/>
  <c r="N7" i="104"/>
  <c r="K8" i="104"/>
  <c r="L8" i="104"/>
  <c r="M8" i="104"/>
  <c r="N8" i="104"/>
  <c r="N6" i="104"/>
  <c r="M6" i="104"/>
  <c r="L6" i="104"/>
  <c r="K6" i="104"/>
  <c r="AM5" i="111" l="1"/>
  <c r="AB5" i="111"/>
  <c r="AD5" i="111"/>
  <c r="AC5" i="111"/>
  <c r="AE5" i="111" s="1"/>
  <c r="AL13" i="111"/>
  <c r="C19" i="63"/>
  <c r="C20" i="63"/>
  <c r="AN5" i="111" a="1"/>
  <c r="AO5" i="111" a="1"/>
  <c r="D5" i="129" l="1"/>
  <c r="K5" i="129" s="1"/>
  <c r="L5" i="129" s="1"/>
  <c r="M5" i="129" s="1"/>
  <c r="N5" i="129" s="1"/>
  <c r="D6" i="129"/>
  <c r="AN5" i="111"/>
  <c r="AO5" i="111"/>
  <c r="AR5" i="111"/>
  <c r="AS5" i="111"/>
  <c r="AM13" i="111"/>
  <c r="E5" i="129" l="1"/>
  <c r="P5" i="129" s="1"/>
  <c r="E6" i="129"/>
  <c r="P6" i="129" s="1"/>
  <c r="K6" i="129"/>
  <c r="L6" i="129" s="1"/>
  <c r="M6" i="129" s="1"/>
  <c r="N6" i="129" s="1"/>
  <c r="AP5" i="111"/>
  <c r="AT5" i="111" s="1"/>
  <c r="AK13" i="111"/>
  <c r="AP3" i="111" s="1"/>
  <c r="AO13" i="111"/>
  <c r="AN13" i="111"/>
  <c r="I18" i="107"/>
  <c r="D18" i="107"/>
  <c r="C18" i="107"/>
  <c r="B9" i="104"/>
  <c r="C9" i="104"/>
  <c r="H9" i="104"/>
  <c r="O8" i="104"/>
  <c r="O7" i="104"/>
  <c r="O6" i="104"/>
  <c r="AP13" i="111" l="1"/>
  <c r="R5" i="107"/>
  <c r="O5" i="107" s="1"/>
  <c r="O9" i="104"/>
  <c r="P8" i="104"/>
  <c r="R8" i="104" s="1"/>
  <c r="S8" i="104" s="1"/>
  <c r="P6" i="104"/>
  <c r="R6" i="104" s="1"/>
  <c r="S6" i="104" s="1"/>
  <c r="P7" i="104"/>
  <c r="Y8" i="104" a="1"/>
  <c r="Y6" i="104" a="1"/>
  <c r="AA5" i="107" a="1"/>
  <c r="Y6" i="104" l="1"/>
  <c r="Y8" i="104"/>
  <c r="AA5" i="107"/>
  <c r="R18" i="107"/>
  <c r="W5" i="107"/>
  <c r="Y5" i="107" s="1"/>
  <c r="R7" i="104"/>
  <c r="S7" i="104" s="1"/>
  <c r="AA8" i="104" a="1"/>
  <c r="Z6" i="104" a="1"/>
  <c r="AA6" i="104" a="1"/>
  <c r="Z8" i="104" a="1"/>
  <c r="Y7" i="104" a="1"/>
  <c r="Y7" i="104" l="1"/>
  <c r="Y9" i="104" s="1"/>
  <c r="AA8" i="104"/>
  <c r="Z8" i="104"/>
  <c r="AA6" i="104"/>
  <c r="Z6" i="104"/>
  <c r="S15" i="107"/>
  <c r="S17" i="107"/>
  <c r="S16" i="107"/>
  <c r="S14" i="107"/>
  <c r="S12" i="107"/>
  <c r="S9" i="107"/>
  <c r="S10" i="107"/>
  <c r="S8" i="107"/>
  <c r="S13" i="107"/>
  <c r="S11" i="107"/>
  <c r="S7" i="107"/>
  <c r="U7" i="107" s="1"/>
  <c r="S6" i="107"/>
  <c r="U6" i="107" s="1"/>
  <c r="S5" i="107"/>
  <c r="U5" i="107" s="1"/>
  <c r="AC8" i="104"/>
  <c r="S9" i="104"/>
  <c r="Z7" i="104" a="1"/>
  <c r="AA7" i="104" a="1"/>
  <c r="AC7" i="104" l="1"/>
  <c r="AA7" i="104"/>
  <c r="AA9" i="104" s="1"/>
  <c r="Z7" i="104"/>
  <c r="T11" i="107"/>
  <c r="U11" i="107"/>
  <c r="T8" i="107"/>
  <c r="U8" i="107"/>
  <c r="T14" i="107"/>
  <c r="U14" i="107"/>
  <c r="T13" i="107"/>
  <c r="U13" i="107"/>
  <c r="T16" i="107"/>
  <c r="U16" i="107"/>
  <c r="T17" i="107"/>
  <c r="U17" i="107"/>
  <c r="T10" i="107"/>
  <c r="U10" i="107"/>
  <c r="T9" i="107"/>
  <c r="U9" i="107"/>
  <c r="T12" i="107"/>
  <c r="U12" i="107"/>
  <c r="T15" i="107"/>
  <c r="U15" i="107"/>
  <c r="AC9" i="107"/>
  <c r="AC16" i="107"/>
  <c r="AC10" i="107"/>
  <c r="AC17" i="107"/>
  <c r="AC13" i="107"/>
  <c r="AC8" i="107"/>
  <c r="AC12" i="107"/>
  <c r="AC14" i="107"/>
  <c r="AC15" i="107"/>
  <c r="T7" i="107"/>
  <c r="T6" i="107"/>
  <c r="T5" i="107"/>
  <c r="V5" i="107" s="1"/>
  <c r="AB6" i="104"/>
  <c r="AC6" i="104"/>
  <c r="AB8" i="104"/>
  <c r="AJ5" i="107" a="1"/>
  <c r="AB7" i="104" l="1"/>
  <c r="V15" i="107"/>
  <c r="V12" i="107"/>
  <c r="V16" i="107"/>
  <c r="V14" i="107"/>
  <c r="V10" i="107"/>
  <c r="V9" i="107"/>
  <c r="V17" i="107"/>
  <c r="V13" i="107"/>
  <c r="V8" i="107"/>
  <c r="V11" i="107"/>
  <c r="V7" i="107"/>
  <c r="AJ5" i="107"/>
  <c r="AC5" i="107"/>
  <c r="V6" i="107"/>
  <c r="T18" i="107"/>
  <c r="Z9" i="104"/>
  <c r="AJ10" i="107" a="1"/>
  <c r="AJ9" i="107" a="1"/>
  <c r="AJ7" i="107" a="1"/>
  <c r="AJ6" i="107" a="1"/>
  <c r="AJ16" i="107" a="1"/>
  <c r="AJ15" i="107" a="1"/>
  <c r="AL5" i="107" a="1"/>
  <c r="AJ12" i="107" a="1"/>
  <c r="AJ14" i="107" a="1"/>
  <c r="AJ11" i="107" a="1"/>
  <c r="AJ13" i="107" a="1"/>
  <c r="AJ17" i="107" a="1"/>
  <c r="AJ8" i="107" a="1"/>
  <c r="AJ8" i="107" l="1"/>
  <c r="AJ13" i="107"/>
  <c r="AJ17" i="107"/>
  <c r="AJ9" i="107"/>
  <c r="AJ12" i="107"/>
  <c r="AJ11" i="107"/>
  <c r="AJ10" i="107"/>
  <c r="AJ14" i="107"/>
  <c r="AJ16" i="107"/>
  <c r="AJ15" i="107"/>
  <c r="AJ7" i="107"/>
  <c r="AC7" i="107"/>
  <c r="AC18" i="107" s="1"/>
  <c r="AJ6" i="107"/>
  <c r="AL5" i="107"/>
  <c r="AK5" i="107"/>
  <c r="V18" i="107"/>
  <c r="AE12" i="45"/>
  <c r="AF12" i="45"/>
  <c r="M12" i="45"/>
  <c r="L12" i="45"/>
  <c r="J12" i="45"/>
  <c r="I12" i="45"/>
  <c r="N12" i="45"/>
  <c r="AY12" i="45" s="1"/>
  <c r="AL12" i="45"/>
  <c r="Z12" i="45"/>
  <c r="AK12" i="45"/>
  <c r="Y12" i="45"/>
  <c r="AL11" i="107" a="1"/>
  <c r="AL12" i="107" a="1"/>
  <c r="AL6" i="107" a="1"/>
  <c r="AL8" i="107" a="1"/>
  <c r="AL16" i="107" a="1"/>
  <c r="AL14" i="107" a="1"/>
  <c r="AL15" i="107" a="1"/>
  <c r="AL9" i="107" a="1"/>
  <c r="AG12" i="45" a="1"/>
  <c r="AL10" i="107" a="1"/>
  <c r="AL7" i="107" a="1"/>
  <c r="AM5" i="107" a="1"/>
  <c r="AL13" i="107" a="1"/>
  <c r="AL17" i="107" a="1"/>
  <c r="AI5" i="107" l="1"/>
  <c r="AL15" i="107"/>
  <c r="AL13" i="107"/>
  <c r="AL16" i="107"/>
  <c r="AL11" i="107"/>
  <c r="AL12" i="107"/>
  <c r="AL9" i="107"/>
  <c r="AL14" i="107"/>
  <c r="AL10" i="107"/>
  <c r="AL17" i="107"/>
  <c r="AL8" i="107"/>
  <c r="AK15" i="107"/>
  <c r="AK13" i="107"/>
  <c r="AK16" i="107"/>
  <c r="AK11" i="107"/>
  <c r="AK12" i="107"/>
  <c r="AK9" i="107"/>
  <c r="AK14" i="107"/>
  <c r="AK10" i="107"/>
  <c r="AK17" i="107"/>
  <c r="AK8" i="107"/>
  <c r="AL7" i="107"/>
  <c r="AK7" i="107"/>
  <c r="AI7" i="107" s="1"/>
  <c r="AM5" i="107"/>
  <c r="AL6" i="107"/>
  <c r="AN5" i="107"/>
  <c r="AK6" i="107"/>
  <c r="E16" i="120" s="1"/>
  <c r="F16" i="120" s="1"/>
  <c r="R16" i="120" s="1"/>
  <c r="AV12" i="45"/>
  <c r="AU12" i="45"/>
  <c r="AG12" i="45"/>
  <c r="AS12" i="45"/>
  <c r="AQ12" i="45"/>
  <c r="AR12" i="45"/>
  <c r="AM17" i="107" a="1"/>
  <c r="AM15" i="107" a="1"/>
  <c r="AM10" i="107" a="1"/>
  <c r="AM12" i="107" a="1"/>
  <c r="AM9" i="107" a="1"/>
  <c r="AM13" i="107" a="1"/>
  <c r="AM11" i="107" a="1"/>
  <c r="AM14" i="107" a="1"/>
  <c r="AM6" i="107" a="1"/>
  <c r="AM7" i="107" a="1"/>
  <c r="AM16" i="107" a="1"/>
  <c r="AM8" i="107" a="1"/>
  <c r="E15" i="120" l="1"/>
  <c r="F15" i="120" s="1"/>
  <c r="R15" i="120" s="1"/>
  <c r="E14" i="120"/>
  <c r="F14" i="120" s="1"/>
  <c r="R14" i="120" s="1"/>
  <c r="E12" i="120"/>
  <c r="F12" i="120" s="1"/>
  <c r="R12" i="120" s="1"/>
  <c r="E13" i="120"/>
  <c r="F13" i="120" s="1"/>
  <c r="R13" i="120" s="1"/>
  <c r="E10" i="120"/>
  <c r="F10" i="120" s="1"/>
  <c r="R10" i="120" s="1"/>
  <c r="E11" i="120"/>
  <c r="F11" i="120" s="1"/>
  <c r="R11" i="120" s="1"/>
  <c r="E9" i="120"/>
  <c r="F9" i="120" s="1"/>
  <c r="R9" i="120" s="1"/>
  <c r="E7" i="120"/>
  <c r="F7" i="120" s="1"/>
  <c r="R7" i="120" s="1"/>
  <c r="E8" i="120"/>
  <c r="F8" i="120" s="1"/>
  <c r="R8" i="120" s="1"/>
  <c r="AM8" i="107"/>
  <c r="AM17" i="107"/>
  <c r="AM10" i="107"/>
  <c r="AM14" i="107"/>
  <c r="AM9" i="107"/>
  <c r="AM12" i="107"/>
  <c r="AM11" i="107"/>
  <c r="AM16" i="107"/>
  <c r="AM13" i="107"/>
  <c r="AM15" i="107"/>
  <c r="AI8" i="107"/>
  <c r="AN8" i="107"/>
  <c r="AI17" i="107"/>
  <c r="AN17" i="107"/>
  <c r="AI10" i="107"/>
  <c r="AN10" i="107"/>
  <c r="AI14" i="107"/>
  <c r="AN14" i="107"/>
  <c r="AI9" i="107"/>
  <c r="AN9" i="107"/>
  <c r="AI12" i="107"/>
  <c r="AN12" i="107"/>
  <c r="AI11" i="107"/>
  <c r="AN11" i="107"/>
  <c r="AI16" i="107"/>
  <c r="AN16" i="107"/>
  <c r="AI13" i="107"/>
  <c r="AN13" i="107"/>
  <c r="AI15" i="107"/>
  <c r="AN15" i="107"/>
  <c r="AL18" i="107"/>
  <c r="AM7" i="107"/>
  <c r="AN7" i="107"/>
  <c r="E5" i="120"/>
  <c r="F5" i="120" s="1"/>
  <c r="R5" i="120" s="1"/>
  <c r="AM6" i="107"/>
  <c r="AI6" i="107"/>
  <c r="AN6" i="107"/>
  <c r="AK18" i="107"/>
  <c r="AT12" i="45"/>
  <c r="AW12" i="45" s="1"/>
  <c r="D16" i="120" l="1"/>
  <c r="H16" i="120" s="1"/>
  <c r="M16" i="120" s="1"/>
  <c r="N16" i="120" s="1"/>
  <c r="O16" i="120" s="1"/>
  <c r="P16" i="120" s="1"/>
  <c r="D15" i="120"/>
  <c r="H15" i="120" s="1"/>
  <c r="M15" i="120" s="1"/>
  <c r="N15" i="120" s="1"/>
  <c r="O15" i="120" s="1"/>
  <c r="P15" i="120" s="1"/>
  <c r="D14" i="120"/>
  <c r="H14" i="120" s="1"/>
  <c r="M14" i="120" s="1"/>
  <c r="N14" i="120" s="1"/>
  <c r="O14" i="120" s="1"/>
  <c r="P14" i="120" s="1"/>
  <c r="D13" i="120"/>
  <c r="H13" i="120" s="1"/>
  <c r="M13" i="120" s="1"/>
  <c r="N13" i="120" s="1"/>
  <c r="O13" i="120" s="1"/>
  <c r="P13" i="120" s="1"/>
  <c r="D12" i="120"/>
  <c r="H12" i="120" s="1"/>
  <c r="M12" i="120" s="1"/>
  <c r="N12" i="120" s="1"/>
  <c r="O12" i="120" s="1"/>
  <c r="P12" i="120" s="1"/>
  <c r="D11" i="120"/>
  <c r="H11" i="120" s="1"/>
  <c r="M11" i="120" s="1"/>
  <c r="N11" i="120" s="1"/>
  <c r="O11" i="120" s="1"/>
  <c r="P11" i="120" s="1"/>
  <c r="D10" i="120"/>
  <c r="H10" i="120" s="1"/>
  <c r="M10" i="120" s="1"/>
  <c r="N10" i="120" s="1"/>
  <c r="O10" i="120" s="1"/>
  <c r="P10" i="120" s="1"/>
  <c r="D8" i="120"/>
  <c r="H8" i="120" s="1"/>
  <c r="M8" i="120" s="1"/>
  <c r="N8" i="120" s="1"/>
  <c r="O8" i="120" s="1"/>
  <c r="P8" i="120" s="1"/>
  <c r="D9" i="120"/>
  <c r="H9" i="120" s="1"/>
  <c r="M9" i="120" s="1"/>
  <c r="N9" i="120" s="1"/>
  <c r="O9" i="120" s="1"/>
  <c r="P9" i="120" s="1"/>
  <c r="D7" i="120"/>
  <c r="H7" i="120" s="1"/>
  <c r="M7" i="120" s="1"/>
  <c r="N7" i="120" s="1"/>
  <c r="O7" i="120" s="1"/>
  <c r="P7" i="120" s="1"/>
  <c r="AM18" i="107"/>
  <c r="D5" i="120"/>
  <c r="H5" i="120" s="1"/>
  <c r="M5" i="120" s="1"/>
  <c r="N5" i="120" s="1"/>
  <c r="O5" i="120" s="1"/>
  <c r="P5" i="120" s="1"/>
  <c r="K12" i="45"/>
  <c r="O17" i="120" l="1"/>
  <c r="M17" i="120"/>
  <c r="O12" i="45" l="1"/>
  <c r="C15" i="45"/>
  <c r="Q12" i="45" a="1"/>
  <c r="Q12" i="45" l="1"/>
  <c r="AC12" i="45"/>
  <c r="AB12" i="45"/>
  <c r="AH12" i="45" s="1"/>
  <c r="AD12" i="45" a="1"/>
  <c r="P12" i="45" a="1"/>
  <c r="P12" i="45" l="1"/>
  <c r="V12" i="45" s="1"/>
  <c r="AD12" i="45"/>
  <c r="AI12" i="45" s="1"/>
  <c r="AM12" i="45" s="1"/>
  <c r="AW15" i="45"/>
  <c r="AT15" i="45"/>
  <c r="R12" i="45" a="1"/>
  <c r="R12" i="45" l="1"/>
  <c r="W12" i="45" s="1"/>
  <c r="AA12" i="45" s="1"/>
  <c r="AA15" i="45" s="1"/>
  <c r="AJ12" i="45"/>
  <c r="AO12" i="45" s="1"/>
  <c r="AM15" i="45"/>
  <c r="AP12" i="45" l="1"/>
  <c r="AP15" i="45" s="1"/>
  <c r="K8" i="64" s="1"/>
  <c r="X12" i="45"/>
  <c r="AN12" i="45" s="1"/>
  <c r="AN15" i="45" s="1"/>
  <c r="K7" i="64" s="1"/>
  <c r="BC12" i="45"/>
  <c r="BB12" i="45" l="1"/>
  <c r="AZ12" i="45"/>
  <c r="BA12" i="45" s="1"/>
  <c r="BD12" i="45" s="1"/>
  <c r="BA15" i="45" l="1"/>
  <c r="K9" i="64" s="1"/>
  <c r="BD15" i="45"/>
  <c r="K10" i="64" s="1"/>
  <c r="M7" i="129" l="1"/>
  <c r="K7" i="129"/>
  <c r="V13" i="118"/>
  <c r="M12" i="118" a="1"/>
  <c r="M12" i="118" l="1"/>
  <c r="B12" i="118" l="1"/>
  <c r="C12" i="118" s="1"/>
  <c r="J12" i="118" s="1"/>
  <c r="B13" i="118"/>
  <c r="X12" i="118" l="1"/>
  <c r="Z12" i="118" s="1"/>
  <c r="Z13" i="118" l="1"/>
  <c r="AC12" i="118"/>
  <c r="AC13" i="1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tc={B37CAC9B-C8DA-454B-8E05-93926FDA1639}</author>
    <author>tc={62952E3A-2DE2-4635-BEFF-E53D7C9BD751}</author>
    <author>Shraddha Patil</author>
    <author>tc={9499BA8A-1746-4DC5-8A7E-23F12BB01951}</author>
    <author>tc={F7D0549E-4995-492F-A550-4FDEA7D3D767}</author>
    <author>tc={82768F90-8BE0-45E1-A71E-9DD40AE9DEE0}</author>
  </authors>
  <commentList>
    <comment ref="B5" authorId="0" shapeId="0" xr:uid="{B37CAC9B-C8DA-454B-8E05-93926FDA1639}">
      <text>
        <t>[Threaded comment]
Your version of Excel allows you to read this threaded comment; however, any edits to it will get removed if the file is opened in a newer version of Excel. Learn more: https://go.microsoft.com/fwlink/?linkid=870924
Comment:
    Replace this with the actual source</t>
      </text>
    </comment>
    <comment ref="J9" authorId="1" shapeId="0" xr:uid="{62952E3A-2DE2-4635-BEFF-E53D7C9BD751}">
      <text>
        <t>[Threaded comment]
Your version of Excel allows you to read this threaded comment; however, any edits to it will get removed if the file is opened in a newer version of Excel. Learn more: https://go.microsoft.com/fwlink/?linkid=870924
Comment:
    Does not consider the flow</t>
      </text>
    </comment>
    <comment ref="E10" authorId="2" shapeId="0" xr:uid="{C7B128D3-AF17-AD45-A1A2-438A88B9C729}">
      <text>
        <r>
          <rPr>
            <b/>
            <sz val="10"/>
            <color rgb="FF000000"/>
            <rFont val="Tahoma"/>
            <family val="2"/>
          </rPr>
          <t xml:space="preserve">Rushikesh Patil:
</t>
        </r>
        <r>
          <rPr>
            <sz val="10"/>
            <color rgb="FF000000"/>
            <rFont val="Tahoma"/>
            <family val="2"/>
          </rPr>
          <t>Still to be automated.</t>
        </r>
      </text>
    </comment>
    <comment ref="J10" authorId="3" shapeId="0" xr:uid="{9499BA8A-1746-4DC5-8A7E-23F12BB01951}">
      <text>
        <t>[Threaded comment]
Your version of Excel allows you to read this threaded comment; however, any edits to it will get removed if the file is opened in a newer version of Excel. Learn more: https://go.microsoft.com/fwlink/?linkid=870924
Comment:
    Considers the balance flow</t>
      </text>
    </comment>
    <comment ref="B23" authorId="4" shapeId="0" xr:uid="{F7D0549E-4995-492F-A550-4FDEA7D3D767}">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 ref="B32" authorId="5" shapeId="0" xr:uid="{82768F90-8BE0-45E1-A71E-9DD40AE9DEE0}">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tc={31EAC5C4-25A3-4A67-82D4-B042C37CCEA9}</author>
    <author>tc={A66CCCA1-94A6-43AC-922B-E9352551A14B}</author>
    <author>tc={BF83FFD4-DABD-4405-9220-3AA1B9C49690}</author>
    <author>tc={75E461AD-46C1-4439-9A31-EA1A4EF9D6C2}</author>
    <author>tc={2FF02F18-3F27-400C-8051-1D6953C7273F}</author>
    <author>tc={989ED1B4-CAE6-409C-920C-C6CFEEE395A1}</author>
    <author>tc={3A8A7B81-F443-4A01-8322-316F92C363AC}</author>
    <author>tc={BCF7DC4E-E914-468D-BDC2-C08877BB67B6}</author>
    <author>tc={7F185DA6-DB3E-4BFB-B34A-655772AA1EE7}</author>
    <author>tc={2100AEBD-D5E7-4E2B-86D2-E5575750B200}</author>
  </authors>
  <commentList>
    <comment ref="AQ3" authorId="0" shapeId="0" xr:uid="{31EAC5C4-25A3-4A67-82D4-B042C37CCEA9}">
      <text>
        <t xml:space="preserve">[Threaded comment]
Your version of Excel allows you to read this threaded comment; however, any edits to it will get removed if the file is opened in a newer version of Excel. Learn more: https://go.microsoft.com/fwlink/?linkid=870924
Comment:
    This is a manual number added here when the percent outside air needs to be increased. </t>
      </text>
    </comment>
    <comment ref="B4" authorId="1" shapeId="0" xr:uid="{A66CCCA1-94A6-43AC-922B-E9352551A14B}">
      <text>
        <t>[Threaded comment]
Your version of Excel allows you to read this threaded comment; however, any edits to it will get removed if the file is opened in a newer version of Excel. Learn more: https://go.microsoft.com/fwlink/?linkid=870924
Comment:
    Import zone from Revit</t>
      </text>
    </comment>
    <comment ref="C4" authorId="2" shapeId="0" xr:uid="{BF83FFD4-DABD-4405-9220-3AA1B9C49690}">
      <text>
        <t>[Threaded comment]
Your version of Excel allows you to read this threaded comment; however, any edits to it will get removed if the file is opened in a newer version of Excel. Learn more: https://go.microsoft.com/fwlink/?linkid=870924
Comment:
    Import room from Revit</t>
      </text>
    </comment>
    <comment ref="D4" authorId="3" shapeId="0" xr:uid="{75E461AD-46C1-4439-9A31-EA1A4EF9D6C2}">
      <text>
        <t>[Threaded comment]
Your version of Excel allows you to read this threaded comment; however, any edits to it will get removed if the file is opened in a newer version of Excel. Learn more: https://go.microsoft.com/fwlink/?linkid=870924
Comment:
    Import room number from Revit</t>
      </text>
    </comment>
    <comment ref="E4" authorId="4" shapeId="0" xr:uid="{2FF02F18-3F27-400C-8051-1D6953C7273F}">
      <text>
        <t>[Threaded comment]
Your version of Excel allows you to read this threaded comment; however, any edits to it will get removed if the file is opened in a newer version of Excel. Learn more: https://go.microsoft.com/fwlink/?linkid=870924
Comment:
    Import Area from Revit</t>
      </text>
    </comment>
    <comment ref="F4" authorId="5" shapeId="0" xr:uid="{989ED1B4-CAE6-409C-920C-C6CFEEE395A1}">
      <text>
        <t>[Threaded comment]
Your version of Excel allows you to read this threaded comment; however, any edits to it will get removed if the file is opened in a newer version of Excel. Learn more: https://go.microsoft.com/fwlink/?linkid=870924
Comment:
    Import height from Revit</t>
      </text>
    </comment>
    <comment ref="AM4" authorId="6" shapeId="0" xr:uid="{3A8A7B81-F443-4A01-8322-316F92C363AC}">
      <text>
        <t>[Threaded comment]
Your version of Excel allows you to read this threaded comment; however, any edits to it will get removed if the file is opened in a newer version of Excel. Learn more: https://go.microsoft.com/fwlink/?linkid=870924
Comment:
    This is by default equal to the calculated CFM. Go through this cell and make sure the supply CFM is correct. Check the OSA Percentage.</t>
      </text>
    </comment>
    <comment ref="AN4" authorId="7" shapeId="0" xr:uid="{BCF7DC4E-E914-468D-BDC2-C08877BB67B6}">
      <text>
        <t>[Threaded comment]
Your version of Excel allows you to read this threaded comment; however, any edits to it will get removed if the file is opened in a newer version of Excel. Learn more: https://go.microsoft.com/fwlink/?linkid=870924
Comment:
    Input this manually depending on the transfer air requirements. Good practice to complete air balance drawing before editing this column.</t>
      </text>
    </comment>
    <comment ref="AO4" authorId="8" shapeId="0" xr:uid="{7F185DA6-DB3E-4BFB-B34A-655772AA1EE7}">
      <text>
        <t xml:space="preserve">[Threaded comment]
Your version of Excel allows you to read this threaded comment; however, any edits to it will get removed if the file is opened in a newer version of Excel. Learn more: https://go.microsoft.com/fwlink/?linkid=870924
Comment:
    Usually automatic, but check and edit as necessary. </t>
      </text>
    </comment>
    <comment ref="AR4" authorId="9" shapeId="0" xr:uid="{2100AEBD-D5E7-4E2B-86D2-E5575750B200}">
      <text>
        <t>[Threaded comment]
Your version of Excel allows you to read this threaded comment; however, any edits to it will get removed if the file is opened in a newer version of Excel. Learn more: https://go.microsoft.com/fwlink/?linkid=870924
Comment:
    All cells in this column must be green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tc={CEEA40B8-9803-45F9-9590-1EB56958D071}</author>
  </authors>
  <commentList>
    <comment ref="A4" authorId="0" shapeId="0" xr:uid="{CEEA40B8-9803-45F9-9590-1EB56958D071}">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tc={F4177687-8E80-4A6B-B057-68A653B66C78}</author>
    <author>tc={4E5A4463-7793-4AC4-A59E-2608060717A3}</author>
    <author>tc={6AA7AC04-FAAA-4D66-BDEA-A5CAE99FC69E}</author>
    <author>tc={13686920-EDD3-4F99-ACEB-4FD7EA2EE9CE}</author>
  </authors>
  <commentList>
    <comment ref="E4" authorId="0" shapeId="0" xr:uid="{F4177687-8E80-4A6B-B057-68A653B66C78}">
      <text>
        <t>[Threaded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t>
      </text>
    </comment>
    <comment ref="F4" authorId="1" shapeId="0" xr:uid="{4E5A4463-7793-4AC4-A59E-2608060717A3}">
      <text>
        <t>[Threaded comment]
Your version of Excel allows you to read this threaded comment; however, any edits to it will get removed if the file is opened in a newer version of Excel. Learn more: https://go.microsoft.com/fwlink/?linkid=870924
Comment:
    Number of showers / toilets / urinals</t>
      </text>
    </comment>
    <comment ref="X4" authorId="2" shapeId="0" xr:uid="{6AA7AC04-FAAA-4D66-BDEA-A5CAE99FC69E}">
      <text>
        <t>[Threaded comment]
Your version of Excel allows you to read this threaded comment; however, any edits to it will get removed if the file is opened in a newer version of Excel. Learn more: https://go.microsoft.com/fwlink/?linkid=870924
Comment:
    Pick Based on the zone efficiency table in ASHRAE 62.1</t>
      </text>
    </comment>
    <comment ref="AC18" authorId="3" shapeId="0" xr:uid="{13686920-EDD3-4F99-ACEB-4FD7EA2EE9CE}">
      <text>
        <t>[Threaded comment]
Your version of Excel allows you to read this threaded comment; however, any edits to it will get removed if the file is opened in a newer version of Excel. Learn more: https://go.microsoft.com/fwlink/?linkid=870924
Comment:
    Only use this when you plan to have the sequence to support this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tc={8B74483E-F39A-48BC-9A4F-F2282AE37744}</author>
  </authors>
  <commentList>
    <comment ref="A4" authorId="0" shapeId="0" xr:uid="{8B74483E-F39A-48BC-9A4F-F2282AE37744}">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tc={930EF23D-D45B-4D67-966B-45A826562ECB}</author>
    <author>tc={6F5F8440-E01F-467D-900D-CCE89770EB90}</author>
    <author>tc={F8A1F67B-FE2C-44CF-885B-3462D5807212}</author>
  </authors>
  <commentList>
    <comment ref="E5" authorId="0" shapeId="0" xr:uid="{930EF23D-D45B-4D67-966B-45A826562ECB}">
      <text>
        <t>[Threaded comment]
Your version of Excel allows you to read this threaded comment; however, any edits to it will get removed if the file is opened in a newer version of Excel. Learn more: https://go.microsoft.com/fwlink/?linkid=870924
Comment:
    Get this filled out from Lighting Designer</t>
      </text>
    </comment>
    <comment ref="F5" authorId="1" shapeId="0" xr:uid="{6F5F8440-E01F-467D-900D-CCE89770EB90}">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N5" authorId="2" shapeId="0" xr:uid="{F8A1F67B-FE2C-44CF-885B-3462D5807212}">
      <text>
        <t>[Threaded comment]
Your version of Excel allows you to read this threaded comment; however, any edits to it will get removed if the file is opened in a newer version of Excel. Learn more: https://go.microsoft.com/fwlink/?linkid=870924
Comment:
    https://up.codes/viewer/california/ca-building-code-2022/chapter/10/means-of-egress#1004.5</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tc={EA480CCD-9FEF-4F87-ACA0-177602A979C9}</author>
    <author>tc={641F641A-2B96-441A-B5D4-69B451CBED1B}</author>
    <author>tc={679FC2F4-B367-45E1-8D41-D2A619DFAB13}</author>
  </authors>
  <commentList>
    <comment ref="E5" authorId="0" shapeId="0" xr:uid="{EA480CCD-9FEF-4F87-ACA0-177602A979C9}">
      <text>
        <t>[Threaded comment]
Your version of Excel allows you to read this threaded comment; however, any edits to it will get removed if the file is opened in a newer version of Excel. Learn more: https://go.microsoft.com/fwlink/?linkid=870924
Comment:
    Get this filled out from Lighting Designer</t>
      </text>
    </comment>
    <comment ref="F5" authorId="1" shapeId="0" xr:uid="{641F641A-2B96-441A-B5D4-69B451CBED1B}">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N5" authorId="2" shapeId="0" xr:uid="{679FC2F4-B367-45E1-8D41-D2A619DFAB13}">
      <text>
        <t>[Threaded comment]
Your version of Excel allows you to read this threaded comment; however, any edits to it will get removed if the file is opened in a newer version of Excel. Learn more: https://go.microsoft.com/fwlink/?linkid=870924
Comment:
    https://up.codes/viewer/california/ca-building-code-2022/chapter/10/means-of-egress#1004.5</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tc={84D71866-A333-4CD0-9197-88E7042E5A29}</author>
    <author>tc={437746F2-980E-42E9-9E62-943E879A051B}</author>
  </authors>
  <commentList>
    <comment ref="F11" authorId="0" shapeId="0" xr:uid="{84D71866-A333-4CD0-9197-88E7042E5A29}">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G11" authorId="1" shapeId="0" xr:uid="{437746F2-980E-42E9-9E62-943E879A051B}">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tc={BD869CD4-096A-456B-9126-20BC0B49DB06}</author>
    <author>tc={FF9BFD97-92B3-438B-94B7-4D68C71209E1}</author>
  </authors>
  <commentList>
    <comment ref="C4" authorId="0" shapeId="0" xr:uid="{BD869CD4-096A-456B-9126-20BC0B49DB06}">
      <text>
        <t>[Threaded comment]
Your version of Excel allows you to read this threaded comment; however, any edits to it will get removed if the file is opened in a newer version of Excel. Learn more: https://go.microsoft.com/fwlink/?linkid=870924
Comment:
    List all applicable Components</t>
      </text>
    </comment>
    <comment ref="C24" authorId="1" shapeId="0" xr:uid="{FF9BFD97-92B3-438B-94B7-4D68C71209E1}">
      <text>
        <t xml:space="preserve">[Threaded comment]
Your version of Excel allows you to read this threaded comment; however, any edits to it will get removed if the file is opened in a newer version of Excel. Learn more: https://go.microsoft.com/fwlink/?linkid=870924
Comment:
    List all applicable components.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tc={6F767A3F-F52C-44D7-9F63-D60A46F3BF41}</author>
    <author>tc={9CA4B69A-D90F-4871-8F75-C811F2AC2E34}</author>
  </authors>
  <commentList>
    <comment ref="D5" authorId="0" shapeId="0" xr:uid="{6F767A3F-F52C-44D7-9F63-D60A46F3BF41}">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Q5" authorId="1" shapeId="0" xr:uid="{9CA4B69A-D90F-4871-8F75-C811F2AC2E34}">
      <text>
        <t>[Threaded comment]
Your version of Excel allows you to read this threaded comment; however, any edits to it will get removed if the file is opened in a newer version of Excel. Learn more: https://go.microsoft.com/fwlink/?linkid=870924
Comment:
    Select Value from ASHRAE Table 6-4</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tc={FC91BA6C-57B6-4819-85F0-015C508289C5}</author>
    <author>tc={64347174-A77D-484A-9321-BDACC44CBE88}</author>
    <author>tc={47597CBB-90BF-4B83-B19F-62F091A4C1F8}</author>
  </authors>
  <commentList>
    <comment ref="E5" authorId="0" shapeId="0" xr:uid="{FC91BA6C-57B6-4819-85F0-015C508289C5}">
      <text>
        <t>[Threaded comment]
Your version of Excel allows you to read this threaded comment; however, any edits to it will get removed if the file is opened in a newer version of Excel. Learn more: https://go.microsoft.com/fwlink/?linkid=870924
Comment:
    Get this filled out from Lighting Designer</t>
      </text>
    </comment>
    <comment ref="F5" authorId="1" shapeId="0" xr:uid="{64347174-A77D-484A-9321-BDACC44CBE88}">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N5" authorId="2" shapeId="0" xr:uid="{47597CBB-90BF-4B83-B19F-62F091A4C1F8}">
      <text>
        <t>[Threaded comment]
Your version of Excel allows you to read this threaded comment; however, any edits to it will get removed if the file is opened in a newer version of Excel. Learn more: https://go.microsoft.com/fwlink/?linkid=870924
Comment:
    https://up.codes/viewer/california/ca-building-code-2022/chapter/10/means-of-egress#1004.5</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tc={DD884302-B4BA-4FC6-89DE-092D7787DBDD}</author>
    <author>tc={5D6E878F-F5BC-4DA5-96CC-DC128D97E4A5}</author>
    <author>tc={2BA79C46-F0D8-4A9F-9005-A0420E2E6802}</author>
    <author>tc={96319E2C-C317-466B-A8EB-4E7A838AE188}</author>
  </authors>
  <commentList>
    <comment ref="G3" authorId="0" shapeId="0" xr:uid="{DD884302-B4BA-4FC6-89DE-092D7787DBDD}">
      <text>
        <t>[Threaded comment]
Your version of Excel allows you to read this threaded comment; however, any edits to it will get removed if the file is opened in a newer version of Excel. Learn more: https://go.microsoft.com/fwlink/?linkid=870924
Comment:
    From EnergyPro</t>
      </text>
    </comment>
    <comment ref="H3" authorId="1" shapeId="0" xr:uid="{5D6E878F-F5BC-4DA5-96CC-DC128D97E4A5}">
      <text>
        <t>[Threaded comment]
Your version of Excel allows you to read this threaded comment; however, any edits to it will get removed if the file is opened in a newer version of Excel. Learn more: https://go.microsoft.com/fwlink/?linkid=870924
Comment:
    From EnergyPro</t>
      </text>
    </comment>
    <comment ref="B8" authorId="2" shapeId="0" xr:uid="{2BA79C46-F0D8-4A9F-9005-A0420E2E6802}">
      <text>
        <t>[Threaded comment]
Your version of Excel allows you to read this threaded comment; however, any edits to it will get removed if the file is opened in a newer version of Excel. Learn more: https://go.microsoft.com/fwlink/?linkid=870924
Comment:
    Only put load once. Either in BTUs or in Watts.</t>
      </text>
    </comment>
    <comment ref="A9" authorId="3" shapeId="0" xr:uid="{96319E2C-C317-466B-A8EB-4E7A838AE188}">
      <text>
        <t>[Threaded comment]
Your version of Excel allows you to read this threaded comment; however, any edits to it will get removed if the file is opened in a newer version of Excel. Learn more: https://go.microsoft.com/fwlink/?linkid=870924
Comment:
    Insert rows and list out all the equipment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tc={E0601F33-184C-4984-A0E4-F32973E0C3DA}</author>
    <author>tc={EFCFC2A7-092A-45A3-9C4B-3C27C4873A04}</author>
  </authors>
  <commentList>
    <comment ref="D11" authorId="0" shapeId="0" xr:uid="{E0601F33-184C-4984-A0E4-F32973E0C3DA}">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E11" authorId="1" shapeId="0" xr:uid="{EFCFC2A7-092A-45A3-9C4B-3C27C4873A04}">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88DF15-FA31-4230-9B8F-8FBF1647F4D9}" keepAlive="1" name="Query - AHU_Options" description="Connection to the 'AHU_Options' query in the workbook." type="5" refreshedVersion="0" background="1">
    <dbPr connection="Provider=Microsoft.Mashup.OleDb.1;Data Source=$Workbook$;Location=AHU_Options;Extended Properties=&quot;&quot;" command="SELECT * FROM [AHU_Options]"/>
  </connection>
  <connection id="2" xr16:uid="{E9E41313-5BF1-4BC5-A3B9-15B9712FB65B}" keepAlive="1" name="Query - Table7" description="Connection to the 'Table7' query in the workbook." type="5" refreshedVersion="0" background="1" saveData="1">
    <dbPr connection="Provider=Microsoft.Mashup.OleDb.1;Data Source=$Workbook$;Location=Table7;Extended Properties=&quot;&quot;" command="SELECT * FROM [Table7]"/>
  </connection>
  <connection id="3" xr16:uid="{8873E1C3-0056-4C07-843C-79E646B62FE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2D7AF6AC-B45C-4D72-94A6-D4276AD79CF6}" name="WorksheetConnection_Revamped AHU Psyc Calcs (HCAI).xlsm!AHU_Options" type="102" refreshedVersion="8" minRefreshableVersion="5">
    <extLst>
      <ext xmlns:x15="http://schemas.microsoft.com/office/spreadsheetml/2010/11/main" uri="{DE250136-89BD-433C-8126-D09CA5730AF9}">
        <x15:connection id="AHU_Options">
          <x15:rangePr sourceName="_xlcn.WorksheetConnection_RevampedAHUPsycCalcsHCAI.xlsmAHU_Options1"/>
        </x15:connection>
      </ext>
    </extLst>
  </connection>
  <connection id="5" xr16:uid="{6E518B32-0A99-4F08-AC1A-6B5E128D9D4E}" name="WorksheetConnection_Revamped AHU Psyc Calcs (HCAI).xlsm!Table7" type="102" refreshedVersion="8" minRefreshableVersion="5">
    <extLst>
      <ext xmlns:x15="http://schemas.microsoft.com/office/spreadsheetml/2010/11/main" uri="{DE250136-89BD-433C-8126-D09CA5730AF9}">
        <x15:connection id="Table7">
          <x15:rangePr sourceName="_xlcn.WorksheetConnection_RevampedAHUPsycCalcsHCAI.xlsmTable7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<sst xmlns="http://schemas.openxmlformats.org/spreadsheetml/2006/main" count="2728" uniqueCount="1083">
  <si>
    <t>RA</t>
  </si>
  <si>
    <t>GPM</t>
  </si>
  <si>
    <t>ROOM INFO</t>
  </si>
  <si>
    <t>TABLE 4A CODE REQUIREMENTS</t>
  </si>
  <si>
    <t>ASHRAE 62.1 CALC</t>
  </si>
  <si>
    <t>ZONE</t>
  </si>
  <si>
    <t>ROOM</t>
  </si>
  <si>
    <t>ROOM 
NUMBER</t>
  </si>
  <si>
    <r>
      <t>AREA 
(FT</t>
    </r>
    <r>
      <rPr>
        <sz val="12"/>
        <color theme="1"/>
        <rFont val="Calibri"/>
        <family val="2"/>
      </rPr>
      <t>²</t>
    </r>
    <r>
      <rPr>
        <sz val="12"/>
        <color theme="1"/>
        <rFont val="Arial"/>
        <family val="2"/>
      </rPr>
      <t>)</t>
    </r>
  </si>
  <si>
    <t>HG
(FT)</t>
  </si>
  <si>
    <t>100%
EA</t>
  </si>
  <si>
    <t>Desired Air Balance Difference</t>
  </si>
  <si>
    <t>LOAD 
(CFM)</t>
  </si>
  <si>
    <t>1 or 0.5 CFM/SF</t>
  </si>
  <si>
    <t>FUNCTION OR SPACE</t>
  </si>
  <si>
    <t>PRESSURE RELATIONSHIP TO ADJACENT AREAS</t>
  </si>
  <si>
    <t>MIN OUTDOOR ACH
(AC/HR)</t>
  </si>
  <si>
    <t>MIN OUTDOOR ACH 
(CFM)</t>
  </si>
  <si>
    <t>MIN TOTAL ACH (AC/HR)</t>
  </si>
  <si>
    <t>MIN TOTAL ACH 
(CFM)</t>
  </si>
  <si>
    <t>100% EA
 (YES/NR)</t>
  </si>
  <si>
    <t>MIN EA 
(CFM)</t>
  </si>
  <si>
    <t>Exhaust Category</t>
  </si>
  <si>
    <t>ASHRAE
EXHAUST UNIT</t>
  </si>
  <si>
    <t>OCCUPANCY CATEGORY</t>
  </si>
  <si>
    <t>RP
(CFM/PER PERSON)</t>
  </si>
  <si>
    <t>RA
(CFM/FT²)</t>
  </si>
  <si>
    <t>OCCUPANT DENSITY
(#/1000 FT²)</t>
  </si>
  <si>
    <t>Air Class</t>
  </si>
  <si>
    <t>Actual Number of  Occupants (Ps)</t>
  </si>
  <si>
    <t>Occupants (Pz)</t>
  </si>
  <si>
    <t>DIVERSITY (D)</t>
  </si>
  <si>
    <t>Uncorrected OA (Vou)</t>
  </si>
  <si>
    <t>System Efficiency (Ev)</t>
  </si>
  <si>
    <t>OUTSIDE AIRFLOW (CFM) (Vot)</t>
  </si>
  <si>
    <t>EXHAUST RECOVERY</t>
  </si>
  <si>
    <t>OS</t>
  </si>
  <si>
    <t>EA RATE
(CFM/UNIT)</t>
  </si>
  <si>
    <t>EA RATE
(CFM/FT²)</t>
  </si>
  <si>
    <t>MIN ASHRAE EA
(CFM)</t>
  </si>
  <si>
    <t>CALCULATED SA 
(CFM)</t>
  </si>
  <si>
    <t>Transfer Air CFM</t>
  </si>
  <si>
    <t>CFM/SF</t>
  </si>
  <si>
    <t>OSA PERCENT</t>
  </si>
  <si>
    <t>ACH/hr</t>
  </si>
  <si>
    <t>Balance?</t>
  </si>
  <si>
    <t>DUMMY</t>
  </si>
  <si>
    <t>Laundry, general</t>
  </si>
  <si>
    <t>NOT APPLICABLE</t>
  </si>
  <si>
    <t>NO</t>
  </si>
  <si>
    <t>BASIS OF DESIGN 
MANUFACTURER</t>
  </si>
  <si>
    <t>DESCRIPTION</t>
  </si>
  <si>
    <t>CFM</t>
  </si>
  <si>
    <t>CAV INLET SIZE</t>
  </si>
  <si>
    <t>MAX TOTAL CAV PD 
(IN W.G.)</t>
  </si>
  <si>
    <t>EWT</t>
  </si>
  <si>
    <t>DESIGN 
LWT</t>
  </si>
  <si>
    <t>EAT</t>
  </si>
  <si>
    <t>DESIGN 
LAT</t>
  </si>
  <si>
    <t>MIN MBH</t>
  </si>
  <si>
    <t>AGPM</t>
  </si>
  <si>
    <t>MAX WATER 
PD (FT)</t>
  </si>
  <si>
    <t>OPER 
WEIGHT
(LBS)</t>
  </si>
  <si>
    <t>MTG 
DETAIL</t>
  </si>
  <si>
    <t>REMARKS</t>
  </si>
  <si>
    <t>CAV-1-01</t>
  </si>
  <si>
    <t>TITUS</t>
  </si>
  <si>
    <t>SINGLE DUCT REHEAT ZONE</t>
  </si>
  <si>
    <t>1, 2</t>
  </si>
  <si>
    <t>Bathing room</t>
  </si>
  <si>
    <t>CAV-1-02</t>
  </si>
  <si>
    <t>Blood bank/tissue storage</t>
  </si>
  <si>
    <t>TOILETS—PRIVATE</t>
  </si>
  <si>
    <t>Fast track room</t>
  </si>
  <si>
    <t>NOT PER TABLE 4A</t>
  </si>
  <si>
    <t>GENERAL - CONFERENCE/MEETING</t>
  </si>
  <si>
    <t>`</t>
  </si>
  <si>
    <t>Total</t>
  </si>
  <si>
    <t>ROOM DATA INPUTS</t>
  </si>
  <si>
    <t>ASHRAE 62.1 TABLE 6-1 AND 6-2</t>
  </si>
  <si>
    <t>Zone</t>
  </si>
  <si>
    <t>Room Number</t>
  </si>
  <si>
    <t>Room</t>
  </si>
  <si>
    <r>
      <t>AREA (FT</t>
    </r>
    <r>
      <rPr>
        <sz val="12"/>
        <rFont val="Calibri"/>
        <family val="2"/>
      </rPr>
      <t>²</t>
    </r>
    <r>
      <rPr>
        <sz val="12"/>
        <rFont val="Arial"/>
        <family val="2"/>
      </rPr>
      <t>)</t>
    </r>
  </si>
  <si>
    <t>Exhaust Units</t>
  </si>
  <si>
    <t>OFFICE STANDARD 
(CFM)</t>
  </si>
  <si>
    <t>Occupancy Category</t>
  </si>
  <si>
    <t>Breathing Zone OA (Vbz)</t>
  </si>
  <si>
    <t>Zone Efficiency (Ez)</t>
  </si>
  <si>
    <t>Zone OA (Voz)</t>
  </si>
  <si>
    <t>CO2 SENSOR</t>
  </si>
  <si>
    <t>MIN OA ALLOWABLE (WITH DCV)</t>
  </si>
  <si>
    <t>DESIGN VAV MIN SA(CFM)</t>
  </si>
  <si>
    <t>DESIGN VAV MAX SA(CFM)</t>
  </si>
  <si>
    <t>DESIGN RA (CFM)</t>
  </si>
  <si>
    <t>DESIGN EA(CFM)</t>
  </si>
  <si>
    <t>OA Frac (Z)</t>
  </si>
  <si>
    <t>MIN VAV
(CFM)</t>
  </si>
  <si>
    <t>MAX VAV
(CFM)</t>
  </si>
  <si>
    <t>VAV INLET SIZE
(IN)</t>
  </si>
  <si>
    <t>MAX TOTAL VAV PD 
(IN W.G.)</t>
  </si>
  <si>
    <t>HEATING AIRFLOW 
(CFM)</t>
  </si>
  <si>
    <t>VAV-1-01</t>
  </si>
  <si>
    <t>GENERAL - TOILETS</t>
  </si>
  <si>
    <t>ANIMAL FACILITIES - NECROPSY</t>
  </si>
  <si>
    <t>VAV-1-02</t>
  </si>
  <si>
    <t>EDUCATIONAL FACILITIES - LIBRARIES</t>
  </si>
  <si>
    <t>TOTAL</t>
  </si>
  <si>
    <t>Project Name:</t>
  </si>
  <si>
    <t>Enter here</t>
  </si>
  <si>
    <t>Date:</t>
  </si>
  <si>
    <t>YES</t>
  </si>
  <si>
    <t xml:space="preserve">END </t>
  </si>
  <si>
    <t>MERV 8</t>
  </si>
  <si>
    <t>PLATE FRAME HEAT EXCHANGER</t>
  </si>
  <si>
    <t>INPUTS</t>
  </si>
  <si>
    <t>OUTPUTS</t>
  </si>
  <si>
    <t>SIDE</t>
  </si>
  <si>
    <t>MERV 9</t>
  </si>
  <si>
    <t>ENTHALPY WHEEL</t>
  </si>
  <si>
    <t>*OUTSIDE AIR TABLE - MUST BE FROM ASHRAE OR RFP</t>
  </si>
  <si>
    <t>DOWN</t>
  </si>
  <si>
    <t>MERV 10</t>
  </si>
  <si>
    <t>Climate Zone</t>
  </si>
  <si>
    <t>3B</t>
  </si>
  <si>
    <t>Elevation of project (ft)</t>
  </si>
  <si>
    <t>CENTRAL PLANT DETAILS</t>
  </si>
  <si>
    <t>MERV 11</t>
  </si>
  <si>
    <t>SUMMER DESIGN</t>
  </si>
  <si>
    <t>WINTER DESIGN</t>
  </si>
  <si>
    <t>CHW Plant</t>
  </si>
  <si>
    <t>Tons</t>
  </si>
  <si>
    <t>MERV 12</t>
  </si>
  <si>
    <t>COOLING</t>
  </si>
  <si>
    <t>DB</t>
  </si>
  <si>
    <t>HEATING</t>
  </si>
  <si>
    <t>MCDB</t>
  </si>
  <si>
    <t>CHW Total Flow</t>
  </si>
  <si>
    <t>Gpm</t>
  </si>
  <si>
    <t>MERV 13</t>
  </si>
  <si>
    <t>WB</t>
  </si>
  <si>
    <t>MERV 14</t>
  </si>
  <si>
    <t>DEHUMIDIFICATION</t>
  </si>
  <si>
    <t>HUMIDIFICATION</t>
  </si>
  <si>
    <t>HHW Plant</t>
  </si>
  <si>
    <t>Mbh</t>
  </si>
  <si>
    <t>HR</t>
  </si>
  <si>
    <t>HHW Pump Flow</t>
  </si>
  <si>
    <t>PROJECT DETAILS</t>
  </si>
  <si>
    <t>CHWS</t>
  </si>
  <si>
    <t>F</t>
  </si>
  <si>
    <t>CHWR</t>
  </si>
  <si>
    <t>HHWS</t>
  </si>
  <si>
    <t>HHWR</t>
  </si>
  <si>
    <t>System Allowance</t>
  </si>
  <si>
    <t>%</t>
  </si>
  <si>
    <t>CAV Detail Ref</t>
  </si>
  <si>
    <t>-</t>
  </si>
  <si>
    <t>SURVEY / FEEDBACK</t>
  </si>
  <si>
    <t>AHU OPTIONS MATRIX</t>
  </si>
  <si>
    <t>AHU NAME</t>
  </si>
  <si>
    <t>DISCHARGE CONFIG</t>
  </si>
  <si>
    <t>RETURN CONFIG</t>
  </si>
  <si>
    <t>SUPPLY FAN VFD</t>
  </si>
  <si>
    <t>RETURN FAN</t>
  </si>
  <si>
    <t>RETURN FAN VFD</t>
  </si>
  <si>
    <t>ECONOMIZER</t>
  </si>
  <si>
    <t>HEAT RECOVERY</t>
  </si>
  <si>
    <t>PREHEAT COIL</t>
  </si>
  <si>
    <t>REHEAT COIL</t>
  </si>
  <si>
    <t>SUPPLY SMOKE</t>
  </si>
  <si>
    <t>RETURN SMOKE</t>
  </si>
  <si>
    <t>SINGLE POWER</t>
  </si>
  <si>
    <t>UV LIGHTS</t>
  </si>
  <si>
    <t xml:space="preserve">PRE FILTER </t>
  </si>
  <si>
    <t>INTERMIDIATE FILTER</t>
  </si>
  <si>
    <t>ATFP DAMPERS</t>
  </si>
  <si>
    <t>HUMIDIFIER</t>
  </si>
  <si>
    <t>HEPA FILTER</t>
  </si>
  <si>
    <t>Patient corridor</t>
  </si>
  <si>
    <t>OUTSIDE AIR AND CFM DATA</t>
  </si>
  <si>
    <t>SENSIBLE COOLING COIL PERFORMANCE</t>
  </si>
  <si>
    <t>DEHUMIDIFICATION COOLING COIL PERFORMANCE</t>
  </si>
  <si>
    <t>FINAL VALUES</t>
  </si>
  <si>
    <t>Across Unit</t>
  </si>
  <si>
    <t>Exfiltration Air</t>
  </si>
  <si>
    <t>Across Cooling Coil</t>
  </si>
  <si>
    <t>Unit Size</t>
  </si>
  <si>
    <t xml:space="preserve">
Chilled Water </t>
  </si>
  <si>
    <t>CHILLED WATER</t>
  </si>
  <si>
    <t>MAX
Unit Size</t>
  </si>
  <si>
    <t>CFM/Ton</t>
  </si>
  <si>
    <t>MAX GPM</t>
  </si>
  <si>
    <t>Across Heating Coil</t>
  </si>
  <si>
    <t>HOT WATER</t>
  </si>
  <si>
    <t>Supply Air</t>
  </si>
  <si>
    <t xml:space="preserve">RETURN AIR </t>
  </si>
  <si>
    <t>Outside Air</t>
  </si>
  <si>
    <t>Summer Outside Air (dehumidification)</t>
  </si>
  <si>
    <t>Winter Outside</t>
  </si>
  <si>
    <t>Entering Air</t>
  </si>
  <si>
    <t>Leaving Coil</t>
  </si>
  <si>
    <t>Qs</t>
  </si>
  <si>
    <t>Qt</t>
  </si>
  <si>
    <t>LWT</t>
  </si>
  <si>
    <t>FLOW</t>
  </si>
  <si>
    <t>HEATING CFM</t>
  </si>
  <si>
    <t>Leaving Air</t>
  </si>
  <si>
    <t>TAG</t>
  </si>
  <si>
    <t>(˚F db)</t>
  </si>
  <si>
    <t>(˚F wb)</t>
  </si>
  <si>
    <t>(CFM)3</t>
  </si>
  <si>
    <t>(˚F db)4</t>
  </si>
  <si>
    <t>(˚F wb)5</t>
  </si>
  <si>
    <t>(CFM)6</t>
  </si>
  <si>
    <t>(˚F db)7</t>
  </si>
  <si>
    <t>(˚F wb)8</t>
  </si>
  <si>
    <t>(˚F db)9</t>
  </si>
  <si>
    <t>(CFM)10</t>
  </si>
  <si>
    <t>(˚F db)11</t>
  </si>
  <si>
    <t>(˚F wb)12</t>
  </si>
  <si>
    <t>(h)</t>
  </si>
  <si>
    <t>(˚F db)13</t>
  </si>
  <si>
    <t>(˚F wb)14</t>
  </si>
  <si>
    <t>(h)15</t>
  </si>
  <si>
    <t>(Btu/hr)</t>
  </si>
  <si>
    <t>(Btu/hr)16</t>
  </si>
  <si>
    <t>(Tons)</t>
  </si>
  <si>
    <t>(˚F db)17</t>
  </si>
  <si>
    <t>(˚F db)18</t>
  </si>
  <si>
    <t>(˚F db)19</t>
  </si>
  <si>
    <t>(˚F wb)20</t>
  </si>
  <si>
    <t>(h)21</t>
  </si>
  <si>
    <t>(˚F db)22</t>
  </si>
  <si>
    <t>(˚F wb)23</t>
  </si>
  <si>
    <t>(h)24</t>
  </si>
  <si>
    <t>(Btu/hr)28</t>
  </si>
  <si>
    <t>(Btu/hr)29</t>
  </si>
  <si>
    <t>(Tons)30</t>
  </si>
  <si>
    <t>(˚F db)31</t>
  </si>
  <si>
    <t>(˚F db)32</t>
  </si>
  <si>
    <t>GPM33</t>
  </si>
  <si>
    <t>(Tons)34</t>
  </si>
  <si>
    <t>(CFM)35</t>
  </si>
  <si>
    <t>GPM MAX</t>
  </si>
  <si>
    <t>(CFM)36</t>
  </si>
  <si>
    <t>(˚F db)37</t>
  </si>
  <si>
    <t>(˚F db)38</t>
  </si>
  <si>
    <t>(MBH)</t>
  </si>
  <si>
    <t>(˚F db)39</t>
  </si>
  <si>
    <t>(˚F db)40</t>
  </si>
  <si>
    <t>GPM41</t>
  </si>
  <si>
    <t>(˚F db)43</t>
  </si>
  <si>
    <t>(˚F db)45</t>
  </si>
  <si>
    <t>(mbh)46</t>
  </si>
  <si>
    <t>(˚F db)46</t>
  </si>
  <si>
    <t>DESIGN</t>
  </si>
  <si>
    <r>
      <t>AREA 
(FT</t>
    </r>
    <r>
      <rPr>
        <sz val="12"/>
        <rFont val="Calibri"/>
        <family val="2"/>
      </rPr>
      <t>²</t>
    </r>
    <r>
      <rPr>
        <sz val="12"/>
        <rFont val="Arial"/>
        <family val="2"/>
      </rPr>
      <t>)</t>
    </r>
  </si>
  <si>
    <t>Occupants</t>
  </si>
  <si>
    <t>Vbz</t>
  </si>
  <si>
    <t>Ez</t>
  </si>
  <si>
    <t>Voz</t>
  </si>
  <si>
    <t>DESIGN SA(CFM)</t>
  </si>
  <si>
    <t>DESIGN RA(CFM)</t>
  </si>
  <si>
    <t>MISCELLANEOUS SPACES - PHOTO STUDIOS</t>
  </si>
  <si>
    <t>ANIMAL FACILITIES - ANIMAL PREPARATION ROOMS</t>
  </si>
  <si>
    <t>RP</t>
  </si>
  <si>
    <t>OCCUPANT DENSITY</t>
  </si>
  <si>
    <t>AIR CLASS</t>
  </si>
  <si>
    <t>0.5?</t>
  </si>
  <si>
    <t>EXHAUST RATE PER UNIT</t>
  </si>
  <si>
    <t>EXHAUST RATE PER AREA</t>
  </si>
  <si>
    <t>NOTES</t>
  </si>
  <si>
    <t xml:space="preserve">AIR CLASS </t>
  </si>
  <si>
    <t>ANIMAL FACILITIES - ANIMAL EXAM ROOM (VETERINARY OFFICE)</t>
  </si>
  <si>
    <t>ANIMAL FACILITIES - ANIMAL IMAGING (MRI/CT/PET)</t>
  </si>
  <si>
    <t>TABLE 6-4</t>
  </si>
  <si>
    <t>CLIMATE ZONE</t>
  </si>
  <si>
    <t>ANIMAL FACILITIES - ANIMAL OPERATING ROOMS</t>
  </si>
  <si>
    <t>ANIMAL FACILITIES - ANIMAL POSTOPERATIVE RECOVERY ROOM</t>
  </si>
  <si>
    <t>5A</t>
  </si>
  <si>
    <t>ANIMAL FACILITIES - ANIMAL PROCEDURE ROOM</t>
  </si>
  <si>
    <t>6A</t>
  </si>
  <si>
    <t>ANIMAL FACILITIES - ANIMAL SURGERY SCRUB</t>
  </si>
  <si>
    <t>6B</t>
  </si>
  <si>
    <t>ANIMAL FACILITIES - LARGE-ANIMAL HOLDING ROOM</t>
  </si>
  <si>
    <t>0A</t>
  </si>
  <si>
    <t>ANIMAL FACILITIES - LARGE ANIMAL HOLDING ROOM</t>
  </si>
  <si>
    <t>0B</t>
  </si>
  <si>
    <t>ANIMAL FACILITIES - SMALL-ANIMAL-CAGE ROOM (STATIC CAGES)</t>
  </si>
  <si>
    <t>1B</t>
  </si>
  <si>
    <t>ANIMAL FACILITIES - SMALL-ANIMAL-CAGE ROOM (VENTILATED CAGES)</t>
  </si>
  <si>
    <t>3A</t>
  </si>
  <si>
    <t>ARENAS</t>
  </si>
  <si>
    <t>B</t>
  </si>
  <si>
    <t>4A</t>
  </si>
  <si>
    <t>CORRECTIONAL FACILITIES - BOOKING/WAITING</t>
  </si>
  <si>
    <t>ART CLASSROOMS</t>
  </si>
  <si>
    <t>5B</t>
  </si>
  <si>
    <t>CORRECTIONAL FACILITIES - CELL</t>
  </si>
  <si>
    <t>AUTO REPAIR ROOMS</t>
  </si>
  <si>
    <t>A</t>
  </si>
  <si>
    <t>5C</t>
  </si>
  <si>
    <t>CORRECTIONAL FACILITIES - DAYROOM</t>
  </si>
  <si>
    <t>BARBER SHOPS</t>
  </si>
  <si>
    <t>2A</t>
  </si>
  <si>
    <t>CORRECTIONAL FACILITIES - GUARD STATIONS</t>
  </si>
  <si>
    <t>BEAUTY AND NAIL SALONS</t>
  </si>
  <si>
    <t>2B</t>
  </si>
  <si>
    <t>EDUCATIONAL FACILITIES - ART CLASSROOM</t>
  </si>
  <si>
    <t>CELLS WITH TOILET</t>
  </si>
  <si>
    <t>4C</t>
  </si>
  <si>
    <t>EDUCATIONAL FACILITIES - CLASSROOMS (AGES 5 TO 8)</t>
  </si>
  <si>
    <t>COPY, PRINTING ROOMS</t>
  </si>
  <si>
    <t>EDUCATIONAL FACILITIES - CLASSROOMS (AGES 9 PLUS)</t>
  </si>
  <si>
    <t>DARKROOMS</t>
  </si>
  <si>
    <t>4B</t>
  </si>
  <si>
    <t>EDUCATIONAL FACILITIES - COMPUTER LAB</t>
  </si>
  <si>
    <t>EDUCATIONAL SCIENCE LABORATORIES</t>
  </si>
  <si>
    <t>1A</t>
  </si>
  <si>
    <t>EDUCATIONAL FACILITIES - DAYCARE (THROUGH AGE 4)</t>
  </si>
  <si>
    <t>JANITOR CLOSETS, TRASH ROOMS, RECYCLING</t>
  </si>
  <si>
    <t>3C</t>
  </si>
  <si>
    <t>EDUCATIONAL FACILITIES - DAYCARE SICKROOM</t>
  </si>
  <si>
    <t>KITCHENETTES</t>
  </si>
  <si>
    <t>EDUCATIONAL FACILITIES - LECTURE CLASSROOM</t>
  </si>
  <si>
    <t>KITCHENS—COMMERICAL</t>
  </si>
  <si>
    <t>EDUCATIONAL FACILITIES - LECTURE HALL (FIXED SEATS)</t>
  </si>
  <si>
    <t>LOCKER ROOMS FOR ATHLETIC, INDUSTRIAL, AND HEALTH CARE FACILITIES</t>
  </si>
  <si>
    <t>LOCKER ROOMS FOR ATHLETIC, INDUSTRIAL, AND HEALTH CARE FACILITIES - ALL OTHER LOCKER ROOMS</t>
  </si>
  <si>
    <t>EDUCATIONAL FACILITIES - MEDIA CENTER</t>
  </si>
  <si>
    <t>LOCKER ROOMS FOR ATHLETIC, INDUSTRIAL, AND HEALTH CARE FACILITIES - SHOWER ROOMS</t>
  </si>
  <si>
    <t>G,I</t>
  </si>
  <si>
    <t>EDUCATIONAL FACILITIES - MULTIUSE ASSEMBLY</t>
  </si>
  <si>
    <t>PAINT SPRAY BOOTHS</t>
  </si>
  <si>
    <t>EDUCATIONAL FACILITIES - MUSIC/THEATER/DANCE</t>
  </si>
  <si>
    <t>PARKING GARAGES</t>
  </si>
  <si>
    <t>C</t>
  </si>
  <si>
    <t>EDUCATIONAL FACILITIES - SCIENCE LABORATORIES</t>
  </si>
  <si>
    <t>PET SHOPS (ANIMAL AREAS)</t>
  </si>
  <si>
    <t>EDUCATIONAL FACILITIES - UNIVERSITY/COLLEGE LABORATORIES</t>
  </si>
  <si>
    <t>REFRIGERATING MACHINERY ROOMS</t>
  </si>
  <si>
    <t>EDUCATIONAL FACILITIES - WOOD/METAL SHOP</t>
  </si>
  <si>
    <t>RESIDENTIAL KITCHENS</t>
  </si>
  <si>
    <t>FOOD AND BEVERAGE SERVICE - BARS, COCKTAIL LOUNGES</t>
  </si>
  <si>
    <t>SOILED LAUNDRY STORAGE ROOMS</t>
  </si>
  <si>
    <t>FOOD AND BEVERAGE SERVICE - CAFETERIA/FAST-FOOD DINING</t>
  </si>
  <si>
    <t>STORAGE ROOMS, CHEMICAL</t>
  </si>
  <si>
    <t>FOOD AND BEVERAGE SERVICE - KITCHEN (COOKING)</t>
  </si>
  <si>
    <t>E.H</t>
  </si>
  <si>
    <t>FOOD AND BEVERAGE SERVICE - RESTAURANT DINING ROOMS</t>
  </si>
  <si>
    <t>TOILETS—PUBLIC</t>
  </si>
  <si>
    <t>D,H</t>
  </si>
  <si>
    <t>GENERAL - BREAK ROOMS</t>
  </si>
  <si>
    <t>GENERAL - COFFEE STATIONS</t>
  </si>
  <si>
    <t>WOODWORK SHOP/CLASSROOMS</t>
  </si>
  <si>
    <t>GENERAL - CORRIDORS</t>
  </si>
  <si>
    <t>GENERAL - OCCUPIABLE STORAGE ROOMS FOR LIQUIDS OR GELS</t>
  </si>
  <si>
    <t>HOTELS, MOTELS, RESORTS, DORMITORIES - BARRACKS SLEEPING AREAS</t>
  </si>
  <si>
    <t>HOTELS, MOTELS, RESORTS, DORMITORIES - BEDROOM/LIVING ROOM</t>
  </si>
  <si>
    <t>HOTELS, MOTELS, RESORTS, DORMITORIES - LAUNDRY ROOMS WITHIN DWELLING UNITS</t>
  </si>
  <si>
    <t>HOTELS, MOTELS, RESORTS, DORMITORIES - LAUNDRY ROOMS, CENTRAL</t>
  </si>
  <si>
    <t>HOTELS, MOTELS, RESORTS, DORMITORIES - LOBBIES/PREFUNCTION</t>
  </si>
  <si>
    <t>HOTELS, MOTELS, RESORTS, DORMITORIES - MULTIPURPOSE ASSEMBLY</t>
  </si>
  <si>
    <t>MISCELLANEOUS SPACES - BANK VAULTS/SAFE DEPOSIT</t>
  </si>
  <si>
    <t>MISCELLANEOUS SPACES - BANKS OR BANKS LOBBIES</t>
  </si>
  <si>
    <t>MISCELLANEOUS SPACES - COMPUTER (NOT PRINTING)</t>
  </si>
  <si>
    <t>MISCELLANEOUS SPACES - FREEZER AND REFRIGERATED SPACES (&lt;50°F [10C])</t>
  </si>
  <si>
    <t>MISCELLANEOUS SPACES - MANUFACTURING WHERE HAZARDOUS MATERIALS ARE NOT USED</t>
  </si>
  <si>
    <t>MISCELLANEOUS SPACES - MANUFACTURING WHERE HAZARDOUS MATERIALS ARE USED (EXCLUDES HEAVY INDUSTRIAL AND CHEMICAL PROCESSES)</t>
  </si>
  <si>
    <t>MISCELLANEOUS SPACES - PHARMACY (PREP. AREA)</t>
  </si>
  <si>
    <t>MISCELLANEOUS SPACES - SHIPPING/RECEIVING</t>
  </si>
  <si>
    <t>MISCELLANEOUS SPACES - SORTING, PACKING, LIGHT ASSEMBLE</t>
  </si>
  <si>
    <t>MISCELLANEOUS SPACES - TELEPHONE CLOSETS</t>
  </si>
  <si>
    <t>MISCELLANEOUS SPACES - TRANSPORTATION WAITING</t>
  </si>
  <si>
    <t>MISCELLANEOUS SPACES - WAREHOUSES</t>
  </si>
  <si>
    <t>OFFICE BUILDINGS - BREAKROOMS</t>
  </si>
  <si>
    <t>OFFICE BUILDINGS - MAIN ENTRY LOBBIES</t>
  </si>
  <si>
    <t>OFFICE BUILDINGS - OCCUPIABLE STORAGE ROOMS FOR DRY MATERIALS</t>
  </si>
  <si>
    <t>OFFICE BUILDINGS - OFFICE SPACE</t>
  </si>
  <si>
    <t>OFFICE BUILDINGS - RECEPTION AREAS</t>
  </si>
  <si>
    <t>OFFICE BUILDINGS - TELEPHONE/DATA ENTRY</t>
  </si>
  <si>
    <t>PUBLIC ASSEMBLY SPACES - AUDITORIUM SEATING AREA</t>
  </si>
  <si>
    <t>PUBLIC ASSEMBLY SPACES - COURTROOMS</t>
  </si>
  <si>
    <t>PUBLIC ASSEMBLY SPACES - LEGISLATIVE CHAMBERS</t>
  </si>
  <si>
    <t>PUBLIC ASSEMBLY SPACES - LIBRARIES</t>
  </si>
  <si>
    <t>PUBLIC ASSEMBLY SPACES - LOBBIES</t>
  </si>
  <si>
    <t>PUBLIC ASSEMBLY SPACES - MUSEUMS (CHILDREN'S)</t>
  </si>
  <si>
    <t>PUBLIC ASSEMBLY SPACES - MUSEUMS/GALLERIES</t>
  </si>
  <si>
    <t>PUBLIC ASSEMBLY SPACES - PLACES OF RELIGIOUS WORSHIP</t>
  </si>
  <si>
    <t>RESIDENTIAL - COMMON CORRIDORS</t>
  </si>
  <si>
    <t>RETAIL - BARBERSHOP</t>
  </si>
  <si>
    <t>RETAIL - BEAUTY AND NAIL SALONS</t>
  </si>
  <si>
    <t>RETAIL - COIN-OPERATED LAUNDRIES</t>
  </si>
  <si>
    <t>RETAIL - MALL COMMON AREAS</t>
  </si>
  <si>
    <t>RETAIL - PET SHOPS (ANIMAL AREAS)</t>
  </si>
  <si>
    <t>RETAIL - SALES (EXCEPT AS BELOW)</t>
  </si>
  <si>
    <t>RETAIL - SUPERMARKET</t>
  </si>
  <si>
    <t>SPORTS AND ENTERTAINMENT - BOWLING ALLEY (SEATING)</t>
  </si>
  <si>
    <t>SPORTS AND ENTERTAINMENT - DISCO/DANCE FLOORS</t>
  </si>
  <si>
    <t>SPORTS AND ENTERTAINMENT - GAMBLING CASINOS</t>
  </si>
  <si>
    <t>SPORTS AND ENTERTAINMENT - GAME ARCADES</t>
  </si>
  <si>
    <t>SPORTS AND ENTERTAINMENT - GYM, SPORTS ARENA (PLAY AREA)</t>
  </si>
  <si>
    <t>SPORTS AND ENTERTAINMENT - HEALTH CLUB/AEROBICS ROOM</t>
  </si>
  <si>
    <t>SPORTS AND ENTERTAINMENT - HEALTH CLUB/WEIGHT ROOMS</t>
  </si>
  <si>
    <t>SPORTS AND ENTERTAINMENT - SPECTATOR AREAS</t>
  </si>
  <si>
    <t>SPORTS AND ENTERTAINMENT - STAGES, STUDIOS</t>
  </si>
  <si>
    <t>NA</t>
  </si>
  <si>
    <t>SPORTS AND ENTERTAINMENT - SWIMMING (POOL AND DECK)</t>
  </si>
  <si>
    <t>Area Designation</t>
  </si>
  <si>
    <t>Air Balance Rerationship to Adjacent Areas</t>
  </si>
  <si>
    <t>Minimum Air Changes of Outdoor Air per Hour</t>
  </si>
  <si>
    <t>Minimum Total Air Changes per Hour</t>
  </si>
  <si>
    <t>All Air Exhausted Directly To Outdoors
(j)</t>
  </si>
  <si>
    <t>Air Recirculated by Means of Room Units (a)</t>
  </si>
  <si>
    <t>Design Relative Humidity (k)%</t>
  </si>
  <si>
    <t>MIN Design Temperature(l)</t>
  </si>
  <si>
    <t>MAX Design Temperature</t>
  </si>
  <si>
    <t>Notes</t>
  </si>
  <si>
    <t xml:space="preserve">Airborne infection isolation anteroom </t>
  </si>
  <si>
    <t>E</t>
  </si>
  <si>
    <t>NR</t>
  </si>
  <si>
    <t>Yes</t>
  </si>
  <si>
    <t>No</t>
  </si>
  <si>
    <t>U</t>
  </si>
  <si>
    <t xml:space="preserve">Airborne infection isolation room </t>
  </si>
  <si>
    <t>Negative</t>
  </si>
  <si>
    <t>max 60</t>
  </si>
  <si>
    <t>Airborne infection isolation treatment/exam room</t>
  </si>
  <si>
    <t>Angiography room</t>
  </si>
  <si>
    <t>Positive</t>
  </si>
  <si>
    <t>Bathroom</t>
  </si>
  <si>
    <t>Bedpan room</t>
  </si>
  <si>
    <t>Blood draw/phlebotomy</t>
  </si>
  <si>
    <t>Bronchoscopy, sputum collection, and pentamidine administration</t>
  </si>
  <si>
    <t>N</t>
  </si>
  <si>
    <t>Cardiac catheterization lab</t>
  </si>
  <si>
    <t>Clean linen storage</t>
  </si>
  <si>
    <t>Clean workroom (central medical and surgical supply space)</t>
  </si>
  <si>
    <t>Clean workroom or clean hodling (support)</t>
  </si>
  <si>
    <t>Critical and intensive care</t>
  </si>
  <si>
    <t>30-60</t>
  </si>
  <si>
    <t>CT Scan</t>
  </si>
  <si>
    <t xml:space="preserve">Darkroom </t>
  </si>
  <si>
    <t>G</t>
  </si>
  <si>
    <t xml:space="preserve">Delivery room (caesarean) </t>
  </si>
  <si>
    <t>20-60</t>
  </si>
  <si>
    <t>M, N, O</t>
  </si>
  <si>
    <t>Dialysis treatment area</t>
  </si>
  <si>
    <t>Dialyzer reprocessing room</t>
  </si>
  <si>
    <t>Dietary storage</t>
  </si>
  <si>
    <t>Electroconvulsive therapy procedure room</t>
  </si>
  <si>
    <t>P</t>
  </si>
  <si>
    <t xml:space="preserve">Emergency department exam/treatment room </t>
  </si>
  <si>
    <t>Endoscope cleaning</t>
  </si>
  <si>
    <t>ER decontamination</t>
  </si>
  <si>
    <t>ER waiting rooms</t>
  </si>
  <si>
    <t>max 65</t>
  </si>
  <si>
    <t>q</t>
  </si>
  <si>
    <t>Examination room</t>
  </si>
  <si>
    <t>Fluoroscopy room</t>
  </si>
  <si>
    <t xml:space="preserve">Food preparation center </t>
  </si>
  <si>
    <t>I</t>
  </si>
  <si>
    <t xml:space="preserve">Gastrointestinal endoscopy procedure room </t>
  </si>
  <si>
    <t>X</t>
  </si>
  <si>
    <t>Hazardous material storage</t>
  </si>
  <si>
    <t>Hydrotherapy</t>
  </si>
  <si>
    <t>Infusion room</t>
  </si>
  <si>
    <t xml:space="preserve">Intermediate care </t>
  </si>
  <si>
    <t>S</t>
  </si>
  <si>
    <t>Interventional imaging procedure room</t>
  </si>
  <si>
    <t>IV Prep. room</t>
  </si>
  <si>
    <t>Janitor's closet, housekeeping</t>
  </si>
  <si>
    <t xml:space="preserve">Labor/delivery/recovery  (LDR) </t>
  </si>
  <si>
    <t xml:space="preserve">Labor/delivery/recovery/ postpartum (LDRP) </t>
  </si>
  <si>
    <t xml:space="preserve">Laboratory, bacteriology </t>
  </si>
  <si>
    <t>V</t>
  </si>
  <si>
    <t xml:space="preserve">Laboratory, biochemistry </t>
  </si>
  <si>
    <t xml:space="preserve">Laboratory, cytology </t>
  </si>
  <si>
    <t xml:space="preserve">Laboratory, general </t>
  </si>
  <si>
    <t>Laboratory, glasswashing</t>
  </si>
  <si>
    <t xml:space="preserve">Laboratory, histology </t>
  </si>
  <si>
    <t>Laboratory, infectious disease and virus</t>
  </si>
  <si>
    <t xml:space="preserve">Laboratory, media transfer </t>
  </si>
  <si>
    <t xml:space="preserve">Laboratory, microbiology </t>
  </si>
  <si>
    <t>Laboratory, nuclear medicine </t>
  </si>
  <si>
    <t xml:space="preserve">Laboratory, pathology </t>
  </si>
  <si>
    <t xml:space="preserve">Laboratory, serology </t>
  </si>
  <si>
    <t>Laboratory, sterilizing</t>
  </si>
  <si>
    <t>Lactation</t>
  </si>
  <si>
    <t>Laser eye room</t>
  </si>
  <si>
    <t>Linen and trash chute room</t>
  </si>
  <si>
    <t xml:space="preserve">Medical/anesthesia gas storage </t>
  </si>
  <si>
    <t>R</t>
  </si>
  <si>
    <t>Medication room</t>
  </si>
  <si>
    <t xml:space="preserve">Morgues and autopsy room </t>
  </si>
  <si>
    <t>MRI room</t>
  </si>
  <si>
    <t>Negative-pressure x-ray room</t>
  </si>
  <si>
    <t>Newborn intensive care</t>
  </si>
  <si>
    <t>Newborn intensive care formula room</t>
  </si>
  <si>
    <t>Newborn/well baby nursery suite</t>
  </si>
  <si>
    <t xml:space="preserve">Nonrefrigerated body-holding room </t>
  </si>
  <si>
    <t>H</t>
  </si>
  <si>
    <t>Nourishment area or room</t>
  </si>
  <si>
    <t>Nuclear medicine (Gamma, PET, SPECT)</t>
  </si>
  <si>
    <t>Nuclear medicine hot lab</t>
  </si>
  <si>
    <t>Nuclear medicine treatment room</t>
  </si>
  <si>
    <t xml:space="preserve">Nurse station </t>
  </si>
  <si>
    <t>AA</t>
  </si>
  <si>
    <t>Observation</t>
  </si>
  <si>
    <t>Occupational therapy</t>
  </si>
  <si>
    <t>Operating room, hybrid operating room</t>
  </si>
  <si>
    <t xml:space="preserve">Operating/surgical cystoscopic room </t>
  </si>
  <si>
    <t>Patient holding preparation</t>
  </si>
  <si>
    <t>Patient room</t>
  </si>
  <si>
    <t>y</t>
  </si>
  <si>
    <t>Pediatric play area</t>
  </si>
  <si>
    <t xml:space="preserve">Pharmacy </t>
  </si>
  <si>
    <t>Drug room</t>
  </si>
  <si>
    <t xml:space="preserve">HD ante room </t>
  </si>
  <si>
    <t>&lt;60</t>
  </si>
  <si>
    <t xml:space="preserve">HD buffer room </t>
  </si>
  <si>
    <t xml:space="preserve">HD segregated compounding area </t>
  </si>
  <si>
    <t>AB</t>
  </si>
  <si>
    <t>HD storage</t>
  </si>
  <si>
    <t xml:space="preserve">Non-HD ante room </t>
  </si>
  <si>
    <t xml:space="preserve">Non-HD buffer room </t>
  </si>
  <si>
    <t>Non-HD segregated compounding area</t>
  </si>
  <si>
    <t>Physical therapy (nursing facility)</t>
  </si>
  <si>
    <t>Physical therapy (diagnostic and treatment)</t>
  </si>
  <si>
    <t>Post-anesthesia care unit</t>
  </si>
  <si>
    <t>Pre-screening area</t>
  </si>
  <si>
    <t xml:space="preserve">Procedure room </t>
  </si>
  <si>
    <t>O, D</t>
  </si>
  <si>
    <t xml:space="preserve">Protective environment anteroom </t>
  </si>
  <si>
    <t>(e)</t>
  </si>
  <si>
    <t>T</t>
  </si>
  <si>
    <t xml:space="preserve">Protective environment room </t>
  </si>
  <si>
    <t>Radiology waiting rooms</t>
  </si>
  <si>
    <t>q,w</t>
  </si>
  <si>
    <t>Recovery room</t>
  </si>
  <si>
    <t>Recreation/activity room</t>
  </si>
  <si>
    <t>Resident gathering/activity/dining (nursing facility)</t>
  </si>
  <si>
    <t>Resident room (nursing facility)</t>
  </si>
  <si>
    <t>Resident unit corridor (nursing facility) </t>
  </si>
  <si>
    <t>Seclusion room</t>
  </si>
  <si>
    <t>Semi-restricted corridor</t>
  </si>
  <si>
    <t>Shower room</t>
  </si>
  <si>
    <t>Soiled linen sorting and storage</t>
  </si>
  <si>
    <t>Soiled or decontamination room</t>
  </si>
  <si>
    <t xml:space="preserve">Soiled workroom or soiled holding, utility room </t>
  </si>
  <si>
    <t>Special purpose room (SNF &amp; ICF only)</t>
  </si>
  <si>
    <t>Speech therapy/audiology room</t>
  </si>
  <si>
    <t>Sterile storage</t>
  </si>
  <si>
    <t>Sterilizer equipment room</t>
  </si>
  <si>
    <t>Substerile service area</t>
  </si>
  <si>
    <t>Toilet room</t>
  </si>
  <si>
    <t>Trauma/ cardiac room (crisis or shock)</t>
  </si>
  <si>
    <t xml:space="preserve">Treatment room (surgery and critical care) </t>
  </si>
  <si>
    <t xml:space="preserve">Treatment room (diagnosticand treatment) </t>
  </si>
  <si>
    <t>Triage</t>
  </si>
  <si>
    <t>Ultrasound room</t>
  </si>
  <si>
    <t>Unsterile supply</t>
  </si>
  <si>
    <t>Waiting area (nuclear medicine)</t>
  </si>
  <si>
    <t>Waiting area primary care clinic</t>
  </si>
  <si>
    <t>Warewashing</t>
  </si>
  <si>
    <t>Wound intensive care (burn unit)</t>
  </si>
  <si>
    <t>40-60</t>
  </si>
  <si>
    <t>X-ray (diagnostic and treatment)</t>
  </si>
  <si>
    <t>X-ray (surgery/critical care and catheterization)</t>
  </si>
  <si>
    <t>cav weights and size</t>
  </si>
  <si>
    <t>CUSTOM FUNCTIONS LIST</t>
  </si>
  <si>
    <t>FUNCTION</t>
  </si>
  <si>
    <t xml:space="preserve">EXPANDED </t>
  </si>
  <si>
    <t>MIXEDAIRTEMP</t>
  </si>
  <si>
    <t>MIXEDAIRTEMP (CFM1,T1,CFM2,T2)</t>
  </si>
  <si>
    <t xml:space="preserve">RETURNS MIXED AIR TEMPRATURE IN F </t>
  </si>
  <si>
    <t>Size</t>
  </si>
  <si>
    <t>WEIGHT</t>
  </si>
  <si>
    <t>SENSIBLELOAD</t>
  </si>
  <si>
    <t>SENSIBLELOAD (CFM, EAT, LAT)</t>
  </si>
  <si>
    <t>RETRUNS SENSIBLE LOAD IN BTU/HR</t>
  </si>
  <si>
    <t>GetTRankineFromTFahrenheit</t>
  </si>
  <si>
    <t>Utility function to convert temperature to degree Rankine given temperature in degree Fahrenheit.</t>
  </si>
  <si>
    <t>GetTFahrenheitFromTRankine</t>
  </si>
  <si>
    <t>Utility function to convert temperature to degree Fahrenheit given temperature in degree Rankine.</t>
  </si>
  <si>
    <t>GetTKelvinFromTCelsius</t>
  </si>
  <si>
    <t>Utility function to convert temperature to Kelvin given temperature in degree Celsius.</t>
  </si>
  <si>
    <t>GetTCelsiusFromTKelvin</t>
  </si>
  <si>
    <t>Utility function to convert temperature to degree Celsius given temperature in Kelvin.</t>
  </si>
  <si>
    <t>GetTWetBulbFromTDewPoint</t>
  </si>
  <si>
    <t>Return wet-bulb temperature given dry-bulb temperature, dew-point temperature, and pressure.</t>
  </si>
  <si>
    <t>GetTWetBulbFromRelHum</t>
  </si>
  <si>
    <t>Return wet-bulb temperature given dry-bulb temperature, relative humidity, and pressure.</t>
  </si>
  <si>
    <t>GetRelHumFromTDewPoint</t>
  </si>
  <si>
    <t>Return relative humidity given dry-bulb temperature and dew-point temperature.</t>
  </si>
  <si>
    <t>CONVERSION FACTORS BASED ON ELEVATION</t>
  </si>
  <si>
    <t>GetRelHumFromTWetBulb</t>
  </si>
  <si>
    <t>Return relative humidity given dry-bulb temperature, wet bulb temperature and pressure.</t>
  </si>
  <si>
    <t>PRESSURE</t>
  </si>
  <si>
    <t>PSI</t>
  </si>
  <si>
    <t>GetTDewPointFromRelHum</t>
  </si>
  <si>
    <t>Return dew-point temperature given dry-bulb temperature and relative humidity.</t>
  </si>
  <si>
    <t>DENSITY OF AIR</t>
  </si>
  <si>
    <t>LB/FT3</t>
  </si>
  <si>
    <t>GetTDewPointFromTWetBulb</t>
  </si>
  <si>
    <t>Return dew-point temperature given dry-bulb temperature, wet-bulb temperature, and pressure.</t>
  </si>
  <si>
    <t>SENSIBLE FACTOR</t>
  </si>
  <si>
    <t>GetVapPresFromRelHum</t>
  </si>
  <si>
    <t>Return partial pressure of water vapor as a function of relative humidity and temperature.</t>
  </si>
  <si>
    <t>LATENT FACTOR</t>
  </si>
  <si>
    <t>GetRelHumFromVapPres</t>
  </si>
  <si>
    <t>Return relative humidity given dry-bulb temperature and vapor pressure.</t>
  </si>
  <si>
    <t>GetTWetBulbFromHumRatio</t>
  </si>
  <si>
    <t>Return wet-bulb temperature given dry-bulb temperature, humidity ratio, and pressure.</t>
  </si>
  <si>
    <t>GetHumRatioFromTWetBulb</t>
  </si>
  <si>
    <t>Return humidity ratio given dry-bulb temperature, wet-bulb temperature, and pressure.</t>
  </si>
  <si>
    <t>GetHumRatioFromRelHum</t>
  </si>
  <si>
    <t>Return humidity ratio given dry-bulb temperature, relative humidity, and pressure.</t>
  </si>
  <si>
    <t>GetRelHumFromHumRatio</t>
  </si>
  <si>
    <t>Return relative humidity given dry-bulb temperature, humidity ratio, and pressure.</t>
  </si>
  <si>
    <t>GetHumRatioFromTDewPoint</t>
  </si>
  <si>
    <t>Return humidity ratio given dew-point temperature and pressure.</t>
  </si>
  <si>
    <t>GetTDewPointFromHumRatio</t>
  </si>
  <si>
    <t>Return dew-point temperature given dry-bulb temperature, humidity ratio, and pressure.</t>
  </si>
  <si>
    <t>GetHumRatioFromVapPres</t>
  </si>
  <si>
    <t>Return humidity ratio given water vapor pressure and atmospheric pressure.</t>
  </si>
  <si>
    <t>GetVapPresFromHumRatio</t>
  </si>
  <si>
    <t>Return vapor pressure given humidity ratio and pressure.</t>
  </si>
  <si>
    <t>GetSpecificHumFromHumRatio</t>
  </si>
  <si>
    <t>Return the specific humidity from humidity ratio (aka mixing ratio).</t>
  </si>
  <si>
    <t>GetHumRatioFromSpecificHum</t>
  </si>
  <si>
    <t>Return the humidity ratio (aka mixing ratio) from specific humidity.</t>
  </si>
  <si>
    <t>GetDryAirEnthalpy</t>
  </si>
  <si>
    <t>Return dry-air enthalpy given dry-bulb temperature.</t>
  </si>
  <si>
    <t>GetDryAirDensity</t>
  </si>
  <si>
    <t>Return dry-air density given dry-bulb temperature and pressure.</t>
  </si>
  <si>
    <t>GetDryAirVolume</t>
  </si>
  <si>
    <t>Return dry-air volume given dry-bulb temperature and pressure.</t>
  </si>
  <si>
    <t>GetTDryBulbFromEnthalpyAndHumRatio</t>
  </si>
  <si>
    <t>Return dry bulb temperature from enthalpy and humidity ratio.</t>
  </si>
  <si>
    <t>GetHumRatioFromEnthalpyAndTDryBulb</t>
  </si>
  <si>
    <t>Return humidity ratio from enthalpy and dry-bulb temperature.</t>
  </si>
  <si>
    <t>GetSatVapPres</t>
  </si>
  <si>
    <t>Return saturation vapor pressure given dry-bulb temperature.</t>
  </si>
  <si>
    <t>GetSatHumRatio</t>
  </si>
  <si>
    <t>Return humidity ratio of saturated air given dry-bulb temperature and pressure.</t>
  </si>
  <si>
    <t>GetSatAirEnthalpy</t>
  </si>
  <si>
    <t>Return saturated air enthalpy given dry-bulb temperature and pressure.</t>
  </si>
  <si>
    <t>GetVaporPressureDeficit</t>
  </si>
  <si>
    <t>Return vapor pressure deficit given dry-bulb temperature, humidity ratio, and pressure.</t>
  </si>
  <si>
    <t>GetDegreeOfSaturation</t>
  </si>
  <si>
    <t>Return the degree of saturation (i.e humidity ratio of the air / humidity ratio of the air at saturation at the same temperature and pressure) given dry-bulb temperature, humidity ratio, and atmospheric pressure.</t>
  </si>
  <si>
    <t>GetMoistAirEnthalpy</t>
  </si>
  <si>
    <t>Return moist air enthalpy given dry-bulb temperature and humidity ratio.</t>
  </si>
  <si>
    <t>GetMoistAirVolume</t>
  </si>
  <si>
    <t>Return moist air specific volume given dry-bulb temperature, humidity ratio, and pressure.</t>
  </si>
  <si>
    <t>GetTDryBulbFromMoistAirVolumeAndHumRatio</t>
  </si>
  <si>
    <t>Return dry-bulb temperature given moist air specific volume, humidity ratio, and pressure.</t>
  </si>
  <si>
    <t>GetMoistAirDensity</t>
  </si>
  <si>
    <t>Return moist air density given humidity ratio, dry bulb temperature, and pressure.</t>
  </si>
  <si>
    <t>GetStandardAtmPressure</t>
  </si>
  <si>
    <t>Return standard atmosphere barometric pressure, given the elevation (altitude).</t>
  </si>
  <si>
    <t>GetStandardAtmTemperature</t>
  </si>
  <si>
    <t>Return standard atmosphere temperature, given the elevation (altitude).</t>
  </si>
  <si>
    <t>GetSeaLevelPressure</t>
  </si>
  <si>
    <t>Return sea level pressure given dry-bulb temperature, altitude above sea level and pressure.</t>
  </si>
  <si>
    <t>GetStationPressure</t>
  </si>
  <si>
    <t>Return station pressure from sea level pressure.</t>
  </si>
  <si>
    <t>CalcPsychrometricsFromTWetBulb</t>
  </si>
  <si>
    <t>Utility function to calculate humidity ratio, dew-point temperature, relative humidity, vapour pressure, moist air enthalpy, moist air volume, and degree of saturation of air given dry-bulb temperature, wet-bulb temperature, and pressure.</t>
  </si>
  <si>
    <t>CalcPsychrometricsFromTDewPoint</t>
  </si>
  <si>
    <t>Utility function to calculate humidity ratio, wet-bulb temperature, relative humidity, vapour pressure, moist air enthalpy, moist air volume, and degree of saturation of air given dry-bulb temperature, dew-point temperature, and pressure.</t>
  </si>
  <si>
    <t>CalcPsychrometricsFromRelHum</t>
  </si>
  <si>
    <t>Utility function to calculate humidity ratio, wet-bulb temperature, dew-point temperature, vapour pressure, moist air enthalpy, moist air volume, and degree of saturation of air given dry-bulb temperature, relative humidity and pressure.</t>
  </si>
  <si>
    <t>DESIGN OA (CFM)</t>
  </si>
  <si>
    <t>DESIGN SA (CFM)</t>
  </si>
  <si>
    <t>DESIGN EA (CFM)</t>
  </si>
  <si>
    <t>(˚F db)392</t>
  </si>
  <si>
    <t>(˚F db)403</t>
  </si>
  <si>
    <t>AHU REHEATING COIL</t>
  </si>
  <si>
    <t xml:space="preserve"> </t>
  </si>
  <si>
    <t>Ps (Actual System Population)</t>
  </si>
  <si>
    <t>Total Load</t>
  </si>
  <si>
    <t>Server</t>
  </si>
  <si>
    <t>Vac Pump</t>
  </si>
  <si>
    <t>Transformer</t>
  </si>
  <si>
    <t>Total 
BTUs</t>
  </si>
  <si>
    <t>Server Load 
(BTUs)</t>
  </si>
  <si>
    <t>Watts 
to BTUs</t>
  </si>
  <si>
    <t>Transformer 
BTUs</t>
  </si>
  <si>
    <t>Server Diversity</t>
  </si>
  <si>
    <t>Number of Servers</t>
  </si>
  <si>
    <t>Server Load 
(Watts)</t>
  </si>
  <si>
    <t>Transformer 
Efficiency</t>
  </si>
  <si>
    <t>Transformer 
(KVA)</t>
  </si>
  <si>
    <t>General Equipment 
(Watts)</t>
  </si>
  <si>
    <t>General Equipment 
(BTU/HR)</t>
  </si>
  <si>
    <t>Equipment</t>
  </si>
  <si>
    <t>Servers</t>
  </si>
  <si>
    <t>General Equipment</t>
  </si>
  <si>
    <t>Heat Generating Equipment</t>
  </si>
  <si>
    <t>Mechanical Room</t>
  </si>
  <si>
    <t>Watts Per Sqft 
from Equipment</t>
  </si>
  <si>
    <t>Height (ft)</t>
  </si>
  <si>
    <t>Area
(ft2)</t>
  </si>
  <si>
    <t xml:space="preserve">Room 
number </t>
  </si>
  <si>
    <t>Room 
Name</t>
  </si>
  <si>
    <t>Across FCU</t>
  </si>
  <si>
    <t>COOLING COIL PERFORMANCE</t>
  </si>
  <si>
    <t>HEATING COIL PERFORMANCE</t>
  </si>
  <si>
    <t>Unit Loads</t>
  </si>
  <si>
    <t>Unit Loads 
(sensible)</t>
  </si>
  <si>
    <t>Unit Loads 
(dehumidification)</t>
  </si>
  <si>
    <t>Outside Air (Summer)</t>
  </si>
  <si>
    <t>Room Type</t>
  </si>
  <si>
    <t>Winter Indoor DB</t>
  </si>
  <si>
    <t>Summer Indoor WB</t>
  </si>
  <si>
    <t>Summer Indoor DB</t>
  </si>
  <si>
    <t>199</t>
  </si>
  <si>
    <t>399</t>
  </si>
  <si>
    <t>10000</t>
  </si>
  <si>
    <t>CHILLER TAG</t>
  </si>
  <si>
    <t>DIVERSITY</t>
  </si>
  <si>
    <t>CONDENSER WATER GPM</t>
  </si>
  <si>
    <t>CONDENSER WATER LWT</t>
  </si>
  <si>
    <t>CONDENSER WATER EWT</t>
  </si>
  <si>
    <t>BOILER TAG</t>
  </si>
  <si>
    <t>BOILER EFFICIENCY</t>
  </si>
  <si>
    <t>INPUT MBH</t>
  </si>
  <si>
    <t>INPUT KW</t>
  </si>
  <si>
    <t>BOILER CAPACITY (MBH)</t>
  </si>
  <si>
    <t>CHILLER CAPACITY (TONS)</t>
  </si>
  <si>
    <t>Heat Rejection at Condenser (BTU/HR)</t>
  </si>
  <si>
    <t>TYPE</t>
  </si>
  <si>
    <t>MINIMUM</t>
  </si>
  <si>
    <t>V-Lookup For VAV Sizes</t>
  </si>
  <si>
    <t>Desired Room Balance</t>
  </si>
  <si>
    <t>Calculated VAV Max CFM</t>
  </si>
  <si>
    <t>Exhausted?</t>
  </si>
  <si>
    <t>Toilet</t>
  </si>
  <si>
    <t>Occupant Component</t>
  </si>
  <si>
    <t>Area Component</t>
  </si>
  <si>
    <t>Retail</t>
  </si>
  <si>
    <t>Misc Exhaust From Room</t>
  </si>
  <si>
    <t>CURRENT % OA</t>
  </si>
  <si>
    <t>EV Calculation Method</t>
  </si>
  <si>
    <t>EV CALC METHODS</t>
  </si>
  <si>
    <t>Normative Appendix A</t>
  </si>
  <si>
    <t>Standard</t>
  </si>
  <si>
    <t>Vps</t>
  </si>
  <si>
    <t>Photo</t>
  </si>
  <si>
    <t>Food</t>
  </si>
  <si>
    <t>Room Data</t>
  </si>
  <si>
    <t>Design Values</t>
  </si>
  <si>
    <t>FCU NAME</t>
  </si>
  <si>
    <t>Heating Coil</t>
  </si>
  <si>
    <t>Type</t>
  </si>
  <si>
    <t>FCU OPTIONS MATRIX</t>
  </si>
  <si>
    <t>Supply CFM</t>
  </si>
  <si>
    <t>Return CFM</t>
  </si>
  <si>
    <t>Return Drybulb</t>
  </si>
  <si>
    <t>Return Wetbulb</t>
  </si>
  <si>
    <t>Outside Air CFM</t>
  </si>
  <si>
    <t>Outside Air DB</t>
  </si>
  <si>
    <t>Outside Air WB</t>
  </si>
  <si>
    <t>Winter Temp</t>
  </si>
  <si>
    <t>Exfiltration CFM</t>
  </si>
  <si>
    <t>Mixed air DB</t>
  </si>
  <si>
    <t>Mixed air WB</t>
  </si>
  <si>
    <t>Mixed Air Enthalpy</t>
  </si>
  <si>
    <t>Leaving Air DB</t>
  </si>
  <si>
    <t>Leaving Air WB</t>
  </si>
  <si>
    <t>Leaving air Enthalpy</t>
  </si>
  <si>
    <t>Sensible Load</t>
  </si>
  <si>
    <t>Total Tonnage</t>
  </si>
  <si>
    <t>Heating CFM</t>
  </si>
  <si>
    <t xml:space="preserve">Mixed Air Heating </t>
  </si>
  <si>
    <t>Heating LAT</t>
  </si>
  <si>
    <t>Heating Sensible Load</t>
  </si>
  <si>
    <t>HWEWT</t>
  </si>
  <si>
    <t>HWLWT</t>
  </si>
  <si>
    <t>HW GPM</t>
  </si>
  <si>
    <t>Envelope Sensible Load 
(BTU/HR)</t>
  </si>
  <si>
    <t>Total Latent Load (BTUs/Hr)</t>
  </si>
  <si>
    <t>Make up Air or OA required (CFM)</t>
  </si>
  <si>
    <t>Room Temp DB</t>
  </si>
  <si>
    <t>Room Temp WB</t>
  </si>
  <si>
    <t>Envelope Latent Load 
(BTU/HR)</t>
  </si>
  <si>
    <t>Filter</t>
  </si>
  <si>
    <t>MIN CFM</t>
  </si>
  <si>
    <t>MAX CFM</t>
  </si>
  <si>
    <t>MIN RET CFM</t>
  </si>
  <si>
    <t>MAX RET CFM</t>
  </si>
  <si>
    <t>AH Min CFM Percentage</t>
  </si>
  <si>
    <t>Total Sensible Load (BTUs/Hr)</t>
  </si>
  <si>
    <t>Tag</t>
  </si>
  <si>
    <t>LAT DB</t>
  </si>
  <si>
    <t>LAT WB</t>
  </si>
  <si>
    <t>OAT DB</t>
  </si>
  <si>
    <t>OAT WB</t>
  </si>
  <si>
    <t>MAT DB</t>
  </si>
  <si>
    <t>MAT WB</t>
  </si>
  <si>
    <t>AIR TEMPERATURES</t>
  </si>
  <si>
    <t>lbs/hr</t>
  </si>
  <si>
    <t>Drain rate (GPM)</t>
  </si>
  <si>
    <t>Sports and Entertainment - Stages, studios</t>
  </si>
  <si>
    <t>Sports and Entertainment - Game arcades</t>
  </si>
  <si>
    <t>Sports and Entertainment - Gambling casinos</t>
  </si>
  <si>
    <t>Sports and Entertainment - Bowling alley (seating)</t>
  </si>
  <si>
    <t>Sports and Entertainment - Health club/weight rooms</t>
  </si>
  <si>
    <t>Sports and Entertainment - Health club/aerobics room</t>
  </si>
  <si>
    <t>Sports and Entertainment - Disco/dance floors</t>
  </si>
  <si>
    <t>Sports and Entertainment - Swimming (deck)</t>
  </si>
  <si>
    <t>Sports and Entertainment - Swimming (pool)</t>
  </si>
  <si>
    <t>Sports and Entertainment - Spectator areas</t>
  </si>
  <si>
    <t>Sports and Entertainment - Gym, sports arena (play area)</t>
  </si>
  <si>
    <t>Retail - Coin-operated laundries</t>
  </si>
  <si>
    <t>Retail - Supermarket</t>
  </si>
  <si>
    <t>Retail - Pet shops (animal areas)</t>
  </si>
  <si>
    <t>Retail - Beauty and nail salons</t>
  </si>
  <si>
    <t>Retail - Barbershop</t>
  </si>
  <si>
    <t>Retail - Mall common areas</t>
  </si>
  <si>
    <t>Retail - Sales (except as below)</t>
  </si>
  <si>
    <t>Residential - Common corridors</t>
  </si>
  <si>
    <t>Public Assembly Spaces - Museums/galleries</t>
  </si>
  <si>
    <t>Public Assembly Spaces - Museums (children’s)</t>
  </si>
  <si>
    <t>Public Assembly Spaces - Lobbies</t>
  </si>
  <si>
    <t>Public Assembly Spaces - Libraries (reading rooms and stack areas)</t>
  </si>
  <si>
    <t>Public Assembly Spaces - Legislative chambers</t>
  </si>
  <si>
    <t>Public Assembly Spaces - Courtrooms</t>
  </si>
  <si>
    <t>Public Assembly Spaces - Places of religious worship</t>
  </si>
  <si>
    <t>Public Assembly Spaces - Auditorium seating area</t>
  </si>
  <si>
    <t>Miscellaneous Spaces - All others</t>
  </si>
  <si>
    <t>Miscellaneous Spaces - Warehouses</t>
  </si>
  <si>
    <t>Miscellaneous Spaces - Transportation waiting</t>
  </si>
  <si>
    <t>Miscellaneous Spaces - Telephone closets</t>
  </si>
  <si>
    <t>Miscellaneous Spaces - Sorting, packing, light assembly</t>
  </si>
  <si>
    <t>Miscellaneous Spaces - Shipping/receiving</t>
  </si>
  <si>
    <t>Miscellaneous Spaces - Photo studios</t>
  </si>
  <si>
    <t>Miscellaneous Spaces - Pharmacy (prep. Area)</t>
  </si>
  <si>
    <t>Miscellaneous Spaces - General manufacturing (excludes heavy industrial and process using chemicals)</t>
  </si>
  <si>
    <t>Miscellaneous Spaces - Freezer and refrigerated spaces (&lt;50oF)</t>
  </si>
  <si>
    <t>Miscellaneous Spaces - Computer (not printing)</t>
  </si>
  <si>
    <t>Miscellaneous Spaces - Banks or bank lobbies</t>
  </si>
  <si>
    <t>Miscellaneous Spaces - Bank vaults/safe deposit</t>
  </si>
  <si>
    <t>Office Buildings - Telephone/data entry</t>
  </si>
  <si>
    <t>Office Buildings - Reception areas</t>
  </si>
  <si>
    <t>Office Buildings - Office space</t>
  </si>
  <si>
    <t>Office Buildings - storage rooms</t>
  </si>
  <si>
    <t>Office Buildings - Main entry lobbies</t>
  </si>
  <si>
    <t>Office Buildings - Break rooms</t>
  </si>
  <si>
    <t>Hotels, Motels, Resorts, Dormitories - Multipurpose assembly</t>
  </si>
  <si>
    <t>Hotels, Motels, Resorts, Dormitories - Lobbies/pre-function</t>
  </si>
  <si>
    <t>Hotels, Motels, Resorts, Dormitories - Laundry rooms within dwelling units</t>
  </si>
  <si>
    <t>Hotels, Motels, Resorts, Dormitories - Laundry rooms, central</t>
  </si>
  <si>
    <t>Hotels, Motels, Resorts, Dormitories - Barracks sleeping areas</t>
  </si>
  <si>
    <t>Hotels, Motels, Resorts, Dormitories - Bedroom/living room</t>
  </si>
  <si>
    <t>General - Occupiable storage rooms for liquids or gels</t>
  </si>
  <si>
    <t>General - Corridors</t>
  </si>
  <si>
    <t>General - Conference/meeting</t>
  </si>
  <si>
    <t>General - Coffee Stations</t>
  </si>
  <si>
    <t>General - Break rooms (not office)</t>
  </si>
  <si>
    <t>Food and Beverage Service - Kitchen (cooking)</t>
  </si>
  <si>
    <t>Food and Beverage Service - Bars, cocktail lounges</t>
  </si>
  <si>
    <t>Food and Beverage Service - Cafeteria/fast-food dining</t>
  </si>
  <si>
    <t>Food and Beverage Service - Restaurant dining rooms</t>
  </si>
  <si>
    <t>Educational Facilities - Multiuse assembly</t>
  </si>
  <si>
    <t>Educational Facilities - Music/theater/dance</t>
  </si>
  <si>
    <t>Educational Facilities - Media center</t>
  </si>
  <si>
    <t>Educational Facilities - Computer lab</t>
  </si>
  <si>
    <t>Educational Facilities - University/college laboratories</t>
  </si>
  <si>
    <t>Educational Facilities - Science laboratories</t>
  </si>
  <si>
    <t>Educational Facilities - Art classroom</t>
  </si>
  <si>
    <t>Educational Facilities - Lecture hall (fixed seats)</t>
  </si>
  <si>
    <t>Educational Facilities - Lecture/postsecondary classroom</t>
  </si>
  <si>
    <t>Educational Facilities - Classrooms (age 9 -18)</t>
  </si>
  <si>
    <t>Educational Facilities - Classrooms (ages 5-8)</t>
  </si>
  <si>
    <t>Educational Facilities - Daycare sickroom</t>
  </si>
  <si>
    <t>Educational Facilities - Daycare (through age 4)</t>
  </si>
  <si>
    <r>
      <t>Min Ventilation Air Rate for DCV</t>
    </r>
    <r>
      <rPr>
        <b/>
        <vertAlign val="superscript"/>
        <sz val="10"/>
        <rFont val="Calibri"/>
        <family val="2"/>
      </rPr>
      <t>2</t>
    </r>
    <r>
      <rPr>
        <b/>
        <sz val="10"/>
        <rFont val="Calibri"/>
        <family val="2"/>
      </rPr>
      <t xml:space="preserve"> Ra (cfm/ft2)</t>
    </r>
  </si>
  <si>
    <r>
      <t>Total Outdoor Air Rate</t>
    </r>
    <r>
      <rPr>
        <b/>
        <vertAlign val="superscript"/>
        <sz val="10"/>
        <rFont val="Calibri"/>
        <family val="2"/>
      </rPr>
      <t>1</t>
    </r>
    <r>
      <rPr>
        <b/>
        <sz val="10"/>
        <rFont val="Calibri"/>
        <family val="2"/>
      </rPr>
      <t> R</t>
    </r>
    <r>
      <rPr>
        <b/>
        <vertAlign val="subscript"/>
        <sz val="10"/>
        <rFont val="Calibri"/>
        <family val="2"/>
      </rPr>
      <t>t</t>
    </r>
    <r>
      <rPr>
        <b/>
        <sz val="10"/>
        <rFont val="Calibri"/>
        <family val="2"/>
      </rPr>
      <t xml:space="preserve"> (cfm/ft2)</t>
    </r>
  </si>
  <si>
    <t>Occupancy Category</t>
  </si>
  <si>
    <t>COOLING LOAD (CFM)</t>
  </si>
  <si>
    <t>HEATING LOAD (CFM)</t>
  </si>
  <si>
    <t>Additional OA For Balance</t>
  </si>
  <si>
    <t>CODE</t>
  </si>
  <si>
    <t>OADAMPER</t>
  </si>
  <si>
    <t>RELIEF FAN</t>
  </si>
  <si>
    <t>GUIDELINE 36</t>
  </si>
  <si>
    <t>EXHAUST RATE</t>
  </si>
  <si>
    <t>Arenas</t>
  </si>
  <si>
    <t>—</t>
  </si>
  <si>
    <t>Art classrooms</t>
  </si>
  <si>
    <t>Auto repair rooms</t>
  </si>
  <si>
    <t>Barber shops</t>
  </si>
  <si>
    <t>Beauty and nail salons</t>
  </si>
  <si>
    <t>Cells with toilet</t>
  </si>
  <si>
    <t>Copy, printing rooms</t>
  </si>
  <si>
    <t>Darkrooms</t>
  </si>
  <si>
    <t>Educational science laboratories</t>
  </si>
  <si>
    <t>Janitor closets, trash rooms, recycling</t>
  </si>
  <si>
    <t>Kitchenettes</t>
  </si>
  <si>
    <t>Kitchens — commercial</t>
  </si>
  <si>
    <t>Locker rooms for athletic or industrial facilities</t>
  </si>
  <si>
    <t>All other locker rooms</t>
  </si>
  <si>
    <t>Shower rooms</t>
  </si>
  <si>
    <t>G,H</t>
  </si>
  <si>
    <t>Paint spray booths</t>
  </si>
  <si>
    <t>Parking garages</t>
  </si>
  <si>
    <t>Pet shops (animal areas)</t>
  </si>
  <si>
    <t>Refrigerating machinery rooms</t>
  </si>
  <si>
    <t>Soiled laundry storage rooms</t>
  </si>
  <si>
    <t>Storage rooms, chemical</t>
  </si>
  <si>
    <t>Toilets — private</t>
  </si>
  <si>
    <t>25/50</t>
  </si>
  <si>
    <t>Toilets — public</t>
  </si>
  <si>
    <t>D</t>
  </si>
  <si>
    <t>Woodwork shop/classrooms</t>
  </si>
  <si>
    <t>EXHAUST RATE2</t>
  </si>
  <si>
    <t>TOTAL OA RATE
(CFM/FT²)</t>
  </si>
  <si>
    <t>TITLE 24 VENTILATION CALC</t>
  </si>
  <si>
    <t xml:space="preserve">NUMBER OF OCCUPANTS </t>
  </si>
  <si>
    <t>FIXED SEATING OR SPACE DESIGNED WITH EXCEPTION TO 1004.5</t>
  </si>
  <si>
    <t>MIN EA
(CFM)</t>
  </si>
  <si>
    <t>MIN VENT AIR FOR DCV (CFM/FT²)</t>
  </si>
  <si>
    <t>Vz (CFM)</t>
  </si>
  <si>
    <t>Vz (DCV CFM)</t>
  </si>
  <si>
    <t>DCV Required?</t>
  </si>
  <si>
    <t>Air Economizer?</t>
  </si>
  <si>
    <t>Occupancy Stanby Permitted?</t>
  </si>
  <si>
    <t>Occupancy Sensor Installed?</t>
  </si>
  <si>
    <t>Occupant Density</t>
  </si>
  <si>
    <t>VAV-1-1</t>
  </si>
  <si>
    <t>VAV-1-2</t>
  </si>
  <si>
    <t>VAV-1-3</t>
  </si>
  <si>
    <t>MULTIZONE AHU</t>
  </si>
  <si>
    <t>Required</t>
  </si>
  <si>
    <t>Table</t>
  </si>
  <si>
    <t>table_column</t>
  </si>
  <si>
    <t>Section title</t>
  </si>
  <si>
    <t>Section Applicable if</t>
  </si>
  <si>
    <t>Code</t>
  </si>
  <si>
    <t>Sequence</t>
  </si>
  <si>
    <t>yes</t>
  </si>
  <si>
    <t>Trim_and_Respond_Table</t>
  </si>
  <si>
    <t>Static Pressure</t>
  </si>
  <si>
    <t>Supply Fan Control</t>
  </si>
  <si>
    <t>Static_pressure</t>
  </si>
  <si>
    <t>All</t>
  </si>
  <si>
    <t>Supply Fan Start/Stop
a.	Supply fan shall run when system is in the Cooldown Mode, Setup Mode, or Occupied Mode.
b.	If there are any VAV-reheat boxes on perimeter zones, supply fan shall also run when system is in Setback Mode or Warmup Mode (i.e., all modes except unoccupied).
c.	Totalize current airflow rate from VAV boxes to a software point Vps. 
Static Pressure Set-Point Reset
a.	Static pressure setpoint. Setpoint shall be reset using T&amp;R logic (see Section 5.1.14 from ASHRAE guideline 36) using the parameters shown in trim and respond table. 
Static Pressure Control
a.	Supply fan speed is controlled to maintain DSP at setpoint when the fan is proven ON. Where the Zone Groups served by the system are small, provide multiple sets of gains that are used in the control loop as a function of a load indicator (such as supply-fan airflow rate, the area of the Zone Groups that are occupied, etc.).</t>
  </si>
  <si>
    <t>Supply Air Temperature Control</t>
  </si>
  <si>
    <t>SAT_Sequence</t>
  </si>
  <si>
    <t>Control loop is enabled when the supply air fan is proven ON, and disabled and output set to deadband (no heating, minimum economizer) otherwise.
Supply Air Temperature Setpoint
1.            Refer to drawings for Min_ClgSAT, Max_ClgSAT, OAT_Min, and OAT_Max setpoints
b.	During Occupied Mode and Setup Mode, setpoint shall be reset from Min_ClgSAT when the outdoor air temperature is OAT_Max and above, proportionally up to T-max when the outdoor air temperature is OAT_Min and below.
b1.	T-max shall be reset using T&amp;R logic (see Section 5.1.14 form ASHRAE Guideline 36) between Min_ClgSAT and Max_ClgSAT. The parameters shown in the trim and respond variables table are suggested as a starting place, but they will require adjustment during the commissioning/tuning phase.
c.	During Cooldown Mode, setpoint shall be Min_ClgSAT.
d.	During Warmup Mode and Setback Mode, setpoint shall be 35°C (95°F).
2.            Supply air temperature shall be controlled to setpoint using a control loop whose output is mapped to sequence the heating coil (if applicable), outdoor air damper, return air damper, and cooling coil as shown in Figure shown. 
a.	The points of transition along the x-axis shown and described in Figures in ASHRAE Guideline 36 are representative. Separate gains shall be provided for each section of the control map (heating coil, economizer, cooling coil) that is determined by the contractor to provide stable control. Alternatively, the contractor shall adjust the precise value of the x-axis thresholds shown in Figure to provide stable control. Damper control depends on the type of building pressure control system.</t>
  </si>
  <si>
    <t>Return_fan</t>
  </si>
  <si>
    <t>b.	For units with return fans
1.	Return air damper maximum position MaxRA-P is modulated to control minimum outdoor air volume (see Sections related to minimum outdoor air control).</t>
  </si>
  <si>
    <t>Relief_fan</t>
  </si>
  <si>
    <t>b.	For units with relief dampers or relief fans
1.	Economizer damper minimum position MinOA-P and/or return air damper maximum position MaxRA-P are modulated to control minimum outdoor air volume (see Sections related to minimum outdoor air control).</t>
  </si>
  <si>
    <t>min_and_econ_damper</t>
  </si>
  <si>
    <t>3.	For units with a separate minimum outdoor air damper, economizer damper minimum position MinOA-P is 0%, and return air damper maximum position MaxRA-P is modulated to control minimum outdoor air volume (see Sections related to minimum outdoor air control).</t>
  </si>
  <si>
    <t>single_damper</t>
  </si>
  <si>
    <t>3.	For units with a single common minimum outdoor air and economizer damper, return air damper maximum position MaxRA-P and economizer damper minimum position MinOA-P are modulated to control minimum outdoor air volume (see Section 5.16.6). Economizer damper maximum position MaxOA-P is limited during minimum outdoor air control (e.g., economizer lockout due to high OAT).</t>
  </si>
  <si>
    <t>OA Damper</t>
  </si>
  <si>
    <t>Minimum Outdoor Airflow Setpoints</t>
  </si>
  <si>
    <t>t24_oa</t>
  </si>
  <si>
    <t>Title 24</t>
  </si>
  <si>
    <t>1. Outdoor Airflow Setpoint for California Title 24 Ventilation
a.	See Section 5.2.1.4 for zone outdoor air rates Zone-Abs-OA-min and Zone Des OA min.
b.	See Section 3.1.4.2.b for setpoints AbsMinOA and DesMinOA.
c.	Effective outdoor air absolute minimum and design minimum setpoints are recalculated continuously based on the mode of the zones being served.
1.	AbsMinOA* is the sum of Zone-Abs-OA-min for all zones in all Zone Groups that are in Occupied Mode but shall be no larger than the absolute minimum outdoor airflow AbsMinOA.
2.	DesMinOA* is the sum of Zone-Des-OA-min for all zones in all Zone Groups that are in Occupied Mode but shall be no larger than the design minimum outdoor airflow DesMinOA.</t>
  </si>
  <si>
    <t>62.1_oa</t>
  </si>
  <si>
    <t>ahsrae 62.1</t>
  </si>
  <si>
    <t>1. Outdoor Airflow Setpoint for ASHRAE Standard 62.1-2016 Ventilation
a.	See Section 5.2.1.3 for zone outdoor air requirement Voz.
b.	See Section 3.1.4.2.a for setpoints DesVou and DesVot.
c.	The uncorrected outdoor air rate setpoint Vou is recalculated continuously based on the adjusted ventilation rates Vbz-A* and Vbz-P* of the zones being served determined in accordance with Section 5.2.1.3.
Calculate the uncorrected outdoor air rate Vou for all zones in all Zone Groups that are in Occupied Mode, but note that Vou shall be no larger than the design uncorrected outdoor air rate DesVou.
V_ou=MIN( DesV_ou  │(∑▒〖V_(〖bz-A〗^* )+∑▒V_(〖bz-P〗^* ) 〗))
d. Vps is the sum of the zone primary airflow rates Vpz as measured by VAV boxes for all zones in all Zone Groups that are in Occupied Mode.
e. For each zone in Occupied Mode, calculate the zone primary outdoor air fraction Zpz:
Zpz = Voz/Vpz
f.	Calculate the maximum zone outdoor air fraction Zp:
Zp = max(Zpz)
g. Calculate the current system ventilation efficiency Ev:
Ev = 1 + (Vou/Vps) – Zp
f. Calculate the effective minimum outdoor air setpoint MinOAsp as the uncorrected outdoor air intake divided by the system ventilation efficiency, but no larger than the design total outdoor air rate DesVot:
MinOAsp=MIN( V_ou/E_v   │  DesV_ot )</t>
  </si>
  <si>
    <t>Minimum OA Saperate Damper and airflow tracking</t>
  </si>
  <si>
    <t>min_and_econ_damper_62.1</t>
  </si>
  <si>
    <t>Ashrae 62.1</t>
  </si>
  <si>
    <t>1. Outdoor Airflow Setpoint for ASHRAE Standard 62.1-2016 Ventilation
a.	See Section above for calculation of current outdoor air setpoint MinOAsp.
Open the minimum outdoor air damper when the supply fan is proven ON, the AHU is in Occupied Mode and MinOAsp is greater than zero.  Minimum outdoor air damper shall be closed otherwise.</t>
  </si>
  <si>
    <t>min_and_econ_damper_24</t>
  </si>
  <si>
    <t>1. Outdoor Airflow Setpoint for California Title 24 Ventilation
a.	See Section above for calculation of current setpoints AbsMinOA* and DesMinOA*.
b.	See zone CO2 control logic under terminal unit sequences.
c.	The minimum outdoor air setpoint MinOAsp shall be reset based on the highest zone CO2 control-loop signal from AbsMinOA* at 50% signal to DesMinOA* at 100% signal.
Open the minimum outdoor air damper when the supply fan is proven ON, the AHU is in Occupied Mode and MinOAsp is greater than zero.  Minimum outdoor air damper shall be closed otherwise.</t>
  </si>
  <si>
    <t>OA and RA Damper</t>
  </si>
  <si>
    <t>Outdoor Air and Return Air Dampers</t>
  </si>
  <si>
    <t>min_and_econ_damper_Rreturnfan</t>
  </si>
  <si>
    <t>a.	For units with return fans
1.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2.	Minimum outdoor air control shall be enabled when the unit is in Occupied Mode and either of the following conditions are true for 10 minutes:
i.	The economizer high limit conditions in Section 5.1.17 are exceeded.
ii.	When the minimum outdoor air damper is open and the return air damper position is greater than MRA-P.
3.	When minimum outdoor air control is enabled, the normal sequencing of economizer outdoor air and return air dampers per Section 5.16.2 shall be suspended per the following sequence: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4.	Minimum outdoor air control shall be disabled when the unit is no longer in Occupied Mode, or both of the following conditions are true for 10 minutes:
i.	The economizer high limit conditions in Section 5.1.17 are exceeded.
ii.	The minimum outdoor air damper is closed or the return air damper position is 10% below MRA-P.
5.	When minimum outdoor air control is disabled:
i.	Economizer outdoor air damper shall be fully opened.
ii.	MaxRA-P shall be set to 100%.
iii.	Economizer and return air damper positions shall be controlled by the SAT control loop per Section 5.16.2.</t>
  </si>
  <si>
    <t>min_and_econ_damper_relieffan</t>
  </si>
  <si>
    <t>a.	For units with relief dampers or relief fans
1.	When the supply air fan is proven on and the system is in occupied mode and MinOAsp is greater than zero, the system shall calculate MOA-P.  The value of MOA-P shall scale from 5% when supply-fan speed is at 100% design speed proportionally up to 80% when the fan is at minimum speed.  When MOA-P is not being calculated for any reason, it shall be set to 0%.
2.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3.	Minimum outdoor air control shall be enabled when the unit is in Occupied Mode and either of the following conditions are true for 10 minutes:
i.	The economizer high limit conditions in Section 5.1.17 are exceeded.
ii.	When the minimum outdoor air damper is open and the economizer outdoor air damper position is less than MOA-P.
4.	When minimum outdoor air control is enabled, the normal sequencing of economizer outdoor air and return air dampers per Section 5.16.2 shall be superseded per the following: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5.	Minimum outdoor air control shall be disabled when the unit is no longer in Occupied Mode, or both of the following conditions are true for 10 minutes:
i.	The economizer high limit conditions in Section 5.1.17 are not exceeded.
ii.	The minimum outdoor air damper is closed or the return air damper position is 10% below MRA-P.
6.	When minimum outdoor air control is disabled:
i.	MaxRA-P shall be set to 100%.
ii.	Economizer and return air damper positions shall be controlled by the SAT control loop per Section 5.16.2.</t>
  </si>
  <si>
    <t>Minimum OA common Damper and airflow tracking</t>
  </si>
  <si>
    <t>single_damper_62.1</t>
  </si>
  <si>
    <t>Outdoor Airflow Setpoint for ASHRAE Standard 62.1-2016 Ventilation
a.	See Section 5.16.3.1 for calculation of current outdoor air setpoint MinOAsp.
Minimum Outdoor Air Control Loop
a.	Minimum outdoor air control loop is enabled when the supply fan is proven ON and the AHU is in Occupied Mode, and disabled and output set to zero otherwise.</t>
  </si>
  <si>
    <t>single_damper_24</t>
  </si>
  <si>
    <t>Outdoor Airflow Setpoint for California Title 24 Ventilation
a.	See Section 5.16.3.2 for calculation of current setpoints AbsMinOA* and DesMinOA*.
b.	See zone CO2 control logic under terminal unit sequences.
c.	The minimum outdoor air setpoint MinOAsp shall be reset based on the highest zone CO2 control-loop signal from AbsMinOA* at 50% signal to DesMinOA* at 100% signal.
Minimum Outdoor Air Control Loop
a.	Minimum outdoor air control loop is enabled when the supply fan is proven ON and the AHU is in Occupied Mode, and disabled and output set to zero otherwise.</t>
  </si>
  <si>
    <t>single_damper_returnfan</t>
  </si>
  <si>
    <t>For units with return fans:
1.	The outdoor airflow rate shall be maintained at the minimum outdoor damper outdoor airflow setpoint MinOAsp by a direct-acting control loop whose output is mapped to the return air damper maximum position endpoint MaxRA-P.
2.	While the unit is in Occupied Mode, if the economizer high limit conditions in Section 5.1.17 are exceeded for 10 minutes, outdoor air shall be controlled to the minimum outdoor airflow.  When this occurs, the normal sequencing of the return air damper by the SAT control loop is suspended, and the return air damper position shall be modulated directly to maintain measured airflow at MinOAsp (i.e. return damper position shall equal MaxRA-P).  The economizer damper shall remain open.
3.	If the economizer high limit conditions in Section 5.1.17 are not exceeded for 10 minutes, or the unit is no longer in Occupied Mode, release return damper to control by the SAT control loop (i.e. return damper position is limited by MaxRA-P endpoint, but is not directly controlled to equal MaxRA-P).</t>
  </si>
  <si>
    <t>single_damper_relieffan</t>
  </si>
  <si>
    <t>For units with relief dampers or relief fans:
1.	The outdoor airflow rate shall be maintained at the minimum outdoor air setpoint MinOAsp by a reverse-acting control loop whose output is mapped to economizer damper minimum position MinOA-P and return air damper maximum position MaxRA-P as indicated in Figure 5.16.6.3.
2.	While the unit is in Occupied Mode, if the economizer high limit conditions in Section 5.1.17 are exceeded for 10 minutes, outdoor airflow shall be controlled to the minimum outdoor airflow setpoint, MinOAsp.  When this occurs, the normal sequencing of the return air damper by the SAT control loop is suspended as follows:
i.	Fully open the return air damper
ii.	Wait 15 seconds, then set MaxOA-P equal to MinOA-P
iii.	Wait 3 minutes, then modulate the return air damper to maintain the measured airflow at MinOAsp (i.e. return air damper position shall equal MaxRA-P).
3.	If the economizer high limit conditions in Section 5.1.17 are not exceeded for 10 minutes, or the unit is no longer in Occupied Mode, set MaxOA-P = 100% and release the return air damper to control by the SAT control loop (i.e. return air damper position is limited by the MaxRA-P endpoint, but is not directly controlled to equal MaxRA-P).</t>
  </si>
  <si>
    <t>Relief Damper</t>
  </si>
  <si>
    <t>Control of Actuated Relief Dampers without Fans</t>
  </si>
  <si>
    <t>relief_damper_no_return_fan_static_pressure</t>
  </si>
  <si>
    <t>Control of Actuated Relief Dampers without Fans
Relief dampers shall be enabled when the associated supply fan is proven ON, and disabled otherwise. 
When enabled, use a P-only control loop to modulate relief dampers to maintain 12 Pa (0.05 in. of water) building static pressure. Close damper when disabled.</t>
  </si>
  <si>
    <t>Relief fan</t>
  </si>
  <si>
    <t>Relief fan control</t>
  </si>
  <si>
    <t>relief_fan_building_pressure</t>
  </si>
  <si>
    <t>See Section 3.1.4.5 for pressure Zone Group assignments.
Relief fans shall be lead/lag alternated per Section 5.1.15.3.
All operating relief fans that serve a pressure zone shall be grouped and controlled as if they were one system, running at the same speed when enabled and using the same control loop, even if they are associated with different AHUs.
A relief fan shall be enabled when its associated supply fan is proven on, and shall be disabled otherwise.
Building static pressure shall be time averaged with a sliding 5-minute window and 15 second sampling rate (to dampen fluctuations). The averaged value shall be that displayed and used for control.
a.	Where multiple building pressure sensors are used, each shall be time-averaged and the highest of the averaged values for sensors within a pressure zone shall be used for control.
A single P-only control loop for each pressure zone shall maintains the building pressure at a setpoint of 12 Pa (0.05 in. of water) with an output ranging from 0% to 100%. The loop shall be enabled when any supply fan within the pressure zone is proven ON. The loop is disabled with output set to zero otherwise.
5.16.9.7.	Fan speed signal to all operating fans in the relief system group shall be the same and shall be equal to the PID signal but no less than the minimum speed. Except for Stage 0, discharge dampers of all relief fans shall be open only when fan is commanded ON. 
a.	Stage 0 (barometric relief). When relief system is enabled, and the control loop output is above 5%, open the motorized dampers to all relief fans serving the relief system group that are enabled; close the dampers when the loop output drops to 0% for 5 minutes.
b.	Stage Up. When control loop is above minimum speed plus 15%, start stage-up timer. Each time the timer reaches 7 minutes, start the next relief fan (and open the associated damper) in the relief system group, per staging order, and reset the timer to 0. The timer is reset to 0 and frozen if control loop is below minimum speed plus 15%. 
1.	For systems where relief fans share a common relief fan inlet plenum:  When staging from Stage 0 (no relief fans) to Stage 1 (one relief fan), the relief dampers of all nonoperating relief fans must be closed.
2.	For systems where relief fans do not share a common relief fan inlet plenum: When staging from Stage 0 (no relief fans) to Stage 1 (one relief fan), the discharge dampers of all nonoperating relief fans shall remain open when the associated supply fan is proven ON.
c.	Stage Down. When PID loop is below minimum speed, start stage-down timer. Each time the timer reaches 5 minutes, shut off lag fan per staging order and reset the timer to 0. The timer is reset to 0 and frozen if PID loop rises above minimum speed or all fans are OFF. If all fans are OFF, go to Stage 0 (all dampers open and all fans OFF).</t>
  </si>
  <si>
    <t>Return Fan</t>
  </si>
  <si>
    <t>Building pressure Control</t>
  </si>
  <si>
    <t>return_fan_building_pressure_Control</t>
  </si>
  <si>
    <t>Return-Fan Control − Direct Building Pressure
See Section 3.1.4.5 for pressure Zone Group assignments.
Return fan operates whenever the associated supply fan is proven ON and shall be off otherwise.
Return fans shall be controlled to maintain return-fan discharge static pressure at setpoint (Section 5.16.10.5).
Building static pressure shall be time averaged with a sliding 5-minute window and 15 second sampling rate (to dampen fluctuations). The averaged value shall be that displayed and used for control.
a.	Where multiple building pressure sensors are used, the highest of the averaged values for sensors within a pressure zone shall be used for control.
A single P-only control loop for each pressure zone shall modulate to maintain the building pressure at a setpoint of 12 Pa (0.05 in. of water) with an output ranging from 0% to 100%.  The loop shall be enabled when the supply and return fans for any unit within the pressure zone are proven ON and the minimum outdoor air damper is open.  The exhaust dampers shall be closed with loop output set to zero otherwise.  All exhaust damper and return fan static pressure setpoints for units in an associated pressure zone shall be sequenced based on building pressure control loop output signal, as shown in Figure 5.16.10.5 from ASHRAE guideline 36.
a.	From 0% to 50%, the building pressure control loop shall modulate the exhaust dampers from 0% to 100% open.
b.	From 51% to 100%, the building pressure control loop shall reset the return-fan discharge static pressure setpoint from RFDSPmin at 50% loop output to RFDSPmax at 100% of loop output. See Section 3.2.1.4 for RFDSPmin and RFDSPmax.</t>
  </si>
  <si>
    <t>Airflow tracking Control</t>
  </si>
  <si>
    <t>return_fan_airflow_tracking</t>
  </si>
  <si>
    <t xml:space="preserve">Return-Fan Control − Airflow Tracking
Return fan operates whenever associated supply fan is proven ON.
The active differential airflow setpoint S-R-DIFF* shall be S-R-DIFF for the entire system (see Section 3.2.1.5) adjusted by the sum of the area component of the breathing zone outdoor air flow rate of zones in Zone Groups that are in Occupied Mode relative to that in all zones served by the system.
Return-fan speed shall be controlled to maintain return airflow equal to supply airflow less differential S-R-DIFF*. Where multiple air handling units share a common return fan (i.e. dual fan dual duct), return fan speed shall be controlled to maintain return airflow equal to total supply airflow of all associated units less differential S-R-DIFF*.
Supply fan airflow shall be limited by a reverse-acting P-only loop whose setpoint is (Vrf-max + S-R-DIFF*) and whose output is maximum supply fan speed ranging from 0% to 100%.
Relief/exhaust dampers shall be enabled when the associated supply and return fans are proven ON and closed otherwise. Exhaust dampers shall modulate as the inverse of the return air damper per Section 5.16.2.3. Use the following euation to calculate: </t>
  </si>
  <si>
    <t>return_fan_airflow_tracking_62.1</t>
  </si>
  <si>
    <t>〖S-R-DIFF〗^*= S-R-DIFF (∑_(all Occupied Zones)▒V_(bz-A) )/(∑_(all Zones)▒V_(bz-A) )</t>
  </si>
  <si>
    <t>return_fan_airflow_tracking_24</t>
  </si>
  <si>
    <t>〖S-R-DIFF〗^*= S-R-DIFF (∑_(all Occupied Zones)▒V_(area-min) )/(∑_(all Zones)▒V_(area-min) )</t>
  </si>
  <si>
    <t>Freeze Protection</t>
  </si>
  <si>
    <t>freeze_protection</t>
  </si>
  <si>
    <t>If the supply air temperature drops below 4.4°C (40°F) for 5 minutes, send two (or more, as required to ensure that heating plant is active) heating hot-water plant requests, override the outdoor air damper to the minimum position, and modulate the heating coil to maintain a supply air temperature of at least 6°C (42°F). Disable this function when supply air temperature rises above 7°C (45°F) for 5 minutes.
If the supply air temperature drops below 3.3°C (38°F) for 5 minutes, fully close both the economizer damper and the minimum outdoor air damper for 1 hour and set a Level 3 alarm noting that minimum ventilation was interrupted. After 1 hour, the unit shall resume minimum outdoor air ventilation and enter the previous stage of freeze protection.
If it is warm enough that the SAT rises above 7°C (45°F) with minimum ventilation, the unit will remain in Stage 1 freeze protection for 5 minutes then resume normal operation.
Upon signal from the freeze-stat (if installed), or if supply air temperature drops below 3.3°C (38°F) for 15 minutes or below 1°C (34°F) for 5 minutes, shut down supply and return/relief fan(s), close outdoor air damper, open the cooling-coil valve to 100%, and energize the CHW pump system. Also send two (or more, as required to ensure that heating plant is active) heating hot-water plant requests, modulate the heating coil to maintain the higher of the supply air temperature or the mixed air temperature at 27°C (80°F), and set a Level 2 alarm indicating the unit is shut down by freeze protection.
If a freeze-protection shutdown is triggered by a low air temperature sensor reading, it shall remain in effect until it is reset by a software switch from the operator’s workstation. (If a freeze-stat with a physical reset switch is used instead, there shall be no software reset switch.)</t>
  </si>
  <si>
    <t>Alarms</t>
  </si>
  <si>
    <t>alarms</t>
  </si>
  <si>
    <t>Maintenance interval alarm when fan has operated for more than 1500 hours: Level 4. Reset interval count when alarm is acknowledged.
Fan alarm is indicated by the status being different from the command for a period of 15 seconds.
Commanded on, status off: Level 2
Commanded off, status on: Level 4
Filter pressure drop exceeds the larger of the alarm limit or 12.5 Pa (0.05”) for 10 minutes when airflow (expressed as a percentage of design airflow or design speed if total airflow is not known) exceeds 20%: Level 4. The alarm limit shall vary with total airflow (if available; use fan speed if total airflow is not known) as follows:
DP_x=DP_100 (x)^1.4
where DP100 is the high-limit pressure drop at design airflow (determine limit from filter manufacturer) and DPx is the high limit at the current airflow rate x (expressed as a fraction). For instance, the setpoint at 50% of design airflow would be (0.5)1.4, or 38% of the design high-limit pressure drop.  See Section 3.1.4.4 for DP100.
High building pressure (more than 25 Pa [0.10 in. of water]) for 5 minutes: Level 3.
Low building pressure (less than 0 Pa [0.0 in. of water], i.e., negative) for 5 minutes: Level 4.</t>
  </si>
  <si>
    <t>Automatic Fault Detection and Diagnostics</t>
  </si>
  <si>
    <t>AFDS</t>
  </si>
  <si>
    <t>Testing or Commissioning Overrides</t>
  </si>
  <si>
    <t>Commissioning_overrides</t>
  </si>
  <si>
    <t>Testing/Commissioning Overrides. Provide software switches that interlock to a CHW and hot-water plant level to
a.	force HW valve full open if there is a hot-water coil,
b.	force HW valve full closed if there is a hot-water coil,
c.	force CHW valve full open, and
d.	force CHW valve full closed.</t>
  </si>
  <si>
    <t>Plant Requests</t>
  </si>
  <si>
    <t>Plant_requests</t>
  </si>
  <si>
    <t>Chilled-Water Reset Requests
a.	If the supply air temperature exceeds the supply air temperature setpoint by 3°C (5°F) for 2 minutes, send 3 requests.
b.	Else if the supply air temperature exceeds the supply air temperature setpoint by 2°C (3°F) for 2 minutes, send 2 requests.
c.	Else if the CHW valve position is greater than 95%, send 1 request until the CHW valve position is less than 85%.
d.	Else if the CHW valve position is less than 95%, send 0 requests.
Chiller Plant Requests. Send the chiller plant that serves the system a chiller plant request as follows:
a.	If the CHW valve position is greater than 95%, send 1 request until the CHW valve position is less than 10%.
b.	Else if the CHW valve position is less than 95%, send 0 requests. 
If There Is a Hot-Water Coil, Hot-Water Reset Requests
a.	If the supply air temperature is 17°C (30°F) less than setpoint for 5 minutes, send 3 requests.
b.	Else if the supply air temperature is 8°C (15°F) less than setpoint for 5 minutes, send 2 requests.
c.	Else if HW valve position is greater than 95%, send 1 request until the HW valve position is less than 85%.
d.	Else if the HW valve position is less than 95%, send 0 requests.
If There Is a Hot-Water Coil, Heating Hot Water Plant Requests. Send the heating hot-water plant that serves the AHU a heating hot-water plant request as follows:
a.	If the HW valve position is greater than 95%, send 1 request until the HW valve position is less than 10%.
b.	Else if the HW valve position is less than 95%, send 0 requests.</t>
  </si>
  <si>
    <t>AIRFLOW</t>
  </si>
  <si>
    <t>Supply system base allowance for AHU serving spaces ≤ 6 floors away)</t>
  </si>
  <si>
    <t>Supply system base allowance for AHU serving spaces &gt; 6 floors away</t>
  </si>
  <si>
    <t>Central hydronic heating coil allowance</t>
  </si>
  <si>
    <t>Electric heat allowance</t>
  </si>
  <si>
    <t>Gas heat allowance</t>
  </si>
  <si>
    <t>Solid or liquid desiccant system allowance</t>
  </si>
  <si>
    <t>Reheat coil for dehumidification allowance</t>
  </si>
  <si>
    <t>Coil runaround loop</t>
  </si>
  <si>
    <t>Economizer return damper</t>
  </si>
  <si>
    <t>Air blender allowance</t>
  </si>
  <si>
    <t>Sound attenuation section [fans serving spaces with design background noise goals below NC35]</t>
  </si>
  <si>
    <t>Deduction for systems that feed a terminal unit with a fan with electrical input power &lt; 1 kW</t>
  </si>
  <si>
    <t>Low-turndown single-zone VAV fan systems meeting the requirements in Note 7.</t>
  </si>
  <si>
    <t>MERV 13 to MERV 16 filter upstream of thermal conditioning equipment (two times the clean filter pressure drop)2</t>
  </si>
  <si>
    <t>MERV 13 to MERV 16 final filter downstream of thermal conditioning equipment (two times the clean filter pressure drop)2</t>
  </si>
  <si>
    <t>Filtration allowance for &gt; MERV 16 or HEPA filter (two times the clean filter pressure drop)2</t>
  </si>
  <si>
    <t>Hydronic/DX cooling coil or heat pump coil (wet) allowance3</t>
  </si>
  <si>
    <t>Allowance for 100% outdoor air system5</t>
  </si>
  <si>
    <t>Energy recovery allowance for 0.50 ≤ ERR &lt;0.556</t>
  </si>
  <si>
    <t>Energy recovery allowance for 0.55 ≤ ERR &lt;0.606</t>
  </si>
  <si>
    <t>Energy recovery allowance for 0.60 ≤ ERR &lt;0.656</t>
  </si>
  <si>
    <t>Energy recovery allowance for 0.65 ≤ ERR &lt;0.706</t>
  </si>
  <si>
    <t>Energy recovery allowance for 0.70 ≤ ERR &lt;0.756</t>
  </si>
  <si>
    <t>Energy recovery allowance for 0.75 ≤ ERR &lt;0.806</t>
  </si>
  <si>
    <t>Energy recovery allowance for ERR ≥ 0.806</t>
  </si>
  <si>
    <t>Allowance for gas phase filtration. Value shown is allowed w/cfm per 1.0 in. w.g. air pressure drop. [Calculation required, see Note 4]</t>
  </si>
  <si>
    <t>MULTI ZONE VAV 5000</t>
  </si>
  <si>
    <t>MULTI ZONE VAV 5000 - 10000</t>
  </si>
  <si>
    <t>MULTI ZONE VAV 10000</t>
  </si>
  <si>
    <t xml:space="preserve"> ALL OTHER 5000</t>
  </si>
  <si>
    <t>ALL OTHER 5000 - 10000</t>
  </si>
  <si>
    <t>ALL OTHER 10000</t>
  </si>
  <si>
    <t>Allowance for evaporative humidifier/cooler in series with a cooling coil. Value shown is allowed watts/cfm per 1.0 inch of water gauge (in. w.g.) Determine pressure loss (in. w.g.) at 400 fpm or maximum velocity allowed by the manufacturer, whichever is less. [Calculation required, see Note 4]</t>
  </si>
  <si>
    <t>MULTIZONE</t>
  </si>
  <si>
    <t>COMPONENT</t>
  </si>
  <si>
    <t>ALLOWANCE (WATTS/CFM)</t>
  </si>
  <si>
    <t>ALLOWABLE HP</t>
  </si>
  <si>
    <t>SUPPLY FAN</t>
  </si>
  <si>
    <t>Supply fan</t>
  </si>
  <si>
    <t>retrun Fan</t>
  </si>
  <si>
    <t>Branch Size</t>
  </si>
  <si>
    <t>SIZE</t>
  </si>
  <si>
    <t>SOUND SENSITIVE</t>
  </si>
  <si>
    <t xml:space="preserve">SOUND SENSITIVE ROOMS? </t>
  </si>
  <si>
    <t>BRANCH SIZE (IN)</t>
  </si>
  <si>
    <t>VAV-1-03</t>
  </si>
  <si>
    <t>VAV-1-04</t>
  </si>
  <si>
    <t>VAV-1-05</t>
  </si>
  <si>
    <t>VAV-1-06</t>
  </si>
  <si>
    <t>VAV-1-07</t>
  </si>
  <si>
    <t>VAV-1-08</t>
  </si>
  <si>
    <t>VAV-1-09</t>
  </si>
  <si>
    <t>VAV-1-10</t>
  </si>
  <si>
    <t>VAV-1-11</t>
  </si>
  <si>
    <t>VAV-1-12</t>
  </si>
  <si>
    <t>AH1</t>
  </si>
  <si>
    <t>TOP</t>
  </si>
  <si>
    <t>AH2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</si>
</sst>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0_);_(* \(#,##0\);_(* &quot;  -     &quot;_);"/>
    <numFmt numFmtId="165" formatCode="0.0"/>
    <numFmt numFmtId="166" formatCode="_(\ #,##0.0_);_(* \(#,##0.0\);_(* &quot;  -     &quot;_)"/>
    <numFmt numFmtId="167" formatCode="#,##0.0"/>
    <numFmt numFmtId="168" formatCode="0\ &quot;CFM&quot;"/>
    <numFmt numFmtId="169" formatCode="0\ &quot;FT²&quot;"/>
    <numFmt numFmtId="170" formatCode="0\ &quot;ROOMS&quot;"/>
    <numFmt numFmtId="171" formatCode="0\ &quot;PEOPLE&quot;"/>
    <numFmt numFmtId="172" formatCode="0.0%"/>
    <numFmt numFmtId="173" formatCode="0&quot; Tons&quot;"/>
  </numFmts>
  <fonts count="63">
    <font>
      <sz val="10"/>
      <name val="Arial"/>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0"/>
      <name val="Arial"/>
      <family val="2"/>
    </font>
    <font>
      <sz val="8"/>
      <name val="Arial Narrow"/>
      <family val="2"/>
    </font>
    <font>
      <sz val="7"/>
      <name val="Arial Narrow"/>
      <family val="2"/>
    </font>
    <font>
      <sz val="8"/>
      <color indexed="10"/>
      <name val="Arial Narrow"/>
      <family val="2"/>
    </font>
    <font>
      <sz val="11"/>
      <color theme="1"/>
      <name val="Calibri"/>
      <family val="2"/>
    </font>
    <font>
      <sz val="11"/>
      <name val="Century Gothic"/>
      <family val="2"/>
      <scheme val="minor"/>
    </font>
    <font>
      <b/>
      <sz val="11"/>
      <color theme="1"/>
      <name val="Century Gothic"/>
      <family val="2"/>
      <scheme val="minor"/>
    </font>
    <font>
      <sz val="8"/>
      <name val="Arial"/>
      <family val="2"/>
    </font>
    <font>
      <sz val="11"/>
      <name val="Calibri"/>
      <family val="2"/>
    </font>
    <font>
      <sz val="10"/>
      <color theme="1"/>
      <name val="Arial"/>
      <family val="2"/>
    </font>
    <font>
      <sz val="8"/>
      <name val="Arial"/>
      <family val="2"/>
    </font>
    <font>
      <sz val="12"/>
      <color theme="1"/>
      <name val="Arial"/>
      <family val="2"/>
    </font>
    <font>
      <sz val="12"/>
      <name val="Arial"/>
      <family val="2"/>
    </font>
    <font>
      <sz val="12"/>
      <color theme="1"/>
      <name val="Calibri"/>
      <family val="2"/>
    </font>
    <font>
      <sz val="10"/>
      <name val="Arial"/>
      <family val="2"/>
    </font>
    <font>
      <b/>
      <sz val="12"/>
      <color theme="1"/>
      <name val="Century Gothic"/>
      <family val="2"/>
      <scheme val="minor"/>
    </font>
    <font>
      <sz val="12"/>
      <color theme="3" tint="0.39997558519241921"/>
      <name val="Arial"/>
      <family val="2"/>
    </font>
    <font>
      <sz val="10"/>
      <color rgb="FF000000"/>
      <name val="Tahoma"/>
      <family val="2"/>
    </font>
    <font>
      <b/>
      <u/>
      <sz val="10"/>
      <color rgb="FF00B050"/>
      <name val="Arial"/>
      <family val="2"/>
    </font>
    <font>
      <sz val="10"/>
      <color rgb="FF00B050"/>
      <name val="Arial"/>
      <family val="2"/>
    </font>
    <font>
      <b/>
      <sz val="10"/>
      <color rgb="FF000000"/>
      <name val="Tahoma"/>
      <family val="2"/>
    </font>
    <font>
      <sz val="6"/>
      <color theme="1" tint="0.499984740745262"/>
      <name val="Arial"/>
      <family val="2"/>
    </font>
    <font>
      <u/>
      <sz val="10"/>
      <name val="Arial"/>
      <family val="2"/>
    </font>
    <font>
      <sz val="8"/>
      <color theme="3"/>
      <name val="Arial"/>
      <family val="2"/>
    </font>
    <font>
      <sz val="12"/>
      <color theme="1"/>
      <name val="Century Gothic"/>
      <family val="1"/>
      <scheme val="minor"/>
    </font>
    <font>
      <u/>
      <sz val="10"/>
      <color theme="10"/>
      <name val="Arial"/>
      <family val="2"/>
    </font>
    <font>
      <b/>
      <sz val="8"/>
      <color theme="1"/>
      <name val="Arial"/>
      <family val="2"/>
    </font>
    <font>
      <b/>
      <sz val="8"/>
      <name val="Arial"/>
      <family val="2"/>
    </font>
    <font>
      <u/>
      <sz val="8"/>
      <name val="Arial"/>
      <family val="2"/>
    </font>
    <font>
      <sz val="12"/>
      <color rgb="FFFF0000"/>
      <name val="Arial"/>
      <family val="2"/>
    </font>
    <font>
      <sz val="12"/>
      <color indexed="60"/>
      <name val="Arial"/>
      <family val="2"/>
    </font>
    <font>
      <b/>
      <sz val="11"/>
      <color theme="3"/>
      <name val="Century Gothic"/>
      <family val="2"/>
      <scheme val="minor"/>
    </font>
    <font>
      <b/>
      <sz val="8"/>
      <color theme="3"/>
      <name val="Arial"/>
      <family val="2"/>
    </font>
    <font>
      <b/>
      <sz val="12"/>
      <color theme="3"/>
      <name val="Arial"/>
      <family val="2"/>
    </font>
    <font>
      <b/>
      <sz val="11"/>
      <color theme="3"/>
      <name val="Calibri (Body)"/>
    </font>
    <font>
      <sz val="12"/>
      <name val="Calibri"/>
      <family val="2"/>
    </font>
    <font>
      <sz val="12"/>
      <color theme="1"/>
      <name val="Century Gothic"/>
      <family val="2"/>
      <scheme val="minor"/>
    </font>
    <font>
      <b/>
      <sz val="12"/>
      <name val="Arial"/>
      <family val="2"/>
    </font>
    <font>
      <b/>
      <sz val="12"/>
      <color theme="1"/>
      <name val="Arial"/>
      <family val="2"/>
    </font>
    <font>
      <sz val="9"/>
      <name val="Arial"/>
      <family val="2"/>
    </font>
    <font>
      <b/>
      <sz val="10"/>
      <name val="Arial"/>
      <family val="2"/>
    </font>
    <font>
      <b/>
      <sz val="10"/>
      <color rgb="FFFF0000"/>
      <name val="Arial"/>
      <family val="2"/>
    </font>
    <font>
      <sz val="12"/>
      <color rgb="FF00B050"/>
      <name val="Calibri"/>
      <family val="2"/>
    </font>
    <font>
      <b/>
      <sz val="12"/>
      <color rgb="FFFF0000"/>
      <name val="Arial"/>
      <family val="2"/>
    </font>
    <font>
      <b/>
      <sz val="18"/>
      <name val="Arial"/>
      <family val="2"/>
    </font>
    <font>
      <b/>
      <sz val="15"/>
      <color theme="3"/>
      <name val="Century Gothic"/>
      <family val="2"/>
      <scheme val="minor"/>
    </font>
    <font>
      <sz val="14"/>
      <name val="Arial"/>
      <family val="2"/>
    </font>
    <font>
      <b/>
      <sz val="14"/>
      <name val="Arial"/>
      <family val="2"/>
    </font>
    <font>
      <sz val="8"/>
      <name val="Calibri"/>
      <family val="2"/>
    </font>
    <font>
      <b/>
      <vertAlign val="superscript"/>
      <sz val="10"/>
      <name val="Calibri"/>
      <family val="2"/>
    </font>
    <font>
      <b/>
      <sz val="10"/>
      <name val="Calibri"/>
      <family val="2"/>
    </font>
    <font>
      <b/>
      <vertAlign val="subscript"/>
      <sz val="10"/>
      <name val="Calibri"/>
      <family val="2"/>
    </font>
    <font>
      <sz val="9"/>
      <color theme="1"/>
      <name val="Calibri"/>
      <family val="2"/>
    </font>
    <font>
      <sz val="16"/>
      <name val="Arial"/>
      <family val="2"/>
    </font>
    <font>
      <b/>
      <u/>
      <sz val="16"/>
      <color theme="1"/>
      <name val="Century Gothic"/>
      <family val="2"/>
      <scheme val="minor"/>
    </font>
    <font>
      <sz val="11"/>
      <color theme="3"/>
      <name val="Calibri (Body)"/>
    </font>
    <font>
      <sz val="11"/>
      <color theme="3"/>
      <name val="Century Gothic"/>
      <family val="2"/>
      <scheme val="minor"/>
    </font>
    <font>
      <u/>
      <sz val="11"/>
      <color theme="10"/>
      <name val="Arial"/>
      <family val="2"/>
    </font>
  </fonts>
  <fills count="10">
    <fill>
      <patternFill patternType="none"/>
    </fill>
    <fill>
      <patternFill patternType="gray125"/>
    </fill>
    <fill>
      <patternFill patternType="solid">
        <fgColor theme="0"/>
        <bgColor indexed="64"/>
      </patternFill>
    </fill>
    <fill>
      <patternFill patternType="solid">
        <fgColor rgb="FFBFBFBF"/>
      </patternFill>
    </fill>
    <fill>
      <patternFill patternType="solid">
        <fgColor theme="9" tint="0.79998168889431442"/>
        <bgColor indexed="64"/>
      </patternFill>
    </fill>
    <fill>
      <patternFill patternType="solid">
        <fgColor theme="4" tint="0.59999389629810485"/>
        <bgColor indexed="64"/>
      </patternFill>
    </fill>
    <fill>
      <patternFill patternType="solid">
        <fgColor theme="0"/>
        <bgColor indexed="9"/>
      </patternFill>
    </fill>
    <fill>
      <patternFill patternType="solid">
        <fgColor theme="2" tint="0.79998168889431442"/>
        <bgColor indexed="64"/>
      </patternFill>
    </fill>
    <fill>
      <patternFill patternType="solid">
        <fgColor rgb="FFCCFFFF"/>
        <bgColor indexed="64"/>
      </patternFill>
    </fill>
    <fill>
      <patternFill patternType="solid">
        <fgColor theme="0" tint="-0.249977111117893"/>
        <bgColor indexed="64"/>
      </patternFill>
    </fill>
  </fills>
  <borders count="151">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4"/>
      </top>
      <bottom style="double">
        <color theme="4"/>
      </bottom>
      <diagonal/>
    </border>
    <border>
      <left style="thin">
        <color indexed="64"/>
      </left>
      <right/>
      <top/>
      <bottom style="thin">
        <color indexed="22"/>
      </bottom>
      <diagonal/>
    </border>
    <border>
      <left style="thin">
        <color auto="1"/>
      </left>
      <right style="thin">
        <color auto="1"/>
      </right>
      <top/>
      <bottom style="thin">
        <color indexed="22"/>
      </bottom>
      <diagonal/>
    </border>
    <border>
      <left/>
      <right style="thin">
        <color auto="1"/>
      </right>
      <top/>
      <bottom style="thin">
        <color indexed="22"/>
      </bottom>
      <diagonal/>
    </border>
    <border>
      <left/>
      <right/>
      <top/>
      <bottom style="thin">
        <color indexed="22"/>
      </bottom>
      <diagonal/>
    </border>
    <border>
      <left/>
      <right style="thin">
        <color indexed="23"/>
      </right>
      <top/>
      <bottom style="thin">
        <color indexed="22"/>
      </bottom>
      <diagonal/>
    </border>
    <border>
      <left/>
      <right/>
      <top style="thin">
        <color theme="1"/>
      </top>
      <bottom/>
      <diagonal/>
    </border>
    <border>
      <left style="thin">
        <color auto="1"/>
      </left>
      <right style="thin">
        <color auto="1"/>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indexed="23"/>
      </left>
      <right/>
      <top/>
      <bottom/>
      <diagonal/>
    </border>
    <border>
      <left style="thin">
        <color indexed="64"/>
      </left>
      <right/>
      <top style="thin">
        <color indexed="22"/>
      </top>
      <bottom style="thin">
        <color indexed="22"/>
      </bottom>
      <diagonal/>
    </border>
    <border>
      <left style="thin">
        <color auto="1"/>
      </left>
      <right style="thin">
        <color auto="1"/>
      </right>
      <top style="thin">
        <color indexed="22"/>
      </top>
      <bottom style="thin">
        <color indexed="22"/>
      </bottom>
      <diagonal/>
    </border>
    <border>
      <left/>
      <right style="thin">
        <color auto="1"/>
      </right>
      <top style="thin">
        <color indexed="22"/>
      </top>
      <bottom style="thin">
        <color indexed="22"/>
      </bottom>
      <diagonal/>
    </border>
    <border>
      <left/>
      <right/>
      <top style="thin">
        <color indexed="22"/>
      </top>
      <bottom style="thin">
        <color indexed="22"/>
      </bottom>
      <diagonal/>
    </border>
    <border>
      <left/>
      <right style="thin">
        <color indexed="23"/>
      </right>
      <top style="thin">
        <color indexed="22"/>
      </top>
      <bottom style="thin">
        <color indexed="22"/>
      </bottom>
      <diagonal/>
    </border>
    <border>
      <left style="thin">
        <color indexed="64"/>
      </left>
      <right/>
      <top style="thin">
        <color indexed="22"/>
      </top>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diagonal/>
    </border>
    <border>
      <left style="thin">
        <color auto="1"/>
      </left>
      <right style="thin">
        <color auto="1"/>
      </right>
      <top style="thin">
        <color indexed="22"/>
      </top>
      <bottom/>
      <diagonal/>
    </border>
    <border>
      <left/>
      <right style="thin">
        <color auto="1"/>
      </right>
      <top style="thin">
        <color indexed="22"/>
      </top>
      <bottom/>
      <diagonal/>
    </border>
    <border>
      <left/>
      <right/>
      <top style="thin">
        <color indexed="22"/>
      </top>
      <bottom/>
      <diagonal/>
    </border>
    <border>
      <left/>
      <right style="thin">
        <color indexed="23"/>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right/>
      <top/>
      <bottom style="thick">
        <color theme="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8">
    <xf numFmtId="0" fontId="0" fillId="0" borderId="0"/>
    <xf numFmtId="0" fontId="13" fillId="3" borderId="0"/>
    <xf numFmtId="9" fontId="19" fillId="0" borderId="0" applyFont="0" applyFill="0" applyBorder="0" applyAlignment="0" applyProtection="0"/>
    <xf numFmtId="0" fontId="30" fillId="0" borderId="0" applyNumberFormat="0" applyFill="0" applyBorder="0" applyAlignment="0" applyProtection="0"/>
    <xf numFmtId="0" fontId="5" fillId="0" borderId="0"/>
    <xf numFmtId="0" fontId="50" fillId="0" borderId="146" applyNumberFormat="0" applyFill="0" applyAlignment="0" applyProtection="0"/>
    <xf numFmtId="0" fontId="2" fillId="0" borderId="0"/>
    <xf numFmtId="0" fontId="1" fillId="0" borderId="0"/>
  </cellStyleXfs>
  <cellXfs count="432">
    <xf numFmtId="0" fontId="0" fillId="0" borderId="0" xfId="0"/>
    <xf numFmtId="0" fontId="6" fillId="0" borderId="0" xfId="0" applyFont="1"/>
    <xf numFmtId="0" fontId="0" fillId="0" borderId="0" xfId="0" applyAlignment="1">
      <alignment vertical="center"/>
    </xf>
    <xf numFmtId="0" fontId="5" fillId="0" borderId="0" xfId="0" applyFont="1" applyAlignment="1">
      <alignment vertical="center"/>
    </xf>
    <xf numFmtId="0" fontId="0" fillId="0" borderId="1" xfId="0" applyBorder="1" applyAlignment="1">
      <alignment horizontal="center" vertical="center"/>
    </xf>
    <xf numFmtId="0" fontId="11" fillId="5" borderId="9" xfId="0" applyFont="1" applyFill="1" applyBorder="1" applyAlignment="1">
      <alignment horizontal="center" vertical="center"/>
    </xf>
    <xf numFmtId="0" fontId="11" fillId="5" borderId="11" xfId="0" applyFont="1"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14" fillId="0" borderId="0" xfId="0" applyFont="1"/>
    <xf numFmtId="0" fontId="5" fillId="0" borderId="0" xfId="0" applyFont="1"/>
    <xf numFmtId="0" fontId="6" fillId="0" borderId="0" xfId="0" applyFont="1" applyAlignment="1">
      <alignment horizontal="center" vertical="center"/>
    </xf>
    <xf numFmtId="165" fontId="10" fillId="0" borderId="0" xfId="0" applyNumberFormat="1" applyFont="1" applyAlignment="1">
      <alignment horizontal="center" vertical="center"/>
    </xf>
    <xf numFmtId="165" fontId="0" fillId="0" borderId="0" xfId="0" applyNumberFormat="1"/>
    <xf numFmtId="0" fontId="0" fillId="0" borderId="0" xfId="0" applyAlignment="1">
      <alignment vertical="center" wrapText="1"/>
    </xf>
    <xf numFmtId="0" fontId="12" fillId="0" borderId="0" xfId="0" applyFont="1"/>
    <xf numFmtId="0" fontId="24" fillId="0" borderId="0" xfId="0" applyFont="1"/>
    <xf numFmtId="0" fontId="20" fillId="0" borderId="14" xfId="0" applyFont="1" applyBorder="1" applyAlignment="1">
      <alignment horizontal="center" vertical="center"/>
    </xf>
    <xf numFmtId="3" fontId="20" fillId="0" borderId="14" xfId="0" applyNumberFormat="1" applyFont="1" applyBorder="1" applyAlignment="1">
      <alignment horizontal="center" vertical="center"/>
    </xf>
    <xf numFmtId="0" fontId="20" fillId="0" borderId="14" xfId="0" applyFont="1" applyBorder="1" applyAlignment="1" applyProtection="1">
      <alignment horizontal="center" vertical="center"/>
      <protection locked="0"/>
    </xf>
    <xf numFmtId="165" fontId="20" fillId="0" borderId="14" xfId="0" applyNumberFormat="1" applyFont="1" applyBorder="1" applyAlignment="1">
      <alignment horizontal="center" vertical="center"/>
    </xf>
    <xf numFmtId="1" fontId="20" fillId="0" borderId="14" xfId="0" applyNumberFormat="1" applyFont="1" applyBorder="1" applyAlignment="1">
      <alignment horizontal="center" vertical="center"/>
    </xf>
    <xf numFmtId="1" fontId="0" fillId="0" borderId="0" xfId="0" applyNumberFormat="1"/>
    <xf numFmtId="0" fontId="12" fillId="0" borderId="6" xfId="0" applyFont="1" applyBorder="1"/>
    <xf numFmtId="165" fontId="12" fillId="0" borderId="6" xfId="0" applyNumberFormat="1" applyFont="1" applyBorder="1"/>
    <xf numFmtId="0" fontId="12" fillId="0" borderId="3" xfId="0" applyFont="1" applyBorder="1"/>
    <xf numFmtId="0" fontId="0" fillId="0" borderId="0" xfId="0" applyAlignment="1">
      <alignment horizontal="left"/>
    </xf>
    <xf numFmtId="0" fontId="12" fillId="0" borderId="0" xfId="0" applyFont="1" applyAlignment="1">
      <alignment horizontal="right"/>
    </xf>
    <xf numFmtId="165" fontId="29" fillId="0" borderId="14" xfId="0" applyNumberFormat="1" applyFont="1" applyBorder="1" applyAlignment="1">
      <alignment horizontal="center" vertical="center"/>
    </xf>
    <xf numFmtId="0" fontId="12" fillId="0" borderId="2" xfId="0" applyFont="1" applyBorder="1" applyAlignment="1">
      <alignment horizontal="center" vertical="center" wrapText="1"/>
    </xf>
    <xf numFmtId="0" fontId="12" fillId="0" borderId="12" xfId="0" applyFont="1" applyBorder="1" applyAlignment="1">
      <alignment horizontal="center" vertical="center" wrapText="1"/>
    </xf>
    <xf numFmtId="0" fontId="32" fillId="0" borderId="13" xfId="0" applyFont="1" applyBorder="1" applyAlignment="1">
      <alignment horizontal="center" vertical="center" wrapText="1"/>
    </xf>
    <xf numFmtId="0" fontId="17" fillId="0" borderId="0" xfId="0" applyFont="1"/>
    <xf numFmtId="0" fontId="17" fillId="0" borderId="0" xfId="0" applyFont="1" applyAlignment="1">
      <alignment horizontal="center" vertical="center"/>
    </xf>
    <xf numFmtId="0" fontId="17" fillId="0" borderId="0" xfId="0" applyFont="1" applyAlignment="1">
      <alignment horizontal="left" vertical="center"/>
    </xf>
    <xf numFmtId="0" fontId="17" fillId="0" borderId="0" xfId="0" applyFont="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7" fillId="0" borderId="0" xfId="0" applyFont="1" applyAlignment="1">
      <alignment horizontal="right"/>
    </xf>
    <xf numFmtId="0" fontId="16" fillId="2" borderId="0" xfId="0" applyFont="1" applyFill="1" applyAlignment="1">
      <alignment horizontal="center"/>
    </xf>
    <xf numFmtId="0" fontId="16" fillId="2" borderId="0" xfId="0" applyFont="1" applyFill="1"/>
    <xf numFmtId="0" fontId="34" fillId="0" borderId="0" xfId="0" applyFont="1"/>
    <xf numFmtId="0" fontId="34" fillId="0" borderId="0" xfId="0" applyFont="1" applyAlignment="1">
      <alignment horizontal="center" vertical="center"/>
    </xf>
    <xf numFmtId="164" fontId="17" fillId="0" borderId="0" xfId="0" applyNumberFormat="1" applyFont="1" applyAlignment="1" applyProtection="1">
      <alignment horizontal="center" shrinkToFit="1"/>
      <protection locked="0"/>
    </xf>
    <xf numFmtId="164" fontId="35" fillId="0" borderId="0" xfId="0" applyNumberFormat="1" applyFont="1" applyAlignment="1">
      <alignment horizontal="center" shrinkToFit="1"/>
    </xf>
    <xf numFmtId="164" fontId="35" fillId="0" borderId="0" xfId="0" applyNumberFormat="1" applyFont="1" applyAlignment="1">
      <alignment horizontal="right" shrinkToFit="1"/>
    </xf>
    <xf numFmtId="3" fontId="17" fillId="0" borderId="0" xfId="0" applyNumberFormat="1" applyFont="1" applyAlignment="1">
      <alignment horizontal="center" vertical="center"/>
    </xf>
    <xf numFmtId="164" fontId="17" fillId="0" borderId="0" xfId="0" applyNumberFormat="1" applyFont="1" applyAlignment="1">
      <alignment horizontal="center" vertical="center"/>
    </xf>
    <xf numFmtId="0" fontId="34" fillId="0" borderId="0" xfId="0" applyFont="1" applyAlignment="1">
      <alignment vertical="center"/>
    </xf>
    <xf numFmtId="2" fontId="17" fillId="0" borderId="0" xfId="0" applyNumberFormat="1" applyFont="1"/>
    <xf numFmtId="0" fontId="5" fillId="0" borderId="0" xfId="0" applyFont="1" applyAlignment="1">
      <alignment horizontal="center" vertical="center"/>
    </xf>
    <xf numFmtId="0" fontId="0" fillId="0" borderId="0" xfId="0" applyAlignment="1">
      <alignment horizontal="center" vertical="center"/>
    </xf>
    <xf numFmtId="0" fontId="7" fillId="0" borderId="15" xfId="4" applyFont="1" applyBorder="1" applyAlignment="1">
      <alignment vertical="center"/>
    </xf>
    <xf numFmtId="0" fontId="7" fillId="0" borderId="10" xfId="4" applyFont="1" applyBorder="1" applyAlignment="1">
      <alignment vertical="center"/>
    </xf>
    <xf numFmtId="0" fontId="7" fillId="0" borderId="0" xfId="4" applyFont="1" applyAlignment="1">
      <alignment vertical="center"/>
    </xf>
    <xf numFmtId="0" fontId="6" fillId="0" borderId="15" xfId="4" applyFont="1" applyBorder="1" applyAlignment="1">
      <alignment vertical="center"/>
    </xf>
    <xf numFmtId="0" fontId="6" fillId="0" borderId="16" xfId="4" applyFont="1" applyBorder="1" applyAlignment="1">
      <alignment horizontal="center"/>
    </xf>
    <xf numFmtId="0" fontId="6" fillId="0" borderId="17" xfId="4" applyFont="1" applyBorder="1" applyAlignment="1">
      <alignment horizontal="center"/>
    </xf>
    <xf numFmtId="0" fontId="6" fillId="0" borderId="18" xfId="4" applyFont="1" applyBorder="1" applyAlignment="1">
      <alignment horizontal="center"/>
    </xf>
    <xf numFmtId="0" fontId="6" fillId="0" borderId="19" xfId="4" applyFont="1" applyBorder="1" applyAlignment="1">
      <alignment horizontal="center"/>
    </xf>
    <xf numFmtId="0" fontId="6" fillId="0" borderId="15" xfId="4" applyFont="1" applyBorder="1" applyAlignment="1">
      <alignment horizontal="center" vertical="center"/>
    </xf>
    <xf numFmtId="0" fontId="8" fillId="0" borderId="15" xfId="4" applyFont="1" applyBorder="1" applyAlignment="1">
      <alignment horizontal="center" vertical="center"/>
    </xf>
    <xf numFmtId="0" fontId="42" fillId="0" borderId="21" xfId="0" applyFont="1" applyBorder="1" applyAlignment="1">
      <alignment horizontal="center" vertical="center"/>
    </xf>
    <xf numFmtId="0" fontId="42" fillId="0" borderId="21" xfId="0" applyFont="1" applyBorder="1" applyAlignment="1">
      <alignment horizontal="center" vertical="center" wrapText="1"/>
    </xf>
    <xf numFmtId="0" fontId="42" fillId="0" borderId="0" xfId="0" applyFont="1" applyAlignment="1">
      <alignment horizontal="center" vertical="center" wrapText="1"/>
    </xf>
    <xf numFmtId="1" fontId="42" fillId="0" borderId="21" xfId="0" applyNumberFormat="1" applyFont="1" applyBorder="1" applyAlignment="1">
      <alignment horizontal="center" vertical="center" wrapText="1"/>
    </xf>
    <xf numFmtId="0" fontId="42" fillId="0" borderId="10" xfId="0" applyFont="1" applyBorder="1" applyAlignment="1">
      <alignment horizontal="center" vertical="center" wrapText="1"/>
    </xf>
    <xf numFmtId="0" fontId="42" fillId="0" borderId="12" xfId="0" applyFont="1" applyBorder="1" applyAlignment="1">
      <alignment horizontal="center" vertical="center"/>
    </xf>
    <xf numFmtId="9" fontId="41" fillId="0" borderId="20" xfId="2" applyFont="1" applyBorder="1" applyAlignment="1">
      <alignment horizontal="center" vertical="center"/>
    </xf>
    <xf numFmtId="0" fontId="0" fillId="0" borderId="0" xfId="0" applyAlignment="1">
      <alignment horizontal="center"/>
    </xf>
    <xf numFmtId="0" fontId="5" fillId="0" borderId="0" xfId="4" applyAlignment="1">
      <alignment horizontal="center"/>
    </xf>
    <xf numFmtId="0" fontId="5" fillId="0" borderId="0" xfId="0" applyFont="1" applyAlignment="1">
      <alignment horizontal="center"/>
    </xf>
    <xf numFmtId="43" fontId="5" fillId="0" borderId="0" xfId="4" applyNumberFormat="1" applyAlignment="1">
      <alignment horizontal="center"/>
    </xf>
    <xf numFmtId="2" fontId="5" fillId="0" borderId="0" xfId="4" applyNumberFormat="1" applyAlignment="1">
      <alignment horizontal="center"/>
    </xf>
    <xf numFmtId="9" fontId="20" fillId="0" borderId="0" xfId="0" applyNumberFormat="1" applyFont="1" applyAlignment="1">
      <alignment horizontal="center" vertical="center"/>
    </xf>
    <xf numFmtId="1" fontId="42" fillId="0" borderId="0" xfId="0" applyNumberFormat="1" applyFont="1" applyAlignment="1">
      <alignment horizontal="center" vertical="center" wrapText="1"/>
    </xf>
    <xf numFmtId="0" fontId="38" fillId="7" borderId="3" xfId="0" applyFont="1" applyFill="1" applyBorder="1" applyAlignment="1">
      <alignment horizontal="center" vertical="center"/>
    </xf>
    <xf numFmtId="166" fontId="17" fillId="0" borderId="6" xfId="0" applyNumberFormat="1" applyFont="1" applyBorder="1" applyAlignment="1">
      <alignment horizontal="center" vertical="center"/>
    </xf>
    <xf numFmtId="0" fontId="16" fillId="2" borderId="13" xfId="0" applyFont="1" applyFill="1" applyBorder="1" applyAlignment="1" applyProtection="1">
      <alignment horizontal="center" vertical="center"/>
      <protection locked="0"/>
    </xf>
    <xf numFmtId="0" fontId="16" fillId="2" borderId="2" xfId="0" applyFont="1" applyFill="1" applyBorder="1" applyAlignment="1" applyProtection="1">
      <alignment horizontal="left" vertical="center"/>
      <protection locked="0"/>
    </xf>
    <xf numFmtId="0" fontId="16" fillId="2" borderId="2" xfId="0" applyFont="1" applyFill="1" applyBorder="1" applyAlignment="1" applyProtection="1">
      <alignment horizontal="center" vertical="center" wrapText="1"/>
      <protection locked="0"/>
    </xf>
    <xf numFmtId="9" fontId="16" fillId="6" borderId="2" xfId="0" applyNumberFormat="1" applyFont="1" applyFill="1" applyBorder="1" applyAlignment="1" applyProtection="1">
      <alignment horizontal="center" vertical="center" wrapText="1"/>
      <protection locked="0"/>
    </xf>
    <xf numFmtId="0" fontId="16" fillId="2" borderId="12" xfId="0" applyFont="1" applyFill="1" applyBorder="1" applyAlignment="1" applyProtection="1">
      <alignment horizontal="center" vertical="center" wrapText="1"/>
      <protection locked="0"/>
    </xf>
    <xf numFmtId="0" fontId="5" fillId="0" borderId="0" xfId="4" applyAlignment="1">
      <alignment horizontal="left"/>
    </xf>
    <xf numFmtId="0" fontId="5" fillId="0" borderId="0" xfId="4"/>
    <xf numFmtId="4" fontId="0" fillId="0" borderId="0" xfId="0" applyNumberFormat="1"/>
    <xf numFmtId="0" fontId="45" fillId="0" borderId="0" xfId="0" applyFont="1"/>
    <xf numFmtId="0" fontId="46" fillId="0" borderId="0" xfId="0" applyFont="1"/>
    <xf numFmtId="0" fontId="5" fillId="0" borderId="0" xfId="0" applyFont="1" applyAlignment="1">
      <alignment wrapText="1"/>
    </xf>
    <xf numFmtId="0" fontId="0" fillId="0" borderId="0" xfId="0" applyAlignment="1">
      <alignment wrapText="1"/>
    </xf>
    <xf numFmtId="0" fontId="17" fillId="0" borderId="23" xfId="0" applyFont="1" applyBorder="1" applyAlignment="1">
      <alignment horizontal="center" vertical="center"/>
    </xf>
    <xf numFmtId="0" fontId="21" fillId="0" borderId="24" xfId="0" applyFont="1" applyBorder="1" applyAlignment="1">
      <alignment horizontal="center" vertical="center" wrapText="1"/>
    </xf>
    <xf numFmtId="164" fontId="17" fillId="0" borderId="27" xfId="0" applyNumberFormat="1" applyFont="1" applyBorder="1" applyAlignment="1">
      <alignment horizontal="center" shrinkToFit="1"/>
    </xf>
    <xf numFmtId="1" fontId="17" fillId="0" borderId="25" xfId="0" applyNumberFormat="1" applyFont="1" applyBorder="1" applyAlignment="1">
      <alignment horizontal="center" vertical="center"/>
    </xf>
    <xf numFmtId="0" fontId="17" fillId="0" borderId="25" xfId="0" applyFont="1" applyBorder="1" applyAlignment="1">
      <alignment horizontal="center" vertical="center"/>
    </xf>
    <xf numFmtId="0" fontId="17" fillId="0" borderId="27" xfId="0" applyFont="1" applyBorder="1" applyAlignment="1">
      <alignment vertical="center"/>
    </xf>
    <xf numFmtId="0" fontId="38" fillId="7" borderId="25" xfId="0" applyFont="1" applyFill="1" applyBorder="1" applyAlignment="1">
      <alignment horizontal="center" vertical="center"/>
    </xf>
    <xf numFmtId="0" fontId="17" fillId="0" borderId="25" xfId="0" applyFont="1" applyBorder="1" applyAlignment="1">
      <alignment horizontal="center" vertical="center" shrinkToFit="1"/>
    </xf>
    <xf numFmtId="0" fontId="16" fillId="0" borderId="25" xfId="0" applyFont="1" applyBorder="1" applyAlignment="1">
      <alignment horizontal="center" vertical="center" wrapText="1"/>
    </xf>
    <xf numFmtId="1" fontId="16" fillId="0" borderId="25" xfId="0" applyNumberFormat="1" applyFont="1" applyBorder="1" applyAlignment="1">
      <alignment horizontal="center" vertical="center" wrapText="1"/>
    </xf>
    <xf numFmtId="2" fontId="16" fillId="0" borderId="25" xfId="0" applyNumberFormat="1" applyFont="1" applyBorder="1" applyAlignment="1">
      <alignment horizontal="center" vertical="center" wrapText="1"/>
    </xf>
    <xf numFmtId="1" fontId="38" fillId="7" borderId="25" xfId="0" applyNumberFormat="1" applyFont="1" applyFill="1" applyBorder="1" applyAlignment="1" applyProtection="1">
      <alignment horizontal="center" vertical="center" wrapText="1"/>
      <protection locked="0"/>
    </xf>
    <xf numFmtId="166" fontId="17" fillId="0" borderId="25" xfId="0" applyNumberFormat="1" applyFont="1" applyBorder="1" applyAlignment="1">
      <alignment horizontal="center" vertical="center"/>
    </xf>
    <xf numFmtId="0" fontId="16" fillId="2" borderId="25" xfId="0" applyFont="1" applyFill="1" applyBorder="1" applyAlignment="1" applyProtection="1">
      <alignment horizontal="center" vertical="center" wrapText="1"/>
      <protection locked="0"/>
    </xf>
    <xf numFmtId="0" fontId="16" fillId="0" borderId="25" xfId="0" applyFont="1" applyBorder="1" applyAlignment="1" applyProtection="1">
      <alignment horizontal="center" vertical="center" wrapText="1"/>
      <protection locked="0"/>
    </xf>
    <xf numFmtId="165" fontId="17" fillId="0" borderId="25" xfId="0" applyNumberFormat="1" applyFont="1" applyBorder="1" applyAlignment="1">
      <alignment horizontal="center" vertical="center"/>
    </xf>
    <xf numFmtId="0" fontId="21" fillId="0" borderId="26" xfId="0" applyFont="1" applyBorder="1" applyAlignment="1">
      <alignment horizontal="center" vertical="center"/>
    </xf>
    <xf numFmtId="164" fontId="17" fillId="0" borderId="26" xfId="0" applyNumberFormat="1" applyFont="1" applyBorder="1" applyAlignment="1">
      <alignment horizontal="center" shrinkToFit="1"/>
    </xf>
    <xf numFmtId="164" fontId="17" fillId="0" borderId="26" xfId="0" applyNumberFormat="1" applyFont="1" applyBorder="1" applyAlignment="1">
      <alignment horizontal="center" vertical="center" shrinkToFit="1"/>
    </xf>
    <xf numFmtId="0" fontId="17" fillId="0" borderId="26" xfId="0" applyFont="1" applyBorder="1" applyAlignment="1">
      <alignment horizontal="center" vertical="center"/>
    </xf>
    <xf numFmtId="0" fontId="16" fillId="0" borderId="24" xfId="0" applyFont="1" applyBorder="1" applyAlignment="1" applyProtection="1">
      <alignment horizontal="center" vertical="center" wrapText="1"/>
      <protection locked="0"/>
    </xf>
    <xf numFmtId="0" fontId="16" fillId="0" borderId="26" xfId="0" applyFont="1" applyBorder="1" applyAlignment="1" applyProtection="1">
      <alignment horizontal="center" vertical="center" wrapText="1"/>
      <protection locked="0"/>
    </xf>
    <xf numFmtId="0" fontId="17" fillId="0" borderId="26" xfId="0" applyFont="1" applyBorder="1" applyAlignment="1" applyProtection="1">
      <alignment horizontal="center" vertical="center"/>
      <protection locked="0"/>
    </xf>
    <xf numFmtId="165" fontId="17" fillId="0" borderId="26" xfId="0" applyNumberFormat="1" applyFont="1" applyBorder="1" applyAlignment="1" applyProtection="1">
      <alignment horizontal="center" vertical="center"/>
      <protection locked="0"/>
    </xf>
    <xf numFmtId="0" fontId="17" fillId="0" borderId="27" xfId="0" applyFont="1" applyBorder="1" applyAlignment="1" applyProtection="1">
      <alignment horizontal="center" vertical="center"/>
      <protection locked="0"/>
    </xf>
    <xf numFmtId="0" fontId="16" fillId="0" borderId="25" xfId="0" applyFont="1" applyBorder="1" applyAlignment="1">
      <alignment horizontal="center" vertical="center"/>
    </xf>
    <xf numFmtId="0" fontId="16" fillId="0" borderId="25" xfId="0" applyFont="1" applyBorder="1" applyAlignment="1" applyProtection="1">
      <alignment horizontal="center" vertical="center"/>
      <protection locked="0"/>
    </xf>
    <xf numFmtId="1" fontId="16" fillId="0" borderId="25" xfId="0" applyNumberFormat="1" applyFont="1" applyBorder="1" applyAlignment="1" applyProtection="1">
      <alignment horizontal="center" vertical="center"/>
      <protection locked="0"/>
    </xf>
    <xf numFmtId="0" fontId="17" fillId="0" borderId="25" xfId="0" applyFont="1" applyBorder="1" applyAlignment="1" applyProtection="1">
      <alignment horizontal="center" vertical="center"/>
      <protection locked="0"/>
    </xf>
    <xf numFmtId="165" fontId="17" fillId="0" borderId="25" xfId="0" applyNumberFormat="1" applyFont="1" applyBorder="1" applyAlignment="1" applyProtection="1">
      <alignment horizontal="center" vertical="center"/>
      <protection locked="0"/>
    </xf>
    <xf numFmtId="0" fontId="12" fillId="0" borderId="25" xfId="0" applyFont="1" applyBorder="1" applyAlignment="1">
      <alignment horizontal="center" vertical="center"/>
    </xf>
    <xf numFmtId="165" fontId="37" fillId="7" borderId="25" xfId="0" applyNumberFormat="1" applyFont="1" applyFill="1" applyBorder="1" applyAlignment="1" applyProtection="1">
      <alignment horizontal="center" vertical="center"/>
      <protection locked="0"/>
    </xf>
    <xf numFmtId="0" fontId="37" fillId="7" borderId="25" xfId="0" applyFont="1" applyFill="1" applyBorder="1" applyAlignment="1" applyProtection="1">
      <alignment horizontal="center" vertical="center"/>
      <protection locked="0"/>
    </xf>
    <xf numFmtId="0" fontId="12" fillId="0" borderId="25" xfId="0" applyFont="1" applyBorder="1" applyAlignment="1">
      <alignment horizontal="left"/>
    </xf>
    <xf numFmtId="9" fontId="37" fillId="7" borderId="25" xfId="2" applyFont="1" applyFill="1" applyBorder="1" applyAlignment="1" applyProtection="1">
      <alignment horizontal="center" vertical="center"/>
      <protection locked="0"/>
    </xf>
    <xf numFmtId="49" fontId="5" fillId="0" borderId="25" xfId="0" applyNumberFormat="1" applyFont="1" applyBorder="1" applyAlignment="1">
      <alignment horizontal="center" vertical="center" wrapText="1"/>
    </xf>
    <xf numFmtId="0" fontId="5" fillId="0" borderId="25" xfId="0" applyFont="1" applyBorder="1" applyAlignment="1">
      <alignment horizontal="center" vertical="center"/>
    </xf>
    <xf numFmtId="165" fontId="10" fillId="0" borderId="25" xfId="0" applyNumberFormat="1" applyFont="1" applyBorder="1" applyAlignment="1">
      <alignment horizontal="center" vertical="center"/>
    </xf>
    <xf numFmtId="1" fontId="10" fillId="0" borderId="25" xfId="0" applyNumberFormat="1" applyFont="1" applyBorder="1" applyAlignment="1">
      <alignment horizontal="center" vertical="center"/>
    </xf>
    <xf numFmtId="49" fontId="14" fillId="0" borderId="25" xfId="0" applyNumberFormat="1" applyFont="1" applyBorder="1" applyAlignment="1">
      <alignment horizontal="center" vertical="center" wrapText="1"/>
    </xf>
    <xf numFmtId="0" fontId="14" fillId="0" borderId="25" xfId="0" applyFont="1" applyBorder="1" applyAlignment="1">
      <alignment horizontal="center" vertical="center"/>
    </xf>
    <xf numFmtId="0" fontId="9" fillId="0" borderId="25" xfId="0" applyFont="1" applyBorder="1" applyAlignment="1">
      <alignment horizontal="center" vertical="center"/>
    </xf>
    <xf numFmtId="1" fontId="4" fillId="0" borderId="25" xfId="0" applyNumberFormat="1" applyFont="1" applyBorder="1" applyAlignment="1">
      <alignment horizontal="center" vertical="center"/>
    </xf>
    <xf numFmtId="1" fontId="14" fillId="0" borderId="25" xfId="0" applyNumberFormat="1" applyFont="1" applyBorder="1" applyAlignment="1">
      <alignment horizontal="center" vertical="center"/>
    </xf>
    <xf numFmtId="0" fontId="10" fillId="0" borderId="25" xfId="0" applyFont="1" applyBorder="1" applyAlignment="1">
      <alignment horizontal="center" vertical="center"/>
    </xf>
    <xf numFmtId="3" fontId="10" fillId="0" borderId="25" xfId="0" applyNumberFormat="1" applyFont="1" applyBorder="1" applyAlignment="1">
      <alignment horizontal="center" vertical="center"/>
    </xf>
    <xf numFmtId="165" fontId="39" fillId="7" borderId="25" xfId="0" applyNumberFormat="1" applyFont="1" applyFill="1" applyBorder="1" applyAlignment="1" applyProtection="1">
      <alignment horizontal="center" vertical="center"/>
      <protection locked="0"/>
    </xf>
    <xf numFmtId="0" fontId="36" fillId="7" borderId="25" xfId="0" applyFont="1" applyFill="1" applyBorder="1" applyAlignment="1">
      <alignment horizontal="center" vertical="center"/>
    </xf>
    <xf numFmtId="165" fontId="5" fillId="0" borderId="25" xfId="0" applyNumberFormat="1" applyFont="1" applyBorder="1" applyAlignment="1">
      <alignment horizontal="center" vertical="center"/>
    </xf>
    <xf numFmtId="1" fontId="5" fillId="0" borderId="25" xfId="0" applyNumberFormat="1" applyFont="1" applyBorder="1" applyAlignment="1">
      <alignment horizontal="center" vertical="center"/>
    </xf>
    <xf numFmtId="165" fontId="36" fillId="7" borderId="25" xfId="0" applyNumberFormat="1" applyFont="1" applyFill="1" applyBorder="1" applyAlignment="1">
      <alignment horizontal="center" vertical="center"/>
    </xf>
    <xf numFmtId="167" fontId="10" fillId="0" borderId="25" xfId="0" applyNumberFormat="1" applyFont="1" applyBorder="1" applyAlignment="1">
      <alignment horizontal="center" vertical="center"/>
    </xf>
    <xf numFmtId="165" fontId="16" fillId="0" borderId="25" xfId="0" applyNumberFormat="1" applyFont="1" applyBorder="1" applyAlignment="1">
      <alignment horizontal="center" vertical="center" wrapText="1"/>
    </xf>
    <xf numFmtId="1" fontId="38" fillId="7" borderId="25" xfId="0" applyNumberFormat="1" applyFont="1" applyFill="1" applyBorder="1" applyAlignment="1">
      <alignment horizontal="center" vertical="center"/>
    </xf>
    <xf numFmtId="0" fontId="7" fillId="0" borderId="21" xfId="4" applyFont="1" applyBorder="1" applyAlignment="1">
      <alignment vertical="center"/>
    </xf>
    <xf numFmtId="0" fontId="7" fillId="0" borderId="22" xfId="4" applyFont="1" applyBorder="1" applyAlignment="1">
      <alignment vertical="center"/>
    </xf>
    <xf numFmtId="0" fontId="7" fillId="0" borderId="28" xfId="4" applyFont="1" applyBorder="1" applyAlignment="1">
      <alignment vertical="center"/>
    </xf>
    <xf numFmtId="0" fontId="6" fillId="0" borderId="29" xfId="4" applyFont="1" applyBorder="1" applyAlignment="1">
      <alignment horizontal="center" vertical="center"/>
    </xf>
    <xf numFmtId="0" fontId="6" fillId="0" borderId="29" xfId="4" applyFont="1" applyBorder="1" applyAlignment="1">
      <alignment vertical="center"/>
    </xf>
    <xf numFmtId="0" fontId="6" fillId="0" borderId="30" xfId="4" applyFont="1" applyBorder="1" applyAlignment="1">
      <alignment horizontal="center" vertical="center"/>
    </xf>
    <xf numFmtId="0" fontId="6" fillId="0" borderId="31" xfId="4" applyFont="1" applyBorder="1" applyAlignment="1">
      <alignment horizontal="center" vertical="center"/>
    </xf>
    <xf numFmtId="0" fontId="6" fillId="0" borderId="32" xfId="4" applyFont="1" applyBorder="1" applyAlignment="1">
      <alignment horizontal="center" vertical="center"/>
    </xf>
    <xf numFmtId="0" fontId="6" fillId="0" borderId="33" xfId="4" applyFont="1" applyBorder="1" applyAlignment="1">
      <alignment horizontal="center" vertical="center"/>
    </xf>
    <xf numFmtId="0" fontId="6" fillId="0" borderId="34" xfId="4" applyFont="1" applyBorder="1" applyAlignment="1">
      <alignment horizontal="center" vertical="center"/>
    </xf>
    <xf numFmtId="0" fontId="8" fillId="0" borderId="29" xfId="4" applyFont="1" applyBorder="1" applyAlignment="1">
      <alignment horizontal="center" vertical="center"/>
    </xf>
    <xf numFmtId="0" fontId="6" fillId="0" borderId="35" xfId="4" applyFont="1" applyBorder="1" applyAlignment="1">
      <alignment horizontal="left" vertical="center"/>
    </xf>
    <xf numFmtId="0" fontId="6" fillId="0" borderId="36" xfId="4" applyFont="1" applyBorder="1" applyAlignment="1">
      <alignment horizontal="center" vertical="center"/>
    </xf>
    <xf numFmtId="0" fontId="6" fillId="0" borderId="37" xfId="4" applyFont="1" applyBorder="1" applyAlignment="1">
      <alignment horizontal="center" vertical="center"/>
    </xf>
    <xf numFmtId="0" fontId="6" fillId="0" borderId="38" xfId="4" applyFont="1" applyBorder="1" applyAlignment="1">
      <alignment horizontal="left" vertical="center"/>
    </xf>
    <xf numFmtId="0" fontId="6" fillId="0" borderId="39" xfId="4" applyFont="1" applyBorder="1" applyAlignment="1">
      <alignment horizontal="center" vertical="center"/>
    </xf>
    <xf numFmtId="0" fontId="6" fillId="0" borderId="40" xfId="4" applyFont="1" applyBorder="1" applyAlignment="1">
      <alignment horizontal="center" vertical="center"/>
    </xf>
    <xf numFmtId="0" fontId="6" fillId="0" borderId="41" xfId="4" applyFont="1" applyBorder="1" applyAlignment="1">
      <alignment horizontal="left" vertical="center"/>
    </xf>
    <xf numFmtId="0" fontId="6" fillId="0" borderId="42" xfId="4" applyFont="1" applyBorder="1" applyAlignment="1">
      <alignment horizontal="center" vertical="center"/>
    </xf>
    <xf numFmtId="0" fontId="6" fillId="0" borderId="43" xfId="4" applyFont="1" applyBorder="1" applyAlignment="1">
      <alignment horizontal="center" vertical="center"/>
    </xf>
    <xf numFmtId="0" fontId="6" fillId="0" borderId="44" xfId="4" applyFont="1" applyBorder="1" applyAlignment="1">
      <alignment horizontal="left" vertical="center"/>
    </xf>
    <xf numFmtId="0" fontId="6" fillId="0" borderId="45" xfId="4" applyFont="1" applyBorder="1" applyAlignment="1">
      <alignment horizontal="center" vertical="center"/>
    </xf>
    <xf numFmtId="0" fontId="6" fillId="0" borderId="46" xfId="4" applyFont="1" applyBorder="1" applyAlignment="1">
      <alignment horizontal="center" vertical="center"/>
    </xf>
    <xf numFmtId="0" fontId="6" fillId="0" borderId="47" xfId="4" applyFont="1" applyBorder="1" applyAlignment="1">
      <alignment horizontal="left" vertical="center"/>
    </xf>
    <xf numFmtId="0" fontId="6" fillId="0" borderId="48" xfId="4" applyFont="1" applyBorder="1" applyAlignment="1">
      <alignment horizontal="center" vertical="center"/>
    </xf>
    <xf numFmtId="0" fontId="6" fillId="0" borderId="49" xfId="4" applyFont="1" applyBorder="1" applyAlignment="1">
      <alignment horizontal="center" vertical="center"/>
    </xf>
    <xf numFmtId="0" fontId="6" fillId="0" borderId="50" xfId="4" applyFont="1" applyBorder="1" applyAlignment="1">
      <alignment horizontal="left" vertical="center"/>
    </xf>
    <xf numFmtId="0" fontId="6" fillId="0" borderId="51" xfId="4" applyFont="1" applyBorder="1" applyAlignment="1">
      <alignment horizontal="center" vertical="center"/>
    </xf>
    <xf numFmtId="0" fontId="6" fillId="0" borderId="52" xfId="4" applyFont="1" applyBorder="1" applyAlignment="1">
      <alignment horizontal="center" vertical="center"/>
    </xf>
    <xf numFmtId="0" fontId="6" fillId="0" borderId="53" xfId="4" applyFont="1" applyBorder="1" applyAlignment="1">
      <alignment horizontal="left" vertical="center"/>
    </xf>
    <xf numFmtId="0" fontId="6" fillId="0" borderId="54" xfId="4" applyFont="1" applyBorder="1" applyAlignment="1">
      <alignment horizontal="center" vertical="center"/>
    </xf>
    <xf numFmtId="0" fontId="6" fillId="0" borderId="55" xfId="4" applyFont="1" applyBorder="1" applyAlignment="1">
      <alignment horizontal="center" vertical="center"/>
    </xf>
    <xf numFmtId="0" fontId="6" fillId="0" borderId="56" xfId="4" applyFont="1" applyBorder="1" applyAlignment="1">
      <alignment horizontal="left" vertical="center"/>
    </xf>
    <xf numFmtId="0" fontId="6" fillId="0" borderId="57" xfId="4" applyFont="1" applyBorder="1" applyAlignment="1">
      <alignment horizontal="center" vertical="center"/>
    </xf>
    <xf numFmtId="0" fontId="6" fillId="0" borderId="58" xfId="4" applyFont="1" applyBorder="1" applyAlignment="1">
      <alignment horizontal="center" vertical="center"/>
    </xf>
    <xf numFmtId="0" fontId="6" fillId="0" borderId="58" xfId="4" applyFont="1" applyBorder="1" applyAlignment="1">
      <alignment vertical="center"/>
    </xf>
    <xf numFmtId="0" fontId="6" fillId="0" borderId="59" xfId="4" applyFont="1" applyBorder="1" applyAlignment="1">
      <alignment horizontal="left" vertical="center"/>
    </xf>
    <xf numFmtId="0" fontId="6" fillId="0" borderId="60" xfId="4" applyFont="1" applyBorder="1" applyAlignment="1">
      <alignment horizontal="center" vertical="center"/>
    </xf>
    <xf numFmtId="0" fontId="6" fillId="0" borderId="61" xfId="4" applyFont="1" applyBorder="1" applyAlignment="1">
      <alignment horizontal="center" vertical="center"/>
    </xf>
    <xf numFmtId="0" fontId="6" fillId="0" borderId="62" xfId="4" applyFont="1" applyBorder="1" applyAlignment="1">
      <alignment horizontal="left" vertical="center"/>
    </xf>
    <xf numFmtId="0" fontId="6" fillId="0" borderId="63" xfId="4" applyFont="1" applyBorder="1" applyAlignment="1">
      <alignment horizontal="center" vertical="center"/>
    </xf>
    <xf numFmtId="0" fontId="6" fillId="0" borderId="64" xfId="4" applyFont="1" applyBorder="1" applyAlignment="1">
      <alignment horizontal="center" vertical="center"/>
    </xf>
    <xf numFmtId="0" fontId="6" fillId="0" borderId="65" xfId="4" applyFont="1" applyBorder="1" applyAlignment="1">
      <alignment horizontal="left" vertical="center"/>
    </xf>
    <xf numFmtId="0" fontId="6" fillId="0" borderId="66" xfId="4" applyFont="1" applyBorder="1" applyAlignment="1">
      <alignment horizontal="center" vertical="center"/>
    </xf>
    <xf numFmtId="0" fontId="6" fillId="0" borderId="67" xfId="4" applyFont="1" applyBorder="1" applyAlignment="1">
      <alignment horizontal="center" vertical="center"/>
    </xf>
    <xf numFmtId="0" fontId="6" fillId="0" borderId="68" xfId="4" applyFont="1" applyBorder="1" applyAlignment="1">
      <alignment horizontal="left" vertical="center"/>
    </xf>
    <xf numFmtId="0" fontId="6" fillId="0" borderId="69" xfId="4" applyFont="1" applyBorder="1" applyAlignment="1">
      <alignment horizontal="center" vertical="center"/>
    </xf>
    <xf numFmtId="0" fontId="6" fillId="0" borderId="70" xfId="4" applyFont="1" applyBorder="1" applyAlignment="1">
      <alignment horizontal="center" vertical="center"/>
    </xf>
    <xf numFmtId="0" fontId="6" fillId="0" borderId="71" xfId="4" applyFont="1" applyBorder="1" applyAlignment="1">
      <alignment horizontal="left" vertical="center"/>
    </xf>
    <xf numFmtId="0" fontId="6" fillId="0" borderId="72" xfId="4" applyFont="1" applyBorder="1" applyAlignment="1">
      <alignment horizontal="center" vertical="center"/>
    </xf>
    <xf numFmtId="0" fontId="6" fillId="0" borderId="73" xfId="4" applyFont="1" applyBorder="1" applyAlignment="1">
      <alignment horizontal="center" vertical="center"/>
    </xf>
    <xf numFmtId="0" fontId="6" fillId="0" borderId="74" xfId="4" applyFont="1" applyBorder="1" applyAlignment="1">
      <alignment horizontal="left" vertical="center"/>
    </xf>
    <xf numFmtId="0" fontId="6" fillId="0" borderId="75" xfId="4" applyFont="1" applyBorder="1" applyAlignment="1">
      <alignment horizontal="center" vertical="center"/>
    </xf>
    <xf numFmtId="0" fontId="6" fillId="0" borderId="76" xfId="4" applyFont="1" applyBorder="1" applyAlignment="1">
      <alignment horizontal="center" vertical="center"/>
    </xf>
    <xf numFmtId="0" fontId="6" fillId="0" borderId="77" xfId="4" applyFont="1" applyBorder="1" applyAlignment="1">
      <alignment horizontal="left" vertical="center"/>
    </xf>
    <xf numFmtId="0" fontId="6" fillId="0" borderId="78" xfId="4" applyFont="1" applyBorder="1" applyAlignment="1">
      <alignment horizontal="center" vertical="center"/>
    </xf>
    <xf numFmtId="0" fontId="6" fillId="0" borderId="79" xfId="4" applyFont="1" applyBorder="1" applyAlignment="1">
      <alignment horizontal="center" vertical="center"/>
    </xf>
    <xf numFmtId="0" fontId="6" fillId="0" borderId="80" xfId="4" applyFont="1" applyBorder="1" applyAlignment="1">
      <alignment horizontal="left" vertical="center"/>
    </xf>
    <xf numFmtId="0" fontId="6" fillId="0" borderId="81" xfId="4" applyFont="1" applyBorder="1" applyAlignment="1">
      <alignment horizontal="center" vertical="center"/>
    </xf>
    <xf numFmtId="0" fontId="6" fillId="0" borderId="82" xfId="4" applyFont="1" applyBorder="1" applyAlignment="1">
      <alignment horizontal="center" vertical="center"/>
    </xf>
    <xf numFmtId="0" fontId="6" fillId="0" borderId="83" xfId="4" applyFont="1" applyBorder="1" applyAlignment="1">
      <alignment horizontal="left" vertical="center"/>
    </xf>
    <xf numFmtId="0" fontId="6" fillId="0" borderId="84" xfId="4" applyFont="1" applyBorder="1" applyAlignment="1">
      <alignment horizontal="center" vertical="center"/>
    </xf>
    <xf numFmtId="0" fontId="6" fillId="0" borderId="85" xfId="4" applyFont="1" applyBorder="1" applyAlignment="1">
      <alignment horizontal="center" vertical="center"/>
    </xf>
    <xf numFmtId="0" fontId="6" fillId="0" borderId="86" xfId="4" applyFont="1" applyBorder="1" applyAlignment="1">
      <alignment horizontal="left" vertical="center"/>
    </xf>
    <xf numFmtId="0" fontId="6" fillId="0" borderId="87" xfId="4" applyFont="1" applyBorder="1" applyAlignment="1">
      <alignment horizontal="center" vertical="center"/>
    </xf>
    <xf numFmtId="0" fontId="6" fillId="0" borderId="88" xfId="4" applyFont="1" applyBorder="1" applyAlignment="1">
      <alignment horizontal="center" vertical="center"/>
    </xf>
    <xf numFmtId="0" fontId="6" fillId="0" borderId="89" xfId="4" applyFont="1" applyBorder="1" applyAlignment="1">
      <alignment horizontal="left" vertical="center"/>
    </xf>
    <xf numFmtId="0" fontId="6" fillId="0" borderId="90" xfId="4" applyFont="1" applyBorder="1" applyAlignment="1">
      <alignment horizontal="center" vertical="center"/>
    </xf>
    <xf numFmtId="0" fontId="6" fillId="0" borderId="91" xfId="4" applyFont="1" applyBorder="1" applyAlignment="1">
      <alignment horizontal="center" vertical="center"/>
    </xf>
    <xf numFmtId="0" fontId="6" fillId="0" borderId="92" xfId="4" applyFont="1" applyBorder="1" applyAlignment="1">
      <alignment horizontal="left" vertical="center"/>
    </xf>
    <xf numFmtId="0" fontId="6" fillId="0" borderId="93" xfId="4" applyFont="1" applyBorder="1" applyAlignment="1">
      <alignment horizontal="center" vertical="center"/>
    </xf>
    <xf numFmtId="0" fontId="6" fillId="0" borderId="94" xfId="4" applyFont="1" applyBorder="1" applyAlignment="1">
      <alignment horizontal="center" vertical="center"/>
    </xf>
    <xf numFmtId="0" fontId="6" fillId="0" borderId="95" xfId="4" applyFont="1" applyBorder="1" applyAlignment="1">
      <alignment horizontal="left" vertical="center"/>
    </xf>
    <xf numFmtId="0" fontId="6" fillId="0" borderId="96" xfId="4" applyFont="1" applyBorder="1" applyAlignment="1">
      <alignment horizontal="center" vertical="center"/>
    </xf>
    <xf numFmtId="0" fontId="6" fillId="0" borderId="97" xfId="4" applyFont="1" applyBorder="1" applyAlignment="1">
      <alignment horizontal="center" vertical="center"/>
    </xf>
    <xf numFmtId="0" fontId="6" fillId="0" borderId="98" xfId="4" applyFont="1" applyBorder="1" applyAlignment="1">
      <alignment horizontal="left" vertical="center"/>
    </xf>
    <xf numFmtId="0" fontId="6" fillId="0" borderId="99" xfId="4" applyFont="1" applyBorder="1" applyAlignment="1">
      <alignment horizontal="center" vertical="center"/>
    </xf>
    <xf numFmtId="0" fontId="6" fillId="0" borderId="100" xfId="4" applyFont="1" applyBorder="1" applyAlignment="1">
      <alignment horizontal="center" vertical="center"/>
    </xf>
    <xf numFmtId="0" fontId="6" fillId="0" borderId="101" xfId="4" applyFont="1" applyBorder="1" applyAlignment="1">
      <alignment horizontal="left" vertical="center"/>
    </xf>
    <xf numFmtId="0" fontId="6" fillId="0" borderId="102" xfId="4" applyFont="1" applyBorder="1" applyAlignment="1">
      <alignment horizontal="center" vertical="center"/>
    </xf>
    <xf numFmtId="0" fontId="6" fillId="0" borderId="103" xfId="4" applyFont="1" applyBorder="1" applyAlignment="1">
      <alignment horizontal="center" vertical="center"/>
    </xf>
    <xf numFmtId="0" fontId="6" fillId="0" borderId="104" xfId="4" applyFont="1" applyBorder="1" applyAlignment="1">
      <alignment horizontal="left" vertical="center"/>
    </xf>
    <xf numFmtId="0" fontId="6" fillId="0" borderId="105" xfId="4" applyFont="1" applyBorder="1" applyAlignment="1">
      <alignment horizontal="center" vertical="center"/>
    </xf>
    <xf numFmtId="0" fontId="6" fillId="0" borderId="106" xfId="4" applyFont="1" applyBorder="1" applyAlignment="1">
      <alignment horizontal="center" vertical="center"/>
    </xf>
    <xf numFmtId="0" fontId="6" fillId="0" borderId="107" xfId="4" applyFont="1" applyBorder="1" applyAlignment="1">
      <alignment horizontal="left" vertical="center"/>
    </xf>
    <xf numFmtId="0" fontId="6" fillId="0" borderId="108" xfId="4" applyFont="1" applyBorder="1" applyAlignment="1">
      <alignment horizontal="center" vertical="center"/>
    </xf>
    <xf numFmtId="0" fontId="6" fillId="0" borderId="109" xfId="4" applyFont="1" applyBorder="1" applyAlignment="1">
      <alignment horizontal="center" vertical="center"/>
    </xf>
    <xf numFmtId="0" fontId="6" fillId="0" borderId="110" xfId="4" applyFont="1" applyBorder="1" applyAlignment="1">
      <alignment horizontal="left" vertical="center"/>
    </xf>
    <xf numFmtId="0" fontId="6" fillId="0" borderId="111" xfId="4" applyFont="1" applyBorder="1" applyAlignment="1">
      <alignment horizontal="center" vertical="center"/>
    </xf>
    <xf numFmtId="0" fontId="6" fillId="0" borderId="112" xfId="4" applyFont="1" applyBorder="1" applyAlignment="1">
      <alignment horizontal="center" vertical="center"/>
    </xf>
    <xf numFmtId="0" fontId="6" fillId="0" borderId="113" xfId="4" applyFont="1" applyBorder="1" applyAlignment="1">
      <alignment horizontal="left" vertical="center"/>
    </xf>
    <xf numFmtId="0" fontId="6" fillId="0" borderId="114" xfId="4" applyFont="1" applyBorder="1" applyAlignment="1">
      <alignment horizontal="center" vertical="center"/>
    </xf>
    <xf numFmtId="0" fontId="6" fillId="0" borderId="115" xfId="4" applyFont="1" applyBorder="1" applyAlignment="1">
      <alignment horizontal="center" vertical="center"/>
    </xf>
    <xf numFmtId="0" fontId="6" fillId="0" borderId="116" xfId="4" applyFont="1" applyBorder="1" applyAlignment="1">
      <alignment horizontal="left" vertical="center"/>
    </xf>
    <xf numFmtId="0" fontId="6" fillId="0" borderId="117" xfId="4" applyFont="1" applyBorder="1" applyAlignment="1">
      <alignment horizontal="center" vertical="center"/>
    </xf>
    <xf numFmtId="0" fontId="6" fillId="0" borderId="118" xfId="4" applyFont="1" applyBorder="1" applyAlignment="1">
      <alignment horizontal="center" vertical="center"/>
    </xf>
    <xf numFmtId="0" fontId="6" fillId="0" borderId="119" xfId="4" applyFont="1" applyBorder="1" applyAlignment="1">
      <alignment horizontal="left" vertical="center"/>
    </xf>
    <xf numFmtId="0" fontId="6" fillId="0" borderId="120" xfId="4" applyFont="1" applyBorder="1" applyAlignment="1">
      <alignment horizontal="center" vertical="center"/>
    </xf>
    <xf numFmtId="0" fontId="6" fillId="0" borderId="121" xfId="4" applyFont="1" applyBorder="1" applyAlignment="1">
      <alignment horizontal="center" vertical="center"/>
    </xf>
    <xf numFmtId="0" fontId="6" fillId="0" borderId="122" xfId="4" applyFont="1" applyBorder="1" applyAlignment="1">
      <alignment horizontal="left" vertical="center"/>
    </xf>
    <xf numFmtId="0" fontId="6" fillId="0" borderId="123" xfId="4" applyFont="1" applyBorder="1" applyAlignment="1">
      <alignment horizontal="center" vertical="center"/>
    </xf>
    <xf numFmtId="0" fontId="6" fillId="0" borderId="124" xfId="4" applyFont="1" applyBorder="1" applyAlignment="1">
      <alignment horizontal="center" vertical="center"/>
    </xf>
    <xf numFmtId="0" fontId="6" fillId="0" borderId="125" xfId="4" applyFont="1" applyBorder="1" applyAlignment="1">
      <alignment horizontal="left" vertical="center"/>
    </xf>
    <xf numFmtId="0" fontId="6" fillId="0" borderId="126" xfId="4" applyFont="1" applyBorder="1" applyAlignment="1">
      <alignment horizontal="center" vertical="center"/>
    </xf>
    <xf numFmtId="0" fontId="6" fillId="0" borderId="127" xfId="4" applyFont="1" applyBorder="1" applyAlignment="1">
      <alignment horizontal="center" vertical="center"/>
    </xf>
    <xf numFmtId="0" fontId="6" fillId="0" borderId="128" xfId="4" applyFont="1" applyBorder="1" applyAlignment="1">
      <alignment horizontal="left" vertical="center"/>
    </xf>
    <xf numFmtId="0" fontId="6" fillId="0" borderId="129" xfId="4" applyFont="1" applyBorder="1" applyAlignment="1">
      <alignment horizontal="center" vertical="center"/>
    </xf>
    <xf numFmtId="0" fontId="6" fillId="0" borderId="130" xfId="4" applyFont="1" applyBorder="1" applyAlignment="1">
      <alignment horizontal="center" vertical="center"/>
    </xf>
    <xf numFmtId="0" fontId="6" fillId="0" borderId="131" xfId="4" applyFont="1" applyBorder="1" applyAlignment="1">
      <alignment vertical="center"/>
    </xf>
    <xf numFmtId="0" fontId="6" fillId="0" borderId="132" xfId="4" applyFont="1" applyBorder="1" applyAlignment="1">
      <alignment horizontal="center" vertical="center"/>
    </xf>
    <xf numFmtId="0" fontId="6" fillId="0" borderId="133" xfId="4" applyFont="1" applyBorder="1" applyAlignment="1">
      <alignment horizontal="center" vertical="center"/>
    </xf>
    <xf numFmtId="0" fontId="6" fillId="0" borderId="134" xfId="4" applyFont="1" applyBorder="1" applyAlignment="1">
      <alignment horizontal="center" vertical="center"/>
    </xf>
    <xf numFmtId="0" fontId="6" fillId="0" borderId="135" xfId="4" applyFont="1" applyBorder="1" applyAlignment="1">
      <alignment horizontal="center" vertical="center"/>
    </xf>
    <xf numFmtId="0" fontId="6" fillId="0" borderId="136" xfId="4" applyFont="1" applyBorder="1" applyAlignment="1">
      <alignment horizontal="center" vertical="center"/>
    </xf>
    <xf numFmtId="0" fontId="6" fillId="0" borderId="137" xfId="4" applyFont="1" applyBorder="1" applyAlignment="1">
      <alignment vertical="center"/>
    </xf>
    <xf numFmtId="0" fontId="6" fillId="0" borderId="138" xfId="4" applyFont="1" applyBorder="1" applyAlignment="1">
      <alignment horizontal="center" vertical="center"/>
    </xf>
    <xf numFmtId="0" fontId="6" fillId="0" borderId="139" xfId="4" applyFont="1" applyBorder="1" applyAlignment="1">
      <alignment horizontal="center" vertical="center"/>
    </xf>
    <xf numFmtId="0" fontId="6" fillId="0" borderId="140" xfId="4" applyFont="1" applyBorder="1" applyAlignment="1">
      <alignment vertical="center"/>
    </xf>
    <xf numFmtId="0" fontId="6" fillId="0" borderId="141" xfId="4" applyFont="1" applyBorder="1" applyAlignment="1">
      <alignment horizontal="center" vertical="center"/>
    </xf>
    <xf numFmtId="0" fontId="6" fillId="0" borderId="142" xfId="4" applyFont="1" applyBorder="1" applyAlignment="1">
      <alignment horizontal="center" vertical="center"/>
    </xf>
    <xf numFmtId="0" fontId="6" fillId="0" borderId="143" xfId="4" applyFont="1" applyBorder="1" applyAlignment="1">
      <alignment vertical="center"/>
    </xf>
    <xf numFmtId="0" fontId="6" fillId="0" borderId="144" xfId="4" applyFont="1" applyBorder="1" applyAlignment="1">
      <alignment horizontal="center" vertical="center"/>
    </xf>
    <xf numFmtId="0" fontId="6" fillId="0" borderId="145" xfId="4" applyFont="1" applyBorder="1" applyAlignment="1">
      <alignment horizontal="center" vertical="center"/>
    </xf>
    <xf numFmtId="0" fontId="6" fillId="0" borderId="145" xfId="4" applyFont="1" applyBorder="1" applyAlignment="1">
      <alignment vertical="center"/>
    </xf>
    <xf numFmtId="0" fontId="6" fillId="0" borderId="145" xfId="4" applyFont="1" applyBorder="1" applyAlignment="1">
      <alignment horizontal="left" vertical="center"/>
    </xf>
    <xf numFmtId="1" fontId="17" fillId="0" borderId="0" xfId="0" applyNumberFormat="1" applyFont="1" applyAlignment="1">
      <alignment horizontal="center" vertical="center"/>
    </xf>
    <xf numFmtId="165" fontId="39" fillId="7" borderId="25" xfId="4" applyNumberFormat="1" applyFont="1" applyFill="1" applyBorder="1" applyAlignment="1" applyProtection="1">
      <alignment horizontal="center" vertical="center"/>
      <protection locked="0"/>
    </xf>
    <xf numFmtId="1" fontId="39" fillId="7" borderId="25" xfId="4" applyNumberFormat="1" applyFont="1" applyFill="1" applyBorder="1" applyAlignment="1" applyProtection="1">
      <alignment horizontal="center" vertical="center"/>
      <protection locked="0"/>
    </xf>
    <xf numFmtId="10" fontId="39" fillId="7" borderId="25" xfId="4" applyNumberFormat="1" applyFont="1" applyFill="1" applyBorder="1" applyAlignment="1" applyProtection="1">
      <alignment horizontal="center" vertical="center"/>
      <protection locked="0"/>
    </xf>
    <xf numFmtId="172" fontId="39" fillId="7" borderId="25" xfId="4" applyNumberFormat="1" applyFont="1" applyFill="1" applyBorder="1" applyAlignment="1" applyProtection="1">
      <alignment horizontal="center" vertical="center"/>
      <protection locked="0"/>
    </xf>
    <xf numFmtId="165" fontId="39" fillId="7" borderId="147" xfId="4" applyNumberFormat="1" applyFont="1" applyFill="1" applyBorder="1" applyAlignment="1" applyProtection="1">
      <alignment horizontal="center" vertical="center"/>
      <protection locked="0"/>
    </xf>
    <xf numFmtId="173" fontId="10" fillId="0" borderId="25" xfId="0" applyNumberFormat="1" applyFont="1" applyBorder="1" applyAlignment="1">
      <alignment horizontal="center" vertical="center"/>
    </xf>
    <xf numFmtId="0" fontId="50" fillId="0" borderId="148" xfId="5" applyBorder="1"/>
    <xf numFmtId="0" fontId="50" fillId="0" borderId="149" xfId="5" applyBorder="1"/>
    <xf numFmtId="0" fontId="50" fillId="0" borderId="150" xfId="5" applyBorder="1"/>
    <xf numFmtId="165" fontId="10" fillId="9" borderId="25" xfId="0" applyNumberFormat="1" applyFont="1" applyFill="1" applyBorder="1" applyAlignment="1">
      <alignment horizontal="center" vertical="center"/>
    </xf>
    <xf numFmtId="165" fontId="10" fillId="9" borderId="25" xfId="0" applyNumberFormat="1" applyFont="1" applyFill="1" applyBorder="1" applyAlignment="1" applyProtection="1">
      <alignment horizontal="center" vertical="center"/>
      <protection locked="0"/>
    </xf>
    <xf numFmtId="0" fontId="31" fillId="0" borderId="3" xfId="0" applyFont="1" applyBorder="1" applyAlignment="1">
      <alignment horizontal="center" vertical="center" wrapText="1"/>
    </xf>
    <xf numFmtId="0" fontId="28" fillId="0" borderId="25" xfId="0" applyFont="1" applyBorder="1" applyAlignment="1">
      <alignment horizontal="center" vertical="center"/>
    </xf>
    <xf numFmtId="0" fontId="28" fillId="0" borderId="25" xfId="0" applyFont="1" applyBorder="1" applyAlignment="1">
      <alignment horizontal="center" vertical="center" wrapText="1"/>
    </xf>
    <xf numFmtId="0" fontId="28" fillId="0" borderId="6" xfId="0" applyFont="1" applyBorder="1" applyAlignment="1">
      <alignment horizontal="center" vertical="center" wrapText="1"/>
    </xf>
    <xf numFmtId="0" fontId="12" fillId="0" borderId="25" xfId="0" applyFont="1" applyBorder="1" applyAlignment="1">
      <alignment horizontal="center" vertical="center" wrapText="1"/>
    </xf>
    <xf numFmtId="0" fontId="42" fillId="0" borderId="147" xfId="0" applyFont="1" applyBorder="1" applyAlignment="1">
      <alignment horizontal="center" vertical="center" wrapText="1"/>
    </xf>
    <xf numFmtId="49" fontId="37" fillId="7" borderId="25" xfId="0" applyNumberFormat="1" applyFont="1" applyFill="1" applyBorder="1" applyAlignment="1" applyProtection="1">
      <alignment horizontal="center" vertical="center"/>
      <protection locked="0"/>
    </xf>
    <xf numFmtId="49" fontId="0" fillId="0" borderId="0" xfId="0" applyNumberFormat="1" applyAlignment="1">
      <alignment horizontal="center" vertical="center"/>
    </xf>
    <xf numFmtId="49" fontId="5" fillId="0" borderId="0" xfId="0" applyNumberFormat="1" applyFont="1" applyAlignment="1">
      <alignment horizontal="center" vertical="center"/>
    </xf>
    <xf numFmtId="49" fontId="38" fillId="7" borderId="25" xfId="0" applyNumberFormat="1" applyFont="1" applyFill="1" applyBorder="1" applyAlignment="1">
      <alignment horizontal="center" vertical="center"/>
    </xf>
    <xf numFmtId="165" fontId="38" fillId="7" borderId="25" xfId="0" applyNumberFormat="1" applyFont="1" applyFill="1" applyBorder="1" applyAlignment="1">
      <alignment horizontal="center" vertical="center"/>
    </xf>
    <xf numFmtId="0" fontId="17" fillId="0" borderId="26" xfId="0" applyFont="1" applyBorder="1" applyAlignment="1">
      <alignment horizontal="center"/>
    </xf>
    <xf numFmtId="10" fontId="38" fillId="7" borderId="26" xfId="0" applyNumberFormat="1" applyFont="1" applyFill="1" applyBorder="1" applyAlignment="1">
      <alignment horizontal="center"/>
    </xf>
    <xf numFmtId="0" fontId="50" fillId="0" borderId="0" xfId="5" applyBorder="1"/>
    <xf numFmtId="0" fontId="51" fillId="0" borderId="0" xfId="0" applyFont="1"/>
    <xf numFmtId="171" fontId="52" fillId="8" borderId="25" xfId="0" applyNumberFormat="1" applyFont="1" applyFill="1" applyBorder="1" applyAlignment="1">
      <alignment horizontal="center" vertical="center"/>
    </xf>
    <xf numFmtId="0" fontId="52" fillId="0" borderId="25" xfId="0" applyFont="1" applyBorder="1"/>
    <xf numFmtId="168" fontId="52" fillId="8" borderId="25" xfId="0" applyNumberFormat="1" applyFont="1" applyFill="1" applyBorder="1" applyAlignment="1">
      <alignment horizontal="center" vertical="center"/>
    </xf>
    <xf numFmtId="9" fontId="41" fillId="0" borderId="0" xfId="2" applyFont="1" applyBorder="1" applyAlignment="1">
      <alignment horizontal="center" vertical="center"/>
    </xf>
    <xf numFmtId="1" fontId="42" fillId="0" borderId="25" xfId="0" applyNumberFormat="1" applyFont="1" applyBorder="1" applyAlignment="1">
      <alignment horizontal="center" vertical="center" wrapText="1"/>
    </xf>
    <xf numFmtId="0" fontId="42" fillId="0" borderId="25" xfId="0" applyFont="1" applyBorder="1" applyAlignment="1">
      <alignment horizontal="center" vertical="center" wrapText="1"/>
    </xf>
    <xf numFmtId="0" fontId="38" fillId="7" borderId="2" xfId="0" applyFont="1" applyFill="1"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horizontal="center" vertical="center" wrapText="1"/>
    </xf>
    <xf numFmtId="2" fontId="16" fillId="0" borderId="2" xfId="0" applyNumberFormat="1" applyFont="1" applyBorder="1" applyAlignment="1">
      <alignment horizontal="center" vertical="center" wrapText="1"/>
    </xf>
    <xf numFmtId="1" fontId="16" fillId="0" borderId="2" xfId="0" applyNumberFormat="1" applyFont="1" applyBorder="1" applyAlignment="1">
      <alignment horizontal="center" vertical="center" wrapText="1"/>
    </xf>
    <xf numFmtId="49" fontId="38" fillId="7" borderId="2" xfId="0" applyNumberFormat="1" applyFont="1" applyFill="1" applyBorder="1" applyAlignment="1">
      <alignment horizontal="center" vertical="center"/>
    </xf>
    <xf numFmtId="1" fontId="38" fillId="7" borderId="2" xfId="0" applyNumberFormat="1" applyFont="1" applyFill="1" applyBorder="1" applyAlignment="1">
      <alignment horizontal="center" vertical="center"/>
    </xf>
    <xf numFmtId="0" fontId="42" fillId="0" borderId="25" xfId="0" applyFont="1" applyBorder="1" applyAlignment="1">
      <alignment horizontal="center" vertical="center"/>
    </xf>
    <xf numFmtId="0" fontId="31" fillId="0" borderId="2" xfId="0" applyFont="1" applyBorder="1" applyAlignment="1">
      <alignment horizontal="center" vertical="center" wrapText="1"/>
    </xf>
    <xf numFmtId="0" fontId="33" fillId="0" borderId="0" xfId="0" applyFont="1" applyAlignment="1">
      <alignment vertical="center"/>
    </xf>
    <xf numFmtId="0" fontId="14" fillId="0" borderId="25" xfId="0" applyFont="1" applyBorder="1" applyAlignment="1">
      <alignment horizontal="center" vertical="center" wrapText="1"/>
    </xf>
    <xf numFmtId="0" fontId="9" fillId="0" borderId="25" xfId="0" applyFont="1" applyBorder="1" applyAlignment="1">
      <alignment horizontal="center" vertical="center" wrapText="1"/>
    </xf>
    <xf numFmtId="1" fontId="4" fillId="0" borderId="25" xfId="0" applyNumberFormat="1" applyFont="1" applyBorder="1" applyAlignment="1">
      <alignment horizontal="center" vertical="center" wrapText="1"/>
    </xf>
    <xf numFmtId="0" fontId="14" fillId="0" borderId="0" xfId="0" applyFont="1" applyAlignment="1">
      <alignment wrapText="1"/>
    </xf>
    <xf numFmtId="1" fontId="3" fillId="0" borderId="25" xfId="0" applyNumberFormat="1" applyFont="1" applyBorder="1" applyAlignment="1">
      <alignment horizontal="center" vertical="center" wrapText="1"/>
    </xf>
    <xf numFmtId="167" fontId="39" fillId="7" borderId="25" xfId="4" applyNumberFormat="1" applyFont="1" applyFill="1" applyBorder="1" applyAlignment="1" applyProtection="1">
      <alignment horizontal="center" vertical="center"/>
      <protection locked="0"/>
    </xf>
    <xf numFmtId="4" fontId="39" fillId="7" borderId="25" xfId="4" applyNumberFormat="1" applyFont="1" applyFill="1" applyBorder="1" applyAlignment="1" applyProtection="1">
      <alignment horizontal="center" vertical="center"/>
      <protection locked="0"/>
    </xf>
    <xf numFmtId="0" fontId="5" fillId="0" borderId="2" xfId="4" applyBorder="1" applyAlignment="1" applyProtection="1">
      <alignment horizontal="center" vertical="center" wrapText="1"/>
      <protection hidden="1"/>
    </xf>
    <xf numFmtId="0" fontId="5" fillId="0" borderId="12" xfId="4" applyBorder="1" applyAlignment="1" applyProtection="1">
      <alignment horizontal="center" vertical="center"/>
      <protection hidden="1"/>
    </xf>
    <xf numFmtId="0" fontId="5" fillId="0" borderId="0" xfId="4" applyProtection="1">
      <protection hidden="1"/>
    </xf>
    <xf numFmtId="165" fontId="5" fillId="0" borderId="21" xfId="4" applyNumberFormat="1" applyBorder="1" applyAlignment="1" applyProtection="1">
      <alignment horizontal="center" vertical="center"/>
      <protection hidden="1"/>
    </xf>
    <xf numFmtId="3" fontId="5" fillId="0" borderId="0" xfId="4" applyNumberFormat="1" applyAlignment="1" applyProtection="1">
      <alignment horizontal="center" vertical="center"/>
      <protection hidden="1"/>
    </xf>
    <xf numFmtId="167" fontId="5" fillId="0" borderId="0" xfId="4" applyNumberFormat="1" applyAlignment="1" applyProtection="1">
      <alignment horizontal="center" vertical="center"/>
      <protection hidden="1"/>
    </xf>
    <xf numFmtId="165" fontId="5" fillId="0" borderId="0" xfId="4" applyNumberFormat="1" applyAlignment="1" applyProtection="1">
      <alignment horizontal="center" vertical="center"/>
      <protection hidden="1"/>
    </xf>
    <xf numFmtId="0" fontId="5" fillId="0" borderId="25" xfId="4" applyBorder="1" applyProtection="1">
      <protection hidden="1"/>
    </xf>
    <xf numFmtId="0" fontId="5" fillId="0" borderId="25" xfId="4" applyBorder="1" applyAlignment="1" applyProtection="1">
      <alignment horizontal="center" vertical="center"/>
      <protection hidden="1"/>
    </xf>
    <xf numFmtId="0" fontId="5" fillId="0" borderId="25" xfId="4" applyBorder="1" applyAlignment="1" applyProtection="1">
      <alignment horizontal="center" vertical="center" wrapText="1"/>
      <protection hidden="1"/>
    </xf>
    <xf numFmtId="4" fontId="5" fillId="0" borderId="25" xfId="4" applyNumberFormat="1" applyBorder="1" applyAlignment="1" applyProtection="1">
      <alignment horizontal="center" vertical="center"/>
      <protection hidden="1"/>
    </xf>
    <xf numFmtId="4" fontId="10" fillId="0" borderId="25" xfId="4" applyNumberFormat="1" applyFont="1" applyBorder="1" applyAlignment="1" applyProtection="1">
      <alignment horizontal="center" vertical="center"/>
      <protection hidden="1"/>
    </xf>
    <xf numFmtId="3" fontId="5" fillId="0" borderId="25" xfId="4" applyNumberFormat="1" applyBorder="1" applyAlignment="1" applyProtection="1">
      <alignment horizontal="center" vertical="center"/>
      <protection hidden="1"/>
    </xf>
    <xf numFmtId="1" fontId="48" fillId="0" borderId="25" xfId="0" applyNumberFormat="1" applyFont="1" applyBorder="1" applyAlignment="1" applyProtection="1">
      <alignment horizontal="center" vertical="center"/>
      <protection hidden="1"/>
    </xf>
    <xf numFmtId="0" fontId="5" fillId="0" borderId="25" xfId="0" applyFont="1" applyBorder="1" applyAlignment="1" applyProtection="1">
      <alignment horizontal="center" vertical="center"/>
      <protection hidden="1"/>
    </xf>
    <xf numFmtId="0" fontId="2" fillId="0" borderId="0" xfId="6"/>
    <xf numFmtId="0" fontId="2" fillId="0" borderId="0" xfId="6" applyAlignment="1">
      <alignment horizontal="center" vertical="center"/>
    </xf>
    <xf numFmtId="0" fontId="53" fillId="0" borderId="0" xfId="6" applyFont="1" applyAlignment="1">
      <alignment horizontal="center" vertical="center" wrapText="1"/>
    </xf>
    <xf numFmtId="0" fontId="2" fillId="0" borderId="0" xfId="6" applyAlignment="1">
      <alignment vertical="center" wrapText="1"/>
    </xf>
    <xf numFmtId="0" fontId="10" fillId="0" borderId="0" xfId="6" applyFont="1" applyAlignment="1">
      <alignment horizontal="center" vertical="center" wrapText="1"/>
    </xf>
    <xf numFmtId="168" fontId="0" fillId="0" borderId="0" xfId="0" applyNumberFormat="1"/>
    <xf numFmtId="0" fontId="31" fillId="0" borderId="0" xfId="0" applyFont="1" applyAlignment="1">
      <alignment horizontal="center" vertical="center" wrapText="1"/>
    </xf>
    <xf numFmtId="0" fontId="57" fillId="0" borderId="0" xfId="6" applyFont="1"/>
    <xf numFmtId="0" fontId="9" fillId="0" borderId="0" xfId="6" applyFont="1"/>
    <xf numFmtId="170" fontId="42" fillId="0" borderId="21" xfId="0" applyNumberFormat="1" applyFont="1" applyBorder="1" applyAlignment="1">
      <alignment horizontal="center" vertical="center"/>
    </xf>
    <xf numFmtId="169" fontId="42" fillId="0" borderId="21" xfId="0" applyNumberFormat="1" applyFont="1" applyBorder="1" applyAlignment="1">
      <alignment horizontal="center" vertical="center"/>
    </xf>
    <xf numFmtId="0" fontId="38" fillId="0" borderId="21" xfId="0" applyFont="1" applyBorder="1" applyAlignment="1">
      <alignment horizontal="center" vertical="center"/>
    </xf>
    <xf numFmtId="0" fontId="43" fillId="0" borderId="21" xfId="0" applyFont="1" applyBorder="1" applyAlignment="1">
      <alignment horizontal="center" vertical="center"/>
    </xf>
    <xf numFmtId="168" fontId="42" fillId="0" borderId="21" xfId="0" applyNumberFormat="1" applyFont="1" applyBorder="1" applyAlignment="1">
      <alignment horizontal="center" vertical="center"/>
    </xf>
    <xf numFmtId="0" fontId="43" fillId="0" borderId="21" xfId="0" applyFont="1" applyBorder="1" applyAlignment="1">
      <alignment horizontal="center" vertical="center" wrapText="1"/>
    </xf>
    <xf numFmtId="168" fontId="43" fillId="0" borderId="21" xfId="0" applyNumberFormat="1" applyFont="1" applyBorder="1" applyAlignment="1">
      <alignment horizontal="center" vertical="center" wrapText="1"/>
    </xf>
    <xf numFmtId="171" fontId="43" fillId="0" borderId="21" xfId="0" applyNumberFormat="1" applyFont="1" applyBorder="1" applyAlignment="1">
      <alignment horizontal="center" vertical="center" wrapText="1"/>
    </xf>
    <xf numFmtId="0" fontId="42" fillId="0" borderId="147" xfId="0" applyFont="1" applyBorder="1" applyAlignment="1">
      <alignment horizontal="center" vertical="center"/>
    </xf>
    <xf numFmtId="170" fontId="42" fillId="0" borderId="147" xfId="0" applyNumberFormat="1" applyFont="1" applyBorder="1" applyAlignment="1">
      <alignment horizontal="center" vertical="center"/>
    </xf>
    <xf numFmtId="169" fontId="42" fillId="0" borderId="147" xfId="0" applyNumberFormat="1" applyFont="1" applyBorder="1" applyAlignment="1">
      <alignment horizontal="center" vertical="center"/>
    </xf>
    <xf numFmtId="0" fontId="38" fillId="0" borderId="147" xfId="0" applyFont="1" applyBorder="1" applyAlignment="1">
      <alignment horizontal="center" vertical="center"/>
    </xf>
    <xf numFmtId="0" fontId="43" fillId="0" borderId="147" xfId="0" applyFont="1" applyBorder="1" applyAlignment="1">
      <alignment horizontal="center" vertical="center"/>
    </xf>
    <xf numFmtId="168" fontId="42" fillId="0" borderId="147" xfId="0" applyNumberFormat="1" applyFont="1" applyBorder="1" applyAlignment="1">
      <alignment horizontal="center" vertical="center"/>
    </xf>
    <xf numFmtId="168" fontId="43" fillId="0" borderId="147" xfId="0" applyNumberFormat="1" applyFont="1" applyBorder="1" applyAlignment="1">
      <alignment horizontal="center" vertical="center" wrapText="1"/>
    </xf>
    <xf numFmtId="0" fontId="43" fillId="0" borderId="147" xfId="0" applyFont="1" applyBorder="1" applyAlignment="1">
      <alignment horizontal="center" vertical="center" wrapText="1"/>
    </xf>
    <xf numFmtId="0" fontId="58" fillId="0" borderId="0" xfId="0" applyFont="1"/>
    <xf numFmtId="1" fontId="17" fillId="0" borderId="21" xfId="0" applyNumberFormat="1" applyFont="1" applyBorder="1" applyAlignment="1">
      <alignment horizontal="center" vertical="center" wrapText="1"/>
    </xf>
    <xf numFmtId="1" fontId="38" fillId="7" borderId="26" xfId="0" applyNumberFormat="1" applyFont="1" applyFill="1" applyBorder="1" applyAlignment="1">
      <alignment horizontal="center" vertical="center"/>
    </xf>
    <xf numFmtId="0" fontId="1" fillId="0" borderId="0" xfId="7"/>
    <xf numFmtId="0" fontId="1" fillId="0" borderId="0" xfId="7" applyAlignment="1">
      <alignment wrapText="1"/>
    </xf>
    <xf numFmtId="0" fontId="9" fillId="0" borderId="0" xfId="7" applyFont="1" applyAlignment="1">
      <alignment horizontal="left" vertical="center"/>
    </xf>
    <xf numFmtId="0" fontId="9" fillId="0" borderId="0" xfId="7" applyFont="1" applyAlignment="1">
      <alignment horizontal="left" vertical="center" wrapText="1"/>
    </xf>
    <xf numFmtId="0" fontId="6" fillId="0" borderId="25" xfId="0" applyFont="1" applyBorder="1" applyAlignment="1">
      <alignment horizontal="center" vertical="center" wrapText="1"/>
    </xf>
    <xf numFmtId="49" fontId="5" fillId="0" borderId="147" xfId="0" applyNumberFormat="1" applyFont="1" applyBorder="1" applyAlignment="1">
      <alignment horizontal="center" vertical="center" wrapText="1"/>
    </xf>
    <xf numFmtId="167" fontId="10" fillId="0" borderId="2" xfId="0" applyNumberFormat="1" applyFont="1" applyBorder="1" applyAlignment="1">
      <alignment horizontal="center" vertical="center"/>
    </xf>
    <xf numFmtId="49" fontId="9" fillId="0" borderId="149" xfId="0" applyNumberFormat="1" applyFont="1" applyBorder="1" applyAlignment="1">
      <alignment horizontal="center" vertical="center"/>
    </xf>
    <xf numFmtId="0" fontId="9" fillId="0" borderId="149" xfId="0" applyFont="1" applyBorder="1" applyAlignment="1">
      <alignment horizontal="center" vertical="center"/>
    </xf>
    <xf numFmtId="12" fontId="0" fillId="0" borderId="0" xfId="0" applyNumberFormat="1" applyAlignment="1">
      <alignment horizontal="center"/>
    </xf>
    <xf numFmtId="49" fontId="38" fillId="7" borderId="25" xfId="0" applyNumberFormat="1" applyFont="1" applyFill="1" applyBorder="1" applyAlignment="1" applyProtection="1">
      <alignment horizontal="center" vertical="center"/>
      <protection locked="0"/>
    </xf>
    <xf numFmtId="0" fontId="10" fillId="0" borderId="3" xfId="0" applyFont="1" applyBorder="1" applyAlignment="1">
      <alignment horizontal="center" vertical="center"/>
    </xf>
    <xf numFmtId="165" fontId="60" fillId="7" borderId="25" xfId="0" applyNumberFormat="1" applyFont="1" applyFill="1" applyBorder="1" applyAlignment="1" applyProtection="1">
      <alignment horizontal="center" vertical="center"/>
      <protection locked="0"/>
    </xf>
    <xf numFmtId="165" fontId="61" fillId="7" borderId="25" xfId="0" applyNumberFormat="1" applyFont="1" applyFill="1" applyBorder="1" applyAlignment="1">
      <alignment horizontal="center" vertical="center"/>
    </xf>
    <xf numFmtId="165" fontId="61" fillId="0" borderId="25" xfId="0" applyNumberFormat="1" applyFont="1" applyBorder="1" applyAlignment="1">
      <alignment horizontal="center" vertical="center"/>
    </xf>
    <xf numFmtId="0" fontId="37" fillId="7" borderId="0" xfId="0" applyFont="1" applyFill="1" applyAlignment="1" applyProtection="1">
      <alignment horizontal="left"/>
      <protection locked="0"/>
    </xf>
    <xf numFmtId="0" fontId="28" fillId="0" borderId="0" xfId="0" applyFont="1" applyAlignment="1" applyProtection="1">
      <alignment horizontal="left"/>
      <protection locked="0"/>
    </xf>
    <xf numFmtId="14" fontId="37" fillId="7" borderId="0" xfId="0" applyNumberFormat="1" applyFont="1" applyFill="1" applyAlignment="1" applyProtection="1">
      <alignment horizontal="left"/>
      <protection locked="0"/>
    </xf>
    <xf numFmtId="0" fontId="27" fillId="0" borderId="6" xfId="0" applyFont="1" applyBorder="1" applyAlignment="1">
      <alignment horizontal="center" vertical="center"/>
    </xf>
    <xf numFmtId="0" fontId="27" fillId="0" borderId="5" xfId="0" applyFont="1" applyBorder="1" applyAlignment="1">
      <alignment horizontal="center" vertical="center"/>
    </xf>
    <xf numFmtId="0" fontId="27" fillId="0" borderId="3" xfId="0" applyFont="1" applyBorder="1" applyAlignment="1">
      <alignment horizontal="center" vertical="center"/>
    </xf>
    <xf numFmtId="0" fontId="27" fillId="0" borderId="25" xfId="0" applyFont="1" applyBorder="1" applyAlignment="1">
      <alignment horizontal="center" vertical="center"/>
    </xf>
    <xf numFmtId="0" fontId="26" fillId="0" borderId="0" xfId="0" applyFont="1" applyAlignment="1">
      <alignment horizontal="left"/>
    </xf>
    <xf numFmtId="0" fontId="12" fillId="0" borderId="25" xfId="0" applyFont="1" applyBorder="1" applyAlignment="1">
      <alignment horizontal="center" vertical="center"/>
    </xf>
    <xf numFmtId="0" fontId="44" fillId="0" borderId="6" xfId="0" applyFont="1" applyBorder="1" applyAlignment="1">
      <alignment horizontal="center" vertical="center"/>
    </xf>
    <xf numFmtId="0" fontId="44" fillId="0" borderId="3" xfId="0" applyFont="1" applyBorder="1" applyAlignment="1">
      <alignment horizontal="center" vertical="center"/>
    </xf>
    <xf numFmtId="165" fontId="37" fillId="7" borderId="26" xfId="0" applyNumberFormat="1" applyFont="1" applyFill="1" applyBorder="1" applyAlignment="1" applyProtection="1">
      <alignment horizontal="center" vertical="center"/>
      <protection locked="0"/>
    </xf>
    <xf numFmtId="165" fontId="28" fillId="0" borderId="2" xfId="0" applyNumberFormat="1" applyFont="1" applyBorder="1" applyAlignment="1" applyProtection="1">
      <alignment horizontal="center" vertical="center"/>
      <protection locked="0"/>
    </xf>
    <xf numFmtId="0" fontId="33" fillId="0" borderId="25" xfId="0" applyFont="1" applyBorder="1" applyAlignment="1">
      <alignment horizontal="center" vertical="center"/>
    </xf>
    <xf numFmtId="0" fontId="33" fillId="0" borderId="26" xfId="0" applyFont="1" applyBorder="1" applyAlignment="1">
      <alignment horizontal="center" vertical="center"/>
    </xf>
    <xf numFmtId="0" fontId="62" fillId="0" borderId="0" xfId="3" applyFont="1" applyAlignment="1">
      <alignment horizontal="center"/>
    </xf>
    <xf numFmtId="0" fontId="5" fillId="0" borderId="6" xfId="0" applyFont="1" applyBorder="1" applyAlignment="1">
      <alignment horizontal="center"/>
    </xf>
    <xf numFmtId="0" fontId="5" fillId="0" borderId="5" xfId="0" applyFont="1" applyBorder="1" applyAlignment="1">
      <alignment horizontal="center"/>
    </xf>
    <xf numFmtId="0" fontId="5" fillId="0" borderId="3" xfId="0" applyFont="1" applyBorder="1" applyAlignment="1">
      <alignment horizontal="center"/>
    </xf>
    <xf numFmtId="0" fontId="0" fillId="0" borderId="0" xfId="0" applyAlignment="1">
      <alignment horizontal="center"/>
    </xf>
    <xf numFmtId="0" fontId="17" fillId="0" borderId="25" xfId="0" applyFont="1" applyBorder="1" applyAlignment="1">
      <alignment horizontal="center" vertical="center"/>
    </xf>
    <xf numFmtId="0" fontId="17" fillId="0" borderId="27" xfId="0" applyFont="1" applyBorder="1" applyAlignment="1">
      <alignment horizontal="center" vertical="center"/>
    </xf>
    <xf numFmtId="0" fontId="17" fillId="0" borderId="23" xfId="0" applyFont="1" applyBorder="1" applyAlignment="1">
      <alignment horizontal="center" vertical="center"/>
    </xf>
    <xf numFmtId="0" fontId="17" fillId="0" borderId="24" xfId="0" applyFont="1" applyBorder="1" applyAlignment="1">
      <alignment horizontal="center" vertical="center"/>
    </xf>
    <xf numFmtId="0" fontId="17" fillId="0" borderId="26" xfId="0" applyFont="1" applyBorder="1" applyAlignment="1">
      <alignment horizontal="center"/>
    </xf>
    <xf numFmtId="0" fontId="5" fillId="0" borderId="26" xfId="0" applyFont="1" applyBorder="1" applyAlignment="1">
      <alignment horizontal="center"/>
    </xf>
    <xf numFmtId="0" fontId="0" fillId="0" borderId="26" xfId="0" applyBorder="1" applyAlignment="1">
      <alignment horizontal="center"/>
    </xf>
    <xf numFmtId="0" fontId="52" fillId="0" borderId="25" xfId="0" applyFont="1" applyBorder="1" applyAlignment="1">
      <alignment horizontal="center"/>
    </xf>
    <xf numFmtId="0" fontId="58" fillId="0" borderId="25" xfId="0" applyFont="1" applyBorder="1" applyAlignment="1">
      <alignment horizontal="center"/>
    </xf>
    <xf numFmtId="0" fontId="58" fillId="0" borderId="6" xfId="0" applyFont="1" applyBorder="1" applyAlignment="1">
      <alignment horizontal="center"/>
    </xf>
    <xf numFmtId="0" fontId="58" fillId="0" borderId="5" xfId="0" applyFont="1" applyBorder="1" applyAlignment="1">
      <alignment horizontal="center"/>
    </xf>
    <xf numFmtId="0" fontId="58" fillId="0" borderId="3" xfId="0" applyFont="1" applyBorder="1" applyAlignment="1">
      <alignment horizontal="center"/>
    </xf>
    <xf numFmtId="49" fontId="5" fillId="0" borderId="6" xfId="0" applyNumberFormat="1" applyFont="1" applyBorder="1" applyAlignment="1">
      <alignment horizontal="center" vertical="center" wrapText="1"/>
    </xf>
    <xf numFmtId="49" fontId="5" fillId="0" borderId="3" xfId="0" applyNumberFormat="1" applyFont="1" applyBorder="1" applyAlignment="1">
      <alignment horizontal="center" vertical="center" wrapText="1"/>
    </xf>
    <xf numFmtId="49" fontId="5" fillId="0" borderId="5" xfId="0" applyNumberFormat="1" applyFont="1" applyBorder="1" applyAlignment="1">
      <alignment horizontal="center" vertical="center" wrapText="1"/>
    </xf>
    <xf numFmtId="0" fontId="5" fillId="0" borderId="6" xfId="0" applyFont="1" applyBorder="1" applyAlignment="1">
      <alignment horizontal="center" vertical="center"/>
    </xf>
    <xf numFmtId="0" fontId="5" fillId="0" borderId="5" xfId="0" applyFont="1" applyBorder="1" applyAlignment="1">
      <alignment horizontal="center" vertical="center"/>
    </xf>
    <xf numFmtId="0" fontId="5" fillId="0" borderId="3" xfId="0" applyFont="1" applyBorder="1" applyAlignment="1">
      <alignment horizontal="center" vertical="center"/>
    </xf>
    <xf numFmtId="49" fontId="5" fillId="0" borderId="25" xfId="0" applyNumberFormat="1" applyFont="1" applyBorder="1" applyAlignment="1">
      <alignment horizontal="center" vertical="center" wrapText="1"/>
    </xf>
    <xf numFmtId="0" fontId="5" fillId="0" borderId="25" xfId="0" applyFont="1" applyBorder="1" applyAlignment="1">
      <alignment horizontal="center" vertical="center"/>
    </xf>
    <xf numFmtId="0" fontId="5" fillId="0" borderId="25" xfId="0" applyFont="1" applyBorder="1" applyAlignment="1">
      <alignment horizontal="center" vertical="center" wrapText="1"/>
    </xf>
    <xf numFmtId="0" fontId="23" fillId="0" borderId="25" xfId="0" applyFont="1" applyBorder="1" applyAlignment="1">
      <alignment horizontal="center" vertical="center"/>
    </xf>
    <xf numFmtId="1" fontId="10" fillId="0" borderId="25" xfId="0" applyNumberFormat="1" applyFont="1" applyBorder="1" applyAlignment="1">
      <alignment horizontal="center" vertical="center" wrapText="1"/>
    </xf>
    <xf numFmtId="0" fontId="59" fillId="0" borderId="0" xfId="7" applyFont="1" applyAlignment="1">
      <alignment horizontal="center"/>
    </xf>
    <xf numFmtId="0" fontId="5" fillId="0" borderId="25" xfId="0" applyFont="1" applyBorder="1" applyAlignment="1">
      <alignment horizontal="center"/>
    </xf>
    <xf numFmtId="0" fontId="0" fillId="0" borderId="25" xfId="0" applyBorder="1" applyAlignment="1">
      <alignment horizontal="center"/>
    </xf>
    <xf numFmtId="0" fontId="49" fillId="0" borderId="25" xfId="4" applyFont="1" applyBorder="1" applyAlignment="1" applyProtection="1">
      <alignment horizontal="center"/>
      <protection hidden="1"/>
    </xf>
    <xf numFmtId="0" fontId="5" fillId="0" borderId="25" xfId="4" applyBorder="1" applyAlignment="1" applyProtection="1">
      <alignment horizontal="center"/>
      <protection hidden="1"/>
    </xf>
    <xf numFmtId="0" fontId="45" fillId="0" borderId="0" xfId="0" applyFont="1" applyAlignment="1">
      <alignment horizontal="center"/>
    </xf>
    <xf numFmtId="0" fontId="5" fillId="0" borderId="0" xfId="0" applyFont="1" applyAlignment="1">
      <alignment horizontal="center"/>
    </xf>
    <xf numFmtId="0" fontId="11" fillId="4" borderId="22" xfId="0" applyFont="1" applyFill="1" applyBorder="1" applyAlignment="1">
      <alignment horizontal="center"/>
    </xf>
    <xf numFmtId="0" fontId="11" fillId="4" borderId="0" xfId="0" applyFont="1" applyFill="1" applyAlignment="1">
      <alignment horizontal="center"/>
    </xf>
    <xf numFmtId="12" fontId="17" fillId="0" borderId="25" xfId="0" applyNumberFormat="1" applyFont="1" applyBorder="1" applyAlignment="1" applyProtection="1">
      <alignment horizontal="center" vertical="center"/>
      <protection locked="0"/>
    </xf>
    <xf numFmtId="12" fontId="17" fillId="0" borderId="25" xfId="0" applyNumberFormat="1" applyFont="1" applyBorder="1" applyAlignment="1">
      <alignment horizontal="center" vertical="center"/>
    </xf>
  </cellXfs>
  <cellStyles count="8">
    <cellStyle name="DiRootsParameterNotFound" xfId="1" xr:uid="{104907A8-2D4D-4252-804C-87DEA72DE229}"/>
    <cellStyle name="Heading 1" xfId="5" builtinId="16"/>
    <cellStyle name="Hyperlink" xfId="3" builtinId="8"/>
    <cellStyle name="Normal" xfId="0" builtinId="0"/>
    <cellStyle name="Normal 2" xfId="4" xr:uid="{B6F6B4F1-A17B-4ADA-AED1-F3AAF6032D7C}"/>
    <cellStyle name="Normal 3" xfId="6" xr:uid="{6B86E814-EDAC-472F-9644-D13A9CDC5A4C}"/>
    <cellStyle name="Normal 4" xfId="7" xr:uid="{1D294FFC-7773-419F-B4A5-61D5A40BBC31}"/>
    <cellStyle name="Percent" xfId="2" builtinId="5"/>
  </cellStyles>
  <dxfs count="884">
    <dxf>
      <font>
        <b val="0"/>
        <i val="0"/>
        <strike val="0"/>
        <condense val="0"/>
        <extend val="0"/>
        <outline val="0"/>
        <shadow val="0"/>
        <u val="none"/>
        <vertAlign val="baseline"/>
        <sz val="12"/>
        <color auto="1"/>
        <name val="Arial"/>
        <family val="2"/>
        <scheme val="none"/>
      </font>
      <numFmt numFmtId="17" formatCode="#\ ?/?"/>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numFmt numFmtId="17" formatCode="#\ ?/?"/>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indexed="23"/>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auto="1"/>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general" vertical="center" textRotation="0" wrapText="0" indent="0" justifyLastLine="0" shrinkToFit="0" readingOrder="0"/>
      <border diagonalUp="0" diagonalDown="0">
        <left style="thin">
          <color indexed="64"/>
        </left>
        <right/>
        <top style="thin">
          <color indexed="22"/>
        </top>
        <bottom/>
        <vertical/>
        <horizontal/>
      </border>
    </dxf>
    <dxf>
      <border outline="0">
        <right style="thin">
          <color indexed="64"/>
        </right>
        <top style="thin">
          <color indexed="64"/>
        </top>
        <bottom style="thin">
          <color indexed="64"/>
        </bottom>
      </border>
    </dxf>
    <dxf>
      <font>
        <b val="0"/>
        <i val="0"/>
        <strike val="0"/>
        <condense val="0"/>
        <extend val="0"/>
        <outline val="0"/>
        <shadow val="0"/>
        <u val="none"/>
        <vertAlign val="baseline"/>
        <sz val="7"/>
        <color auto="1"/>
        <name val="Arial Narrow"/>
        <family val="2"/>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border outline="0">
        <top style="medium">
          <color rgb="FF000000"/>
        </top>
      </border>
    </dxf>
    <dxf>
      <font>
        <b val="0"/>
        <family val="2"/>
      </font>
      <alignment horizontal="center" vertical="center" textRotation="0" indent="0" justifyLastLine="0" shrinkToFit="0" readingOrder="0"/>
    </dxf>
    <dxf>
      <font>
        <b/>
        <i val="0"/>
        <strike val="0"/>
        <condense val="0"/>
        <extend val="0"/>
        <outline val="0"/>
        <shadow val="0"/>
        <u val="none"/>
        <vertAlign val="baseline"/>
        <sz val="10"/>
        <color auto="1"/>
        <name val="Calibri"/>
        <family val="2"/>
        <scheme val="none"/>
      </font>
      <fill>
        <patternFill patternType="solid">
          <fgColor indexed="64"/>
          <bgColor rgb="FFDEEAF6"/>
        </patternFill>
      </fill>
      <alignment horizontal="center" vertical="center" textRotation="0" wrapText="1" indent="0" justifyLastLine="0" shrinkToFit="0" readingOrder="0"/>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73" formatCode="0&quot; Tons&quo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rgb="FF000000"/>
        </left>
        <right style="medium">
          <color rgb="FF000000"/>
        </right>
        <top style="thin">
          <color rgb="FF000000"/>
        </top>
      </border>
    </dxf>
    <dxf>
      <font>
        <b val="0"/>
        <i val="0"/>
        <strike val="0"/>
        <condense val="0"/>
        <extend val="0"/>
        <outline val="0"/>
        <shadow val="0"/>
        <u val="none"/>
        <vertAlign val="baseline"/>
        <sz val="11"/>
        <color auto="1"/>
        <name val="Century Gothic"/>
        <family val="2"/>
        <scheme val="none"/>
      </font>
      <alignment horizontal="center" vertical="center" textRotation="0" wrapText="0" indent="0" justifyLastLine="0" shrinkToFit="0" readingOrder="0"/>
    </dxf>
    <dxf>
      <border outline="0">
        <bottom style="medium">
          <color rgb="FF000000"/>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entury Gothic"/>
        <family val="2"/>
        <scheme val="minor"/>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1"/>
    </dxf>
    <dxf>
      <numFmt numFmtId="167" formatCode="#,##0.0"/>
      <alignment horizontal="center" vertical="center" textRotation="0" indent="0" justifyLastLine="0" shrinkToFit="0" readingOrder="0"/>
      <protection locked="1" hidden="1"/>
    </dxf>
    <dxf>
      <numFmt numFmtId="3" formatCode="#,##0"/>
      <alignment horizontal="center" vertical="center" textRotation="0" indent="0" justifyLastLine="0" shrinkToFit="0" readingOrder="0"/>
      <protection locked="1" hidden="1"/>
    </dxf>
    <dxf>
      <numFmt numFmtId="165" formatCode="0.0"/>
      <alignment horizontal="center" vertical="center" textRotation="0" indent="0" justifyLastLine="0" shrinkToFit="0" readingOrder="0"/>
      <border diagonalUp="0" diagonalDown="0">
        <left style="thin">
          <color indexed="64"/>
        </left>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protection locked="1" hidden="1"/>
    </dxf>
    <dxf>
      <border>
        <bottom style="thin">
          <color indexed="64"/>
        </bottom>
      </border>
    </dxf>
    <dxf>
      <font>
        <b val="0"/>
        <i val="0"/>
        <strike val="0"/>
        <condense val="0"/>
        <extend val="0"/>
        <outline val="0"/>
        <shadow val="0"/>
        <u val="none"/>
        <vertAlign val="baseline"/>
        <sz val="10"/>
        <color auto="1"/>
        <name val="Arial"/>
        <family val="2"/>
        <scheme val="none"/>
      </font>
      <alignment horizontal="center" vertical="center" textRotation="0" indent="0" justifyLastLine="0" shrinkToFit="0" readingOrder="0"/>
      <border diagonalUp="0" diagonalDown="0">
        <left style="thin">
          <color indexed="64"/>
        </left>
        <right style="thin">
          <color indexed="64"/>
        </right>
        <top/>
        <bottom/>
      </border>
      <protection locked="1" hidden="1"/>
    </dxf>
    <dxf>
      <font>
        <b val="0"/>
        <i val="0"/>
        <u val="none"/>
        <color theme="1" tint="0.34998626667073579"/>
      </font>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65" formatCode="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indexed="64"/>
        </right>
        <top style="thin">
          <color indexed="64"/>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entury Gothic"/>
        <family val="1"/>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thin">
          <color indexed="64"/>
        </top>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border outline="0">
        <top style="medium">
          <color indexed="64"/>
        </top>
        <bottom style="thin">
          <color indexed="64"/>
        </bottom>
      </border>
    </dxf>
    <dxf>
      <border outline="0">
        <bottom style="medium">
          <color indexed="64"/>
        </bottom>
      </border>
    </dxf>
    <dxf>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30" formatCode="@"/>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border>
        <bottom style="thin">
          <color indexed="64"/>
        </bottom>
      </border>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indexed="64"/>
        </left>
        <right/>
        <top style="thin">
          <color indexed="64"/>
        </top>
        <bottom/>
      </border>
    </dxf>
    <dxf>
      <font>
        <strike val="0"/>
        <outline val="0"/>
        <shadow val="0"/>
        <vertAlign val="baseline"/>
        <sz val="12"/>
        <family val="2"/>
      </font>
      <numFmt numFmtId="166" formatCode="_(\ #,##0.0_);_(* \(#,##0.0\);_(* &quot;  -     &quot;_)"/>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strike val="0"/>
        <outline val="0"/>
        <shadow val="0"/>
        <vertAlign val="baseline"/>
        <sz val="1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strike val="0"/>
        <outline val="0"/>
        <shadow val="0"/>
        <vertAlign val="baseline"/>
        <sz val="1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vertAlign val="baseline"/>
        <sz val="12"/>
        <family val="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numFmt numFmtId="0" formatCode="Genera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numFmt numFmtId="164" formatCode="_(\ #,##0_);_(* \(#,##0\);_(* &quot;  -     &quot;_);"/>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font>
        <strike val="0"/>
        <outline val="0"/>
        <shadow val="0"/>
        <vertAlign val="baseline"/>
        <sz val="12"/>
      </font>
      <border diagonalUp="0" diagonalDown="0">
        <left style="thin">
          <color rgb="FF000000"/>
        </left>
        <right style="thin">
          <color rgb="FF000000"/>
        </right>
        <top/>
        <bottom/>
        <vertical style="thin">
          <color rgb="FF000000"/>
        </vertical>
        <horizontal style="thin">
          <color rgb="FF000000"/>
        </horizontal>
      </border>
    </dxf>
    <dxf>
      <border diagonalUp="0" diagonalDown="0">
        <left style="thin">
          <color rgb="FF000000"/>
        </left>
        <right style="thin">
          <color rgb="FF000000"/>
        </right>
        <top style="thin">
          <color rgb="FF000000"/>
        </top>
        <bottom style="thin">
          <color rgb="FF000000"/>
        </bottom>
      </border>
    </dxf>
    <dxf>
      <font>
        <strike val="0"/>
        <outline val="0"/>
        <shadow val="0"/>
        <vertAlign val="baseline"/>
        <sz val="12"/>
      </font>
    </dxf>
    <dxf>
      <border>
        <bottom style="thin">
          <color rgb="FF000000"/>
        </bottom>
      </border>
    </dxf>
    <dxf>
      <font>
        <strike val="0"/>
        <outline val="0"/>
        <shadow val="0"/>
        <u val="none"/>
        <vertAlign val="baseline"/>
        <sz val="12"/>
        <color theme="1"/>
      </font>
      <fill>
        <patternFill>
          <bgColor theme="0"/>
        </patternFill>
      </fill>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border outline="0">
        <top style="thin">
          <color indexed="64"/>
        </top>
      </border>
    </dxf>
    <dxf>
      <border outline="0">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dxf>
    <dxf>
      <border>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9" Type="http://schemas.openxmlformats.org/officeDocument/2006/relationships/customXml" Target="../customXml/item8.xml"/><Relationship Id="rId21" Type="http://schemas.openxmlformats.org/officeDocument/2006/relationships/worksheet" Target="worksheets/sheet21.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owerPivotData" Target="model/item.data"/><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eetMetadata" Target="metadata.xml"/><Relationship Id="rId36" Type="http://schemas.openxmlformats.org/officeDocument/2006/relationships/customXml" Target="../customXml/item5.xml"/><Relationship Id="rId49" Type="http://schemas.openxmlformats.org/officeDocument/2006/relationships/customXml" Target="../customXml/item1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4"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microsoft.com/office/2017/10/relationships/person" Target="persons/person.xml"/><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openxmlformats.org/officeDocument/2006/relationships/worksheet" Target="worksheets/sheet20.xml"/><Relationship Id="rId41"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426720</xdr:colOff>
          <xdr:row>2</xdr:row>
          <xdr:rowOff>114300</xdr:rowOff>
        </xdr:from>
        <xdr:to>
          <xdr:col>14</xdr:col>
          <xdr:colOff>457200</xdr:colOff>
          <xdr:row>5</xdr:row>
          <xdr:rowOff>0</xdr:rowOff>
        </xdr:to>
        <xdr:sp macro="" textlink="">
          <xdr:nvSpPr>
            <xdr:cNvPr id="15383" name="Button 23" descr="HUMIDIFICATION"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AHU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2</xdr:row>
          <xdr:rowOff>121920</xdr:rowOff>
        </xdr:from>
        <xdr:to>
          <xdr:col>16</xdr:col>
          <xdr:colOff>472440</xdr:colOff>
          <xdr:row>5</xdr:row>
          <xdr:rowOff>15240</xdr:rowOff>
        </xdr:to>
        <xdr:sp macro="" textlink="">
          <xdr:nvSpPr>
            <xdr:cNvPr id="15384" name="Button 24" descr="HUMIDIFICATION"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FCU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784860</xdr:colOff>
          <xdr:row>0</xdr:row>
          <xdr:rowOff>15240</xdr:rowOff>
        </xdr:from>
        <xdr:to>
          <xdr:col>3</xdr:col>
          <xdr:colOff>563880</xdr:colOff>
          <xdr:row>2</xdr:row>
          <xdr:rowOff>22860</xdr:rowOff>
        </xdr:to>
        <xdr:sp macro="" textlink="">
          <xdr:nvSpPr>
            <xdr:cNvPr id="86029" name="Button 13" descr="HUMIDIFICATION" hidden="1">
              <a:extLst>
                <a:ext uri="{63B3BB69-23CF-44E3-9099-C40C66FF867C}">
                  <a14:compatExt spid="_x0000_s86029"/>
                </a:ext>
                <a:ext uri="{FF2B5EF4-FFF2-40B4-BE49-F238E27FC236}">
                  <a16:creationId xmlns:a16="http://schemas.microsoft.com/office/drawing/2014/main" id="{00000000-0008-0000-0200-00000D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335280</xdr:colOff>
          <xdr:row>0</xdr:row>
          <xdr:rowOff>76200</xdr:rowOff>
        </xdr:from>
        <xdr:to>
          <xdr:col>1</xdr:col>
          <xdr:colOff>876300</xdr:colOff>
          <xdr:row>2</xdr:row>
          <xdr:rowOff>106680</xdr:rowOff>
        </xdr:to>
        <xdr:sp macro="" textlink="">
          <xdr:nvSpPr>
            <xdr:cNvPr id="120834" name="Button 2" descr="HUMIDIFICATION"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982980</xdr:colOff>
          <xdr:row>0</xdr:row>
          <xdr:rowOff>15240</xdr:rowOff>
        </xdr:from>
        <xdr:to>
          <xdr:col>1</xdr:col>
          <xdr:colOff>868680</xdr:colOff>
          <xdr:row>1</xdr:row>
          <xdr:rowOff>160020</xdr:rowOff>
        </xdr:to>
        <xdr:sp macro="" textlink="">
          <xdr:nvSpPr>
            <xdr:cNvPr id="69719" name="Button 87" descr="HUMIDIFICATION" hidden="1">
              <a:extLst>
                <a:ext uri="{63B3BB69-23CF-44E3-9099-C40C66FF867C}">
                  <a14:compatExt spid="_x0000_s69719"/>
                </a:ext>
                <a:ext uri="{FF2B5EF4-FFF2-40B4-BE49-F238E27FC236}">
                  <a16:creationId xmlns:a16="http://schemas.microsoft.com/office/drawing/2014/main" id="{00000000-0008-0000-0400-000057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579120</xdr:colOff>
          <xdr:row>0</xdr:row>
          <xdr:rowOff>60960</xdr:rowOff>
        </xdr:from>
        <xdr:to>
          <xdr:col>1</xdr:col>
          <xdr:colOff>1074420</xdr:colOff>
          <xdr:row>2</xdr:row>
          <xdr:rowOff>91440</xdr:rowOff>
        </xdr:to>
        <xdr:sp macro="" textlink="">
          <xdr:nvSpPr>
            <xdr:cNvPr id="107522" name="Button 2" descr="HUMIDIFICATION" hidden="1">
              <a:extLst>
                <a:ext uri="{63B3BB69-23CF-44E3-9099-C40C66FF867C}">
                  <a14:compatExt spid="_x0000_s107522"/>
                </a:ext>
                <a:ext uri="{FF2B5EF4-FFF2-40B4-BE49-F238E27FC236}">
                  <a16:creationId xmlns:a16="http://schemas.microsoft.com/office/drawing/2014/main" id="{00000000-0008-0000-0500-000002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99060</xdr:colOff>
          <xdr:row>2</xdr:row>
          <xdr:rowOff>114300</xdr:rowOff>
        </xdr:from>
        <xdr:to>
          <xdr:col>9</xdr:col>
          <xdr:colOff>205740</xdr:colOff>
          <xdr:row>4</xdr:row>
          <xdr:rowOff>22860</xdr:rowOff>
        </xdr:to>
        <xdr:sp macro="" textlink="">
          <xdr:nvSpPr>
            <xdr:cNvPr id="129025" name="Button 1" descr="HUMIDIFICATION" hidden="1">
              <a:extLst>
                <a:ext uri="{63B3BB69-23CF-44E3-9099-C40C66FF867C}">
                  <a14:compatExt spid="_x0000_s129025"/>
                </a:ext>
                <a:ext uri="{FF2B5EF4-FFF2-40B4-BE49-F238E27FC236}">
                  <a16:creationId xmlns:a16="http://schemas.microsoft.com/office/drawing/2014/main" id="{00000000-0008-0000-0600-000001F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REFRESH ROOMS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179201" name="Button 1" descr="HUMIDIFICATION" hidden="1">
              <a:extLst>
                <a:ext uri="{63B3BB69-23CF-44E3-9099-C40C66FF867C}">
                  <a14:compatExt spid="_x0000_s179201"/>
                </a:ext>
                <a:ext uri="{FF2B5EF4-FFF2-40B4-BE49-F238E27FC236}">
                  <a16:creationId xmlns:a16="http://schemas.microsoft.com/office/drawing/2014/main" id="{00000000-0008-0000-0700-000001B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193537" name="Button 1" descr="HUMIDIFICATION" hidden="1">
              <a:extLst>
                <a:ext uri="{63B3BB69-23CF-44E3-9099-C40C66FF867C}">
                  <a14:compatExt spid="_x0000_s193537"/>
                </a:ext>
                <a:ext uri="{FF2B5EF4-FFF2-40B4-BE49-F238E27FC236}">
                  <a16:creationId xmlns:a16="http://schemas.microsoft.com/office/drawing/2014/main" id="{00000000-0008-0000-0800-000001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66567" name="Button 7" descr="HUMIDIFICATION" hidden="1">
              <a:extLst>
                <a:ext uri="{63B3BB69-23CF-44E3-9099-C40C66FF867C}">
                  <a14:compatExt spid="_x0000_s66567"/>
                </a:ext>
                <a:ext uri="{FF2B5EF4-FFF2-40B4-BE49-F238E27FC236}">
                  <a16:creationId xmlns:a16="http://schemas.microsoft.com/office/drawing/2014/main" id="{00000000-0008-0000-0C00-000007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136193" name="Button 1" descr="HUMIDIFICATION" hidden="1">
              <a:extLst>
                <a:ext uri="{63B3BB69-23CF-44E3-9099-C40C66FF867C}">
                  <a14:compatExt spid="_x0000_s136193"/>
                </a:ext>
                <a:ext uri="{FF2B5EF4-FFF2-40B4-BE49-F238E27FC236}">
                  <a16:creationId xmlns:a16="http://schemas.microsoft.com/office/drawing/2014/main" id="{00000000-0008-0000-0D00-0000011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5</xdr:row>
          <xdr:rowOff>83820</xdr:rowOff>
        </xdr:from>
        <xdr:to>
          <xdr:col>1</xdr:col>
          <xdr:colOff>205740</xdr:colOff>
          <xdr:row>6</xdr:row>
          <xdr:rowOff>281940</xdr:rowOff>
        </xdr:to>
        <xdr:sp macro="" textlink="">
          <xdr:nvSpPr>
            <xdr:cNvPr id="134152" name="Button 8" descr="HUMIDIFICATION" hidden="1">
              <a:extLst>
                <a:ext uri="{63B3BB69-23CF-44E3-9099-C40C66FF867C}">
                  <a14:compatExt spid="_x0000_s134152"/>
                </a:ext>
                <a:ext uri="{FF2B5EF4-FFF2-40B4-BE49-F238E27FC236}">
                  <a16:creationId xmlns:a16="http://schemas.microsoft.com/office/drawing/2014/main" id="{00000000-0008-0000-0F00-0000080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P:\23602\23602.09%20SM%20B2%20DDC\Calculations\HVAC\VENTILATION%20CALC_ZIYAD\Ventillation%20Calcs%20Building%202%20-%20AH-201%20asdasd.xls" TargetMode="External"/><Relationship Id="rId1" Type="http://schemas.openxmlformats.org/officeDocument/2006/relationships/externalLinkPath" Target="file:///P:\23602\23602.09%20SM%20B2%20DDC\Calculations\HVAC\VENTILATION%20CALC_ZIYAD\Ventillation%20Calcs%20Building%202%20-%20AH-201%20asdasd.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Git%20Projects\PsychroCalc\VAV%20Schedules%20(Linked%20to%20AHU%20Psych).xlsx" TargetMode="External"/><Relationship Id="rId1" Type="http://schemas.openxmlformats.org/officeDocument/2006/relationships/externalLinkPath" Target="VAV%20Schedules%20(Linked%20to%20AHU%20Psy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rections"/>
      <sheetName val="Vot Calculation"/>
      <sheetName val="Table 6-1 Rates"/>
      <sheetName val="LEED Comments-1"/>
      <sheetName val="LEED Comments-2"/>
      <sheetName val="LEED Comments-3"/>
      <sheetName val="LEED Comments-4"/>
    </sheetNames>
    <sheetDataSet>
      <sheetData sheetId="0" refreshError="1"/>
      <sheetData sheetId="1" refreshError="1"/>
      <sheetData sheetId="2">
        <row r="5">
          <cell r="A5" t="e">
            <v>#N/A</v>
          </cell>
          <cell r="B5">
            <v>5</v>
          </cell>
          <cell r="C5">
            <v>0.06</v>
          </cell>
          <cell r="D5">
            <v>5</v>
          </cell>
          <cell r="E5">
            <v>0.3</v>
          </cell>
          <cell r="F5">
            <v>5</v>
          </cell>
        </row>
        <row r="6">
          <cell r="A6" t="e">
            <v>#N/A</v>
          </cell>
          <cell r="B6">
            <v>5</v>
          </cell>
          <cell r="C6">
            <v>0.06</v>
          </cell>
          <cell r="D6">
            <v>2.5</v>
          </cell>
          <cell r="E6">
            <v>0.3</v>
          </cell>
          <cell r="F6">
            <v>5</v>
          </cell>
        </row>
        <row r="7">
          <cell r="A7" t="e">
            <v>#N/A</v>
          </cell>
          <cell r="B7">
            <v>5</v>
          </cell>
          <cell r="C7">
            <v>0.06</v>
          </cell>
          <cell r="D7">
            <v>3.8</v>
          </cell>
          <cell r="E7">
            <v>0.3</v>
          </cell>
          <cell r="F7">
            <v>30</v>
          </cell>
        </row>
        <row r="8">
          <cell r="A8" t="str">
            <v>Nurse Station</v>
          </cell>
          <cell r="B8">
            <v>5</v>
          </cell>
          <cell r="C8">
            <v>0.06</v>
          </cell>
          <cell r="D8">
            <v>3.8</v>
          </cell>
          <cell r="E8">
            <v>0.3</v>
          </cell>
          <cell r="F8">
            <v>15</v>
          </cell>
        </row>
        <row r="9">
          <cell r="A9" t="str">
            <v>Procedure Room</v>
          </cell>
          <cell r="B9">
            <v>5</v>
          </cell>
          <cell r="C9">
            <v>0.15</v>
          </cell>
          <cell r="D9">
            <v>5</v>
          </cell>
          <cell r="E9">
            <v>0.3</v>
          </cell>
          <cell r="F9">
            <v>5</v>
          </cell>
        </row>
        <row r="10">
          <cell r="A10" t="str">
            <v>Barracks sleeping areas</v>
          </cell>
          <cell r="B10">
            <v>5</v>
          </cell>
          <cell r="C10">
            <v>0.06</v>
          </cell>
          <cell r="D10">
            <v>2.5</v>
          </cell>
          <cell r="E10">
            <v>0.3</v>
          </cell>
          <cell r="F10">
            <v>20</v>
          </cell>
        </row>
        <row r="11">
          <cell r="A11" t="str">
            <v>Bars, cocktail lounges</v>
          </cell>
          <cell r="B11">
            <v>7.5</v>
          </cell>
          <cell r="C11">
            <v>0.18</v>
          </cell>
          <cell r="D11">
            <v>3.8</v>
          </cell>
          <cell r="E11">
            <v>0.9</v>
          </cell>
          <cell r="F11">
            <v>100</v>
          </cell>
        </row>
        <row r="12">
          <cell r="A12" t="str">
            <v>Beauty and nail salons</v>
          </cell>
          <cell r="B12">
            <v>20</v>
          </cell>
          <cell r="C12">
            <v>0.12</v>
          </cell>
          <cell r="D12">
            <v>10</v>
          </cell>
          <cell r="E12">
            <v>0.6</v>
          </cell>
          <cell r="F12">
            <v>25</v>
          </cell>
        </row>
        <row r="13">
          <cell r="A13" t="str">
            <v>Bedroom/living room</v>
          </cell>
          <cell r="B13">
            <v>5</v>
          </cell>
          <cell r="C13">
            <v>0.06</v>
          </cell>
          <cell r="D13">
            <v>2.5</v>
          </cell>
          <cell r="E13">
            <v>0.3</v>
          </cell>
          <cell r="F13">
            <v>10</v>
          </cell>
        </row>
        <row r="14">
          <cell r="A14" t="str">
            <v>Booking/waiting</v>
          </cell>
          <cell r="B14">
            <v>7.5</v>
          </cell>
          <cell r="C14">
            <v>0.06</v>
          </cell>
          <cell r="D14">
            <v>3.8</v>
          </cell>
          <cell r="E14">
            <v>0.3</v>
          </cell>
          <cell r="F14">
            <v>50</v>
          </cell>
        </row>
        <row r="15">
          <cell r="A15" t="str">
            <v>Bowling alley (seating)</v>
          </cell>
          <cell r="B15">
            <v>10</v>
          </cell>
          <cell r="C15">
            <v>0.12</v>
          </cell>
          <cell r="D15">
            <v>5</v>
          </cell>
          <cell r="E15">
            <v>0.6</v>
          </cell>
          <cell r="F15">
            <v>40</v>
          </cell>
        </row>
        <row r="16">
          <cell r="A16" t="str">
            <v>Break rooms</v>
          </cell>
          <cell r="B16">
            <v>5</v>
          </cell>
          <cell r="C16">
            <v>0.06</v>
          </cell>
          <cell r="D16">
            <v>2.5</v>
          </cell>
          <cell r="E16">
            <v>0.6</v>
          </cell>
          <cell r="F16">
            <v>25</v>
          </cell>
        </row>
        <row r="17">
          <cell r="A17" t="str">
            <v>Cafeteria/fast-food dining</v>
          </cell>
          <cell r="B17">
            <v>7.5</v>
          </cell>
          <cell r="C17">
            <v>0.18</v>
          </cell>
          <cell r="D17">
            <v>3.8</v>
          </cell>
          <cell r="E17">
            <v>0.9</v>
          </cell>
          <cell r="F17">
            <v>100</v>
          </cell>
        </row>
        <row r="18">
          <cell r="A18" t="str">
            <v>Cell</v>
          </cell>
          <cell r="B18">
            <v>5</v>
          </cell>
          <cell r="C18">
            <v>0.12</v>
          </cell>
          <cell r="D18">
            <v>2.5</v>
          </cell>
          <cell r="E18">
            <v>0.6</v>
          </cell>
          <cell r="F18">
            <v>25</v>
          </cell>
        </row>
        <row r="19">
          <cell r="A19" t="str">
            <v>Classrooms (age 9 plus)</v>
          </cell>
          <cell r="B19">
            <v>10</v>
          </cell>
          <cell r="C19">
            <v>0.12</v>
          </cell>
          <cell r="D19">
            <v>5</v>
          </cell>
          <cell r="E19">
            <v>0.6</v>
          </cell>
          <cell r="F19">
            <v>35</v>
          </cell>
        </row>
        <row r="20">
          <cell r="A20" t="str">
            <v>Classrooms (ages 5–8)</v>
          </cell>
          <cell r="B20">
            <v>10</v>
          </cell>
          <cell r="C20">
            <v>0.12</v>
          </cell>
          <cell r="D20">
            <v>5</v>
          </cell>
          <cell r="E20">
            <v>0.6</v>
          </cell>
          <cell r="F20">
            <v>25</v>
          </cell>
        </row>
        <row r="21">
          <cell r="A21" t="str">
            <v>Coffee stations</v>
          </cell>
          <cell r="B21">
            <v>5</v>
          </cell>
          <cell r="C21">
            <v>0.06</v>
          </cell>
          <cell r="D21">
            <v>2.5</v>
          </cell>
          <cell r="E21">
            <v>0.3</v>
          </cell>
          <cell r="F21">
            <v>20</v>
          </cell>
        </row>
        <row r="22">
          <cell r="A22" t="str">
            <v>Coin-operated laundries</v>
          </cell>
          <cell r="B22">
            <v>7.5</v>
          </cell>
          <cell r="C22">
            <v>0.06</v>
          </cell>
          <cell r="D22">
            <v>3.8</v>
          </cell>
          <cell r="E22">
            <v>0.6</v>
          </cell>
          <cell r="F22">
            <v>20</v>
          </cell>
        </row>
        <row r="23">
          <cell r="A23" t="str">
            <v>Common corridors</v>
          </cell>
          <cell r="B23">
            <v>0</v>
          </cell>
          <cell r="C23">
            <v>0.06</v>
          </cell>
          <cell r="D23">
            <v>0</v>
          </cell>
          <cell r="E23">
            <v>0.3</v>
          </cell>
        </row>
        <row r="24">
          <cell r="A24" t="str">
            <v>Computer (not printing)</v>
          </cell>
          <cell r="B24">
            <v>5</v>
          </cell>
          <cell r="C24">
            <v>0.06</v>
          </cell>
          <cell r="D24">
            <v>2.5</v>
          </cell>
          <cell r="E24">
            <v>0.3</v>
          </cell>
          <cell r="F24">
            <v>4</v>
          </cell>
        </row>
        <row r="25">
          <cell r="A25" t="str">
            <v>Computer lab</v>
          </cell>
          <cell r="B25">
            <v>10</v>
          </cell>
          <cell r="C25">
            <v>0.12</v>
          </cell>
          <cell r="D25">
            <v>5</v>
          </cell>
          <cell r="E25">
            <v>0.6</v>
          </cell>
          <cell r="F25">
            <v>25</v>
          </cell>
        </row>
        <row r="26">
          <cell r="A26" t="str">
            <v>Conference/meeting</v>
          </cell>
          <cell r="B26">
            <v>5</v>
          </cell>
          <cell r="C26">
            <v>0.06</v>
          </cell>
          <cell r="D26">
            <v>2.5</v>
          </cell>
          <cell r="E26">
            <v>0.3</v>
          </cell>
          <cell r="F26">
            <v>50</v>
          </cell>
        </row>
        <row r="27">
          <cell r="A27" t="str">
            <v>Corridors</v>
          </cell>
          <cell r="B27">
            <v>0</v>
          </cell>
          <cell r="C27">
            <v>0.06</v>
          </cell>
          <cell r="D27">
            <v>0</v>
          </cell>
          <cell r="E27">
            <v>0.3</v>
          </cell>
          <cell r="F27">
            <v>0</v>
          </cell>
        </row>
        <row r="28">
          <cell r="A28" t="str">
            <v>Courtrooms</v>
          </cell>
          <cell r="B28">
            <v>5</v>
          </cell>
          <cell r="C28">
            <v>0.06</v>
          </cell>
          <cell r="D28">
            <v>2.5</v>
          </cell>
          <cell r="E28">
            <v>0.3</v>
          </cell>
          <cell r="F28">
            <v>70</v>
          </cell>
        </row>
        <row r="29">
          <cell r="A29" t="str">
            <v>Daycare (through age 4)</v>
          </cell>
          <cell r="B29">
            <v>10</v>
          </cell>
          <cell r="C29">
            <v>0.18</v>
          </cell>
          <cell r="D29">
            <v>5</v>
          </cell>
          <cell r="E29">
            <v>0.9</v>
          </cell>
          <cell r="F29">
            <v>25</v>
          </cell>
        </row>
        <row r="30">
          <cell r="A30" t="str">
            <v>Daycare sickroom</v>
          </cell>
          <cell r="B30">
            <v>10</v>
          </cell>
          <cell r="C30">
            <v>0.18</v>
          </cell>
          <cell r="D30">
            <v>5</v>
          </cell>
          <cell r="E30">
            <v>0.9</v>
          </cell>
          <cell r="F30">
            <v>25</v>
          </cell>
        </row>
        <row r="31">
          <cell r="A31" t="str">
            <v>Dayroom</v>
          </cell>
          <cell r="B31">
            <v>5</v>
          </cell>
          <cell r="C31">
            <v>0.06</v>
          </cell>
          <cell r="D31">
            <v>2.5</v>
          </cell>
          <cell r="E31">
            <v>0.3</v>
          </cell>
          <cell r="F31">
            <v>30</v>
          </cell>
        </row>
        <row r="32">
          <cell r="A32" t="str">
            <v>Disco/dance floors</v>
          </cell>
          <cell r="B32">
            <v>20</v>
          </cell>
          <cell r="C32">
            <v>0.06</v>
          </cell>
          <cell r="D32">
            <v>10</v>
          </cell>
          <cell r="E32">
            <v>0.3</v>
          </cell>
          <cell r="F32">
            <v>100</v>
          </cell>
        </row>
        <row r="33">
          <cell r="A33" t="str">
            <v>Dwelling unit</v>
          </cell>
          <cell r="B33">
            <v>5</v>
          </cell>
          <cell r="C33">
            <v>0.06</v>
          </cell>
          <cell r="D33">
            <v>2.5</v>
          </cell>
          <cell r="E33">
            <v>0.3</v>
          </cell>
          <cell r="F33">
            <v>2</v>
          </cell>
        </row>
        <row r="34">
          <cell r="A34" t="str">
            <v>Electrical equipment rooms</v>
          </cell>
          <cell r="B34">
            <v>0</v>
          </cell>
          <cell r="C34">
            <v>0.06</v>
          </cell>
          <cell r="D34">
            <v>0</v>
          </cell>
          <cell r="E34">
            <v>0.3</v>
          </cell>
          <cell r="F34">
            <v>0</v>
          </cell>
        </row>
        <row r="35">
          <cell r="A35" t="str">
            <v>Elevator machine rooms</v>
          </cell>
          <cell r="B35">
            <v>0</v>
          </cell>
          <cell r="C35">
            <v>0.12</v>
          </cell>
          <cell r="D35">
            <v>0</v>
          </cell>
          <cell r="E35">
            <v>0.6</v>
          </cell>
          <cell r="F35">
            <v>0</v>
          </cell>
        </row>
        <row r="36">
          <cell r="A36" t="str">
            <v>Gambling casinos</v>
          </cell>
          <cell r="B36">
            <v>7.5</v>
          </cell>
          <cell r="C36">
            <v>0.18</v>
          </cell>
          <cell r="D36">
            <v>3.8</v>
          </cell>
          <cell r="E36">
            <v>0.9</v>
          </cell>
          <cell r="F36">
            <v>120</v>
          </cell>
        </row>
        <row r="37">
          <cell r="A37" t="str">
            <v>Game arcades</v>
          </cell>
          <cell r="B37">
            <v>7.5</v>
          </cell>
          <cell r="C37">
            <v>0.18</v>
          </cell>
          <cell r="D37">
            <v>3.8</v>
          </cell>
          <cell r="E37">
            <v>0.9</v>
          </cell>
          <cell r="F37">
            <v>20</v>
          </cell>
        </row>
        <row r="38">
          <cell r="A38" t="str">
            <v>General manufacturing (excludes heavy industrial and processes using chemicals)</v>
          </cell>
          <cell r="B38">
            <v>10</v>
          </cell>
          <cell r="C38">
            <v>0.18</v>
          </cell>
          <cell r="D38">
            <v>5</v>
          </cell>
          <cell r="E38">
            <v>0.9</v>
          </cell>
          <cell r="F38">
            <v>7</v>
          </cell>
        </row>
        <row r="39">
          <cell r="A39" t="str">
            <v>Guard stations</v>
          </cell>
          <cell r="B39">
            <v>5</v>
          </cell>
          <cell r="C39">
            <v>0.06</v>
          </cell>
          <cell r="D39">
            <v>2.5</v>
          </cell>
          <cell r="E39">
            <v>0.3</v>
          </cell>
          <cell r="F39">
            <v>15</v>
          </cell>
        </row>
        <row r="40">
          <cell r="A40" t="str">
            <v>Gym, stadium (play area)</v>
          </cell>
          <cell r="B40">
            <v>0</v>
          </cell>
          <cell r="C40">
            <v>0.3</v>
          </cell>
          <cell r="D40">
            <v>0</v>
          </cell>
          <cell r="E40">
            <v>1.5</v>
          </cell>
          <cell r="F40">
            <v>30</v>
          </cell>
        </row>
        <row r="41">
          <cell r="A41" t="str">
            <v>Health club/aerobics room</v>
          </cell>
          <cell r="B41">
            <v>20</v>
          </cell>
          <cell r="C41">
            <v>0.06</v>
          </cell>
          <cell r="D41">
            <v>10</v>
          </cell>
          <cell r="E41">
            <v>0.3</v>
          </cell>
          <cell r="F41">
            <v>40</v>
          </cell>
        </row>
        <row r="42">
          <cell r="A42" t="str">
            <v>Health club/weight rooms</v>
          </cell>
          <cell r="B42">
            <v>20</v>
          </cell>
          <cell r="C42">
            <v>0.06</v>
          </cell>
          <cell r="D42">
            <v>10</v>
          </cell>
          <cell r="E42">
            <v>0.3</v>
          </cell>
          <cell r="F42">
            <v>10</v>
          </cell>
        </row>
        <row r="43">
          <cell r="A43" t="str">
            <v>Kitchen (cooking)</v>
          </cell>
          <cell r="B43">
            <v>7.5</v>
          </cell>
          <cell r="C43">
            <v>0.12</v>
          </cell>
          <cell r="D43">
            <v>3.8</v>
          </cell>
          <cell r="E43">
            <v>0.6</v>
          </cell>
          <cell r="F43">
            <v>20</v>
          </cell>
        </row>
        <row r="44">
          <cell r="A44" t="str">
            <v>Laundry rooms within dwelling units</v>
          </cell>
          <cell r="B44">
            <v>5</v>
          </cell>
          <cell r="C44">
            <v>0.12</v>
          </cell>
          <cell r="D44">
            <v>2.5</v>
          </cell>
          <cell r="E44">
            <v>0.6</v>
          </cell>
          <cell r="F44">
            <v>10</v>
          </cell>
        </row>
        <row r="45">
          <cell r="A45" t="str">
            <v>Laundry rooms, central</v>
          </cell>
          <cell r="B45">
            <v>5</v>
          </cell>
          <cell r="C45">
            <v>0.12</v>
          </cell>
          <cell r="D45">
            <v>2.5</v>
          </cell>
          <cell r="E45">
            <v>0.6</v>
          </cell>
          <cell r="F45">
            <v>10</v>
          </cell>
        </row>
        <row r="46">
          <cell r="A46" t="str">
            <v>Lecture classroom</v>
          </cell>
          <cell r="B46">
            <v>7.5</v>
          </cell>
          <cell r="C46">
            <v>0.06</v>
          </cell>
          <cell r="D46">
            <v>3.8</v>
          </cell>
          <cell r="E46">
            <v>0.3</v>
          </cell>
          <cell r="F46">
            <v>65</v>
          </cell>
        </row>
        <row r="47">
          <cell r="A47" t="str">
            <v>Lecture hall (fixed seats)</v>
          </cell>
          <cell r="B47">
            <v>7.5</v>
          </cell>
          <cell r="C47">
            <v>0.06</v>
          </cell>
          <cell r="D47">
            <v>3.8</v>
          </cell>
          <cell r="E47">
            <v>0.3</v>
          </cell>
          <cell r="F47">
            <v>150</v>
          </cell>
        </row>
        <row r="48">
          <cell r="A48" t="str">
            <v>Legislative chambers</v>
          </cell>
          <cell r="B48">
            <v>5</v>
          </cell>
          <cell r="C48">
            <v>0.06</v>
          </cell>
          <cell r="D48">
            <v>2.5</v>
          </cell>
          <cell r="E48">
            <v>0.3</v>
          </cell>
          <cell r="F48">
            <v>50</v>
          </cell>
        </row>
        <row r="49">
          <cell r="A49" t="str">
            <v>Libraries</v>
          </cell>
          <cell r="B49">
            <v>5</v>
          </cell>
          <cell r="C49">
            <v>0.12</v>
          </cell>
          <cell r="D49">
            <v>2.5</v>
          </cell>
          <cell r="E49">
            <v>0.6</v>
          </cell>
          <cell r="F49">
            <v>10</v>
          </cell>
        </row>
        <row r="50">
          <cell r="A50" t="str">
            <v>Lobbies</v>
          </cell>
          <cell r="B50">
            <v>5</v>
          </cell>
          <cell r="C50">
            <v>0.06</v>
          </cell>
          <cell r="D50">
            <v>2.5</v>
          </cell>
          <cell r="E50">
            <v>0.3</v>
          </cell>
          <cell r="F50">
            <v>150</v>
          </cell>
        </row>
        <row r="51">
          <cell r="A51" t="str">
            <v>Lobbies/prefunction</v>
          </cell>
          <cell r="B51">
            <v>7.5</v>
          </cell>
          <cell r="C51">
            <v>0.06</v>
          </cell>
          <cell r="D51">
            <v>3.8</v>
          </cell>
          <cell r="E51">
            <v>0.3</v>
          </cell>
          <cell r="F51">
            <v>30</v>
          </cell>
        </row>
        <row r="52">
          <cell r="A52" t="str">
            <v>Main entry lobbies</v>
          </cell>
          <cell r="B52">
            <v>5</v>
          </cell>
          <cell r="C52">
            <v>0.06</v>
          </cell>
          <cell r="D52">
            <v>2.5</v>
          </cell>
          <cell r="E52">
            <v>0.3</v>
          </cell>
          <cell r="F52">
            <v>10</v>
          </cell>
        </row>
        <row r="53">
          <cell r="A53" t="str">
            <v>Mall common areas</v>
          </cell>
          <cell r="B53">
            <v>7.5</v>
          </cell>
          <cell r="C53">
            <v>0.06</v>
          </cell>
          <cell r="D53">
            <v>3.8</v>
          </cell>
          <cell r="E53">
            <v>0.3</v>
          </cell>
          <cell r="F53">
            <v>40</v>
          </cell>
        </row>
        <row r="54">
          <cell r="A54" t="str">
            <v>Media center</v>
          </cell>
          <cell r="B54">
            <v>10</v>
          </cell>
          <cell r="C54">
            <v>0.12</v>
          </cell>
          <cell r="D54">
            <v>5</v>
          </cell>
          <cell r="E54">
            <v>0.6</v>
          </cell>
          <cell r="F54">
            <v>25</v>
          </cell>
        </row>
        <row r="55">
          <cell r="A55" t="str">
            <v>Multipurpose assembly</v>
          </cell>
          <cell r="B55">
            <v>5</v>
          </cell>
          <cell r="C55">
            <v>0.06</v>
          </cell>
          <cell r="D55">
            <v>2.5</v>
          </cell>
          <cell r="E55">
            <v>0.3</v>
          </cell>
          <cell r="F55">
            <v>120</v>
          </cell>
        </row>
        <row r="56">
          <cell r="A56" t="str">
            <v>Multi-use assembly</v>
          </cell>
          <cell r="B56">
            <v>7.5</v>
          </cell>
          <cell r="C56">
            <v>0.06</v>
          </cell>
          <cell r="D56">
            <v>3.8</v>
          </cell>
          <cell r="E56">
            <v>0.3</v>
          </cell>
          <cell r="F56">
            <v>100</v>
          </cell>
        </row>
        <row r="57">
          <cell r="A57" t="str">
            <v>Museums (children’s)</v>
          </cell>
          <cell r="B57">
            <v>7.5</v>
          </cell>
          <cell r="C57">
            <v>0.12</v>
          </cell>
          <cell r="D57">
            <v>3.8</v>
          </cell>
          <cell r="E57">
            <v>0.6</v>
          </cell>
          <cell r="F57">
            <v>40</v>
          </cell>
        </row>
        <row r="58">
          <cell r="A58" t="str">
            <v>Museums/galleries</v>
          </cell>
          <cell r="B58">
            <v>7.5</v>
          </cell>
          <cell r="C58">
            <v>0.06</v>
          </cell>
          <cell r="D58">
            <v>3.8</v>
          </cell>
          <cell r="E58">
            <v>0.3</v>
          </cell>
          <cell r="F58">
            <v>40</v>
          </cell>
        </row>
        <row r="59">
          <cell r="A59" t="str">
            <v>Music/theater/dance</v>
          </cell>
          <cell r="B59">
            <v>10</v>
          </cell>
          <cell r="C59">
            <v>0.06</v>
          </cell>
          <cell r="D59">
            <v>5</v>
          </cell>
          <cell r="E59">
            <v>0.3</v>
          </cell>
          <cell r="F59">
            <v>35</v>
          </cell>
        </row>
        <row r="60">
          <cell r="A60" t="str">
            <v>Occupiable storage rooms for liquids or gels</v>
          </cell>
          <cell r="B60">
            <v>5</v>
          </cell>
          <cell r="C60">
            <v>0.12</v>
          </cell>
          <cell r="D60">
            <v>2.5</v>
          </cell>
          <cell r="E60">
            <v>0.6</v>
          </cell>
          <cell r="F60">
            <v>2</v>
          </cell>
        </row>
        <row r="61">
          <cell r="A61" t="str">
            <v>Occupiable storage rooms for dry materials</v>
          </cell>
          <cell r="B61">
            <v>5</v>
          </cell>
          <cell r="C61">
            <v>0.06</v>
          </cell>
          <cell r="D61">
            <v>2.5</v>
          </cell>
          <cell r="E61">
            <v>0.3</v>
          </cell>
          <cell r="F61">
            <v>2</v>
          </cell>
        </row>
        <row r="62">
          <cell r="A62" t="str">
            <v>Office space</v>
          </cell>
          <cell r="B62">
            <v>5</v>
          </cell>
          <cell r="C62">
            <v>0.06</v>
          </cell>
          <cell r="D62">
            <v>2.5</v>
          </cell>
          <cell r="E62">
            <v>0.3</v>
          </cell>
          <cell r="F62">
            <v>5</v>
          </cell>
        </row>
        <row r="63">
          <cell r="A63" t="str">
            <v>Pet shops (animal areas)</v>
          </cell>
          <cell r="B63">
            <v>7.5</v>
          </cell>
          <cell r="C63">
            <v>0.18</v>
          </cell>
          <cell r="D63">
            <v>3.8</v>
          </cell>
          <cell r="E63">
            <v>0.9</v>
          </cell>
          <cell r="F63">
            <v>10</v>
          </cell>
        </row>
        <row r="64">
          <cell r="A64" t="str">
            <v>Pharmacy (prep. area)</v>
          </cell>
          <cell r="B64">
            <v>5</v>
          </cell>
          <cell r="C64">
            <v>0.18</v>
          </cell>
          <cell r="D64">
            <v>2.5</v>
          </cell>
          <cell r="E64">
            <v>0.9</v>
          </cell>
          <cell r="F64">
            <v>10</v>
          </cell>
        </row>
        <row r="65">
          <cell r="A65" t="str">
            <v>Photo studios</v>
          </cell>
          <cell r="B65">
            <v>5</v>
          </cell>
          <cell r="C65">
            <v>0.12</v>
          </cell>
          <cell r="D65">
            <v>2.5</v>
          </cell>
          <cell r="E65">
            <v>0.6</v>
          </cell>
          <cell r="F65">
            <v>10</v>
          </cell>
        </row>
        <row r="66">
          <cell r="A66" t="str">
            <v>Places of religious worship</v>
          </cell>
          <cell r="B66">
            <v>5</v>
          </cell>
          <cell r="C66">
            <v>0.06</v>
          </cell>
          <cell r="D66">
            <v>2.5</v>
          </cell>
          <cell r="E66">
            <v>0.3</v>
          </cell>
          <cell r="F66">
            <v>120</v>
          </cell>
        </row>
        <row r="67">
          <cell r="A67" t="str">
            <v>Reception areas</v>
          </cell>
          <cell r="B67">
            <v>5</v>
          </cell>
          <cell r="C67">
            <v>0.06</v>
          </cell>
          <cell r="D67">
            <v>2.5</v>
          </cell>
          <cell r="E67">
            <v>0.3</v>
          </cell>
          <cell r="F67">
            <v>30</v>
          </cell>
        </row>
        <row r="68">
          <cell r="A68" t="str">
            <v>Restaurant dining rooms</v>
          </cell>
          <cell r="B68">
            <v>7.5</v>
          </cell>
          <cell r="C68">
            <v>0.18</v>
          </cell>
          <cell r="D68">
            <v>3.8</v>
          </cell>
          <cell r="E68">
            <v>0.9</v>
          </cell>
          <cell r="F68">
            <v>70</v>
          </cell>
        </row>
        <row r="69">
          <cell r="A69" t="str">
            <v>Sales</v>
          </cell>
          <cell r="B69">
            <v>7.5</v>
          </cell>
          <cell r="C69">
            <v>0.12</v>
          </cell>
          <cell r="D69">
            <v>3.8</v>
          </cell>
          <cell r="E69">
            <v>0.6</v>
          </cell>
          <cell r="F69">
            <v>15</v>
          </cell>
        </row>
        <row r="70">
          <cell r="A70" t="str">
            <v>Science laboratories</v>
          </cell>
          <cell r="B70">
            <v>10</v>
          </cell>
          <cell r="C70">
            <v>0.18</v>
          </cell>
          <cell r="D70">
            <v>5</v>
          </cell>
          <cell r="E70">
            <v>0.9</v>
          </cell>
          <cell r="F70">
            <v>25</v>
          </cell>
        </row>
        <row r="71">
          <cell r="A71" t="str">
            <v>Shipping/receiving</v>
          </cell>
          <cell r="C71">
            <v>0.12</v>
          </cell>
          <cell r="D71">
            <v>5</v>
          </cell>
          <cell r="E71">
            <v>0.6</v>
          </cell>
          <cell r="F71">
            <v>0</v>
          </cell>
        </row>
        <row r="72">
          <cell r="A72" t="str">
            <v>Sorting, packing, light assembly</v>
          </cell>
          <cell r="B72">
            <v>7.5</v>
          </cell>
          <cell r="C72">
            <v>0.12</v>
          </cell>
          <cell r="D72">
            <v>3.8</v>
          </cell>
          <cell r="E72">
            <v>0.6</v>
          </cell>
          <cell r="F72">
            <v>7</v>
          </cell>
        </row>
        <row r="73">
          <cell r="A73" t="str">
            <v>Spectator areas</v>
          </cell>
          <cell r="B73">
            <v>7.5</v>
          </cell>
          <cell r="C73">
            <v>0.06</v>
          </cell>
          <cell r="D73">
            <v>3.8</v>
          </cell>
          <cell r="E73">
            <v>0.3</v>
          </cell>
          <cell r="F73">
            <v>150</v>
          </cell>
        </row>
        <row r="74">
          <cell r="A74" t="str">
            <v>Sports arena (play area)</v>
          </cell>
          <cell r="B74">
            <v>0</v>
          </cell>
          <cell r="C74">
            <v>0.3</v>
          </cell>
          <cell r="D74">
            <v>0</v>
          </cell>
          <cell r="E74">
            <v>1.5</v>
          </cell>
          <cell r="F74">
            <v>0</v>
          </cell>
        </row>
        <row r="75">
          <cell r="A75" t="str">
            <v>Stages, studios</v>
          </cell>
          <cell r="B75">
            <v>10</v>
          </cell>
          <cell r="C75">
            <v>0.06</v>
          </cell>
          <cell r="D75">
            <v>5</v>
          </cell>
          <cell r="E75">
            <v>0.3</v>
          </cell>
          <cell r="F75">
            <v>70</v>
          </cell>
        </row>
        <row r="76">
          <cell r="A76" t="str">
            <v>Storage rooms</v>
          </cell>
          <cell r="B76">
            <v>0</v>
          </cell>
          <cell r="C76">
            <v>0.12</v>
          </cell>
          <cell r="D76">
            <v>0</v>
          </cell>
          <cell r="E76">
            <v>0.6</v>
          </cell>
          <cell r="F76">
            <v>0</v>
          </cell>
        </row>
        <row r="77">
          <cell r="A77" t="str">
            <v>Supermarket</v>
          </cell>
          <cell r="B77">
            <v>7.5</v>
          </cell>
          <cell r="C77">
            <v>0.06</v>
          </cell>
          <cell r="D77">
            <v>3.8</v>
          </cell>
          <cell r="E77">
            <v>0.3</v>
          </cell>
          <cell r="F77">
            <v>8</v>
          </cell>
        </row>
        <row r="78">
          <cell r="A78" t="str">
            <v>Swimming (pool &amp; deck)</v>
          </cell>
          <cell r="B78">
            <v>0</v>
          </cell>
          <cell r="C78">
            <v>0.48</v>
          </cell>
          <cell r="D78">
            <v>0</v>
          </cell>
          <cell r="E78">
            <v>2.4</v>
          </cell>
          <cell r="F78">
            <v>0</v>
          </cell>
        </row>
        <row r="79">
          <cell r="A79" t="str">
            <v>Telephone closets</v>
          </cell>
          <cell r="B79">
            <v>0</v>
          </cell>
          <cell r="C79">
            <v>0</v>
          </cell>
          <cell r="D79">
            <v>0</v>
          </cell>
          <cell r="E79">
            <v>0</v>
          </cell>
          <cell r="F79">
            <v>0</v>
          </cell>
        </row>
        <row r="80">
          <cell r="A80" t="str">
            <v>Telephone/data entry</v>
          </cell>
          <cell r="B80">
            <v>5</v>
          </cell>
          <cell r="C80">
            <v>0.06</v>
          </cell>
          <cell r="D80">
            <v>2.5</v>
          </cell>
          <cell r="E80">
            <v>0.3</v>
          </cell>
          <cell r="F80">
            <v>60</v>
          </cell>
        </row>
        <row r="81">
          <cell r="A81" t="str">
            <v>Transportation waiting</v>
          </cell>
          <cell r="B81">
            <v>7.5</v>
          </cell>
          <cell r="C81">
            <v>0.06</v>
          </cell>
          <cell r="D81">
            <v>3.8</v>
          </cell>
          <cell r="E81">
            <v>0.3</v>
          </cell>
          <cell r="F81">
            <v>100</v>
          </cell>
        </row>
        <row r="82">
          <cell r="A82" t="str">
            <v>University/college laboratories</v>
          </cell>
          <cell r="B82">
            <v>10</v>
          </cell>
          <cell r="C82">
            <v>0.18</v>
          </cell>
          <cell r="D82">
            <v>5</v>
          </cell>
          <cell r="E82">
            <v>0.9</v>
          </cell>
          <cell r="F82">
            <v>25</v>
          </cell>
        </row>
        <row r="83">
          <cell r="A83" t="str">
            <v>Warehouses</v>
          </cell>
          <cell r="B83">
            <v>0</v>
          </cell>
          <cell r="C83">
            <v>0.06</v>
          </cell>
          <cell r="D83">
            <v>5</v>
          </cell>
          <cell r="E83">
            <v>0.3</v>
          </cell>
          <cell r="F83">
            <v>0</v>
          </cell>
        </row>
        <row r="84">
          <cell r="A84" t="str">
            <v>Wood/metal shop</v>
          </cell>
          <cell r="B84">
            <v>10</v>
          </cell>
          <cell r="C84">
            <v>0.18</v>
          </cell>
          <cell r="D84">
            <v>5</v>
          </cell>
          <cell r="E84">
            <v>0.9</v>
          </cell>
          <cell r="F84">
            <v>20</v>
          </cell>
        </row>
      </sheetData>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H11_VAV_SCHEDULES"/>
      <sheetName val="Sheet1"/>
      <sheetName val="VAV Schedules (Linked to AHU Ps"/>
    </sheetNames>
    <sheetDataSet>
      <sheetData sheetId="0"/>
      <sheetData sheetId="1" refreshError="1"/>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Rushikesh Patil" id="{4EB4B6F3-1969-DB48-B081-3832009A33BA}" userId="S::rdp352@nyu.edu::e20300c4-5136-4b7e-8e5f-b0b27a3a3193" providerId="AD"/>
  <person displayName="Rushikesh Patil" id="{9818FCBF-2832-490A-8648-B86041484521}" userId="S::rush@scengineers.net::e09f5b4c-6f79-40b3-8f92-59a767b90d3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7755F1-7D0D-48B8-9F51-548BD5F89DD0}" name="AHU_Options" displayName="AHU_Options" ref="B25:Y28" totalsRowShown="0" headerRowDxfId="883" dataDxfId="881" headerRowBorderDxfId="882" tableBorderDxfId="880" totalsRowBorderDxfId="879">
  <autoFilter ref="B25:Y28" xr:uid="{917755F1-7D0D-48B8-9F51-548BD5F89DD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17E8A70B-31DB-4E62-8AE7-B7490EBADF0B}" name="AHU NAME" dataDxfId="878"/>
    <tableColumn id="18" xr3:uid="{366DBBF2-20A8-4D60-93FE-3D5A81578DB0}" name="DISCHARGE CONFIG" dataDxfId="877"/>
    <tableColumn id="19" xr3:uid="{0CEE3843-A0BB-4053-8B60-160B8D23C3A1}" name="RETURN CONFIG" dataDxfId="876"/>
    <tableColumn id="2" xr3:uid="{A907651C-1565-4CA5-8395-FBF4A48F82DF}" name="SUPPLY FAN VFD" dataDxfId="875"/>
    <tableColumn id="3" xr3:uid="{A1BA734B-6B37-4C81-BB00-B96C74EABC9E}" name="RETURN FAN" dataDxfId="874"/>
    <tableColumn id="4" xr3:uid="{1A2A118E-5D50-4E1F-8178-C4EFA7C8AFB2}" name="RETURN FAN VFD" dataDxfId="873"/>
    <tableColumn id="5" xr3:uid="{9789DB90-BB58-4C9A-84AA-733010BD2ABF}" name="ECONOMIZER" dataDxfId="872"/>
    <tableColumn id="6" xr3:uid="{7F342EF1-E9D4-4167-9F2C-FB7ECDD16AC5}" name="HEAT RECOVERY" dataDxfId="871"/>
    <tableColumn id="7" xr3:uid="{26A7AB30-2773-4D3A-B047-D020B43C98AD}" name="PREHEAT COIL" dataDxfId="870"/>
    <tableColumn id="8" xr3:uid="{698E1BCF-A037-4D50-BC22-BF171E579A40}" name="REHEAT COIL" dataDxfId="869"/>
    <tableColumn id="9" xr3:uid="{E1206B26-EAF7-482D-90C7-BD9B25AC7DF4}" name="SUPPLY SMOKE" dataDxfId="868"/>
    <tableColumn id="10" xr3:uid="{3C1D9E90-D1DB-4131-ACF1-AE091BA0F570}" name="RETURN SMOKE" dataDxfId="867"/>
    <tableColumn id="11" xr3:uid="{42FFA5A3-94D2-4855-A74E-B15F86BB7CA6}" name="SINGLE POWER" dataDxfId="866"/>
    <tableColumn id="12" xr3:uid="{A9CF85BF-E075-40CD-A3D8-8F54B4742E17}" name="UV LIGHTS" dataDxfId="865"/>
    <tableColumn id="13" xr3:uid="{E6598DEC-673D-4041-8DFD-65E1B4E86C00}" name="PRE FILTER " dataDxfId="864"/>
    <tableColumn id="14" xr3:uid="{A42CA4AB-ECDB-4F8E-9F88-493EE19C6264}" name="INTERMIDIATE FILTER" dataDxfId="863"/>
    <tableColumn id="15" xr3:uid="{7E317255-F402-493B-BA5E-6339E59F2B79}" name="ATFP DAMPERS" dataDxfId="862"/>
    <tableColumn id="16" xr3:uid="{F81087CC-928B-4AE1-A5CB-B814D3F9D515}" name="HUMIDIFIER" dataDxfId="861"/>
    <tableColumn id="17" xr3:uid="{6D8362BD-1A4B-4899-83CC-017029BF5237}" name="HEPA FILTER" dataDxfId="860"/>
    <tableColumn id="22" xr3:uid="{59F3482B-20A0-47AA-89CF-8DDA98876CF8}" name="CODE" dataDxfId="859"/>
    <tableColumn id="20" xr3:uid="{D10B0D3B-FA35-49FF-9292-26366F343177}" name="TYPE" dataDxfId="858"/>
    <tableColumn id="21" xr3:uid="{74B1B3FA-D4EE-4D9B-9958-30AEBE9B9744}" name="OADAMPER" dataDxfId="857"/>
    <tableColumn id="23" xr3:uid="{AF977824-E504-469B-B3B3-4BE3425C11DC}" name="RELIEF FAN" dataDxfId="856"/>
    <tableColumn id="24" xr3:uid="{D9CBD2E3-63A7-4C90-AD93-0B2FC814F43A}" name="GUIDELINE 36" dataDxfId="8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82FBA77-43E2-4D73-826F-97C34E2CE94F}" name="FCU_Options" displayName="FCU_Options" ref="B33:E34" insertRow="1" totalsRowShown="0" headerRowDxfId="854" headerRowBorderDxfId="853" tableBorderDxfId="852">
  <autoFilter ref="B33:E34" xr:uid="{182FBA77-43E2-4D73-826F-97C34E2CE94F}"/>
  <tableColumns count="4">
    <tableColumn id="1" xr3:uid="{0098A9B2-A0CF-4734-9853-75BD1E871481}" name="FCU NAME"/>
    <tableColumn id="2" xr3:uid="{E518FCA8-51C6-4D10-95C4-38BA3EB12462}" name="Filter"/>
    <tableColumn id="3" xr3:uid="{D5166B13-D72C-4571-B643-3C843309A83D}" name="Heating Coil"/>
    <tableColumn id="4" xr3:uid="{CA502002-6539-45A8-BAF0-1764CE049A55}" name="Type"/>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2C3102C-3336-4D61-88EC-8F7B4BBED797}" name="Humidifier_schedule" displayName="Humidifier_schedule" ref="A5:J6" insertRow="1" totalsRowShown="0">
  <autoFilter ref="A5:J6" xr:uid="{22C3102C-3336-4D61-88EC-8F7B4BBED797}"/>
  <tableColumns count="10">
    <tableColumn id="1" xr3:uid="{1020DD8C-EE4B-4D70-83F8-B2E122E80E01}" name="Tag"/>
    <tableColumn id="2" xr3:uid="{EE28FA77-BF80-459A-B1AA-CC13627DF9B5}" name="CFM"/>
    <tableColumn id="3" xr3:uid="{F05668B4-EE9F-4F8B-B139-4C4DD6905708}" name="OAT DB"/>
    <tableColumn id="4" xr3:uid="{7C683D11-84C3-46C8-8C50-ED3783ED75C2}" name="OAT WB"/>
    <tableColumn id="5" xr3:uid="{15A07F63-0921-49D0-A4E1-F55A74D217E0}" name="LAT DB"/>
    <tableColumn id="6" xr3:uid="{6C0648A2-0EE0-476A-9B10-B5D116CF83FD}" name="LAT WB"/>
    <tableColumn id="7" xr3:uid="{6D4A8D90-CA6A-401A-AD1F-BEB11307B223}" name="MAT DB"/>
    <tableColumn id="8" xr3:uid="{94EC8528-D833-4485-9B56-182CE61D0705}" name="MAT WB"/>
    <tableColumn id="9" xr3:uid="{81FBEC70-B67E-4A06-9E64-CD2A162CD88D}" name="lbs/hr"/>
    <tableColumn id="10" xr3:uid="{864EF201-A0BD-414C-BB12-96BD2B2A03F2}" name="Drain rate (GPM)"/>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113C620-49A9-45F8-90C7-F43B38D7A386}" name="TABLE4A4398" displayName="TABLE4A4398" ref="B4:AT13" totalsRowCount="1" headerRowDxfId="849" dataDxfId="847" totalsRowDxfId="845" headerRowBorderDxfId="848" tableBorderDxfId="846" totalsRowBorderDxfId="844">
  <autoFilter ref="B4:AT12" xr:uid="{524E3D6C-149E-4F0C-99B8-D02F54E8F335}"/>
  <sortState xmlns:xlrd2="http://schemas.microsoft.com/office/spreadsheetml/2017/richdata2" ref="B5:AS5">
    <sortCondition ref="B4:B5"/>
  </sortState>
  <tableColumns count="45">
    <tableColumn id="2" xr3:uid="{75F5D034-2167-48F2-8558-2A694E35E16F}" name="ZONE" dataDxfId="843" totalsRowDxfId="842"/>
    <tableColumn id="3" xr3:uid="{0F7C2FD8-8C97-4466-9519-526E2650935C}" name="ROOM" dataDxfId="841" totalsRowDxfId="840"/>
    <tableColumn id="4" xr3:uid="{95B8566D-E230-43A1-95EE-79F6022A54E2}" name="ROOM _x000a_NUMBER" dataDxfId="839" totalsRowDxfId="838"/>
    <tableColumn id="5" xr3:uid="{A005166F-99F0-4977-9137-A971210A2C73}" name="AREA _x000a_(FT²)" totalsRowFunction="sum" dataDxfId="837" totalsRowDxfId="836"/>
    <tableColumn id="6" xr3:uid="{5E622632-BAB2-4765-BF3A-120496AAAC63}" name="HG_x000a_(FT)" dataDxfId="835" totalsRowDxfId="834"/>
    <tableColumn id="8" xr3:uid="{22F7FA9C-5655-4974-885B-464147533B76}" name="100%_x000a_EA" dataDxfId="833" totalsRowDxfId="832">
      <calculatedColumnFormula>VLOOKUP($K5,'UMC Table 4-A'!$A$2:$E$132,5,FALSE)</calculatedColumnFormula>
    </tableColumn>
    <tableColumn id="1" xr3:uid="{E1CF5434-3260-4C6E-8FEF-41A00D79BBCC}" name="Desired Air Balance Difference" dataDxfId="831" totalsRowDxfId="830"/>
    <tableColumn id="10" xr3:uid="{D5D3292B-72B6-490D-9D6C-1DF61B341B89}" name="LOAD _x000a_(CFM)" dataDxfId="829" totalsRowDxfId="828"/>
    <tableColumn id="12" xr3:uid="{8DD58795-6E8A-4E1F-A48E-4C781960455E}" name="1 or 0.5 CFM/SF" dataDxfId="827" totalsRowDxfId="826">
      <calculatedColumnFormula>IF(OR((K5="PATIENT CORRIDOR"),(K5="TOILET")),(E5*0.5),E5)</calculatedColumnFormula>
    </tableColumn>
    <tableColumn id="13" xr3:uid="{73844B7E-2708-4B37-B53F-155B107C314B}" name="FUNCTION OR SPACE" dataDxfId="825" totalsRowDxfId="824"/>
    <tableColumn id="14" xr3:uid="{BF1CC012-1946-46F7-9FD5-D156235B7028}" name="PRESSURE RELATIONSHIP TO ADJACENT AREAS" dataDxfId="823" totalsRowDxfId="822">
      <calculatedColumnFormula>VLOOKUP($K5,'UMC Table 4-A'!$A$2:$E$132,2,FALSE)</calculatedColumnFormula>
    </tableColumn>
    <tableColumn id="15" xr3:uid="{85B7FA28-6671-44B6-9F78-F6F689F47C29}" name="MIN OUTDOOR ACH_x000a_(AC/HR)" dataDxfId="821" totalsRowDxfId="820">
      <calculatedColumnFormula>VLOOKUP($K5,'UMC Table 4-A'!$A$2:$E$132,3,FALSE)</calculatedColumnFormula>
    </tableColumn>
    <tableColumn id="16" xr3:uid="{2DECFFEF-7BC4-4310-8A88-C1EB2C913EAF}" name="MIN OUTDOOR ACH _x000a_(CFM)" totalsRowFunction="sum" dataDxfId="819" totalsRowDxfId="818">
      <calculatedColumnFormula>IF(TABLE4A4398[[#This Row],[FUNCTION OR SPACE]]="NOT PER TABLE 4A","NA",IF(M5&lt;&gt;"NR",ROUNDUP((E5*F5*M5)/60,-1),0))</calculatedColumnFormula>
    </tableColumn>
    <tableColumn id="7" xr3:uid="{9AA6B0D6-AADF-41C3-892A-67A137FE52CF}" name="MIN TOTAL ACH (AC/HR)" dataDxfId="817" totalsRowDxfId="816">
      <calculatedColumnFormula>VLOOKUP($K5,'UMC Table 4-A'!$A$2:$E$132,4,FALSE)</calculatedColumnFormula>
    </tableColumn>
    <tableColumn id="11" xr3:uid="{D0F8340D-A3A4-482A-A993-59E8E490E481}" name="MIN TOTAL ACH _x000a_(CFM)" totalsRowFunction="sum" dataDxfId="815" totalsRowDxfId="814">
      <calculatedColumnFormula>IF(TABLE4A4398[[#This Row],[FUNCTION OR SPACE]]="NOT PER TABLE 4A","NA",IF(O5&lt;&gt;"NR",ROUNDUP((E5*F5*O5)/60,-1),0))</calculatedColumnFormula>
    </tableColumn>
    <tableColumn id="17" xr3:uid="{C8F29BBC-DBFD-4307-8426-4B0D9C523232}" name="100% EA_x000a_ (YES/NR)" dataDxfId="813" totalsRowDxfId="812">
      <calculatedColumnFormula>VLOOKUP($K5,'UMC Table 4-A'!$A$2:$E$132,5,FALSE)</calculatedColumnFormula>
    </tableColumn>
    <tableColumn id="9" xr3:uid="{D61DB494-0A8F-4ACF-83B7-9F7C3E8A654E}" name="MIN EA _x000a_(CFM)" totalsRowFunction="sum" dataDxfId="811" totalsRowDxfId="810">
      <calculatedColumnFormula>IF(G5="Yes",P5,0)</calculatedColumnFormula>
    </tableColumn>
    <tableColumn id="36" xr3:uid="{E8D8DD45-77F8-4F99-9F4B-048638BDC1F6}" name="Exhaust Category" dataDxfId="809" totalsRowDxfId="808"/>
    <tableColumn id="35" xr3:uid="{18022B78-0D85-44BF-9F19-C044E83FFDAA}" name="ASHRAE_x000a_EXHAUST UNIT" dataDxfId="807" totalsRowDxfId="806"/>
    <tableColumn id="31" xr3:uid="{C440ED2D-AFFF-48D0-9FEA-89DC4EFFCF4B}" name="OCCUPANCY CATEGORY" dataDxfId="805" totalsRowDxfId="804"/>
    <tableColumn id="32" xr3:uid="{E2523F8E-F9D6-4E6C-9621-433B3575BF74}" name="RP_x000a_(CFM/PER PERSON)" dataDxfId="803" totalsRowDxfId="802">
      <calculatedColumnFormula>IF(TABLE4A4398[[#This Row],[FUNCTION OR SPACE]]="NOT PER TABLE 4A",VLOOKUP(TABLE4A4398[[#This Row],[OCCUPANCY CATEGORY]],Ashrae90.1Vent[#All],2,FALSE),"NA")</calculatedColumnFormula>
    </tableColumn>
    <tableColumn id="33" xr3:uid="{5FE63643-0612-4E35-A216-6D7C72AAD340}" name="RA_x000a_(CFM/FT²)" dataDxfId="801" totalsRowDxfId="800">
      <calculatedColumnFormula>IF(TABLE4A4398[[#This Row],[FUNCTION OR SPACE]]="NOT PER TABLE 4A", VLOOKUP(TABLE4A4398[[#This Row],[OCCUPANCY CATEGORY]],Ashrae90.1Vent[#All],3,FALSE),"NA")</calculatedColumnFormula>
    </tableColumn>
    <tableColumn id="38" xr3:uid="{B359A8F0-3D1F-45B3-AFF7-EC86BDEAABDE}" name="OCCUPANT DENSITY_x000a_(#/1000 FT²)" dataDxfId="799" totalsRowDxfId="798">
      <calculatedColumnFormula>VLOOKUP(TABLE4A4398[[#This Row],[OCCUPANCY CATEGORY]],Ashrae90.1Vent[#All],4,FALSE)</calculatedColumnFormula>
    </tableColumn>
    <tableColumn id="39" xr3:uid="{820EE2EB-ECBD-4ED5-A5F9-9120E8B40194}" name="Air Class" dataDxfId="797" totalsRowDxfId="796">
      <calculatedColumnFormula>IF(TABLE4A4398[[#This Row],[FUNCTION OR SPACE]]="NOT PER TABLE 4A",VLOOKUP(TABLE4A4398[[#This Row],[OCCUPANCY CATEGORY]],Ashrae90.1Vent[#All],5,FALSE),"NA")</calculatedColumnFormula>
    </tableColumn>
    <tableColumn id="40" xr3:uid="{ED56158D-3101-4B65-BF75-95B2D013286F}" name="Actual Number of  Occupants (Ps)" totalsRowFunction="sum" dataDxfId="795" totalsRowDxfId="794">
      <calculatedColumnFormula>IF(TABLE4A4398[[#This Row],[FUNCTION OR SPACE]]="NOT PER TABLE 4A",TABLE4A4398[[#This Row],[Occupants (Pz)]],"NA")</calculatedColumnFormula>
    </tableColumn>
    <tableColumn id="41" xr3:uid="{3D300AA7-3BC0-4F9E-A529-1B623C116627}" name="Occupants (Pz)" totalsRowFunction="sum" dataDxfId="793" totalsRowDxfId="792">
      <calculatedColumnFormula>IF(TABLE4A4398[[#This Row],[FUNCTION OR SPACE]]="NOT PER TABLE 4A",CEILING((X5/1000)*E5,1),"NA")</calculatedColumnFormula>
    </tableColumn>
    <tableColumn id="34" xr3:uid="{9A10D821-019D-4768-B5CD-4F60A341F097}" name="DIVERSITY (D)" dataDxfId="791" totalsRowDxfId="790">
      <calculatedColumnFormula>IF(TABLE4A4398[[#This Row],[FUNCTION OR SPACE]]="NOT PER TABLE 4A",IF((TABLE4A4398[[#Totals],[Actual Number of  Occupants (Ps)]]/TABLE4A4398[[#Totals],[Occupants (Pz)]])&gt;1,1,TABLE4A4398[[#Totals],[Actual Number of  Occupants (Ps)]]/TABLE4A4398[[#Totals],[Occupants (Pz)]]),"NA")</calculatedColumnFormula>
    </tableColumn>
    <tableColumn id="29" xr3:uid="{DD094572-E09A-4995-B0A7-1C62C4DF4C1C}" name="Uncorrected OA (Vou)" dataDxfId="789" totalsRowDxfId="788">
      <calculatedColumnFormula>IF(TABLE4A4398[[#This Row],[FUNCTION OR SPACE]]="NOT PER TABLE 4A",(TABLE4A4398[[#This Row],[DIVERSITY (D)]]*TABLE4A4398[[#This Row],[RP
(CFM/PER PERSON)]]*TABLE4A4398[[#This Row],[Occupants (Pz)]])+(TABLE4A4398[[#This Row],[RA
(CFM/FT²)]]*TABLE4A4398[[#This Row],[AREA 
(FT²)]]),"NA")</calculatedColumnFormula>
    </tableColumn>
    <tableColumn id="30" xr3:uid="{BFD8B8AE-CE10-40EE-A240-627B2155D30A}" name="System Efficiency (Ev)" dataDxfId="787" totalsRowDxfId="786">
      <calculatedColumnFormula>IF(TABLE4A4398[[#This Row],[FUNCTION OR SPACE]]="NOT PER TABLE 4A",IF(TABLE4A4398[[#This Row],[DIVERSITY (D)]]&lt;0.6,(0.88*TABLE4A4398[[#This Row],[DIVERSITY (D)]]+0.22),0.75),"NA")</calculatedColumnFormula>
    </tableColumn>
    <tableColumn id="37" xr3:uid="{FCAC64D7-9E55-4B95-B80D-EE2A4B3140C8}" name="OUTSIDE AIRFLOW (CFM) (Vot)" dataDxfId="785" totalsRowDxfId="784">
      <calculatedColumnFormula>IF(TABLE4A4398[[#This Row],[FUNCTION OR SPACE]]="NOT PER TABLE 4A",TABLE4A4398[[#This Row],[Uncorrected OA (Vou)]]/TABLE4A4398[[#This Row],[System Efficiency (Ev)]],"NA")</calculatedColumnFormula>
    </tableColumn>
    <tableColumn id="45" xr3:uid="{8DEFDE14-82B8-4FEB-BFE6-A8E3DCF8157E}" name="EXHAUST RECOVERY" dataDxfId="783" totalsRowDxfId="782"/>
    <tableColumn id="43" xr3:uid="{553E57EC-275A-4C23-ABAA-EE610700AD32}" name="OS" dataDxfId="781" totalsRowDxfId="780">
      <calculatedColumnFormula>VLOOKUP(TABLE4A4398[[#This Row],[OCCUPANCY CATEGORY]],Ashrae90.1Vent[#All],6,FALSE)</calculatedColumnFormula>
    </tableColumn>
    <tableColumn id="49" xr3:uid="{BCEF2EF6-144B-41EA-869A-743A6587C1A2}" name="EA RATE_x000a_(CFM/UNIT)" dataDxfId="779" totalsRowDxfId="778">
      <calculatedColumnFormula>IF(TABLE4A4398[[#This Row],[Exhaust Category]]="NOT APPLICABLE","NA",VLOOKUP(TABLE4A4398[[#This Row],[Exhaust Category]],ASHRAE_EA_Table[#All],2,FALSE))</calculatedColumnFormula>
    </tableColumn>
    <tableColumn id="48" xr3:uid="{C140FDC8-801D-4A8A-9F76-A2BBB2A97DAE}" name="EA RATE_x000a_(CFM/FT²)" dataDxfId="777" totalsRowDxfId="776">
      <calculatedColumnFormula>IF(TABLE4A4398[[#This Row],[Exhaust Category]]="NOT APPLICABLE","NA",VLOOKUP(TABLE4A4398[[#This Row],[Exhaust Category]],ASHRAE_EA_Table[#All],3,FALSE))</calculatedColumnFormula>
    </tableColumn>
    <tableColumn id="42" xr3:uid="{CCE7B6C2-E1D3-4D15-BFD9-FF28C9DB5D52}" name="MIN ASHRAE EA_x000a_(CFM)" dataDxfId="775" totalsRowDxfId="774">
      <calculatedColumnFormula>IFERROR(IF(TABLE4A4398[[#This Row],[EA RATE
(CFM/UNIT)]] = 0,TABLE4A4398[[#This Row],[EA RATE
(CFM/FT²)]]*TABLE4A4398[[#This Row],[AREA 
(FT²)]],TABLE4A4398[[#This Row],[EA RATE
(CFM/UNIT)]]*TABLE4A4398[[#This Row],[ASHRAE
EXHAUST UNIT]]),0)</calculatedColumnFormula>
    </tableColumn>
    <tableColumn id="50" xr3:uid="{38F8A5D5-B157-49E8-89E8-9652F3B87258}" name="DESIGN OA (CFM)" totalsRowFunction="sum" dataDxfId="773" totalsRowDxfId="772">
      <calculatedColumnFormula>MROUND(IF(TABLE4A4398[[#This Row],[FUNCTION OR SPACE]]="NOT PER TABLE 4A",TABLE4A4398[[#This Row],[OUTSIDE AIRFLOW (CFM) (Vot)]],TABLE4A4398[[#This Row],[MIN OUTDOOR ACH 
(CFM)]]),5)</calculatedColumnFormula>
    </tableColumn>
    <tableColumn id="18" xr3:uid="{B4E4A5F2-E673-41CD-807E-EB0B06784D52}" name="CALCULATED SA _x000a_(CFM)" totalsRowFunction="sum" dataDxfId="771" totalsRowDxfId="770">
      <calculatedColumnFormula array="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calculatedColumnFormula>
    </tableColumn>
    <tableColumn id="19" xr3:uid="{592D566A-EAF9-4868-9203-EAE5805C105A}" name="DESIGN SA (CFM)" totalsRowFunction="sum" dataDxfId="769" totalsRowDxfId="768">
      <calculatedColumnFormula>TABLE4A4398[[#This Row],[CALCULATED SA 
(CFM)]]</calculatedColumnFormula>
    </tableColumn>
    <tableColumn id="20" xr3:uid="{479DA455-B30F-4304-A6BA-437ABAF457CA}" name="DESIGN RA (CFM)" totalsRowFunction="sum" dataDxfId="767" totalsRowDxfId="766">
      <calculatedColumnFormula array="1">returnair_comb(TABLE4A4398[[#This Row],[DESIGN SA (CFM)]],TABLE4A4398[[#This Row],[Desired Air Balance Difference]],TABLE4A4398[[#This Row],[100% EA
 (YES/NR)]],TABLE4A4398[[#This Row],[FUNCTION OR SPACE]],TABLE4A4398[[#This Row],[Exhaust Category]],TABLE4A4398[[#This Row],[MIN ASHRAE EA
(CFM)]])</calculatedColumnFormula>
    </tableColumn>
    <tableColumn id="21" xr3:uid="{2447FA84-AE3A-4904-ACF5-CA90B8C20D29}" name="DESIGN EA (CFM)" totalsRowFunction="sum" dataDxfId="765" totalsRowDxfId="764">
      <calculatedColumnFormula array="1">Exhaustair_comb(TABLE4A4398[[#This Row],[DESIGN SA (CFM)]],TABLE4A4398[[#This Row],[100% EA
 (YES/NR)]],TABLE4A4398[[#This Row],[MIN EA 
(CFM)]],TABLE4A4398[[#This Row],[Desired Air Balance Difference]],TABLE4A4398[[#This Row],[FUNCTION OR SPACE]],TABLE4A4398[[#This Row],[Exhaust Category]],TABLE4A4398[[#This Row],[MIN ASHRAE EA
(CFM)]])</calculatedColumnFormula>
    </tableColumn>
    <tableColumn id="22" xr3:uid="{03826812-914B-436A-8088-2B88967F7E48}" name="Transfer Air CFM" totalsRowFunction="sum" dataDxfId="763" totalsRowDxfId="762">
      <calculatedColumnFormula>AM5-AN5-AO5</calculatedColumnFormula>
    </tableColumn>
    <tableColumn id="24" xr3:uid="{AA29B302-8E46-43C4-9201-C349236070AB}" name="CFM/SF" dataDxfId="761" totalsRowDxfId="760">
      <calculatedColumnFormula>IFERROR(AL5/E5,"-")</calculatedColumnFormula>
    </tableColumn>
    <tableColumn id="25" xr3:uid="{47433AF6-25F4-4C77-BBBF-3398F6E4F534}" name="OSA PERCENT" dataDxfId="759" totalsRowDxfId="758">
      <calculatedColumnFormula>IF(TABLE4A4398[[#This Row],[DESIGN SA (CFM)]]=0,0,(TABLE4A4398[[#This Row],[DESIGN OA (CFM)]]/TABLE4A4398[[#This Row],[DESIGN SA (CFM)]])*100)</calculatedColumnFormula>
    </tableColumn>
    <tableColumn id="26" xr3:uid="{2CC1941E-3031-41CB-88C4-22FE4BDE2CF3}" name="ACH/hr" dataDxfId="757" totalsRowDxfId="756">
      <calculatedColumnFormula>AM5/E5/F5*60</calculatedColumnFormula>
    </tableColumn>
    <tableColumn id="23" xr3:uid="{96423B94-F9BC-4CDA-872C-3FEFF97968EC}" name="Balance?" dataDxfId="755" totalsRowDxfId="754">
      <calculatedColumnFormula>IF(AL5-AN5-AO5+AP5=0,"Yes","No")</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34BCADD-6596-42A1-93A2-852199BEEC51}" name="AHU_CAV_SCHEDULE441114" displayName="AHU_CAV_SCHEDULE441114" ref="A4:R7" totalsRowCount="1" headerRowDxfId="753" dataDxfId="751" totalsRowDxfId="749" headerRowBorderDxfId="752" tableBorderDxfId="750" totalsRowBorderDxfId="748">
  <autoFilter ref="A4:R6" xr:uid="{2A2B6BA6-0EAB-2349-A085-FD569408EC9D}"/>
  <tableColumns count="18">
    <tableColumn id="1" xr3:uid="{C5D95E6A-0C73-4A74-A2E8-647D33AAD0F9}" name="ZONE" totalsRowLabel="Total" dataDxfId="747" totalsRowDxfId="746"/>
    <tableColumn id="2" xr3:uid="{314B94B0-1389-404F-83E4-4AA1049F1022}" name="BASIS OF DESIGN _x000a_MANUFACTURER" dataDxfId="745" totalsRowDxfId="744"/>
    <tableColumn id="3" xr3:uid="{71BF9071-0B95-45AC-9F78-159F2BBA7A10}" name="DESCRIPTION" dataDxfId="743" totalsRowDxfId="742"/>
    <tableColumn id="4" xr3:uid="{20ABA679-9CAE-46A2-AC75-24E3416F8AE9}" name="CFM" dataDxfId="741" totalsRowDxfId="740">
      <calculatedColumnFormula>SUMIF(TABLE4A4398[ZONE],AHU_CAV_SCHEDULE441114[[#This Row],[ZONE]],TABLE4A4398[DESIGN SA (CFM)])</calculatedColumnFormula>
    </tableColumn>
    <tableColumn id="5" xr3:uid="{EB411437-B53E-4410-9476-63BDC1BDB7B1}" name="CAV INLET SIZE" dataDxfId="739" totalsRowDxfId="738">
      <calculatedColumnFormula>IFERROR((VLOOKUP(D5,'DO NOT TOUCH'!$C$9:$D$14,2,TRUE)),"TBD")</calculatedColumnFormula>
    </tableColumn>
    <tableColumn id="6" xr3:uid="{846F714B-F97C-486F-8DDA-40126A6313DE}" name="MAX TOTAL CAV PD _x000a_(IN W.G.)" dataDxfId="737" totalsRowDxfId="736">
      <calculatedColumnFormula>F4</calculatedColumnFormula>
    </tableColumn>
    <tableColumn id="7" xr3:uid="{66F138FC-ABB7-4803-8215-F15967B905F6}" name="EWT" dataDxfId="735" totalsRowDxfId="734">
      <calculatedColumnFormula>INPUT_OUTPUTS!$C$16</calculatedColumnFormula>
    </tableColumn>
    <tableColumn id="8" xr3:uid="{8FF10AD2-60ED-49B1-A888-0AD5180D7970}" name="DESIGN _x000a_LWT" dataDxfId="733" totalsRowDxfId="732">
      <calculatedColumnFormula>INPUT_OUTPUTS!$C$17</calculatedColumnFormula>
    </tableColumn>
    <tableColumn id="9" xr3:uid="{C39A4342-FBAA-4442-B7BD-4C47556C5075}" name="EAT" dataDxfId="731" totalsRowDxfId="730">
      <calculatedColumnFormula>I4</calculatedColumnFormula>
    </tableColumn>
    <tableColumn id="10" xr3:uid="{E4F5985D-BEFB-48AF-AE4D-E15C30B92458}" name="DESIGN _x000a_LAT" dataDxfId="729" totalsRowDxfId="728">
      <calculatedColumnFormula>J4</calculatedColumnFormula>
    </tableColumn>
    <tableColumn id="11" xr3:uid="{4B47405A-0987-490D-A084-8B30200952E4}" name="MIN MBH" totalsRowFunction="sum" dataDxfId="727" totalsRowDxfId="726">
      <calculatedColumnFormula>MROUND((1.08*(J5-I5)*D5)/1000,0.1)</calculatedColumnFormula>
    </tableColumn>
    <tableColumn id="12" xr3:uid="{2D26F161-8CD4-4ACB-B4CF-1593EEFA24E4}" name="AGPM" dataDxfId="725" totalsRowDxfId="724">
      <calculatedColumnFormula>(K5*1000)/(500*(G5-H5))</calculatedColumnFormula>
    </tableColumn>
    <tableColumn id="13" xr3:uid="{718A9E14-71FB-44FB-A6D9-573969303244}" name="GPM" totalsRowFunction="sum" dataDxfId="2" totalsRowDxfId="723">
      <calculatedColumnFormula>IF(L5&lt;0.5,0.5,L5)</calculatedColumnFormula>
    </tableColumn>
    <tableColumn id="18" xr3:uid="{03D1630C-B7B5-4A22-AB0F-4DC9EFF16FA6}" name="Branch Size" dataDxfId="0" totalsRowDxfId="722">
      <calculatedColumnFormula>IF($D$2 = "YES",(_xlfn.XLOOKUP(AHU_CAV_SCHEDULE441114[[#This Row],[GPM]],Hydronic_Pipe_Size[SOUND SENSITIVE],Hydronic_Pipe_Size[SIZE],"Not Found",1)),(_xlfn.XLOOKUP(AHU_CAV_SCHEDULE441114[[#This Row],[GPM]],Hydronic_Pipe_Size[GPM],Hydronic_Pipe_Size[SIZE],"Not Found",1)))</calculatedColumnFormula>
    </tableColumn>
    <tableColumn id="14" xr3:uid="{48AA7CC7-F7E3-42B2-8E54-C0090CF73D73}" name="MAX WATER _x000a_PD (FT)" dataDxfId="1" totalsRowDxfId="721">
      <calculatedColumnFormula>O4</calculatedColumnFormula>
    </tableColumn>
    <tableColumn id="15" xr3:uid="{2F879E77-08E0-4E86-ABAD-F2EC09E4C2E0}" name="OPER _x000a_WEIGHT_x000a_(LBS)" dataDxfId="720" totalsRowDxfId="719">
      <calculatedColumnFormula>IFERROR((_xlfn.XLOOKUP(E5,'DO NOT TOUCH'!$D$9:$D$14,'DO NOT TOUCH'!$E$9:$E$14,)),"TBD")</calculatedColumnFormula>
    </tableColumn>
    <tableColumn id="16" xr3:uid="{93897DAB-EFD2-4EDF-9881-CFE7F822A346}" name="MTG _x000a_DETAIL" dataDxfId="718" totalsRowDxfId="717">
      <calculatedColumnFormula>INPUT_OUTPUTS!$C$19</calculatedColumnFormula>
    </tableColumn>
    <tableColumn id="17" xr3:uid="{66A7058D-C4C4-4FEC-BC01-C8C881CF109A}" name="REMARKS" dataDxfId="716" totalsRowDxfId="715">
      <calculatedColumnFormula>R4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465A596-4458-43E1-9F47-66CDD4E01D7F}" name="Ahu_Ashrae_Generic" displayName="Ahu_Ashrae_Generic" ref="A4:AN18" totalsRowCount="1" headerRowDxfId="714" dataDxfId="712" totalsRowDxfId="710" headerRowBorderDxfId="713" tableBorderDxfId="711">
  <autoFilter ref="A4:AN17" xr:uid="{59B85608-0CD2-47F2-870C-191ADDE0C2B8}"/>
  <tableColumns count="40">
    <tableColumn id="1" xr3:uid="{13F107CA-E395-403B-99B4-65D454865F61}" name="Zone" totalsRowLabel="TOTAL" dataDxfId="709" totalsRowDxfId="708"/>
    <tableColumn id="3" xr3:uid="{F80D1C16-C418-4B4D-A569-08FF0C9FD9A1}" name="Room Number" dataDxfId="707" totalsRowDxfId="706"/>
    <tableColumn id="4" xr3:uid="{216886B4-41A5-46E5-957A-D9BC5211544A}" name="Room" totalsRowFunction="count" dataDxfId="705" totalsRowDxfId="704"/>
    <tableColumn id="6" xr3:uid="{FAEF0092-9267-4494-BA56-051894961217}" name="AREA (FT²)" totalsRowFunction="sum" dataDxfId="703" totalsRowDxfId="702"/>
    <tableColumn id="2" xr3:uid="{76ECF316-2031-47B2-9965-A43A4AD098DC}" name="Desired Room Balance" totalsRowFunction="sum" dataDxfId="701" totalsRowDxfId="700"/>
    <tableColumn id="18" xr3:uid="{85D8CA67-8705-42BF-AC57-76DEABA6CFF8}" name="Exhaust Units" dataDxfId="699" totalsRowDxfId="698"/>
    <tableColumn id="7" xr3:uid="{22DEA9EB-6829-4F94-A62D-70E9DB4118C6}" name="OFFICE STANDARD _x000a_(CFM)" dataDxfId="697" totalsRowDxfId="696">
      <calculatedColumnFormula>IF((VLOOKUP(Ahu_Ashrae_Generic[[#This Row],[Occupancy Category]],Ashrae90.1Vent[#All],7,FALSE)) = "YES",MROUND(D5/2,5),MROUND(D5,5))</calculatedColumnFormula>
    </tableColumn>
    <tableColumn id="30" xr3:uid="{187C8161-5049-492D-91E7-1288698EBFEC}" name="HEATING LOAD (CFM)" totalsRowFunction="sum" dataDxfId="695" totalsRowDxfId="694"/>
    <tableColumn id="8" xr3:uid="{7E2DDD6E-E4CD-4911-B0AB-66850CA0C7DA}" name="COOLING LOAD (CFM)" totalsRowFunction="sum" dataDxfId="693" totalsRowDxfId="692"/>
    <tableColumn id="17" xr3:uid="{AB90DFB5-D9F7-4991-B79C-73953940B8A9}" name="Exhaust Category" dataDxfId="691" totalsRowDxfId="690"/>
    <tableColumn id="5" xr3:uid="{D0FC3464-26A6-4825-B194-880E47740C1D}" name="Occupancy Category" dataDxfId="689" totalsRowDxfId="688"/>
    <tableColumn id="10" xr3:uid="{776D97F5-1DFD-4EF3-AB3B-86F72E19D6E4}" name="RP_x000a_(CFM/PER PERSON)" dataDxfId="687" totalsRowDxfId="686">
      <calculatedColumnFormula>VLOOKUP(Ahu_Ashrae_Generic[[#This Row],[Occupancy Category]],Ashrae90.1Vent[#All],2,FALSE)</calculatedColumnFormula>
    </tableColumn>
    <tableColumn id="11" xr3:uid="{76672635-C795-4F06-BEC7-0313455A053C}" name="RA_x000a_(CFM/FT²)" dataDxfId="685" totalsRowDxfId="684">
      <calculatedColumnFormula>VLOOKUP(Ahu_Ashrae_Generic[[#This Row],[Occupancy Category]],Ashrae90.1Vent[#All],3,FALSE)</calculatedColumnFormula>
    </tableColumn>
    <tableColumn id="9" xr3:uid="{8CD6DD67-6216-4CF3-8380-930B3A37E6A0}" name="OCCUPANT DENSITY_x000a_(#/1000 FT²)" dataDxfId="683" totalsRowDxfId="682">
      <calculatedColumnFormula>VLOOKUP(Ahu_Ashrae_Generic[[#This Row],[Occupancy Category]],Ashrae90.1Vent[#All],4,FALSE)</calculatedColumnFormula>
    </tableColumn>
    <tableColumn id="36" xr3:uid="{2B84F988-11BD-4257-8AD4-0E38D49C1594}" name="Occupant Component" dataDxfId="681" totalsRowDxfId="680">
      <calculatedColumnFormula>Ahu_Ashrae_Generic[[#This Row],[Occupants (Pz)]]*Ahu_Ashrae_Generic[[#This Row],[RP
(CFM/PER PERSON)]]</calculatedColumnFormula>
    </tableColumn>
    <tableColumn id="39" xr3:uid="{2BADBECE-EE13-49DD-AFCA-C121DBABD78C}" name="Area Component" dataDxfId="679" totalsRowDxfId="678">
      <calculatedColumnFormula>Ahu_Ashrae_Generic[[#This Row],[RA
(CFM/FT²)]]*Ahu_Ashrae_Generic[[#This Row],[AREA (FT²)]]</calculatedColumnFormula>
    </tableColumn>
    <tableColumn id="12" xr3:uid="{A2512039-1BFD-4637-9149-E45B36F1BCBD}" name="Air Class" dataDxfId="677" totalsRowDxfId="676">
      <calculatedColumnFormula>VLOOKUP(Ahu_Ashrae_Generic[[#This Row],[Occupancy Category]],Ashrae90.1Vent[#All],5,FALSE)</calculatedColumnFormula>
    </tableColumn>
    <tableColumn id="13" xr3:uid="{47B0F9A6-920C-43DF-A14A-8F0C04A59C11}" name="Occupants (Pz)" totalsRowFunction="sum" dataDxfId="675" totalsRowDxfId="674">
      <calculatedColumnFormula>CEILING((N5/1000)*D5,1)</calculatedColumnFormula>
    </tableColumn>
    <tableColumn id="20" xr3:uid="{D88BB767-D9CE-4502-9AE5-38238841E676}" name="DIVERSITY (D)" dataDxfId="673" totalsRowDxfId="672">
      <calculatedColumnFormula>IF(($S$1/Ahu_Ashrae_Generic[[#Totals],[Occupants (Pz)]])&gt;1,1,$S$1/Ahu_Ashrae_Generic[[#Totals],[Occupants (Pz)]])</calculatedColumnFormula>
    </tableColumn>
    <tableColumn id="14" xr3:uid="{515960F0-0D57-4682-8B27-4890C0589FBE}" name="Uncorrected OA (Vou)" totalsRowFunction="sum" dataDxfId="671" totalsRowDxfId="670">
      <calculatedColumnFormula>(Ahu_Ashrae_Generic[[#This Row],[DIVERSITY (D)]]*Ahu_Ashrae_Generic[[#This Row],[RP
(CFM/PER PERSON)]]*Ahu_Ashrae_Generic[[#This Row],[Occupants (Pz)]])+(Ahu_Ashrae_Generic[[#This Row],[RA
(CFM/FT²)]]*Ahu_Ashrae_Generic[[#This Row],[AREA (FT²)]])</calculatedColumnFormula>
    </tableColumn>
    <tableColumn id="16" xr3:uid="{44D80A74-09DA-42BB-971A-4586DD89EC4E}" name="System Efficiency (Ev)" dataDxfId="669" totalsRowDxfId="668">
      <calculatedColumnFormula>IF(Ahu_Ashrae_Generic[[#This Row],[DIVERSITY (D)]]&lt;0.6,(0.88*Ahu_Ashrae_Generic[[#This Row],[DIVERSITY (D)]]+0.22),0.75)</calculatedColumnFormula>
    </tableColumn>
    <tableColumn id="21" xr3:uid="{5A56127A-64F8-417C-A88F-2F9F5C0817E1}" name="OUTSIDE AIRFLOW (CFM) (Vot)" totalsRowFunction="sum" dataDxfId="667" totalsRowDxfId="666">
      <calculatedColumnFormula>Ahu_Ashrae_Generic[[#This Row],[Uncorrected OA (Vou)]]/Ahu_Ashrae_Generic[[#This Row],[System Efficiency (Ev)]]</calculatedColumnFormula>
    </tableColumn>
    <tableColumn id="32" xr3:uid="{F510565D-7EF1-4FFE-AD9C-E9D58436E4AB}" name="Breathing Zone OA (Vbz)" dataDxfId="665" totalsRowDxfId="664">
      <calculatedColumnFormula>(Ahu_Ashrae_Generic[[#This Row],[RP
(CFM/PER PERSON)]]*Ahu_Ashrae_Generic[[#This Row],[Occupants (Pz)]])+(Ahu_Ashrae_Generic[[#This Row],[RA
(CFM/FT²)]]*Ahu_Ashrae_Generic[[#This Row],[AREA (FT²)]])</calculatedColumnFormula>
    </tableColumn>
    <tableColumn id="25" xr3:uid="{496E79E4-1236-4F15-BD06-CB27BF479A18}" name="Zone Efficiency (Ez)" dataDxfId="663" totalsRowDxfId="662"/>
    <tableColumn id="24" xr3:uid="{44A19890-0B61-48FE-AEE6-B4AF44D95889}" name="Zone OA (Voz)" dataDxfId="661" totalsRowDxfId="660">
      <calculatedColumnFormula>Ahu_Ashrae_Generic[[#This Row],[Breathing Zone OA (Vbz)]]/Ahu_Ashrae_Generic[[#This Row],[Zone Efficiency (Ez)]]</calculatedColumnFormula>
    </tableColumn>
    <tableColumn id="34" xr3:uid="{049255D7-F302-4459-B2F6-81F01B39A78F}" name="EXHAUST RECOVERY" dataDxfId="659" totalsRowDxfId="658"/>
    <tableColumn id="33" xr3:uid="{84D3A249-3F9E-4505-B5AC-4AF46EFA1A96}" name="CO2 SENSOR" dataDxfId="657" totalsRowDxfId="656">
      <calculatedColumnFormula array="1">corequirement(Ahu_Ashrae_Generic[[#This Row],[AREA (FT²)]],Ahu_Ashrae_Generic[[#This Row],[EXHAUST RECOVERY]],INPUT_OUTPUTS!$C$6,Ahu_Ashrae_Generic[[#This Row],[Occupant Component]])</calculatedColumnFormula>
    </tableColumn>
    <tableColumn id="38" xr3:uid="{4FD9694B-3228-493F-A0BC-7381C760E767}" name="OS" dataDxfId="655" totalsRowDxfId="654">
      <calculatedColumnFormula>VLOOKUP(Ahu_Ashrae_Generic[[#This Row],[Occupancy Category]],Ashrae90.1Vent[#All],6,FALSE)</calculatedColumnFormula>
    </tableColumn>
    <tableColumn id="37" xr3:uid="{1FFAD58F-B1CC-4422-9390-3E4F6D87B6FE}" name="MIN OA ALLOWABLE (WITH DCV)" totalsRowFunction="sum" dataDxfId="653" totalsRowDxfId="652">
      <calculatedColumnFormula>IF(Ahu_Ashrae_Generic[[#This Row],[CO2 SENSOR]]="YES",IF(Ahu_Ashrae_Generic[[#This Row],[OS]]="NO",Ahu_Ashrae_Generic[[#This Row],[Area Component]],0),IF(Ahu_Ashrae_Generic[[#This Row],[OS]]="YES",Ahu_Ashrae_Generic[[#This Row],[Occupant Component]],Ahu_Ashrae_Generic[[#This Row],[OUTSIDE AIRFLOW (CFM) (Vot)]]))</calculatedColumnFormula>
    </tableColumn>
    <tableColumn id="41" xr3:uid="{EB82F0E2-5989-48A2-937C-9A5DE361598F}" name="Misc Exhaust From Room" dataDxfId="651" totalsRowDxfId="650"/>
    <tableColumn id="31" xr3:uid="{04EA3EE2-EB22-497B-87B1-DCFA9B5E63BE}" name="Exhausted?" dataDxfId="649" totalsRowDxfId="648">
      <calculatedColumnFormula>IF(Ahu_Ashrae_Generic[[#This Row],[Exhaust Category]] = "NOT APPLICABLE","NR","YES")</calculatedColumnFormula>
    </tableColumn>
    <tableColumn id="27" xr3:uid="{3CC2EE5F-91BA-47CD-9CAA-E5A58A707F37}" name="EA RATE_x000a_(CFM/UNIT)" dataDxfId="647" totalsRowDxfId="646">
      <calculatedColumnFormula>IF(Ahu_Ashrae_Generic[[#This Row],[Exhaust Category]]="NOT APPLICABLE","NA",VLOOKUP(Ahu_Ashrae_Generic[[#This Row],[Exhaust Category]],ASHRAE_EA_Table[#All],2,FALSE))</calculatedColumnFormula>
    </tableColumn>
    <tableColumn id="19" xr3:uid="{4ED74037-DFDA-4E5B-81B4-B902AD475608}" name="EA RATE_x000a_(CFM/FT²)" dataDxfId="645" totalsRowDxfId="644">
      <calculatedColumnFormula>IF(Ahu_Ashrae_Generic[[#This Row],[Exhaust Category]]="NOT APPLICABLE","NA",VLOOKUP(Ahu_Ashrae_Generic[[#This Row],[Exhaust Category]],ASHRAE_EA_Table[#All],3,FALSE))</calculatedColumnFormula>
    </tableColumn>
    <tableColumn id="28" xr3:uid="{9C99C5DB-489C-4002-B04A-B16D24ABF10C}" name="MIN ASHRAE EA_x000a_(CFM)" dataDxfId="643" totalsRowDxfId="642">
      <calculatedColumnFormula>Ahu_Ashrae_Generic[[#This Row],[Misc Exhaust From Room]]+(IFERROR(IF(Ahu_Ashrae_Generic[[#This Row],[EA RATE
(CFM/UNIT)]] = "NA",Ahu_Ashrae_Generic[[#This Row],[EA RATE
(CFM/FT²)]]*Ahu_Ashrae_Generic[[#This Row],[AREA (FT²)]],Ahu_Ashrae_Generic[[#This Row],[EA RATE
(CFM/UNIT)]]*Ahu_Ashrae_Generic[[#This Row],[Exhaust Units]]),0))</calculatedColumnFormula>
    </tableColumn>
    <tableColumn id="23" xr3:uid="{0CD81329-9529-4F5D-8D4B-B139A3800A5C}" name="DESIGN VAV MIN SA(CFM)" dataDxfId="641" totalsRowDxfId="640">
      <calculatedColumnFormula>IF(Ahu_Ashrae_Generic[[#This Row],[Exhausted?]]="YES",Ahu_Ashrae_Generic[[#This Row],[Calculated VAV Max CFM]],(MROUND(IF((Ahu_Ashrae_Generic[[#This Row],[DESIGN VAV MAX SA(CFM)]]*0.3)&lt;(Ahu_Ashrae_Generic[[#This Row],[Zone OA (Voz)]]*1.5),(Ahu_Ashrae_Generic[[#This Row],[Zone OA (Voz)]]*1.5),(Ahu_Ashrae_Generic[[#This Row],[DESIGN VAV MAX SA(CFM)]]*0.3)),5)))</calculatedColumnFormula>
    </tableColumn>
    <tableColumn id="15" xr3:uid="{4B0BA46E-EFF8-4076-AE85-C803D630E363}" name="Calculated VAV Max CFM" dataDxfId="639" totalsRowDxfId="638">
      <calculatedColumnFormula array="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calculatedColumnFormula>
    </tableColumn>
    <tableColumn id="22" xr3:uid="{C5A8A555-88AC-459F-9F83-83E50B8FB331}" name="DESIGN VAV MAX SA(CFM)" totalsRowFunction="sum" dataDxfId="637" totalsRowDxfId="636">
      <calculatedColumnFormula>Ahu_Ashrae_Generic[[#This Row],[Calculated VAV Max CFM]]</calculatedColumnFormula>
    </tableColumn>
    <tableColumn id="26" xr3:uid="{C209B658-68EC-4534-8D10-A67298439FE6}" name="DESIGN RA (CFM)" totalsRowFunction="sum" dataDxfId="635" totalsRowDxfId="634">
      <calculatedColumnFormula array="1">Returnair(Ahu_Ashrae_Generic[[#This Row],[Calculated VAV Max CFM]],Ahu_Ashrae_Generic[[#This Row],[Desired Room Balance]],Ahu_Ashrae_Generic[[#This Row],[Exhausted?]],Ahu_Ashrae_Generic[[#This Row],[Misc Exhaust From Room]])</calculatedColumnFormula>
    </tableColumn>
    <tableColumn id="29" xr3:uid="{2FC77A91-15C9-4850-A858-6F923D344079}" name="DESIGN EA(CFM)" totalsRowFunction="sum" dataDxfId="633" totalsRowDxfId="632">
      <calculatedColumnFormula array="1">Exhaustair(Ahu_Ashrae_Generic[[#This Row],[DESIGN VAV MAX SA(CFM)]],Ahu_Ashrae_Generic[[#This Row],[Exhausted?]],Ahu_Ashrae_Generic[[#This Row],[MIN ASHRAE EA
(CFM)]],Ahu_Ashrae_Generic[[#This Row],[Desired Room Balance]],Ahu_Ashrae_Generic[[#This Row],[Misc Exhaust From Room]])</calculatedColumnFormula>
    </tableColumn>
    <tableColumn id="35" xr3:uid="{ACFFB6CD-9605-47FC-BF87-E301EDFFAF73}" name="OA Frac (Z)" dataDxfId="631" totalsRowDxfId="630" dataCellStyle="Percent">
      <calculatedColumnFormula>Ahu_Ashrae_Generic[[#This Row],[OUTSIDE AIRFLOW (CFM) (Vot)]]/Ahu_Ashrae_Generic[[#This Row],[DESIGN VAV MAX SA(CFM)]]</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26ED529-4751-4709-9BFD-AA90E931CCBD}" name="AHU_VAV_SCHEDULE" displayName="AHU_VAV_SCHEDULE" ref="A4:T17" totalsRowCount="1" headerRowDxfId="629" dataDxfId="627" totalsRowDxfId="625" headerRowBorderDxfId="628" tableBorderDxfId="626" totalsRowBorderDxfId="624">
  <autoFilter ref="A4:T16" xr:uid="{13D566E9-CE9D-4920-9557-440C01DE1A40}"/>
  <tableColumns count="20">
    <tableColumn id="1" xr3:uid="{F4100601-C8F7-4EDA-B9ED-EC5144A4622B}" name="ZONE" totalsRowLabel="Total" dataDxfId="623" totalsRowDxfId="622"/>
    <tableColumn id="2" xr3:uid="{DE711A04-3BAB-4400-94F9-9EA1A3D93724}" name="BASIS OF DESIGN _x000a_MANUFACTURER" dataDxfId="621" totalsRowDxfId="620"/>
    <tableColumn id="3" xr3:uid="{5EFC2877-1E13-4BC7-9997-881F4F723359}" name="DESCRIPTION" dataDxfId="619" totalsRowDxfId="618"/>
    <tableColumn id="18" xr3:uid="{4BD82A36-B59C-4680-BDCB-C1D5CE6D8206}" name="MIN VAV_x000a_(CFM)" dataDxfId="617" totalsRowDxfId="616">
      <calculatedColumnFormula>SUMIF(Ahu_Ashrae_Generic[Zone],AHU_VAV_SCHEDULE[[#This Row],[ZONE]],Ahu_Ashrae_Generic[DESIGN VAV MIN SA(CFM)])</calculatedColumnFormula>
    </tableColumn>
    <tableColumn id="20" xr3:uid="{4C9D23FA-7727-4CB2-BC60-4CDC07EFE151}" name="MAX VAV_x000a_(CFM)" dataDxfId="615" totalsRowDxfId="614">
      <calculatedColumnFormula>SUMIF(Ahu_Ashrae_Generic[Zone],AHU_VAV_SCHEDULE[[#This Row],[ZONE]],Ahu_Ashrae_Generic[DESIGN VAV MAX SA(CFM)])</calculatedColumnFormula>
    </tableColumn>
    <tableColumn id="5" xr3:uid="{FA2A9B0D-AB59-4FC8-A9ED-5973CFB8D00D}" name="VAV INLET SIZE_x000a_(IN)" dataDxfId="613" totalsRowDxfId="612">
      <calculatedColumnFormula>IFERROR((VLOOKUP(AHU_VAV_SCHEDULE[[#This Row],[MAX VAV
(CFM)]],'DO NOT TOUCH'!$C$9:$D$14,2,TRUE)),"TBD")</calculatedColumnFormula>
    </tableColumn>
    <tableColumn id="6" xr3:uid="{7BD7D03A-0062-4AE1-A137-B7A43FB31DE2}" name="MAX TOTAL VAV PD _x000a_(IN W.G.)" dataDxfId="611" totalsRowDxfId="610">
      <calculatedColumnFormula>G4</calculatedColumnFormula>
    </tableColumn>
    <tableColumn id="19" xr3:uid="{5F3FB950-6412-4753-A80D-B928E2E9B62C}" name="HEATING AIRFLOW _x000a_(CFM)" dataDxfId="609" totalsRowDxfId="608">
      <calculatedColumnFormula>AHU_VAV_SCHEDULE[[#This Row],[MIN VAV
(CFM)]]</calculatedColumnFormula>
    </tableColumn>
    <tableColumn id="7" xr3:uid="{252B9BF8-54B1-493D-9221-BD358C10E426}" name="EWT" dataDxfId="607" totalsRowDxfId="606">
      <calculatedColumnFormula>INPUT_OUTPUTS!$C$16</calculatedColumnFormula>
    </tableColumn>
    <tableColumn id="8" xr3:uid="{E16AE38C-7652-4771-A602-4043B581B8CE}" name="DESIGN _x000a_LWT" dataDxfId="605" totalsRowDxfId="604">
      <calculatedColumnFormula>INPUT_OUTPUTS!$C$17</calculatedColumnFormula>
    </tableColumn>
    <tableColumn id="9" xr3:uid="{494A5CA5-FC2F-4016-9EDA-AAD0074B0288}" name="EAT" dataDxfId="603" totalsRowDxfId="602">
      <calculatedColumnFormula>K4</calculatedColumnFormula>
    </tableColumn>
    <tableColumn id="10" xr3:uid="{7B534454-B13B-4823-B389-688DB1FFC0C2}" name="DESIGN _x000a_LAT" dataDxfId="601" totalsRowDxfId="600">
      <calculatedColumnFormula>L4</calculatedColumnFormula>
    </tableColumn>
    <tableColumn id="11" xr3:uid="{58C190FA-9339-4475-8FE4-B94254008B39}" name="MIN MBH" totalsRowFunction="sum" dataDxfId="599" totalsRowDxfId="598">
      <calculatedColumnFormula>MROUND((1.08*(L5-K5)*AHU_VAV_SCHEDULE[[#This Row],[HEATING AIRFLOW 
(CFM)]])/1000,0.1)</calculatedColumnFormula>
    </tableColumn>
    <tableColumn id="12" xr3:uid="{E8FC4A04-BE1B-467E-A94D-1BC0BAFF2FAC}" name="AGPM" dataDxfId="597" totalsRowDxfId="596">
      <calculatedColumnFormula>(M5*1000)/(500*(I5-J5))</calculatedColumnFormula>
    </tableColumn>
    <tableColumn id="13" xr3:uid="{AAA466EF-B5D0-49B1-A9E7-E101103D64B4}" name="GPM" totalsRowFunction="sum" dataDxfId="5" totalsRowDxfId="595">
      <calculatedColumnFormula>IF(N5&lt;0.5,0.5,N5)</calculatedColumnFormula>
    </tableColumn>
    <tableColumn id="4" xr3:uid="{D58EE183-F16C-406D-A4E9-EA1C28994E7C}" name="BRANCH SIZE (IN)" dataDxfId="3">
      <calculatedColumnFormula>IF($D$2 = "YES",(_xlfn.XLOOKUP(AHU_VAV_SCHEDULE[[#This Row],[GPM]],Hydronic_Pipe_Size[SOUND SENSITIVE],Hydronic_Pipe_Size[SIZE],"Not Found",1)),(_xlfn.XLOOKUP(AHU_VAV_SCHEDULE[[#This Row],[GPM]],Hydronic_Pipe_Size[GPM],Hydronic_Pipe_Size[SIZE],"Not Found",1)))</calculatedColumnFormula>
    </tableColumn>
    <tableColumn id="14" xr3:uid="{8B37A8C5-27D0-4D67-9351-B38D9137444F}" name="MAX WATER _x000a_PD (FT)" dataDxfId="4" totalsRowDxfId="594">
      <calculatedColumnFormula>Q4</calculatedColumnFormula>
    </tableColumn>
    <tableColumn id="15" xr3:uid="{CE1AD8A3-6CC9-4182-A598-A96DC629A332}" name="OPER _x000a_WEIGHT_x000a_(LBS)" dataDxfId="593" totalsRowDxfId="592">
      <calculatedColumnFormula>IFERROR((_xlfn.XLOOKUP(F5,'DO NOT TOUCH'!$D$9:$D$14,'DO NOT TOUCH'!$E$9:$E$14,)),"TBD")</calculatedColumnFormula>
    </tableColumn>
    <tableColumn id="16" xr3:uid="{46061A8B-CF07-404A-89CF-B3DC053B9D47}" name="MTG _x000a_DETAIL" dataDxfId="591" totalsRowDxfId="590">
      <calculatedColumnFormula>INPUT_OUTPUTS!$C$19</calculatedColumnFormula>
    </tableColumn>
    <tableColumn id="17" xr3:uid="{AFA49697-1C1E-4B56-9982-63047E73069E}" name="REMARKS" dataDxfId="589" totalsRowDxfId="588">
      <calculatedColumnFormula>T4</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F41AF6D-5198-40C5-AFC6-4AD09F4B3340}" name="room_temperature" displayName="room_temperature" ref="B3:E33" totalsRowShown="0" headerRowDxfId="587" headerRowBorderDxfId="586" tableBorderDxfId="585" headerRowCellStyle="Heading 1">
  <autoFilter ref="B3:E33" xr:uid="{4F41AF6D-5198-40C5-AFC6-4AD09F4B3340}"/>
  <tableColumns count="4">
    <tableColumn id="1" xr3:uid="{8C4358E4-8332-46EE-9633-E01BA5E0FFA8}" name="Room Type"/>
    <tableColumn id="2" xr3:uid="{8EC9D9B9-6EA7-4063-AB41-A2A92B121CB5}" name="Summer Indoor DB"/>
    <tableColumn id="3" xr3:uid="{7A5A052E-B0BD-44E3-B13B-48E7A765D302}" name="Summer Indoor WB"/>
    <tableColumn id="4" xr3:uid="{7A6778F2-8E52-4700-8CF5-72274E8B9F21}" name="Winter Indoor DB"/>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885EBE5-9410-46AA-AAFD-72FBD928FBB6}" name="AH1_T24_table" displayName="AH1_T24_table" ref="A5:AD11" totalsRowCount="1" headerRowDxfId="584" dataDxfId="583" totalsRowDxfId="581" tableBorderDxfId="582">
  <autoFilter ref="A5:AD10" xr:uid="{59B85608-0CD2-47F2-870C-191ADDE0C2B8}"/>
  <tableColumns count="30">
    <tableColumn id="32" xr3:uid="{43285B16-9D90-4FA8-8B3A-84EF86BD9F4C}" name="ZONE" dataDxfId="580" totalsRowDxfId="579"/>
    <tableColumn id="3" xr3:uid="{9D5CA1F9-3C82-4F8D-ABCA-C59C607245FE}" name="Room Number" dataDxfId="578" totalsRowDxfId="577"/>
    <tableColumn id="4" xr3:uid="{CF2D5A73-F210-43D6-8346-B92D85175029}" name="Room" totalsRowFunction="count" dataDxfId="576" totalsRowDxfId="575"/>
    <tableColumn id="6" xr3:uid="{69DE2D8B-747D-479D-B1A8-1D0C9772B619}" name="AREA _x000a_(FT²)" totalsRowFunction="sum" dataDxfId="574" totalsRowDxfId="573"/>
    <tableColumn id="25" xr3:uid="{7E87BA24-B212-4736-88B0-3782C580EB7A}" name="Occupancy Sensor Installed?" dataDxfId="572" totalsRowDxfId="571"/>
    <tableColumn id="2" xr3:uid="{31290F1F-D0F2-46FB-86B5-4B2DC89CDF7D}" name="Desired Room Balance" dataDxfId="570" totalsRowDxfId="569"/>
    <tableColumn id="18" xr3:uid="{001E76A2-5630-4B14-97A0-964808FB3D45}" name="Exhaust Units" dataDxfId="568" totalsRowDxfId="567"/>
    <tableColumn id="7" xr3:uid="{3040826B-FD56-4426-8DE8-7A2481E2949D}" name="OFFICE STANDARD _x000a_(CFM)" dataDxfId="566" totalsRowDxfId="565">
      <calculatedColumnFormula>IF((VLOOKUP(AH1_T24_table[[#This Row],[Occupancy Category]],T24_VENT[#All],6,FALSE)) = "YES",MROUND(D6/2,5),MROUND(D6,5))</calculatedColumnFormula>
    </tableColumn>
    <tableColumn id="24" xr3:uid="{8793D145-B9F5-41F4-A31D-65F967BE0A3B}" name="HEATING LOAD (CFM)" totalsRowFunction="sum" dataDxfId="564" totalsRowDxfId="563"/>
    <tableColumn id="8" xr3:uid="{90B66E07-A858-4CC7-A5F3-C83AC608912E}" name="COOLING LOAD (CFM)" totalsRowFunction="sum" dataDxfId="562" totalsRowDxfId="561"/>
    <tableColumn id="17" xr3:uid="{8E2529BD-C085-42C6-9E14-185CBC425419}" name="Exhaust Category" dataDxfId="560" totalsRowDxfId="559"/>
    <tableColumn id="23" xr3:uid="{0A941D38-2F82-4E98-994D-0C9457B60C85}" name="Misc Exhaust From Room" dataDxfId="558" totalsRowDxfId="557"/>
    <tableColumn id="5" xr3:uid="{0234BEAB-C33A-47A6-AB27-AE322722CB69}" name="Occupancy Category" dataDxfId="556" totalsRowDxfId="555"/>
    <tableColumn id="1" xr3:uid="{C0076787-6A07-403A-9000-1E9607EFE2C5}" name="FIXED SEATING OR SPACE DESIGNED WITH EXCEPTION TO 1004.5" dataDxfId="554" totalsRowDxfId="553"/>
    <tableColumn id="10" xr3:uid="{1401C279-3820-4D02-BB5F-7D70D9C3B94A}" name="NUMBER OF OCCUPANTS " dataDxfId="552" totalsRowDxfId="551"/>
    <tableColumn id="11" xr3:uid="{8024FFB4-02F2-4387-B5EE-A247CA706537}" name="TOTAL OA RATE_x000a_(CFM/FT²)" dataDxfId="550" totalsRowDxfId="549">
      <calculatedColumnFormula>VLOOKUP(AH1_T24_table[[#This Row],[Occupancy Category]],T24_VENT[#All],2,FALSE)</calculatedColumnFormula>
    </tableColumn>
    <tableColumn id="9" xr3:uid="{14147C0A-D118-47C7-9333-AD9FA72073E6}" name="MIN VENT AIR FOR DCV (CFM/FT²)" dataDxfId="548" totalsRowDxfId="547">
      <calculatedColumnFormula>VLOOKUP(AH1_T24_table[[#This Row],[Occupancy Category]],T24_VENT[#All],3,FALSE)</calculatedColumnFormula>
    </tableColumn>
    <tableColumn id="12" xr3:uid="{0C1F0286-8550-462E-89B9-CA68A9A9016E}" name="Air Class" dataDxfId="546" totalsRowDxfId="545">
      <calculatedColumnFormula>VLOOKUP(AH1_T24_table[[#This Row],[Occupancy Category]],T24_VENT[#All],4,FALSE)</calculatedColumnFormula>
    </tableColumn>
    <tableColumn id="21" xr3:uid="{4EFE97E8-4C45-4CE2-B9FC-5F3504D3174F}" name="Occupancy Stanby Permitted?" dataDxfId="544" totalsRowDxfId="543">
      <calculatedColumnFormula>VLOOKUP(AH1_T24_table[[#This Row],[Occupancy Category]],T24_VENT[#All],5,FALSE)</calculatedColumnFormula>
    </tableColumn>
    <tableColumn id="14" xr3:uid="{CD548A31-2F71-40D8-8B63-8B06F0599C45}" name="Vz (CFM)" totalsRowFunction="sum" dataDxfId="542" totalsRowDxfId="541">
      <calculatedColumnFormula>IF(AH1_T24_table[[#This Row],[FIXED SEATING OR SPACE DESIGNED WITH EXCEPTION TO 1004.5]]="YES",MAX(AH1_T24_table[[#This Row],[TOTAL OA RATE
(CFM/FT²)]]*AH1_T24_table[[#This Row],[AREA 
(FT²)]],15*AH1_T24_table[[#This Row],[NUMBER OF OCCUPANTS ]]),AH1_T24_table[[#This Row],[TOTAL OA RATE
(CFM/FT²)]]*AH1_T24_table[[#This Row],[AREA 
(FT²)]])</calculatedColumnFormula>
    </tableColumn>
    <tableColumn id="13" xr3:uid="{ED6E5F1C-CE34-4B0A-978A-A09D0840CE8A}" name="Vz (DCV CFM)" dataDxfId="540" totalsRowDxfId="539">
      <calculatedColumnFormula>IF(AND(AH1_T24_table[[#This Row],[Occupancy Sensor Installed?]]="YES",AH1_T24_table[[#This Row],[Occupancy Stanby Permitted?]]="YES"),0,AH1_T24_table[[#This Row],[MIN VENT AIR FOR DCV (CFM/FT²)]]*AH1_T24_table[[#This Row],[AREA 
(FT²)]])</calculatedColumnFormula>
    </tableColumn>
    <tableColumn id="15" xr3:uid="{FA929E95-90CD-44D0-BEC1-B2C311F3CCA0}" name="DCV Required?" dataDxfId="538" totalsRowDxfId="537">
      <calculatedColumnFormula>IF(AND(OR(($K$1 = "YES"),AH1_T24_table[[#Totals],[Vz (CFM)]]&gt;2900),( VLOOKUP(AH1_T24_table[[#This Row],[Occupancy Category]],T24_VENT[#All],7,FALSE))&gt;24),"YES","NO")</calculatedColumnFormula>
    </tableColumn>
    <tableColumn id="20" xr3:uid="{47D99FFD-113F-491A-B43E-7CDF3402358F}" name="Exhausted?" dataDxfId="536" totalsRowDxfId="535">
      <calculatedColumnFormula>IF(AH1_T24_table[[#This Row],[Exhaust Category]] = "NOT APPLICABLE","NR","YES")</calculatedColumnFormula>
    </tableColumn>
    <tableColumn id="27" xr3:uid="{A71FF1E8-8969-4271-B715-778578E2E362}" name="EA RATE_x000a_(CFM/UNIT)" dataDxfId="534" totalsRowDxfId="533">
      <calculatedColumnFormula>IF(AH1_T24_table[[#This Row],[Exhaust Category]]="NOT APPLICABLE","NA",VLOOKUP(AH1_T24_table[[#This Row],[Exhaust Category]],TITLE24_EXHAUST_TABLE[#All],2,FALSE))</calculatedColumnFormula>
    </tableColumn>
    <tableColumn id="19" xr3:uid="{E42E2B65-59D0-412F-957B-A34B0EE48CEF}" name="EA RATE_x000a_(CFM/FT²)" dataDxfId="532" totalsRowDxfId="531">
      <calculatedColumnFormula>IF(AH1_T24_table[[#This Row],[Exhaust Category]]="NOT APPLICABLE","NA",VLOOKUP(AH1_T24_table[[#This Row],[Exhaust Category]],TITLE24_EXHAUST_TABLE[#All],3,FALSE))</calculatedColumnFormula>
    </tableColumn>
    <tableColumn id="28" xr3:uid="{9D78402B-CA40-44A5-9571-594AC5787D6D}" name="MIN EA_x000a_(CFM)" dataDxfId="530" totalsRowDxfId="529">
      <calculatedColumnFormula>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calculatedColumnFormula>
    </tableColumn>
    <tableColumn id="22" xr3:uid="{4DD082D5-DC18-401D-929E-599D181CD4B2}" name="DESIGN SA(CFM)" totalsRowFunction="sum" dataDxfId="528" totalsRowDxfId="527">
      <calculatedColumnFormula array="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calculatedColumnFormula>
    </tableColumn>
    <tableColumn id="26" xr3:uid="{EF7D1F98-E345-42A7-ACC6-78DB1EF49254}" name="DESIGN RA(CFM)" totalsRowFunction="sum" dataDxfId="526" totalsRowDxfId="525">
      <calculatedColumnFormula array="1">Returnair(AH1_T24_table[[#This Row],[DESIGN SA(CFM)]],AH1_T24_table[[#This Row],[Desired Room Balance]],AH1_T24_table[[#This Row],[Exhausted?]],AH1_T24_table[[#This Row],[Misc Exhaust From Room]])</calculatedColumnFormula>
    </tableColumn>
    <tableColumn id="29" xr3:uid="{2D4A3845-0B09-4875-A782-F5ADCB22EBA9}" name="DESIGN EA(CFM)" totalsRowFunction="sum" dataDxfId="524" totalsRowDxfId="523">
      <calculatedColumnFormula array="1">Exhaustair(AH1_T24_table[[#This Row],[DESIGN SA(CFM)]],AH1_T24_table[[#This Row],[Exhausted?]],AH1_T24_table[[#This Row],[MIN EA
(CFM)]],AH1_T24_table[[#This Row],[Desired Room Balance]],AH1_T24_table[[#This Row],[Misc Exhaust From Room]])</calculatedColumnFormula>
    </tableColumn>
    <tableColumn id="30" xr3:uid="{2D631445-C6D8-4625-94C2-E8E1A709CA17}" name="Transfer Air CFM" dataDxfId="522" totalsRowDxfId="521">
      <calculatedColumnFormula>AH1_T24_table[[#This Row],[DESIGN SA(CFM)]]-AH1_T24_table[[#This Row],[DESIGN RA(CFM)]]-AH1_T24_table[[#This Row],[DESIGN EA(CFM)]]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6E9611A9-A5EB-4ED7-927A-AFFA3AE00CA8}" name="AH2_T24_table" displayName="AH2_T24_table" ref="A5:AD11" totalsRowCount="1" headerRowDxfId="520" dataDxfId="519" totalsRowDxfId="517" tableBorderDxfId="518">
  <autoFilter ref="A5:AD10" xr:uid="{59B85608-0CD2-47F2-870C-191ADDE0C2B8}"/>
  <tableColumns count="30">
    <tableColumn id="32" xr3:uid="{F704571C-6F0A-48F2-9BDE-770A8A757FB8}" name="ZONE" dataDxfId="516" totalsRowDxfId="515"/>
    <tableColumn id="3" xr3:uid="{79479FF5-3346-43D1-B51B-482A7666A257}" name="Room Number" dataDxfId="514" totalsRowDxfId="513"/>
    <tableColumn id="4" xr3:uid="{A14E6907-F30A-4DC9-AA3C-4B7AAAA91C74}" name="Room" totalsRowFunction="count" dataDxfId="512" totalsRowDxfId="511"/>
    <tableColumn id="6" xr3:uid="{2A637CA3-254F-4C2D-964E-10B35DF9A692}" name="AREA _x000a_(FT²)" totalsRowFunction="sum" dataDxfId="510" totalsRowDxfId="509"/>
    <tableColumn id="25" xr3:uid="{0D187482-9766-4026-9DFC-F239B23E1F10}" name="Occupancy Sensor Installed?" dataDxfId="508" totalsRowDxfId="507"/>
    <tableColumn id="2" xr3:uid="{842C80CE-EA55-4970-A831-5A01E4EE31EB}" name="Desired Room Balance" dataDxfId="506" totalsRowDxfId="505"/>
    <tableColumn id="18" xr3:uid="{AE98A7A0-1110-4432-99AA-4BB936FCF623}" name="Exhaust Units" dataDxfId="504" totalsRowDxfId="503"/>
    <tableColumn id="7" xr3:uid="{D7D6A825-D8EF-46B4-B92A-1AC64B453958}" name="OFFICE STANDARD _x000a_(CFM)" dataDxfId="502" totalsRowDxfId="501">
      <calculatedColumnFormula>IF((VLOOKUP(AH2_T24_table[[#This Row],[Occupancy Category]],T24_VENT[#All],6,FALSE)) = "YES",MROUND(D6/2,5),MROUND(D6,5))</calculatedColumnFormula>
    </tableColumn>
    <tableColumn id="24" xr3:uid="{A2D47E4B-7E6F-417D-9741-9D0F5D59D9A8}" name="HEATING LOAD (CFM)" totalsRowFunction="sum" dataDxfId="500" totalsRowDxfId="499"/>
    <tableColumn id="8" xr3:uid="{5D0F2B16-FA0F-4A55-8B62-91C8BAA4921B}" name="COOLING LOAD (CFM)" totalsRowFunction="sum" dataDxfId="498" totalsRowDxfId="497"/>
    <tableColumn id="17" xr3:uid="{2A124D14-38C7-464B-B8BD-5FFF2BAC9EC8}" name="Exhaust Category" dataDxfId="496" totalsRowDxfId="495"/>
    <tableColumn id="23" xr3:uid="{4EC076F5-9F8D-45EB-93ED-5165DB1BC71A}" name="Misc Exhaust From Room" dataDxfId="494" totalsRowDxfId="493"/>
    <tableColumn id="5" xr3:uid="{540D0F97-E344-49D1-922F-FC3FF5E6866D}" name="Occupancy Category" dataDxfId="492" totalsRowDxfId="491"/>
    <tableColumn id="1" xr3:uid="{581CF261-F160-4675-87C6-5BF6C179AA3B}" name="FIXED SEATING OR SPACE DESIGNED WITH EXCEPTION TO 1004.5" dataDxfId="490" totalsRowDxfId="489"/>
    <tableColumn id="10" xr3:uid="{B4691628-CD31-4F85-828C-AA9541CF3A66}" name="NUMBER OF OCCUPANTS " dataDxfId="488" totalsRowDxfId="487"/>
    <tableColumn id="11" xr3:uid="{4A963977-2A39-4428-9512-01F402F28FFD}" name="TOTAL OA RATE_x000a_(CFM/FT²)" dataDxfId="486" totalsRowDxfId="485">
      <calculatedColumnFormula>VLOOKUP(AH2_T24_table[[#This Row],[Occupancy Category]],T24_VENT[#All],2,FALSE)</calculatedColumnFormula>
    </tableColumn>
    <tableColumn id="9" xr3:uid="{00B57E57-D7EB-44B2-92A1-A74D3820C990}" name="MIN VENT AIR FOR DCV (CFM/FT²)" dataDxfId="484" totalsRowDxfId="483">
      <calculatedColumnFormula>VLOOKUP(AH2_T24_table[[#This Row],[Occupancy Category]],T24_VENT[#All],3,FALSE)</calculatedColumnFormula>
    </tableColumn>
    <tableColumn id="12" xr3:uid="{7BDB2D4F-9702-4439-ADF1-CAB56C7B48B4}" name="Air Class" dataDxfId="482" totalsRowDxfId="481">
      <calculatedColumnFormula>VLOOKUP(AH2_T24_table[[#This Row],[Occupancy Category]],T24_VENT[#All],4,FALSE)</calculatedColumnFormula>
    </tableColumn>
    <tableColumn id="21" xr3:uid="{384D193D-6176-4830-B0D9-422121C25A25}" name="Occupancy Stanby Permitted?" dataDxfId="480" totalsRowDxfId="479">
      <calculatedColumnFormula>VLOOKUP(AH2_T24_table[[#This Row],[Occupancy Category]],T24_VENT[#All],5,FALSE)</calculatedColumnFormula>
    </tableColumn>
    <tableColumn id="14" xr3:uid="{BF3B46C7-F4BA-4571-9FD9-DB6E633B4EC6}" name="Vz (CFM)" totalsRowFunction="sum" dataDxfId="478" totalsRowDxfId="477">
      <calculatedColumnFormula>IF(AH2_T24_table[[#This Row],[FIXED SEATING OR SPACE DESIGNED WITH EXCEPTION TO 1004.5]]="YES",MAX(AH2_T24_table[[#This Row],[TOTAL OA RATE
(CFM/FT²)]]*AH2_T24_table[[#This Row],[AREA 
(FT²)]],15*AH2_T24_table[[#This Row],[NUMBER OF OCCUPANTS ]]),AH2_T24_table[[#This Row],[TOTAL OA RATE
(CFM/FT²)]]*AH2_T24_table[[#This Row],[AREA 
(FT²)]])</calculatedColumnFormula>
    </tableColumn>
    <tableColumn id="13" xr3:uid="{5173FFB5-AA15-416F-B771-8D65C52C4424}" name="Vz (DCV CFM)" dataDxfId="476" totalsRowDxfId="475">
      <calculatedColumnFormula>IF(AND(AH2_T24_table[[#This Row],[Occupancy Sensor Installed?]]="YES",AH2_T24_table[[#This Row],[Occupancy Stanby Permitted?]]="YES"),0,AH2_T24_table[[#This Row],[MIN VENT AIR FOR DCV (CFM/FT²)]]*AH2_T24_table[[#This Row],[AREA 
(FT²)]])</calculatedColumnFormula>
    </tableColumn>
    <tableColumn id="15" xr3:uid="{D2574DC4-0525-446A-A1EC-2CE413ADFE3B}" name="DCV Required?" dataDxfId="474" totalsRowDxfId="473">
      <calculatedColumnFormula>IF(AND(OR(($K$1 = "YES"),AH2_T24_table[[#Totals],[Vz (CFM)]]&gt;2900),( VLOOKUP(AH2_T24_table[[#This Row],[Occupancy Category]],T24_VENT[#All],7,FALSE))&gt;24),"YES","NO")</calculatedColumnFormula>
    </tableColumn>
    <tableColumn id="20" xr3:uid="{66BE5D03-CF4A-4960-BE90-B99556D58B95}" name="Exhausted?" dataDxfId="472" totalsRowDxfId="471">
      <calculatedColumnFormula>IF(AH2_T24_table[[#This Row],[Exhaust Category]] = "NOT APPLICABLE","NR","YES")</calculatedColumnFormula>
    </tableColumn>
    <tableColumn id="27" xr3:uid="{CCFC7DD0-D287-4E43-A103-8DB84F5741E5}" name="EA RATE_x000a_(CFM/UNIT)" dataDxfId="470" totalsRowDxfId="469">
      <calculatedColumnFormula>IF(AH2_T24_table[[#This Row],[Exhaust Category]]="NOT APPLICABLE","NA",VLOOKUP(AH2_T24_table[[#This Row],[Exhaust Category]],TITLE24_EXHAUST_TABLE[#All],2,FALSE))</calculatedColumnFormula>
    </tableColumn>
    <tableColumn id="19" xr3:uid="{D463F9A2-B772-42A3-926D-99F896D14A70}" name="EA RATE_x000a_(CFM/FT²)" dataDxfId="468" totalsRowDxfId="467">
      <calculatedColumnFormula>IF(AH2_T24_table[[#This Row],[Exhaust Category]]="NOT APPLICABLE","NA",VLOOKUP(AH2_T24_table[[#This Row],[Exhaust Category]],TITLE24_EXHAUST_TABLE[#All],3,FALSE))</calculatedColumnFormula>
    </tableColumn>
    <tableColumn id="28" xr3:uid="{B2B88D97-4329-4255-9347-0AE4F252A1C1}" name="MIN EA_x000a_(CFM)" dataDxfId="466" totalsRowDxfId="465">
      <calculatedColumnFormula>AH2_T24_table[[#This Row],[Misc Exhaust From Room]]+(IFERROR(IF(AH2_T24_table[[#This Row],[EA RATE
(CFM/UNIT)]]=0&amp;AH2_T24_table[[#This Row],[EA RATE
(CFM/FT²)]]=0,0,IF(AH2_T24_table[[#This Row],[EA RATE
(CFM/UNIT)]]=0,AH2_T24_table[[#This Row],[EA RATE
(CFM/FT²)]]*AH2_T24_table[[#This Row],[AREA 
(FT²)]],AH2_T24_table[[#This Row],[Exhaust Units]]*AH2_T24_table[[#This Row],[EA RATE
(CFM/UNIT)]])),0))</calculatedColumnFormula>
    </tableColumn>
    <tableColumn id="22" xr3:uid="{7FE4B901-9E69-4CD3-B09B-CF779E1920A0}" name="DESIGN SA(CFM)" totalsRowFunction="sum" dataDxfId="464" totalsRowDxfId="463">
      <calculatedColumnFormula array="1">supplyair(AH2_T24_table[[#This Row],[COOLING LOAD (CFM)]],AH2_T24_table[[#This Row],[OFFICE STANDARD 
(CFM)]],AH2_T24_table[[#This Row],[OFFICE STANDARD 
(CFM)]],AH2_T24_table[[#This Row],[Desired Room Balance]],AH2_T24_table[[#This Row],[Exhausted?]],AH2_T24_table[[#This Row],[MIN EA
(CFM)]],AH2_T24_table[[#This Row],[Misc Exhaust From Room]],AH2_T24_table[[#This Row],[Vz (CFM)]])</calculatedColumnFormula>
    </tableColumn>
    <tableColumn id="26" xr3:uid="{90B644C7-9CEA-4809-AA33-1102311AB08D}" name="DESIGN RA(CFM)" totalsRowFunction="sum" dataDxfId="462" totalsRowDxfId="461">
      <calculatedColumnFormula array="1">Returnair(AH2_T24_table[[#This Row],[DESIGN SA(CFM)]],AH2_T24_table[[#This Row],[Desired Room Balance]],AH2_T24_table[[#This Row],[Exhausted?]],AH2_T24_table[[#This Row],[Misc Exhaust From Room]])</calculatedColumnFormula>
    </tableColumn>
    <tableColumn id="29" xr3:uid="{C6773DA8-518D-4AC9-8572-DD08E7861523}" name="DESIGN EA(CFM)" totalsRowFunction="sum" dataDxfId="460" totalsRowDxfId="459">
      <calculatedColumnFormula array="1">Exhaustair(AH2_T24_table[[#This Row],[DESIGN SA(CFM)]],AH2_T24_table[[#This Row],[Exhausted?]],AH2_T24_table[[#This Row],[MIN EA
(CFM)]],AH2_T24_table[[#This Row],[Desired Room Balance]],AH2_T24_table[[#This Row],[Misc Exhaust From Room]])</calculatedColumnFormula>
    </tableColumn>
    <tableColumn id="30" xr3:uid="{94FD3269-EF60-4F2F-A960-C24C8C480993}" name="Transfer Air CFM" dataDxfId="458" totalsRowDxfId="457">
      <calculatedColumnFormula>AH2_T24_table[[#This Row],[DESIGN SA(CFM)]]-AH2_T24_table[[#This Row],[DESIGN RA(CFM)]]-AH2_T24_table[[#This Row],[DESIGN EA(CFM)]]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D9D33A-2DE5-364A-B78C-5DD7A614D29B}" name="AHU_Schedules" displayName="AHU_Schedules" ref="A11:BF15" totalsRowCount="1" headerRowDxfId="456" dataDxfId="454" headerRowBorderDxfId="455" tableBorderDxfId="453">
  <autoFilter ref="A11:BF14" xr:uid="{E6D9D33A-2DE5-364A-B78C-5DD7A614D29B}"/>
  <tableColumns count="58">
    <tableColumn id="1" xr3:uid="{75084425-A44B-8E45-87AE-08AECD33E09D}" name="TAG" totalsRowLabel="Total" dataDxfId="452" totalsRowDxfId="451"/>
    <tableColumn id="35" xr3:uid="{E91B7601-520B-4B95-B907-58BFBF6D50CF}" name="MIN CFM" dataDxfId="450" totalsRowDxfId="449">
      <calculatedColumnFormula>MROUND(MAX((AHU_Schedules[[#This Row],[MAX CFM]]*INPUT_OUTPUTS!$C$20),AHU_Schedules[[#This Row],[(CFM)3]]),5)</calculatedColumnFormula>
    </tableColumn>
    <tableColumn id="2" xr3:uid="{C741F4EF-D022-3147-B8E2-8A68ED8EF0CC}" name="MAX CFM" totalsRowFunction="sum" dataDxfId="448" totalsRowDxfId="447">
      <calculatedColumnFormula>SUM(AH2_T24_table[DESIGN SA(CFM)])*INPUT_OUTPUTS!$C$18</calculatedColumnFormula>
    </tableColumn>
    <tableColumn id="36" xr3:uid="{05176666-0C2E-48A6-8419-24A0AE993CF5}" name="MIN RET CFM" dataDxfId="446" totalsRowDxfId="445">
      <calculatedColumnFormula>AHU_Schedules[[#This Row],[MIN CFM]]-(AHU_Schedules[[#This Row],[MAX CFM]]-AHU_Schedules[[#This Row],[MAX RET CFM]])</calculatedColumnFormula>
    </tableColumn>
    <tableColumn id="4" xr3:uid="{8F33E354-148B-E049-A9AB-2FEBF1D2ABCF}" name="MAX RET CFM" dataDxfId="444" totalsRowDxfId="443">
      <calculatedColumnFormula>SUM(AH2_T24_table[DESIGN RA(CFM)])*INPUT_OUTPUTS!$C$18</calculatedColumnFormula>
    </tableColumn>
    <tableColumn id="6" xr3:uid="{44289BD7-7B7A-5040-A9C3-A81E708605BA}" name="(˚F db)" dataDxfId="442" totalsRowDxfId="441"/>
    <tableColumn id="7" xr3:uid="{A118C93B-9473-8340-A213-7536CC01FA69}" name="(˚F wb)" dataDxfId="440" totalsRowDxfId="439"/>
    <tableColumn id="8" xr3:uid="{BA4E1C0D-A98F-C94F-B5DE-2C36AC9D0BA3}" name="(CFM)3" dataDxfId="438" totalsRowDxfId="437">
      <calculatedColumnFormula>('AH2'!$T$1+SUM(AH2_T24_table[Vz (CFM)])*INPUT_OUTPUTS!$C$18)</calculatedColumnFormula>
    </tableColumn>
    <tableColumn id="9" xr3:uid="{8E2A683D-7B4C-954E-A75A-56B4A8A15F0B}" name="(˚F db)4" dataDxfId="436" totalsRowDxfId="435">
      <calculatedColumnFormula>INPUT_OUTPUTS!$C$8</calculatedColumnFormula>
    </tableColumn>
    <tableColumn id="10" xr3:uid="{D83D5AD6-51F5-5E4B-BE3C-C238ECC50CFF}" name="(˚F wb)5" dataDxfId="434" totalsRowDxfId="433">
      <calculatedColumnFormula>INPUT_OUTPUTS!$C$9</calculatedColumnFormula>
    </tableColumn>
    <tableColumn id="11" xr3:uid="{58DDBF84-EFFA-734F-B069-FD929AE8505B}" name="(CFM)6" dataDxfId="432" totalsRowDxfId="431">
      <calculatedColumnFormula>AHU_Schedules[[#This Row],[(CFM)3]]</calculatedColumnFormula>
    </tableColumn>
    <tableColumn id="12" xr3:uid="{7D7925B1-33E7-A84F-AAEC-67A01BBE986C}" name="(˚F db)7" dataDxfId="430" totalsRowDxfId="429">
      <calculatedColumnFormula>INPUT_OUTPUTS!$C$10</calculatedColumnFormula>
    </tableColumn>
    <tableColumn id="13" xr3:uid="{9E21E0BF-E9C5-C54C-9B8C-005C0935E109}" name="(˚F wb)8" dataDxfId="428" totalsRowDxfId="427">
      <calculatedColumnFormula>INPUT_OUTPUTS!$C$11</calculatedColumnFormula>
    </tableColumn>
    <tableColumn id="14" xr3:uid="{AC23D981-3B01-5147-97B6-3252A7FC953B}" name="(˚F db)9" dataDxfId="426" totalsRowDxfId="425">
      <calculatedColumnFormula>INPUT_OUTPUTS!$F$8</calculatedColumnFormula>
    </tableColumn>
    <tableColumn id="15" xr3:uid="{DB54E7DD-3A47-6447-A89B-94C85E52BE7D}" name="(CFM)10" dataDxfId="424" totalsRowDxfId="423">
      <calculatedColumnFormula>E12+H12-C12</calculatedColumnFormula>
    </tableColumn>
    <tableColumn id="16" xr3:uid="{4FEC2D7C-9758-744F-A9BF-FBA46547E062}" name="(˚F db)11" dataDxfId="422" totalsRowDxfId="421">
      <calculatedColumnFormula array="1">MixedAirTemp(AHU_Schedules[[#This Row],[(CFM)3]],AHU_Schedules[[#This Row],[(˚F db)4]],(AHU_Schedules[[#This Row],[MAX RET CFM]]-AHU_Schedules[[#This Row],[(CFM)10]]),AHU_Schedules[[#This Row],[(˚F db)]])</calculatedColumnFormula>
    </tableColumn>
    <tableColumn id="17" xr3:uid="{B005BDD5-39CF-2B47-842F-C982BA9FC7E1}" name="(˚F wb)12" dataDxfId="420" totalsRowDxfId="419">
      <calculatedColumnFormula array="1">MixedAirTemp(AHU_Schedules[[#This Row],[(CFM)3]],AHU_Schedules[[#This Row],[(˚F wb)5]],(AHU_Schedules[[#This Row],[MAX RET CFM]]-AHU_Schedules[[#This Row],[(CFM)10]]),AHU_Schedules[[#This Row],[(˚F wb)]])</calculatedColumnFormula>
    </tableColumn>
    <tableColumn id="18" xr3:uid="{5AC4E564-0F72-0E49-B041-B5DE3FD4DD18}" name="(h)" dataDxfId="418" totalsRowDxfId="417">
      <calculatedColumnFormula array="1">GetMoistAirEnthalpy(AHU_Schedules[[#This Row],[(˚F db)11]],(GetHumRatioFromTWetBulb(AHU_Schedules[[#This Row],[(˚F db)11]],AHU_Schedules[[#This Row],[(˚F wb)12]],GetStandardAtmPressure(INPUT_OUTPUTS!$G$6))))</calculatedColumnFormula>
    </tableColumn>
    <tableColumn id="19" xr3:uid="{1CF6B834-F9E4-7943-9908-D52F6A59E930}" name="(˚F db)13" dataDxfId="416" totalsRowDxfId="415"/>
    <tableColumn id="20" xr3:uid="{069031AB-30B0-304F-BA24-44B4C6E6101C}" name="(˚F wb)14" dataDxfId="414" totalsRowDxfId="413"/>
    <tableColumn id="21" xr3:uid="{1EA24A2B-BE77-6945-9098-6C4501A9902F}" name="(h)15" dataDxfId="412" totalsRowDxfId="411">
      <calculatedColumnFormula array="1">GetMoistAirEnthalpy(AHU_Schedules[[#This Row],[(˚F db)13]],(GetHumRatioFromTWetBulb(AHU_Schedules[[#This Row],[(˚F db)13]],AHU_Schedules[[#This Row],[(˚F wb)14]],GetStandardAtmPressure(INPUT_OUTPUTS!$G$6))))</calculatedColumnFormula>
    </tableColumn>
    <tableColumn id="22" xr3:uid="{05796239-DA0D-E349-ADE3-8A1B87E96861}" name="(Btu/hr)" dataDxfId="410" totalsRowDxfId="409">
      <calculatedColumnFormula>C12*1.085*(P12-S12)</calculatedColumnFormula>
    </tableColumn>
    <tableColumn id="23" xr3:uid="{02C21CA2-732A-8C4C-93ED-640017544BD3}" name="(Btu/hr)16" dataDxfId="408" totalsRowDxfId="407">
      <calculatedColumnFormula>4.5*C12*(R12-U12)</calculatedColumnFormula>
    </tableColumn>
    <tableColumn id="24" xr3:uid="{80183150-6317-2C46-B9FB-5600693E1D79}" name="(Tons)" dataDxfId="406" totalsRowDxfId="405">
      <calculatedColumnFormula>IF(W12&lt;V12,"INVALID POINT",W12/12000)</calculatedColumnFormula>
    </tableColumn>
    <tableColumn id="25" xr3:uid="{8AF1DEDF-1446-A54C-A718-1F4A80DCED1F}" name="(˚F db)17" dataDxfId="404" totalsRowDxfId="403">
      <calculatedColumnFormula>INPUT_OUTPUTS!$C$14</calculatedColumnFormula>
    </tableColumn>
    <tableColumn id="26" xr3:uid="{30713AF6-10A7-A640-9A81-7C9C656F28C6}" name="(˚F db)18" dataDxfId="402" totalsRowDxfId="401">
      <calculatedColumnFormula>INPUT_OUTPUTS!$C$15</calculatedColumnFormula>
    </tableColumn>
    <tableColumn id="27" xr3:uid="{07E9B9A3-68BD-0040-B64A-445B4F7DB78B}" name="GPM" totalsRowFunction="sum" dataDxfId="400" totalsRowDxfId="399">
      <calculatedColumnFormula>W12/(500*(Z12-Y12))</calculatedColumnFormula>
    </tableColumn>
    <tableColumn id="28" xr3:uid="{63A1C04A-F0C1-344B-9C91-CDCBB09CC808}" name="(˚F db)19" dataDxfId="398" totalsRowDxfId="397">
      <calculatedColumnFormula>F12*((E12-O12)/C12) + L12*(H12/C12)</calculatedColumnFormula>
    </tableColumn>
    <tableColumn id="29" xr3:uid="{6B8C516D-DE70-BF40-8E5C-0B23062187E5}" name="(˚F wb)20" dataDxfId="396" totalsRowDxfId="395">
      <calculatedColumnFormula>TRUNC(G12*((E12-O12)/C12) + M12*(H12/C12),1)</calculatedColumnFormula>
    </tableColumn>
    <tableColumn id="30" xr3:uid="{045EE11E-9647-ED4C-9652-8752BBE74982}" name="(h)21" dataDxfId="394" totalsRowDxfId="393">
      <calculatedColumnFormula array="1">GetMoistAirEnthalpy(AHU_Schedules[[#This Row],[(˚F db)19]],(GetHumRatioFromTWetBulb(AHU_Schedules[[#This Row],[(˚F db)19]],AHU_Schedules[[#This Row],[(˚F wb)20]],GetStandardAtmPressure(INPUT_OUTPUTS!$G$6))))</calculatedColumnFormula>
    </tableColumn>
    <tableColumn id="31" xr3:uid="{1C877888-78C7-FA4C-A946-1B9EDB031094}" name="(˚F db)22" dataDxfId="392" totalsRowDxfId="391">
      <calculatedColumnFormula>AHU_Schedules[[#This Row],[(˚F db)13]]</calculatedColumnFormula>
    </tableColumn>
    <tableColumn id="32" xr3:uid="{5E7C32E8-28E9-554C-93A3-4ED479273F5C}" name="(˚F wb)23" dataDxfId="390" totalsRowDxfId="389">
      <calculatedColumnFormula>AHU_Schedules[[#This Row],[(˚F wb)14]]</calculatedColumnFormula>
    </tableColumn>
    <tableColumn id="33" xr3:uid="{7EB81F19-A30A-5844-B465-95995C2169F1}" name="(h)24" dataDxfId="388" totalsRowDxfId="387">
      <calculatedColumnFormula array="1">GetMoistAirEnthalpy(AHU_Schedules[[#This Row],[(˚F db)22]],(GetHumRatioFromTWetBulb(AHU_Schedules[[#This Row],[(˚F db)22]],AHU_Schedules[[#This Row],[(˚F wb)23]],GetStandardAtmPressure(INPUT_OUTPUTS!$G$6))))</calculatedColumnFormula>
    </tableColumn>
    <tableColumn id="37" xr3:uid="{B86C10F8-CA05-8945-8F0F-F9E339D5FA04}" name="(Btu/hr)28" dataDxfId="386" totalsRowDxfId="385">
      <calculatedColumnFormula>C12*1.085*(AB12-AE12)</calculatedColumnFormula>
    </tableColumn>
    <tableColumn id="38" xr3:uid="{3C9101C2-66E5-5844-8571-55FD8B0FA8E4}" name="(Btu/hr)29" dataDxfId="384" totalsRowDxfId="383">
      <calculatedColumnFormula>4.5*C12*(AD12-AG12)</calculatedColumnFormula>
    </tableColumn>
    <tableColumn id="39" xr3:uid="{611DF507-C49C-8E40-9B22-204394B4D484}" name="(Tons)30" dataDxfId="382" totalsRowDxfId="381">
      <calculatedColumnFormula>IF(AI12&lt;AH12,"INVALID POINT",AI12/12000)</calculatedColumnFormula>
    </tableColumn>
    <tableColumn id="40" xr3:uid="{8D69DAB9-C665-1C40-8BEE-2F67013BDA9E}" name="(˚F db)31" dataDxfId="380" totalsRowDxfId="379">
      <calculatedColumnFormula>INPUT_OUTPUTS!$C$14</calculatedColumnFormula>
    </tableColumn>
    <tableColumn id="41" xr3:uid="{2C7A8B9E-09E2-C245-8AD4-9B511603B988}" name="(˚F db)32" dataDxfId="378" totalsRowDxfId="377">
      <calculatedColumnFormula>INPUT_OUTPUTS!$C$15</calculatedColumnFormula>
    </tableColumn>
    <tableColumn id="42" xr3:uid="{97B72D8E-BA89-4E4A-B5D1-F02C61433D68}" name="GPM33" totalsRowFunction="sum" dataDxfId="376" totalsRowDxfId="375">
      <calculatedColumnFormula>AI12/(500*(AL12-AK12))</calculatedColumnFormula>
    </tableColumn>
    <tableColumn id="43" xr3:uid="{EE7A438B-ECC2-DF4B-9129-EA55728EFC2E}" name="(Tons)34" totalsRowFunction="sum" dataDxfId="374" totalsRowDxfId="373">
      <calculatedColumnFormula>MAX(AJ12,X12)</calculatedColumnFormula>
    </tableColumn>
    <tableColumn id="44" xr3:uid="{B68CC7E9-570D-A84E-8670-D3C2DEA54479}" name="(CFM)35" dataDxfId="372" totalsRowDxfId="371">
      <calculatedColumnFormula>C12/AJ12</calculatedColumnFormula>
    </tableColumn>
    <tableColumn id="59" xr3:uid="{2F2BA6E3-EE55-BA45-94DB-4A9361068B22}" name="GPM MAX" totalsRowFunction="sum" dataDxfId="370" totalsRowDxfId="369">
      <calculatedColumnFormula>MAX(AHU_Schedules[[#This Row],[GPM33]],AHU_Schedules[[#This Row],[GPM]])</calculatedColumnFormula>
    </tableColumn>
    <tableColumn id="45" xr3:uid="{033D6B36-8B19-EB4B-A1E7-E7585C21489B}" name="(CFM)36" dataDxfId="368" totalsRowDxfId="367">
      <calculatedColumnFormula>IF(AHU_Schedules[[#This Row],[(˚F db)9]]&lt;35,C12,"NOT NEEDED")</calculatedColumnFormula>
    </tableColumn>
    <tableColumn id="46" xr3:uid="{940C5796-789D-5B4A-9FCD-445173CBE38B}" name="(˚F db)37" dataDxfId="366" totalsRowDxfId="365">
      <calculatedColumnFormula>IF(AHU_Schedules[[#This Row],[(˚F db)9]]&lt;35,AHU_Schedules[[#This Row],[(˚F db)9]],"NOT NEEDED")</calculatedColumnFormula>
    </tableColumn>
    <tableColumn id="47" xr3:uid="{33252E21-E95C-E84B-AA5C-160823174238}" name="(˚F db)38" dataDxfId="364" totalsRowDxfId="363">
      <calculatedColumnFormula>IF(AHU_Schedules[[#This Row],[(˚F db)9]]&lt;35,38,"NOT NEEDED")</calculatedColumnFormula>
    </tableColumn>
    <tableColumn id="48" xr3:uid="{F5FF0CC7-9CD6-DC4B-9AC8-6CF9532FE75F}" name="(MBH)" totalsRowFunction="sum" dataDxfId="362" totalsRowDxfId="361">
      <calculatedColumnFormula>IF(AHU_Schedules[[#This Row],[(˚F db)9]]&lt;35,AQ12*1.085*(AS12-AR12)/1000,"NOT NEEDED")</calculatedColumnFormula>
    </tableColumn>
    <tableColumn id="49" xr3:uid="{41191CD7-30B2-EE4D-850D-B2169746F6D6}" name="(˚F db)39" dataDxfId="360" totalsRowDxfId="359">
      <calculatedColumnFormula>IF(AHU_Schedules[[#This Row],[(˚F db)9]]&lt;35,INPUT_OUTPUTS!$C$16,"NOT NEEDED")</calculatedColumnFormula>
    </tableColumn>
    <tableColumn id="50" xr3:uid="{4D3CE10E-9198-0E44-849F-6C7B4A36B8CE}" name="(˚F db)40" dataDxfId="358" totalsRowDxfId="357">
      <calculatedColumnFormula>IF(AHU_Schedules[[#This Row],[(˚F db)9]]&lt;35,INPUT_OUTPUTS!$C$17,"NOT NEEDED")</calculatedColumnFormula>
    </tableColumn>
    <tableColumn id="51" xr3:uid="{01E8F924-565C-4D42-9E39-E87365245FFA}" name="GPM41" totalsRowFunction="sum" dataDxfId="356" totalsRowDxfId="355">
      <calculatedColumnFormula>IF(AHU_Schedules[[#This Row],[(˚F db)9]]&lt;35,(AT12*1000)/(500*(AU12-AV12)),"NOT NEEDED")</calculatedColumnFormula>
    </tableColumn>
    <tableColumn id="34" xr3:uid="{7FA025E3-2A8E-4918-AE49-513BEFF26646}" name="CFM" dataDxfId="354" totalsRowDxfId="353"/>
    <tableColumn id="54" xr3:uid="{D0D7EAE6-3EA2-E244-8B8D-01899554629D}" name="(˚F db)43" dataDxfId="352" totalsRowDxfId="351">
      <calculatedColumnFormula>(AHU_Schedules[[#This Row],[(˚F db)9]]*AHU_Schedules[[#This Row],[(CFM)3]] + AHU_Schedules[[#This Row],[(˚F db)]]*(AHU_Schedules[[#This Row],[CFM]]-AHU_Schedules[[#This Row],[(CFM)3]]))/AHU_Schedules[[#This Row],[CFM]]</calculatedColumnFormula>
    </tableColumn>
    <tableColumn id="56" xr3:uid="{0D1DB506-119B-7043-BE7D-652B0413152C}" name="(˚F db)45" dataDxfId="350" totalsRowDxfId="349">
      <calculatedColumnFormula>IF(AHU_Schedules[[#This Row],[(˚F db)43]]&lt;AHU_Schedules[[#This Row],[(˚F db)13]],AHU_Schedules[[#This Row],[(˚F db)13]],"NOT NEEDED")</calculatedColumnFormula>
    </tableColumn>
    <tableColumn id="57" xr3:uid="{C012C8FF-93AB-B94F-BC98-7474F441DD8E}" name="(mbh)46" totalsRowFunction="sum" dataDxfId="348" totalsRowDxfId="347">
      <calculatedColumnFormula>IF(AHU_Schedules[[#This Row],[(˚F db)43]]&lt;AHU_Schedules[[#This Row],[(˚F db)13]],(AHU_Schedules[[#This Row],[CFM]]*1.08*(AHU_Schedules[[#This Row],[(˚F db)45]]-AHU_Schedules[[#This Row],[(˚F db)43]]))/1000,"NOT NEEDED")</calculatedColumnFormula>
    </tableColumn>
    <tableColumn id="3" xr3:uid="{9514A6A6-2985-447E-8AB0-FAE06204FA9E}" name="(˚F db)392" dataDxfId="346" totalsRowDxfId="345">
      <calculatedColumnFormula>IF(AHU_Schedules[[#This Row],[(˚F db)43]]&lt;AHU_Schedules[[#This Row],[(˚F db)13]],INPUT_OUTPUTS!$C$16,"NOT NEEDED")</calculatedColumnFormula>
    </tableColumn>
    <tableColumn id="5" xr3:uid="{61B2ED4E-DEF3-42F9-ABE1-2D1324A74A29}" name="(˚F db)403" dataDxfId="344" totalsRowDxfId="343">
      <calculatedColumnFormula>IF(AHU_Schedules[[#This Row],[(˚F db)43]]&lt;AHU_Schedules[[#This Row],[(˚F db)13]],INPUT_OUTPUTS!$C$17,"NOT NEEDED")</calculatedColumnFormula>
    </tableColumn>
    <tableColumn id="60" xr3:uid="{3575FFB4-394C-DC4E-9487-884A377EB86A}" name="(˚F db)46" totalsRowFunction="sum" dataDxfId="342" totalsRowDxfId="341">
      <calculatedColumnFormula>IF(AHU_Schedules[[#This Row],[(˚F db)43]]&lt;AHU_Schedules[[#This Row],[(˚F db)13]],(AHU_Schedules[[#This Row],[(mbh)46]]*1000)/(500*(AHU_Schedules[[#This Row],[(˚F db)392]]-AHU_Schedules[[#This Row],[(˚F db)403]])),"NOT NEEDED")</calculatedColumnFormula>
    </tableColumn>
    <tableColumn id="52" xr3:uid="{D49AD884-40DD-422D-A684-3EBB09F37706}" name="Supply fan" dataDxfId="340" totalsRowDxfId="339"/>
    <tableColumn id="53" xr3:uid="{051B4404-71ED-4B7C-8DCD-1F2B724DEF89}" name="retrun Fan" dataDxfId="338" totalsRowDxfId="337"/>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18F6C15-DA75-4ECA-BD32-1EA219DC3EC9}" name="Multizone_Sequences" displayName="Multizone_Sequences" ref="A2:G29" totalsRowShown="0" dataDxfId="336">
  <autoFilter ref="A2:G29" xr:uid="{627E4CE9-6691-4AFC-859C-E7C0D746D35A}"/>
  <tableColumns count="7">
    <tableColumn id="1" xr3:uid="{069DE68C-4C16-4FF1-936E-E06D2CC4D604}" name="Required" dataDxfId="335"/>
    <tableColumn id="4" xr3:uid="{2B9EC63D-306D-4CC4-AC22-574E892D0FB8}" name="Table" dataDxfId="334"/>
    <tableColumn id="5" xr3:uid="{70280D4F-C23D-4938-BECC-81A0FA02D0B7}" name="table_column" dataDxfId="333"/>
    <tableColumn id="2" xr3:uid="{2EF50A09-710A-4B88-A226-13F529DB1E80}" name="Section title" dataDxfId="332"/>
    <tableColumn id="7" xr3:uid="{7FEEA2AA-EF28-4552-88E0-E2151B638C4C}" name="Section Applicable if" dataDxfId="331"/>
    <tableColumn id="6" xr3:uid="{5ED2E464-A7EE-458B-800C-2BB8E1E53D4D}" name="Code" dataDxfId="330"/>
    <tableColumn id="3" xr3:uid="{84A7479E-66C0-4E47-B1F4-9EC41F0ED178}" name="Sequence" dataDxfId="329"/>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C8F682B-7023-4F4E-A44C-56FA3B005FE0}" name="HCAI_SUPPLY_FAN_POWER" displayName="HCAI_SUPPLY_FAN_POWER" ref="C4:F20" totalsRowCount="1" headerRowDxfId="328">
  <autoFilter ref="C4:F19" xr:uid="{5C8F682B-7023-4F4E-A44C-56FA3B005FE0}"/>
  <tableColumns count="4">
    <tableColumn id="1" xr3:uid="{C8070011-F2A4-4083-8DCF-FE718E134BD4}" name="COMPONENT" totalsRowLabel="Total"/>
    <tableColumn id="3" xr3:uid="{20C506B7-D592-4D65-8EDD-1D16170D51F7}" name="MULTIZONE"/>
    <tableColumn id="4" xr3:uid="{42015104-9596-4BA7-9B40-00513BE2F6AC}" name="CFM"/>
    <tableColumn id="2" xr3:uid="{9EC7E115-07A1-40D2-9AA9-4CC88DD13254}" name="ALLOWANCE (WATTS/CFM)" totalsRowFunction="sum"/>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4C26186-1797-46B1-A6EE-D0EDC1671702}" name="HCAI_FAN_POWER30" displayName="HCAI_FAN_POWER30" ref="C24:F40" totalsRowCount="1" headerRowDxfId="327">
  <autoFilter ref="C24:F39" xr:uid="{74C26186-1797-46B1-A6EE-D0EDC1671702}"/>
  <tableColumns count="4">
    <tableColumn id="1" xr3:uid="{14BEC509-1A23-498A-83B6-F7804E3DCA39}" name="COMPONENT" totalsRowLabel="Total"/>
    <tableColumn id="3" xr3:uid="{389F054E-0304-44F2-B6D7-A62968A74A2F}" name="MULTIZONE"/>
    <tableColumn id="4" xr3:uid="{7415C52E-8678-4267-9E25-F5114F3622E6}" name="CFM"/>
    <tableColumn id="2" xr3:uid="{61A9EC02-09FD-4DF0-8447-A9AA911ECB2E}" name="ALLOWANCE (WATTS/CFM)" totalsRowFunction="sum"/>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9B85608-0CD2-47F2-870C-191ADDE0C2B8}" name="Ahu_Ashrae_sheet" displayName="Ahu_Ashrae_sheet" ref="A5:AC9" totalsRowCount="1" headerRowDxfId="326" dataDxfId="325" totalsRowDxfId="323" tableBorderDxfId="324">
  <autoFilter ref="A5:AC8" xr:uid="{59B85608-0CD2-47F2-870C-191ADDE0C2B8}"/>
  <tableColumns count="29">
    <tableColumn id="3" xr3:uid="{80B2F9E7-1259-4673-96AB-0F4F83EB3D46}" name="Room Number" dataDxfId="322" totalsRowDxfId="321"/>
    <tableColumn id="4" xr3:uid="{0BD09193-37D6-4F7C-BCAE-45CFF2C8A151}" name="Room" totalsRowFunction="count" dataDxfId="320" totalsRowDxfId="319"/>
    <tableColumn id="6" xr3:uid="{E95CEC16-C2FC-4214-A0EB-7A08FDEAF0F9}" name="AREA _x000a_(FT²)" totalsRowFunction="sum" dataDxfId="318" totalsRowDxfId="317"/>
    <tableColumn id="2" xr3:uid="{465D17D5-DC35-4BDD-AC35-043CF1C7357C}" name="Desired Room Balance" dataDxfId="316" totalsRowDxfId="315"/>
    <tableColumn id="18" xr3:uid="{6DA2FAE7-17CA-4FE0-8359-8C4FF34595A6}" name="Exhaust Units" dataDxfId="314" totalsRowDxfId="313"/>
    <tableColumn id="7" xr3:uid="{583FAE05-9F7D-48E5-BEF5-13CEE070C1D5}" name="OFFICE STANDARD _x000a_(CFM)" dataDxfId="312" totalsRowDxfId="311">
      <calculatedColumnFormula>IF((VLOOKUP(Ahu_Ashrae_sheet[[#This Row],[Occupancy Category]],Ashrae90.1Vent[#All],7,FALSE)) = "YES",MROUND(C6/2,5),MROUND(C6,5))</calculatedColumnFormula>
    </tableColumn>
    <tableColumn id="24" xr3:uid="{CB3DEF2C-03F8-48FF-944F-202C7E3B2EE3}" name="HEATING LOAD (CFM)" totalsRowFunction="sum" dataDxfId="310" totalsRowDxfId="309"/>
    <tableColumn id="8" xr3:uid="{47403FA0-F7C3-45DA-A426-0E7EA8BC2C2D}" name="COOLING LOAD (CFM)" totalsRowFunction="sum" dataDxfId="308" totalsRowDxfId="307"/>
    <tableColumn id="17" xr3:uid="{9950D068-2B64-41F9-A84D-F7BB46AA37B4}" name="Exhaust Category" dataDxfId="306" totalsRowDxfId="305"/>
    <tableColumn id="5" xr3:uid="{593AD6F9-FDB5-4388-9BB0-C939DB13E66D}" name="Occupancy Category" dataDxfId="304" totalsRowDxfId="303"/>
    <tableColumn id="10" xr3:uid="{7266144B-9C83-4090-884A-1BB5A987F5A7}" name="RP_x000a_(CFM/PER PERSON)" dataDxfId="302" totalsRowDxfId="301">
      <calculatedColumnFormula>VLOOKUP(Ahu_Ashrae_sheet[[#This Row],[Occupancy Category]],Ashrae90.1Vent[#All],2,FALSE)</calculatedColumnFormula>
    </tableColumn>
    <tableColumn id="11" xr3:uid="{09B8A030-EFEC-4BFF-ACC4-60D52EC4A99A}" name="RA_x000a_(CFM/FT²)" dataDxfId="300" totalsRowDxfId="299">
      <calculatedColumnFormula>VLOOKUP(Ahu_Ashrae_sheet[[#This Row],[Occupancy Category]],Ashrae90.1Vent[#All],3,FALSE)</calculatedColumnFormula>
    </tableColumn>
    <tableColumn id="9" xr3:uid="{8A1EE948-BF4B-4ECE-B0BC-2D78AE8EBCB1}" name="OCCUPANT DENSITY_x000a_(#/1000 FT²)" dataDxfId="298" totalsRowDxfId="297">
      <calculatedColumnFormula>VLOOKUP(Ahu_Ashrae_sheet[[#This Row],[Occupancy Category]],Ashrae90.1Vent[#All],4,FALSE)</calculatedColumnFormula>
    </tableColumn>
    <tableColumn id="12" xr3:uid="{B627EA84-4F12-4D9C-9B2E-8C8B23AA47EF}" name="Air Class" dataDxfId="296" totalsRowDxfId="295">
      <calculatedColumnFormula>VLOOKUP(Ahu_Ashrae_sheet[[#This Row],[Occupancy Category]],Ashrae90.1Vent[#All],5,FALSE)</calculatedColumnFormula>
    </tableColumn>
    <tableColumn id="13" xr3:uid="{2482AE45-6727-4713-94E7-C56A28C53053}" name="Occupants" totalsRowFunction="sum" dataDxfId="294" totalsRowDxfId="293">
      <calculatedColumnFormula>CEILING((M6/1000)*C6,1)</calculatedColumnFormula>
    </tableColumn>
    <tableColumn id="14" xr3:uid="{F57C4FE9-D689-4840-BE7F-8AAC8AF32E90}" name="Vbz" dataDxfId="292" totalsRowDxfId="291">
      <calculatedColumnFormula>(Ahu_Ashrae_sheet[[#This Row],[RP
(CFM/PER PERSON)]]*Ahu_Ashrae_sheet[[#This Row],[Occupants]])+(Ahu_Ashrae_sheet[[#This Row],[RA
(CFM/FT²)]]*Ahu_Ashrae_sheet[[#This Row],[AREA 
(FT²)]])</calculatedColumnFormula>
    </tableColumn>
    <tableColumn id="15" xr3:uid="{04F71ADE-9C52-4AAD-A4D5-481B6A3913FB}" name="Ez" dataDxfId="290" totalsRowDxfId="289"/>
    <tableColumn id="16" xr3:uid="{E815DDA4-80F1-4B30-89A0-831145D8A65F}" name="Voz" dataDxfId="288" totalsRowDxfId="287">
      <calculatedColumnFormula>P6/Q6</calculatedColumnFormula>
    </tableColumn>
    <tableColumn id="21" xr3:uid="{3796FC97-1024-4F8D-AF4A-C1BCEDC0304A}" name="OUTSIDE AIRFLOW (CFM) (Vot)" totalsRowFunction="sum" dataDxfId="286" totalsRowDxfId="285">
      <calculatedColumnFormula>Ahu_Ashrae_sheet[[#This Row],[Voz]]</calculatedColumnFormula>
    </tableColumn>
    <tableColumn id="23" xr3:uid="{D05FF6A7-2E60-430B-AE82-815C132F1D10}" name="Misc Exhaust From Room" dataDxfId="284" totalsRowDxfId="283"/>
    <tableColumn id="20" xr3:uid="{13FA33DD-5792-4573-864F-06398F2084BA}" name="Exhausted?" dataDxfId="282" totalsRowDxfId="281">
      <calculatedColumnFormula>IF(Ahu_Ashrae_sheet[[#This Row],[Exhaust Category]] = "NOT APPLICABLE","NR","YES")</calculatedColumnFormula>
    </tableColumn>
    <tableColumn id="27" xr3:uid="{D6F07612-EAC0-4AD6-8EB3-909D232BF60F}" name="EA RATE_x000a_(CFM/UNIT)" dataDxfId="280" totalsRowDxfId="279">
      <calculatedColumnFormula>IF(Ahu_Ashrae_sheet[[#This Row],[Exhaust Category]]="NOT APPLICABLE","NA",VLOOKUP(Ahu_Ashrae_sheet[[#This Row],[Exhaust Category]],ASHRAE_EA_Table[#All],2,FALSE))</calculatedColumnFormula>
    </tableColumn>
    <tableColumn id="19" xr3:uid="{162CF25C-455F-4425-BBCF-EF541E4CC9A8}" name="EA RATE_x000a_(CFM/FT²)" dataDxfId="278" totalsRowDxfId="277">
      <calculatedColumnFormula>IF(Ahu_Ashrae_sheet[[#This Row],[Exhaust Category]]="NOT APPLICABLE","NA",VLOOKUP(Ahu_Ashrae_sheet[[#This Row],[Exhaust Category]],ASHRAE_EA_Table[#All],3,FALSE))</calculatedColumnFormula>
    </tableColumn>
    <tableColumn id="28" xr3:uid="{B0045427-3B74-4ECE-A325-8F14C261EA1F}" name="MIN ASHRAE EA_x000a_(CFM)" dataDxfId="276" totalsRowDxfId="275">
      <calculatedColumnFormula>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calculatedColumnFormula>
    </tableColumn>
    <tableColumn id="22" xr3:uid="{A28E5D34-9B1F-421B-88CE-1EDD499FE4B0}" name="DESIGN SA(CFM)" totalsRowFunction="sum" dataDxfId="274" totalsRowDxfId="273">
      <calculatedColumnFormula array="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calculatedColumnFormula>
    </tableColumn>
    <tableColumn id="26" xr3:uid="{E5C38A60-425D-4F6C-9FDB-5E20E1A3E7E8}" name="DESIGN RA(CFM)" totalsRowFunction="sum" dataDxfId="272" totalsRowDxfId="271">
      <calculatedColumnFormula array="1">Returnair(Ahu_Ashrae_sheet[[#This Row],[DESIGN SA(CFM)]],Ahu_Ashrae_sheet[[#This Row],[Desired Room Balance]],Ahu_Ashrae_sheet[[#This Row],[Exhausted?]],Ahu_Ashrae_sheet[[#This Row],[Misc Exhaust From Room]])</calculatedColumnFormula>
    </tableColumn>
    <tableColumn id="29" xr3:uid="{7CBBFD1A-04A3-40BF-ADB5-C1CAA7ED83DE}" name="DESIGN EA(CFM)" totalsRowFunction="sum" dataDxfId="270" totalsRowDxfId="269">
      <calculatedColumnFormula array="1">Exhaustair(Ahu_Ashrae_sheet[[#This Row],[DESIGN SA(CFM)]],Ahu_Ashrae_sheet[[#This Row],[Exhausted?]],Ahu_Ashrae_sheet[[#This Row],[MIN ASHRAE EA
(CFM)]],Ahu_Ashrae_sheet[[#This Row],[Desired Room Balance]],Ahu_Ashrae_sheet[[#This Row],[Misc Exhaust From Room]])</calculatedColumnFormula>
    </tableColumn>
    <tableColumn id="30" xr3:uid="{AB62DC65-850C-4361-8132-0512F10C7B71}" name="Transfer Air CFM" dataDxfId="268" totalsRowDxfId="267">
      <calculatedColumnFormula>Ahu_Ashrae_sheet[[#This Row],[DESIGN SA(CFM)]]-Ahu_Ashrae_sheet[[#This Row],[DESIGN RA(CFM)]]-Ahu_Ashrae_sheet[[#This Row],[DESIGN EA(CFM)]]</calculatedColumnFormula>
    </tableColumn>
    <tableColumn id="35" xr3:uid="{0A6D88A1-5A0C-4F78-ADE8-54D0A5956F9A}" name="OA Frac (Z)" dataDxfId="266" totalsRowDxfId="265" dataCellStyle="Percent">
      <calculatedColumnFormula>Ahu_Ashrae_sheet[[#This Row],[OUTSIDE AIRFLOW (CFM) (Vot)]]/Ahu_Ashrae_sheet[[#This Row],[DESIGN SA(CFM)]]</calculatedColumnFormula>
    </tableColumn>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B6C855-6196-4D00-AA61-5C5B3CA139C9}" name="Ahu_t24_sheet" displayName="Ahu_t24_sheet" ref="A5:AD11" totalsRowCount="1" headerRowDxfId="264" dataDxfId="263" totalsRowDxfId="261" tableBorderDxfId="262">
  <autoFilter ref="A5:AD10" xr:uid="{59B85608-0CD2-47F2-870C-191ADDE0C2B8}"/>
  <tableColumns count="30">
    <tableColumn id="32" xr3:uid="{F2A23082-3ACA-4DCE-B6ED-25BF098F118E}" name="ZONE" dataDxfId="260" totalsRowDxfId="259"/>
    <tableColumn id="3" xr3:uid="{1558357E-8EBF-4B73-BD31-6A95FDDDA9E9}" name="Room Number" dataDxfId="258" totalsRowDxfId="257"/>
    <tableColumn id="4" xr3:uid="{1BB66D0C-2C0F-4780-8598-D02C37E734E3}" name="Room" totalsRowFunction="count" dataDxfId="256" totalsRowDxfId="255"/>
    <tableColumn id="6" xr3:uid="{2BAFA973-1565-4962-A13F-A92F505DDEE0}" name="AREA _x000a_(FT²)" totalsRowFunction="sum" dataDxfId="254" totalsRowDxfId="253"/>
    <tableColumn id="25" xr3:uid="{524B1BFC-4B23-4E1E-B9FF-5B99084BD76A}" name="Occupancy Sensor Installed?" dataDxfId="252" totalsRowDxfId="251"/>
    <tableColumn id="2" xr3:uid="{9C92BEB5-FC53-4D7D-A9CF-46220BF5AF16}" name="Desired Room Balance" dataDxfId="250" totalsRowDxfId="249"/>
    <tableColumn id="18" xr3:uid="{E6413D49-6D04-47B1-803F-8DA3152E6552}" name="Exhaust Units" dataDxfId="248" totalsRowDxfId="247"/>
    <tableColumn id="7" xr3:uid="{68A03055-C6B4-4715-B12A-A31EFA95070D}" name="OFFICE STANDARD _x000a_(CFM)" dataDxfId="246" totalsRowDxfId="245">
      <calculatedColumnFormula>IF((VLOOKUP(Ahu_t24_sheet[[#This Row],[Occupancy Category]],T24_VENT[#All],6,FALSE)) = "YES",MROUND(D6/2,5),MROUND(D6,5))</calculatedColumnFormula>
    </tableColumn>
    <tableColumn id="24" xr3:uid="{4BE021B2-C4D6-4624-8F29-600A7A862AF2}" name="HEATING LOAD (CFM)" totalsRowFunction="sum" dataDxfId="244" totalsRowDxfId="243"/>
    <tableColumn id="8" xr3:uid="{8B3079F1-59B2-473F-8AEF-E76F8D844088}" name="COOLING LOAD (CFM)" totalsRowFunction="sum" dataDxfId="242" totalsRowDxfId="241"/>
    <tableColumn id="17" xr3:uid="{591766BC-F096-4EBB-83C6-3F47660A2424}" name="Exhaust Category" dataDxfId="240" totalsRowDxfId="239"/>
    <tableColumn id="23" xr3:uid="{6ED55E7E-F493-4CB0-9B63-60651A3D7036}" name="Misc Exhaust From Room" dataDxfId="238" totalsRowDxfId="237"/>
    <tableColumn id="5" xr3:uid="{0CC1E757-5EB5-4447-8E87-AF4AA5FDFDD1}" name="Occupancy Category" dataDxfId="236" totalsRowDxfId="235"/>
    <tableColumn id="1" xr3:uid="{51F4060A-4276-4671-A505-B4B40E01D989}" name="FIXED SEATING OR SPACE DESIGNED WITH EXCEPTION TO 1004.5" dataDxfId="234" totalsRowDxfId="233"/>
    <tableColumn id="10" xr3:uid="{7836A33F-A278-422A-BB03-AEE27C78EED4}" name="NUMBER OF OCCUPANTS " dataDxfId="232" totalsRowDxfId="231"/>
    <tableColumn id="11" xr3:uid="{970C2AD4-F791-4CD4-8E64-2323E58A3D26}" name="TOTAL OA RATE_x000a_(CFM/FT²)" dataDxfId="230" totalsRowDxfId="229">
      <calculatedColumnFormula>VLOOKUP(Ahu_t24_sheet[[#This Row],[Occupancy Category]],T24_VENT[#All],2,FALSE)</calculatedColumnFormula>
    </tableColumn>
    <tableColumn id="9" xr3:uid="{301D26D7-33DC-41C1-85BB-C022C24BA83B}" name="MIN VENT AIR FOR DCV (CFM/FT²)" dataDxfId="228" totalsRowDxfId="227">
      <calculatedColumnFormula>VLOOKUP(Ahu_t24_sheet[[#This Row],[Occupancy Category]],T24_VENT[#All],3,FALSE)</calculatedColumnFormula>
    </tableColumn>
    <tableColumn id="12" xr3:uid="{478F0C4E-2AF7-4BBE-B14E-617DF7C4D1CA}" name="Air Class" dataDxfId="226" totalsRowDxfId="225">
      <calculatedColumnFormula>VLOOKUP(Ahu_t24_sheet[[#This Row],[Occupancy Category]],T24_VENT[#All],4,FALSE)</calculatedColumnFormula>
    </tableColumn>
    <tableColumn id="21" xr3:uid="{FA915F77-9CF0-4577-975E-F75B4044B86D}" name="Occupancy Stanby Permitted?" dataDxfId="224" totalsRowDxfId="223">
      <calculatedColumnFormula>VLOOKUP(Ahu_t24_sheet[[#This Row],[Occupancy Category]],T24_VENT[#All],5,FALSE)</calculatedColumnFormula>
    </tableColumn>
    <tableColumn id="14" xr3:uid="{A5E2DDF0-8064-4C55-BA6E-E4CF542071A1}" name="Vz (CFM)" totalsRowFunction="sum" dataDxfId="222" totalsRowDxfId="221">
      <calculatedColumnFormula>IF(Ahu_t24_sheet[[#This Row],[FIXED SEATING OR SPACE DESIGNED WITH EXCEPTION TO 1004.5]]="YES",MAX(Ahu_t24_sheet[[#This Row],[TOTAL OA RATE
(CFM/FT²)]]*Ahu_t24_sheet[[#This Row],[AREA 
(FT²)]],15*Ahu_t24_sheet[[#This Row],[NUMBER OF OCCUPANTS ]]),Ahu_t24_sheet[[#This Row],[TOTAL OA RATE
(CFM/FT²)]]*Ahu_t24_sheet[[#This Row],[AREA 
(FT²)]])</calculatedColumnFormula>
    </tableColumn>
    <tableColumn id="13" xr3:uid="{62AD44B0-8607-43BD-91E8-838FD67CE6AC}" name="Vz (DCV CFM)" dataDxfId="220" totalsRowDxfId="219">
      <calculatedColumnFormula>IF(AND(Ahu_t24_sheet[[#This Row],[Occupancy Sensor Installed?]]="YES",Ahu_t24_sheet[[#This Row],[Occupancy Stanby Permitted?]]="YES"),0,Ahu_t24_sheet[[#This Row],[MIN VENT AIR FOR DCV (CFM/FT²)]]*Ahu_t24_sheet[[#This Row],[AREA 
(FT²)]])</calculatedColumnFormula>
    </tableColumn>
    <tableColumn id="15" xr3:uid="{EE186793-55D0-4690-A08B-C647BE68247D}" name="DCV Required?" dataDxfId="218" totalsRowDxfId="217">
      <calculatedColumnFormula>IF(AND(OR(($K$1 = "YES"),Ahu_t24_sheet[[#Totals],[Vz (CFM)]]&gt;2900),( VLOOKUP(Ahu_t24_sheet[[#This Row],[Occupancy Category]],T24_VENT[#All],7,FALSE))&gt;24),"YES","NO")</calculatedColumnFormula>
    </tableColumn>
    <tableColumn id="20" xr3:uid="{6921C187-F9FA-43D4-B86E-2C31535DB37C}" name="Exhausted?" dataDxfId="216" totalsRowDxfId="215">
      <calculatedColumnFormula>IF(Ahu_t24_sheet[[#This Row],[Exhaust Category]] = "NOT APPLICABLE","NR","YES")</calculatedColumnFormula>
    </tableColumn>
    <tableColumn id="27" xr3:uid="{56C6CD4F-3496-461E-9AC9-0B0C27C01DB7}" name="EA RATE_x000a_(CFM/UNIT)" dataDxfId="214" totalsRowDxfId="213">
      <calculatedColumnFormula>IF(Ahu_t24_sheet[[#This Row],[Exhaust Category]]="NOT APPLICABLE","NA",VLOOKUP(Ahu_t24_sheet[[#This Row],[Exhaust Category]],TITLE24_EXHAUST_TABLE[#All],2,FALSE))</calculatedColumnFormula>
    </tableColumn>
    <tableColumn id="19" xr3:uid="{1DF147D0-7F91-4BE6-8B6A-1A24F2D64111}" name="EA RATE_x000a_(CFM/FT²)" dataDxfId="212" totalsRowDxfId="211">
      <calculatedColumnFormula>IF(Ahu_t24_sheet[[#This Row],[Exhaust Category]]="NOT APPLICABLE","NA",VLOOKUP(Ahu_t24_sheet[[#This Row],[Exhaust Category]],TITLE24_EXHAUST_TABLE[#All],3,FALSE))</calculatedColumnFormula>
    </tableColumn>
    <tableColumn id="28" xr3:uid="{3F36F19F-6A54-49C6-86F1-7DDF6F309844}" name="MIN EA_x000a_(CFM)" dataDxfId="210" totalsRowDxfId="209">
      <calculatedColumnFormula>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calculatedColumnFormula>
    </tableColumn>
    <tableColumn id="22" xr3:uid="{1402EB34-5C18-48F4-B3BA-9DA29D0ECE83}" name="DESIGN SA(CFM)" totalsRowFunction="sum" dataDxfId="208" totalsRowDxfId="207">
      <calculatedColumnFormula array="1">supplyair(Ahu_t24_sheet[[#This Row],[COOLING LOAD (CFM)]],Ahu_t24_sheet[[#This Row],[OFFICE STANDARD 
(CFM)]],Ahu_t24_sheet[[#This Row],[OFFICE STANDARD 
(CFM)]],Ahu_t24_sheet[[#This Row],[Desired Room Balance]],Ahu_t24_sheet[[#This Row],[Exhausted?]],Ahu_t24_sheet[[#This Row],[MIN EA
(CFM)]],Ahu_t24_sheet[[#This Row],[Misc Exhaust From Room]],#REF!)</calculatedColumnFormula>
    </tableColumn>
    <tableColumn id="26" xr3:uid="{4E9704E5-180B-418E-A642-2D16070DF2C4}" name="DESIGN RA(CFM)" totalsRowFunction="sum" dataDxfId="206" totalsRowDxfId="205">
      <calculatedColumnFormula array="1">Returnair(Ahu_t24_sheet[[#This Row],[DESIGN SA(CFM)]],Ahu_t24_sheet[[#This Row],[Desired Room Balance]],Ahu_t24_sheet[[#This Row],[Exhausted?]],Ahu_t24_sheet[[#This Row],[Misc Exhaust From Room]])</calculatedColumnFormula>
    </tableColumn>
    <tableColumn id="29" xr3:uid="{A3C2B89C-307B-4EB2-B6FA-9B84DB49DFB9}" name="DESIGN EA(CFM)" totalsRowFunction="sum" dataDxfId="204" totalsRowDxfId="203">
      <calculatedColumnFormula array="1">Exhaustair(Ahu_t24_sheet[[#This Row],[DESIGN SA(CFM)]],Ahu_t24_sheet[[#This Row],[Exhausted?]],Ahu_t24_sheet[[#This Row],[MIN EA
(CFM)]],Ahu_t24_sheet[[#This Row],[Desired Room Balance]],Ahu_t24_sheet[[#This Row],[Misc Exhaust From Room]])</calculatedColumnFormula>
    </tableColumn>
    <tableColumn id="30" xr3:uid="{11CB4A1C-D3EA-4329-AD71-C5E85B43922A}" name="Transfer Air CFM" dataDxfId="202" totalsRowDxfId="201">
      <calculatedColumnFormula>Ahu_t24_sheet[[#This Row],[DESIGN SA(CFM)]]-Ahu_t24_sheet[[#This Row],[DESIGN RA(CFM)]]-Ahu_t24_sheet[[#This Row],[DESIGN EA(CFM)]]</calculatedColumnFormula>
    </tableColumn>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722567B-F5DC-4109-9DD8-283914BD9235}" name="Table25" displayName="Table25" ref="A3:J4" totalsRowShown="0" headerRowDxfId="200" dataDxfId="199">
  <autoFilter ref="A3:J4" xr:uid="{4722567B-F5DC-4109-9DD8-283914BD9235}"/>
  <tableColumns count="10">
    <tableColumn id="1" xr3:uid="{7D32C4A6-C19F-4D01-97E5-A1152A1BAEF9}" name="CHILLER TAG" dataDxfId="198"/>
    <tableColumn id="2" xr3:uid="{2219859C-7B83-4D4B-A75A-A8A2A4E1086F}" name="DIVERSITY" dataDxfId="197"/>
    <tableColumn id="3" xr3:uid="{BA02662D-DD67-4799-B231-94579CAAD06B}" name="CHILLER CAPACITY (TONS)" dataDxfId="196"/>
    <tableColumn id="4" xr3:uid="{4F5A2DE8-3875-4648-B923-B9E9E51FB566}" name="GPM" dataDxfId="195"/>
    <tableColumn id="5" xr3:uid="{15DC3BCA-6D04-4789-965C-D3D3A5383153}" name="CHWS" dataDxfId="194">
      <calculatedColumnFormula>INPUT_OUTPUTS!$C$14</calculatedColumnFormula>
    </tableColumn>
    <tableColumn id="6" xr3:uid="{01AB0C6C-E62D-46F2-B380-43509BFE6335}" name="CHWR" dataDxfId="193">
      <calculatedColumnFormula>INPUT_OUTPUTS!$C$15</calculatedColumnFormula>
    </tableColumn>
    <tableColumn id="7" xr3:uid="{C76994DA-F032-48B5-8C99-41CBBB7D797D}" name="Heat Rejection at Condenser (BTU/HR)" dataDxfId="192">
      <calculatedColumnFormula>Table25[[#This Row],[CHILLER CAPACITY (TONS)]]*1.25*12000</calculatedColumnFormula>
    </tableColumn>
    <tableColumn id="8" xr3:uid="{837A511C-9CFD-450B-8079-ABE6A6434507}" name="CONDENSER WATER EWT" dataDxfId="191"/>
    <tableColumn id="9" xr3:uid="{CFCF58DF-DEF6-479A-BDB7-A4227602C482}" name="CONDENSER WATER LWT" dataDxfId="190"/>
    <tableColumn id="10" xr3:uid="{F6B54F02-73CB-4519-822B-2045E12E5116}" name="CONDENSER WATER GPM" dataDxfId="189"/>
  </tableColumns>
  <tableStyleInfo name="TableStyleLight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29CC425-19F2-45FE-821A-B7C6029BB5DC}" name="Table2527" displayName="Table2527" ref="A10:I11" totalsRowShown="0" headerRowDxfId="188" dataDxfId="187">
  <autoFilter ref="A10:I11" xr:uid="{C29CC425-19F2-45FE-821A-B7C6029BB5DC}"/>
  <tableColumns count="9">
    <tableColumn id="1" xr3:uid="{5368AA83-F46B-4C9B-B009-F085D4A44FD6}" name="BOILER TAG" dataDxfId="186"/>
    <tableColumn id="2" xr3:uid="{5EDA7B46-81EF-4834-97B5-79E0DF18F950}" name="DIVERSITY" dataDxfId="185"/>
    <tableColumn id="3" xr3:uid="{F9420D41-EB15-4E1F-9F2A-27104B8EC2A8}" name="BOILER CAPACITY (MBH)" dataDxfId="184"/>
    <tableColumn id="4" xr3:uid="{F59EBC9A-341C-4F3D-B7D6-FAD0EF67875E}" name="GPM" dataDxfId="183"/>
    <tableColumn id="5" xr3:uid="{A792A9D3-4942-4862-BB19-A64B1CFF9225}" name="HHWS" dataDxfId="182">
      <calculatedColumnFormula>INPUT_OUTPUTS!$C$16</calculatedColumnFormula>
    </tableColumn>
    <tableColumn id="6" xr3:uid="{562E62FC-8D21-4FA4-83DF-803FF786D998}" name="HHWR" dataDxfId="181">
      <calculatedColumnFormula>INPUT_OUTPUTS!$C$17</calculatedColumnFormula>
    </tableColumn>
    <tableColumn id="7" xr3:uid="{77071E59-15A7-44EC-996F-3ED96EB3ED78}" name="BOILER EFFICIENCY" dataDxfId="180"/>
    <tableColumn id="8" xr3:uid="{C733E27D-DC94-48B8-9AC1-906D695D9E7C}" name="INPUT MBH" dataDxfId="179"/>
    <tableColumn id="9" xr3:uid="{2FE11277-C4AC-4AC1-AF1F-F79F1575B738}" name="INPUT KW" dataDxfId="178"/>
  </tableColumns>
  <tableStyleInfo name="TableStyleLight1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4E89E57-AF2C-455E-B912-88382F81D012}" name="FCU_Base_Data" displayName="FCU_Base_Data" ref="A3:L4" totalsRowShown="0" headerRowDxfId="176" dataDxfId="174" headerRowBorderDxfId="175" tableBorderDxfId="173" totalsRowBorderDxfId="172">
  <autoFilter ref="A3:L4" xr:uid="{44411FB6-142F-46EF-BD79-8AC0ACDCD97C}"/>
  <tableColumns count="12">
    <tableColumn id="2" xr3:uid="{62DD3D9A-906E-45A0-B542-4A2341DA2C9C}" name="Room _x000a_Name" dataDxfId="171"/>
    <tableColumn id="3" xr3:uid="{B1B58D13-F691-4812-86FC-1BD13B5FE08C}" name="Room _x000a_number " dataDxfId="170"/>
    <tableColumn id="16" xr3:uid="{F1838AD3-D9DF-49E3-A3C1-184B19DDC80D}" name="Room Temp DB" dataDxfId="169" dataCellStyle="Normal 2"/>
    <tableColumn id="15" xr3:uid="{2D4DFC2A-0F76-4D59-A5E8-AD011532B420}" name="Room Temp WB" dataDxfId="168" dataCellStyle="Normal 2"/>
    <tableColumn id="4" xr3:uid="{C260CC61-7A7D-4057-AEFB-C80919810633}" name="Area_x000a_(ft2)" dataDxfId="167"/>
    <tableColumn id="5" xr3:uid="{F7F236E1-500B-4060-8EAE-29336EE30DA0}" name="Height (ft)" dataDxfId="166"/>
    <tableColumn id="7" xr3:uid="{227EB29C-B6BC-4137-8F34-0D23A4AF4E54}" name="Envelope Sensible Load _x000a_(BTU/HR)" dataDxfId="165"/>
    <tableColumn id="12" xr3:uid="{D265DEF2-837E-444C-B067-0031EA556754}" name="Envelope Latent Load _x000a_(BTU/HR)" dataDxfId="164" dataCellStyle="Normal 2"/>
    <tableColumn id="6" xr3:uid="{DB85C359-06D6-46CF-8260-71BE36AA06B9}" name="Make up Air or OA required (CFM)" dataDxfId="163" dataCellStyle="Normal 2"/>
    <tableColumn id="8" xr3:uid="{DAE5E387-355D-4E93-BEA3-086D65076529}" name="Watts Per Sqft _x000a_from Equipment" dataDxfId="162">
      <calculatedColumnFormula>(FCU_Heat_Generating_Equipment[[#Totals],[Total 
BTUs]]*0.29307107)/FCU_Base_Data[[#This Row],[Area
(ft2)]]</calculatedColumnFormula>
    </tableColumn>
    <tableColumn id="9" xr3:uid="{EF1FA1B9-A715-4623-BF33-F6A3B3D44210}" name="Total Sensible Load (BTUs/Hr)" dataDxfId="161">
      <calculatedColumnFormula>FCU_Base_Data[[#This Row],[Envelope Sensible Load 
(BTU/HR)]]+FCU_Heat_Generating_Equipment[[#Totals],[Total 
BTUs]]+(1.1*FCU_Base_Data[[#This Row],[Make up Air or OA required (CFM)]]*(INPUT_OUTPUTS!C8-FCU_Base_Data[[#This Row],[Room Temp DB]]))</calculatedColumnFormula>
    </tableColumn>
    <tableColumn id="14" xr3:uid="{0F6512FF-3B52-4C13-B178-E8A968F0B0DA}" name="Total Latent Load (BTUs/Hr)" dataDxfId="160">
      <calculatedColumnFormula array="1">totalLatentLoad(FCU_Base_Data[[#This Row],[Envelope Latent Load 
(BTU/HR)]],FCU_Base_Data[[#This Row],[Room Temp DB]],FCU_Base_Data[[#This Row],[Room Temp WB]],INPUT_OUTPUTS!G6,FCU_Base_Data[[#This Row],[Make up Air or OA required (CFM)]],INPUT_OUTPUTS!C8,INPUT_OUTPUTS!C9,INPUT_OUTPUTS!C10,INPUT_OUTPUTS!C11)</calculatedColumn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BC32638-447B-4BCE-9C6C-C1EF6EBC4AE9}" name="FCU_Heat_Generating_Equipment" displayName="FCU_Heat_Generating_Equipment" ref="A9:L13" totalsRowCount="1" headerRowDxfId="159" dataDxfId="158" totalsRowDxfId="157" totalsRowBorderDxfId="156">
  <autoFilter ref="A9:L12" xr:uid="{0C5BFFEC-5ED1-469A-806C-32647A480394}"/>
  <tableColumns count="12">
    <tableColumn id="1" xr3:uid="{BEB8D356-84F4-43B5-924E-B32568058F62}" name="Equipment" totalsRowLabel="Total Load" dataDxfId="155" totalsRowDxfId="154"/>
    <tableColumn id="2" xr3:uid="{9E4D2415-B14D-40B1-95E0-0C9672C8440D}" name="General Equipment _x000a_(BTU/HR)" dataDxfId="153" totalsRowDxfId="152"/>
    <tableColumn id="3" xr3:uid="{8FC3D2BE-D9BD-4007-B636-1672EEADE304}" name="General Equipment _x000a_(Watts)" dataDxfId="151" totalsRowDxfId="150"/>
    <tableColumn id="5" xr3:uid="{43A25169-3CD7-454F-9554-9E297F7BF8D4}" name="Transformer _x000a_(KVA)" dataDxfId="149" totalsRowDxfId="148"/>
    <tableColumn id="6" xr3:uid="{1CFACC13-8384-4E61-B065-A744D3DEDDD3}" name="Transformer _x000a_Efficiency" dataDxfId="147" totalsRowDxfId="146"/>
    <tableColumn id="9" xr3:uid="{8A1B45D2-E6CC-448E-BC2D-015842AECA2A}" name="Server Load _x000a_(Watts)" dataDxfId="145" totalsRowDxfId="144"/>
    <tableColumn id="12" xr3:uid="{636C612B-90A4-4E97-B47D-4ADB9575C0B7}" name="Number of Servers" dataDxfId="143" totalsRowDxfId="142"/>
    <tableColumn id="10" xr3:uid="{9F66B44D-0B69-40BE-B03A-CD99F331EA51}" name="Server Diversity" dataDxfId="141" totalsRowDxfId="140"/>
    <tableColumn id="7" xr3:uid="{448F62D4-0325-4934-B4E5-0AFBC213E284}" name="Transformer _x000a_BTUs" dataDxfId="139" totalsRowDxfId="138">
      <calculatedColumnFormula>D10*(1-E10)*3412.14</calculatedColumnFormula>
    </tableColumn>
    <tableColumn id="4" xr3:uid="{99351F7A-5C5A-43A4-B46A-78E05CB0E0DC}" name="Watts _x000a_to BTUs" dataDxfId="137" totalsRowDxfId="136">
      <calculatedColumnFormula>C10*3.41</calculatedColumnFormula>
    </tableColumn>
    <tableColumn id="11" xr3:uid="{386FF5F8-7A2D-4E02-83E4-59A31EA3329D}" name="Server Load _x000a_(BTUs)" dataDxfId="135" totalsRowDxfId="134">
      <calculatedColumnFormula>FCU_Heat_Generating_Equipment[[#This Row],[Server Load 
(Watts)]]*FCU_Heat_Generating_Equipment[[#This Row],[Server Diversity]]*3.41*FCU_Heat_Generating_Equipment[[#This Row],[Number of Servers]]</calculatedColumnFormula>
    </tableColumn>
    <tableColumn id="8" xr3:uid="{24A8FBA9-A563-4E66-96C9-7D475E96F498}" name="Total _x000a_BTUs" totalsRowFunction="sum" dataDxfId="133" totalsRowDxfId="132">
      <calculatedColumnFormula>MROUND(SUM(FCU_Heat_Generating_Equipment[[#This Row],[General Equipment 
(BTU/HR)]],FCU_Heat_Generating_Equipment[[#This Row],[Watts 
to BTUs]],FCU_Heat_Generating_Equipment[[#This Row],[Transformer 
BTUs]],FCU_Heat_Generating_Equipment[[#This Row],[Server Load 
(BTUs)]]),5)</calculatedColumnFormula>
    </tableColum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549DDA-58B9-454D-BB1A-893F61F17227}" name="FCU_Schedules" displayName="FCU_Schedules" ref="A11:AC13" totalsRowCount="1" headerRowDxfId="131" dataDxfId="129" headerRowBorderDxfId="130" tableBorderDxfId="128">
  <autoFilter ref="A11:AC12" xr:uid="{E6D9D33A-2DE5-364A-B78C-5DD7A614D29B}"/>
  <tableColumns count="29">
    <tableColumn id="1" xr3:uid="{8F0B1537-0A79-4F26-BBC1-ABDEF31A2274}" name="TAG" totalsRowLabel="Total" dataDxfId="127" totalsRowDxfId="126"/>
    <tableColumn id="2" xr3:uid="{15B37BBD-9CA2-48E8-AAF4-88EB052224A5}" name="Supply CFM" totalsRowFunction="sum" dataDxfId="125" totalsRowDxfId="124">
      <calculatedColumnFormula>MROUND(FCU_Schedules[[#This Row],[Total Load]]/(4.5*(FCU_Schedules[[#This Row],[Mixed Air Enthalpy]]-FCU_Schedules[[#This Row],[Leaving air Enthalpy]])),5)</calculatedColumnFormula>
    </tableColumn>
    <tableColumn id="4" xr3:uid="{EEAD63A0-2D37-4A3A-A2D2-44BD3554907A}" name="Return CFM" dataDxfId="123" totalsRowDxfId="122">
      <calculatedColumnFormula>FCU_Schedules[[#This Row],[Supply CFM]]-FCU_Schedules[[#This Row],[Outside Air CFM]]</calculatedColumnFormula>
    </tableColumn>
    <tableColumn id="6" xr3:uid="{FD957343-AFCA-4D1E-A1D9-8226DF6BCE02}" name="Return Drybulb" dataDxfId="121" totalsRowDxfId="120"/>
    <tableColumn id="7" xr3:uid="{FD210E09-D3A7-4829-BEFF-304D3716F3E8}" name="Return Wetbulb" dataDxfId="119" totalsRowDxfId="118"/>
    <tableColumn id="8" xr3:uid="{58D5B86B-6B27-4C4F-9592-0F8B85897FC1}" name="Outside Air CFM" dataDxfId="117" totalsRowDxfId="116"/>
    <tableColumn id="9" xr3:uid="{A71BD3A8-43D2-48B5-9554-98B4EEE172A4}" name="Outside Air DB" dataDxfId="115" totalsRowDxfId="114">
      <calculatedColumnFormula>INPUT_OUTPUTS!$C$8</calculatedColumnFormula>
    </tableColumn>
    <tableColumn id="10" xr3:uid="{962517D7-650F-477B-A57C-B2CC27B9D32B}" name="Outside Air WB" dataDxfId="113" totalsRowDxfId="112">
      <calculatedColumnFormula>INPUT_OUTPUTS!$C$9</calculatedColumnFormula>
    </tableColumn>
    <tableColumn id="14" xr3:uid="{55948B91-497F-4F3F-9D0B-F5D2DD6AD125}" name="Winter Temp" dataDxfId="111" totalsRowDxfId="110">
      <calculatedColumnFormula>INPUT_OUTPUTS!$F$8</calculatedColumnFormula>
    </tableColumn>
    <tableColumn id="15" xr3:uid="{0D7DF5B1-BA71-4D3D-959F-20B1F51EED47}" name="Exfiltration CFM" dataDxfId="109" totalsRowDxfId="108">
      <calculatedColumnFormula>C12+F12-B12</calculatedColumnFormula>
    </tableColumn>
    <tableColumn id="16" xr3:uid="{415DDCF1-FAFC-4669-99BA-877DB46ACF79}" name="Mixed air DB" dataDxfId="107" totalsRowDxfId="106">
      <calculatedColumnFormula>FCU_Schedules[[#This Row],[Return Drybulb]]</calculatedColumnFormula>
    </tableColumn>
    <tableColumn id="17" xr3:uid="{0BB19E89-8C4B-496F-A356-FCBB6AF7D5E7}" name="Mixed air WB" dataDxfId="105" totalsRowDxfId="104">
      <calculatedColumnFormula>FCU_Schedules[[#This Row],[Return Wetbulb]]</calculatedColumnFormula>
    </tableColumn>
    <tableColumn id="18" xr3:uid="{EAE63929-234F-44E8-A139-6D00809F5AB5}" name="Mixed Air Enthalpy" dataDxfId="103" totalsRowDxfId="102">
      <calculatedColumnFormula array="1">GetMoistAirEnthalpy(FCU_Schedules[[#This Row],[Mixed air DB]],(GetHumRatioFromTWetBulb(FCU_Schedules[[#This Row],[Mixed air DB]],FCU_Schedules[[#This Row],[Mixed air WB]],GetStandardAtmPressure(INPUT_OUTPUTS!$G$6))))</calculatedColumnFormula>
    </tableColumn>
    <tableColumn id="19" xr3:uid="{01780C45-CA4C-4AA5-A83A-F2B773B82A96}" name="Leaving Air DB" dataDxfId="101" totalsRowDxfId="100"/>
    <tableColumn id="20" xr3:uid="{497BA7BC-1B08-487D-9189-15C5F27B9D96}" name="Leaving Air WB" dataDxfId="99" totalsRowDxfId="98"/>
    <tableColumn id="21" xr3:uid="{D834ADEA-CA81-4E72-B13A-9F9B52C6F213}" name="Leaving air Enthalpy" dataDxfId="97" totalsRowDxfId="96">
      <calculatedColumnFormula array="1">GetMoistAirEnthalpy(FCU_Schedules[[#This Row],[Leaving Air DB]],(GetHumRatioFromTWetBulb(FCU_Schedules[[#This Row],[Leaving Air DB]],FCU_Schedules[[#This Row],[Leaving Air WB]],GetStandardAtmPressure(INPUT_OUTPUTS!$G$6))))</calculatedColumnFormula>
    </tableColumn>
    <tableColumn id="22" xr3:uid="{E39D1E7B-7023-4A88-B5BD-CBE6319A06C6}" name="Sensible Load" dataDxfId="95" totalsRowDxfId="94"/>
    <tableColumn id="23" xr3:uid="{E1DC3503-995B-4E2E-A4C0-FA1A8BF304BD}" name="Total Load" dataDxfId="93" totalsRowDxfId="92"/>
    <tableColumn id="24" xr3:uid="{5011ECC7-02E0-4385-8D67-6977D0315C8E}" name="Total Tonnage" dataDxfId="91" totalsRowDxfId="90">
      <calculatedColumnFormula>IF(R12&lt;Q12,"INVALID POINT",R12/12000)</calculatedColumnFormula>
    </tableColumn>
    <tableColumn id="25" xr3:uid="{2828AC03-64A6-4419-968F-07E097EE33B9}" name="EWT" dataDxfId="89" totalsRowDxfId="88">
      <calculatedColumnFormula>INPUT_OUTPUTS!$C$14</calculatedColumnFormula>
    </tableColumn>
    <tableColumn id="26" xr3:uid="{DB3E362B-B672-4561-8355-608CD347B6D8}" name="LWT" dataDxfId="87" totalsRowDxfId="86">
      <calculatedColumnFormula>INPUT_OUTPUTS!$C$15</calculatedColumnFormula>
    </tableColumn>
    <tableColumn id="27" xr3:uid="{09910A02-C822-4038-8164-BBEE2FE54D4C}" name="GPM" totalsRowFunction="sum" dataDxfId="85" totalsRowDxfId="84">
      <calculatedColumnFormula>R12/(500*(U12-T12))</calculatedColumnFormula>
    </tableColumn>
    <tableColumn id="34" xr3:uid="{B72EE98A-8CEF-4902-B958-47985491574F}" name="Heating CFM" dataDxfId="83" totalsRowDxfId="82"/>
    <tableColumn id="54" xr3:uid="{82160631-2223-44E5-8C48-172A132D3676}" name="Mixed Air Heating " dataDxfId="81" totalsRowDxfId="80">
      <calculatedColumnFormula>(FCU_Schedules[[#This Row],[Winter Temp]]*FCU_Schedules[[#This Row],[Outside Air CFM]] + FCU_Schedules[[#This Row],[Return Drybulb]]*(FCU_Schedules[[#This Row],[Heating CFM]]-FCU_Schedules[[#This Row],[Outside Air CFM]]))/FCU_Schedules[[#This Row],[Heating CFM]]</calculatedColumnFormula>
    </tableColumn>
    <tableColumn id="56" xr3:uid="{C702EC0F-471A-4EB2-9EB7-3957133D1E66}" name="Heating LAT" dataDxfId="79" totalsRowDxfId="78"/>
    <tableColumn id="57" xr3:uid="{B4A0FD48-D3B6-4D18-B57A-7791D0AE772F}" name="Heating Sensible Load" totalsRowFunction="sum" dataDxfId="77" totalsRowDxfId="76">
      <calculatedColumnFormula>(FCU_Schedules[[#This Row],[Heating CFM]]*1.08*(FCU_Schedules[[#This Row],[Heating LAT]]-FCU_Schedules[[#This Row],[Mixed Air Heating ]]))/1000</calculatedColumnFormula>
    </tableColumn>
    <tableColumn id="3" xr3:uid="{CB2187FF-94C6-4BF7-9EF3-14BEA52BA79E}" name="HWEWT" dataDxfId="75" totalsRowDxfId="74">
      <calculatedColumnFormula>INPUT_OUTPUTS!$C$16</calculatedColumnFormula>
    </tableColumn>
    <tableColumn id="5" xr3:uid="{989018FB-568D-4937-8D20-2C29E84E7F48}" name="HWLWT" dataDxfId="73" totalsRowDxfId="72">
      <calculatedColumnFormula>INPUT_OUTPUTS!$C$17</calculatedColumnFormula>
    </tableColumn>
    <tableColumn id="60" xr3:uid="{DA35478F-D6FA-4A9B-BB41-39AD26A0E9E1}" name="HW GPM" totalsRowFunction="sum" dataDxfId="71" totalsRowDxfId="70">
      <calculatedColumnFormula>(FCU_Schedules[[#This Row],[Heating Sensible Load]]*1000)/(500*(FCU_Schedules[[#This Row],[HWEWT]]-FCU_Schedules[[#This Row],[HWLWT]]))</calculatedColumnFormula>
    </tableColumn>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4CB438A-F257-430B-AE78-64FFEFF7F487}" name="T24_VENT" displayName="T24_VENT" ref="A1:G77" totalsRowShown="0" headerRowDxfId="69" dataDxfId="68" tableBorderDxfId="67">
  <autoFilter ref="A1:G77" xr:uid="{38CA1BF8-58C5-49DD-91D9-28F4313D1F40}">
    <filterColumn colId="5">
      <filters blank="1"/>
    </filterColumn>
  </autoFilter>
  <tableColumns count="7">
    <tableColumn id="1" xr3:uid="{66871F5A-8736-4369-98BA-C75642AAD9F5}" name="Occupancy Category" dataDxfId="66"/>
    <tableColumn id="2" xr3:uid="{344FD064-9170-43D0-9584-2EE675C2D479}" name="Total Outdoor Air Rate1 Rt (cfm/ft2)" dataDxfId="65"/>
    <tableColumn id="3" xr3:uid="{C06D1194-9520-4906-8792-554BD0D0650A}" name="Min Ventilation Air Rate for DCV2 Ra (cfm/ft2)" dataDxfId="64"/>
    <tableColumn id="4" xr3:uid="{36589519-A735-48FE-AC24-8FA64963D5E6}" name="Air Class" dataDxfId="63"/>
    <tableColumn id="8" xr3:uid="{C1407444-F7DA-46C4-A204-8C14DB74CC2D}" name="OS" dataDxfId="62"/>
    <tableColumn id="5" xr3:uid="{0B33F0CB-43AD-4CE2-8525-147D22599A6A}" name="0.5?" dataDxfId="61"/>
    <tableColumn id="6" xr3:uid="{D59A0D54-F8BC-49BB-8D4A-4C485F419F27}" name="Occupant Density" dataDxfId="60"/>
  </tableColumns>
  <tableStyleInfo name="TableStyleLight1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3926BEC-BE23-434F-9CE6-5D203D0FFD95}" name="TITLE24_EXHAUST_TABLE" displayName="TITLE24_EXHAUST_TABLE" ref="I1:M27" totalsRowShown="0" headerRowDxfId="59" dataDxfId="58" headerRowCellStyle="Normal 3" dataCellStyle="Normal 3">
  <autoFilter ref="I1:M27" xr:uid="{C3926BEC-BE23-434F-9CE6-5D203D0FFD95}"/>
  <tableColumns count="5">
    <tableColumn id="1" xr3:uid="{8FAA7420-5330-49B5-8723-95A0AD66D0FF}" name="Occupancy Category" dataDxfId="57" dataCellStyle="Normal 3"/>
    <tableColumn id="2" xr3:uid="{D68EDB16-8E9B-48FB-997C-CD2CEC5FC06A}" name="EXHAUST RATE" dataDxfId="56" dataCellStyle="Normal 3"/>
    <tableColumn id="3" xr3:uid="{FEB39E4A-AE51-4C95-A4EA-086666836237}" name="EXHAUST RATE2" dataDxfId="55" dataCellStyle="Normal 3"/>
    <tableColumn id="4" xr3:uid="{7FAC25A5-B843-48E1-9C59-9B6C5DBE0438}" name="AIR CLASS" dataDxfId="54" dataCellStyle="Normal 3"/>
    <tableColumn id="5" xr3:uid="{3F20BBE5-CB74-49FA-8D5F-1A2C46C09FDC}" name="NOTES" dataDxfId="53" dataCellStyle="Normal 3"/>
  </tableColumns>
  <tableStyleInfo name="TableStyleLight1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5BA8B8-8715-43AE-BC90-D77409CD4392}" name="Ashrae90.1Vent" displayName="Ashrae90.1Vent" ref="A1:G93" totalsRowShown="0" headerRowDxfId="52" dataDxfId="51" dataCellStyle="Normal 2">
  <autoFilter ref="A1:G93" xr:uid="{F45BA8B8-8715-43AE-BC90-D77409CD4392}"/>
  <sortState xmlns:xlrd2="http://schemas.microsoft.com/office/spreadsheetml/2017/richdata2" ref="A2:G93">
    <sortCondition ref="A1:A93"/>
  </sortState>
  <tableColumns count="7">
    <tableColumn id="8" xr3:uid="{657FFBBA-8CBB-41EF-A25F-A9CD4768F24B}" name="Occupancy Category" dataDxfId="50" dataCellStyle="Normal 2"/>
    <tableColumn id="3" xr3:uid="{9733D35C-867E-4C4B-8F2B-E086ECB58CD3}" name="RP" dataDxfId="49" dataCellStyle="Normal 2"/>
    <tableColumn id="4" xr3:uid="{8749CE45-D3E3-463B-A943-59B6B0450B44}" name="RA" dataDxfId="48" dataCellStyle="Normal 2"/>
    <tableColumn id="5" xr3:uid="{CD462116-5E1B-4F25-96C0-8DB927D62FAD}" name="OCCUPANT DENSITY" dataDxfId="47" dataCellStyle="Normal 2"/>
    <tableColumn id="6" xr3:uid="{17ED933E-614D-45F6-B2C6-C5FD970DCCC2}" name="AIR CLASS" dataDxfId="46" dataCellStyle="Normal 2"/>
    <tableColumn id="7" xr3:uid="{8990C0AF-57F2-4ABC-A0E1-FC88BC4B024A}" name="OS" dataDxfId="45" dataCellStyle="Normal 2"/>
    <tableColumn id="10" xr3:uid="{2064FBAE-870A-46AE-9F8C-5F5DF7BCEC22}" name="0.5?" dataDxfId="44" dataCellStyle="Normal 2"/>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C3692C1-EB92-41FB-9444-5DAEF8591757}" name="ASHRAE_EA_Table" displayName="ASHRAE_EA_Table" ref="J1:N37" totalsRowShown="0" headerRowDxfId="43" dataDxfId="42" dataCellStyle="Normal 2">
  <autoFilter ref="J1:N37" xr:uid="{FC3692C1-EB92-41FB-9444-5DAEF8591757}"/>
  <tableColumns count="5">
    <tableColumn id="7" xr3:uid="{CA4FE357-07FF-4EBE-B427-878AF4AE4EB8}" name="Occupancy Category" dataDxfId="41" dataCellStyle="Normal 2"/>
    <tableColumn id="3" xr3:uid="{FF109B0F-3E01-4002-A883-C4CDF4B3E8CA}" name="EXHAUST RATE PER UNIT" dataDxfId="40" dataCellStyle="Normal 2"/>
    <tableColumn id="4" xr3:uid="{9EBCCC92-92E9-4FE1-B17B-CA56536298A4}" name="EXHAUST RATE PER AREA" dataDxfId="39" dataCellStyle="Normal 2"/>
    <tableColumn id="5" xr3:uid="{0075CAEE-1CDF-4D4F-8B21-A29737198283}" name="NOTES" dataDxfId="38" dataCellStyle="Normal 2"/>
    <tableColumn id="6" xr3:uid="{73E3E663-31ED-4991-8F25-4C660DE5C8CC}" name="AIR CLASS " dataDxfId="37" dataCellStyle="Normal 2"/>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60740D-BD9A-4147-86D1-AFABBD69D2E1}" name="Table2" displayName="Table2" ref="Q2:Q13" totalsRowShown="0" headerRowDxfId="36">
  <autoFilter ref="Q2:Q13" xr:uid="{BD60740D-BD9A-4147-86D1-AFABBD69D2E1}"/>
  <tableColumns count="1">
    <tableColumn id="1" xr3:uid="{FDED133C-76E5-4E23-A613-5DC75197CA65}" name="TABLE 6-4"/>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BCD89D-5B56-4998-B083-4FCF14F1FA0F}" name="DCV_noEArecovery" displayName="DCV_noEArecovery" ref="T2:W21" totalsRowShown="0">
  <autoFilter ref="T2:W21" xr:uid="{91BCD89D-5B56-4998-B083-4FCF14F1FA0F}"/>
  <sortState xmlns:xlrd2="http://schemas.microsoft.com/office/spreadsheetml/2017/richdata2" ref="T3:W21">
    <sortCondition ref="T2:T21"/>
  </sortState>
  <tableColumns count="4">
    <tableColumn id="1" xr3:uid="{25DCEDBD-0740-46FA-88B9-316FC6DBFAF9}" name="CLIMATE ZONE" dataDxfId="35"/>
    <tableColumn id="2" xr3:uid="{97A7DD64-F42F-409C-9690-E5E6E70CE28A}" name="199"/>
    <tableColumn id="3" xr3:uid="{DD53542A-4392-442F-ABF5-60D6494C4F8A}" name="399"/>
    <tableColumn id="4" xr3:uid="{466F8834-080D-42F7-BDB2-62CB3633E21D}" name="10000"/>
  </tableColumns>
  <tableStyleInfo name="TableStyleLight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C2C087A-08DC-4FD6-B685-146E8BAE6869}" name="DCV_EARecovery" displayName="DCV_EARecovery" ref="Y2:AB21" totalsRowShown="0">
  <autoFilter ref="Y2:AB21" xr:uid="{0C2C087A-08DC-4FD6-B685-146E8BAE6869}"/>
  <tableColumns count="4">
    <tableColumn id="1" xr3:uid="{CD175878-207D-4D5A-ADC1-7D8949DA051F}" name="CLIMATE ZONE" dataDxfId="34"/>
    <tableColumn id="2" xr3:uid="{DF8039F8-66C6-4554-9227-F904C421BA2C}" name="199"/>
    <tableColumn id="3" xr3:uid="{764DE124-FF35-40C0-A23B-F73087130A49}" name="399"/>
    <tableColumn id="4" xr3:uid="{86483C33-12F3-4F39-A88F-7899FC96A997}" name="10000"/>
  </tableColumns>
  <tableStyleInfo name="TableStyleLight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40C5B7-7ED8-1346-9688-BBD6F913E0FF}" name="Code_Table_4a" displayName="Code_Table_4a" ref="A1:J127" totalsRowShown="0" headerRowDxfId="33" tableBorderDxfId="32">
  <autoFilter ref="A1:J127" xr:uid="{4540C5B7-7ED8-1346-9688-BBD6F913E0FF}"/>
  <tableColumns count="10">
    <tableColumn id="1" xr3:uid="{7BF2CBE1-A9FA-634B-9D43-EBA146167592}" name="Area Designation" dataDxfId="31"/>
    <tableColumn id="2" xr3:uid="{1460B4E9-9118-944C-9857-493DDFFE200A}" name="Air Balance Rerationship to Adjacent Areas" dataDxfId="30"/>
    <tableColumn id="3" xr3:uid="{25BE9BDC-FBB0-7A47-894B-42F72D14066C}" name="Minimum Air Changes of Outdoor Air per Hour" dataDxfId="29"/>
    <tableColumn id="4" xr3:uid="{82F49D63-6B08-DA45-8A60-1FF0FD6AC5B9}" name="Minimum Total Air Changes per Hour" dataDxfId="28"/>
    <tableColumn id="5" xr3:uid="{4FDAD794-62F4-8F49-87E5-EA2422234CCC}" name="All Air Exhausted Directly To Outdoors_x000a_(j)" dataDxfId="27"/>
    <tableColumn id="6" xr3:uid="{B9C49FC8-C251-2342-AE20-E81B274FAA4A}" name="Air Recirculated by Means of Room Units (a)" dataDxfId="26"/>
    <tableColumn id="7" xr3:uid="{E57842AF-587D-1D42-B911-B576DF543C66}" name="Design Relative Humidity (k)%" dataDxfId="25"/>
    <tableColumn id="8" xr3:uid="{BE19DA4C-3671-2040-8AE0-8608C571F1B5}" name="MIN Design Temperature(l)" dataDxfId="24"/>
    <tableColumn id="10" xr3:uid="{40B13846-A1DF-B641-AA80-2CDFCA140F33}" name="MAX Design Temperature" dataDxfId="23"/>
    <tableColumn id="9" xr3:uid="{D8B11080-DB40-234A-BEF6-09CC488530B9}" name="Notes" dataDxfId="22"/>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A2ABDE0-272C-4C18-B8D7-3726423FE813}" name="SUPPLY_FAN_POWER" displayName="SUPPLY_FAN_POWER" ref="M1:S28" totalsRowShown="0" headerRowDxfId="21" dataDxfId="20">
  <autoFilter ref="M1:S28" xr:uid="{6A2ABDE0-272C-4C18-B8D7-3726423FE813}"/>
  <tableColumns count="7">
    <tableColumn id="1" xr3:uid="{74B53AC2-8EC1-4C99-AC71-113C2D614FFA}" name="AIRFLOW" dataDxfId="19"/>
    <tableColumn id="2" xr3:uid="{101C8E53-62F3-453B-A601-C59C54618090}" name="MULTI ZONE VAV 5000" dataDxfId="18"/>
    <tableColumn id="3" xr3:uid="{7359AFBC-C223-459E-81A2-0135C886282A}" name="MULTI ZONE VAV 5000 - 10000" dataDxfId="17"/>
    <tableColumn id="4" xr3:uid="{F281E814-9B87-4AC0-9091-7E5878364224}" name="MULTI ZONE VAV 10000" dataDxfId="16"/>
    <tableColumn id="5" xr3:uid="{38E0E10C-FD0B-48C8-9356-6E309F11AB51}" name=" ALL OTHER 5000" dataDxfId="15"/>
    <tableColumn id="6" xr3:uid="{3528601C-1973-4143-9BAE-95853A8954CE}" name="ALL OTHER 5000 - 10000" dataDxfId="14"/>
    <tableColumn id="7" xr3:uid="{730A2A6D-3762-412A-8E36-C68E9C4922B3}" name="ALL OTHER 10000" dataDxfId="13"/>
  </tableColumns>
  <tableStyleInfo name="TableStyleLight1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EBB3C5-A6DE-4278-9D8D-908C9767EC33}" name="Table4" displayName="Table4" ref="G6:I51" totalsRowShown="0" headerRowDxfId="12">
  <autoFilter ref="G6:I51" xr:uid="{11EBB3C5-A6DE-4278-9D8D-908C9767EC33}"/>
  <tableColumns count="3">
    <tableColumn id="1" xr3:uid="{1BA7BAAD-B345-4E0C-8AA6-2C30414BEBD1}" name="FUNCTION"/>
    <tableColumn id="2" xr3:uid="{97D14912-68A1-48EA-86B0-CCEEA274AD89}" name="EXPANDED " dataDxfId="11"/>
    <tableColumn id="3" xr3:uid="{F093F7DE-6490-47E0-96D2-9341A8E6DF41}" name="DESCRIPTION"/>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2B89C5F-371E-4290-A550-30C8FEB3C9C9}" name="Hydronic_Pipe_Size" displayName="Hydronic_Pipe_Size" ref="B29:D38" totalsRowShown="0" headerRowDxfId="10" dataDxfId="9">
  <autoFilter ref="B29:D38" xr:uid="{32B89C5F-371E-4290-A550-30C8FEB3C9C9}"/>
  <tableColumns count="3">
    <tableColumn id="1" xr3:uid="{1FF568AB-A3F6-4CF9-9C7B-B6D75F955F81}" name="SIZE" dataDxfId="8"/>
    <tableColumn id="2" xr3:uid="{5CA9E73C-3CF4-4228-BD0A-FB3554C1EB40}" name="GPM" dataDxfId="7"/>
    <tableColumn id="3" xr3:uid="{85A2FC97-8109-4AB0-B9DC-3AEB3929A966}" name="SOUND SENSITIVE" dataDxfId="6"/>
  </tableColumns>
  <tableStyleInfo name="TableStyleLight1"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threadedComments/threadedComment1.xml><?xml version="1.0" encoding="utf-8"?>
<ThreadedComments xmlns="http://schemas.microsoft.com/office/spreadsheetml/2018/threadedcomments" xmlns:x="http://schemas.openxmlformats.org/spreadsheetml/2006/main">
  <threadedComment ref="B5" dT="2023-02-04T00:58:32.97" personId="{9818FCBF-2832-490A-8648-B86041484521}" id="{B37CAC9B-C8DA-454B-8E05-93926FDA1639}">
    <text>Replace this with the actual source</text>
  </threadedComment>
  <threadedComment ref="J9" dT="2024-02-28T03:15:53.60" personId="{9818FCBF-2832-490A-8648-B86041484521}" id="{62952E3A-2DE2-4635-BEFF-E53D7C9BD751}">
    <text>Does not consider the flow</text>
  </threadedComment>
  <threadedComment ref="J10" dT="2024-02-28T03:15:20.35" personId="{9818FCBF-2832-490A-8648-B86041484521}" id="{9499BA8A-1746-4DC5-8A7E-23F12BB01951}">
    <text>Considers the balance flow</text>
  </threadedComment>
  <threadedComment ref="B23" dT="2023-02-04T00:57:56.22" personId="{9818FCBF-2832-490A-8648-B86041484521}" id="{F7D0549E-4995-492F-A550-4FDEA7D3D767}">
    <text>PM to manually select various options. These options will be used in the generate email function.</text>
  </threadedComment>
  <threadedComment ref="B32" dT="2023-02-04T00:57:56.22" personId="{9818FCBF-2832-490A-8648-B86041484521}" id="{82768F90-8BE0-45E1-A71E-9DD40AE9DEE0}">
    <text>PM to manually select various options. These options will be used in the generate email function.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AQ3" dT="2023-01-20T02:10:44.44" personId="{4EB4B6F3-1969-DB48-B081-3832009A33BA}" id="{31EAC5C4-25A3-4A67-82D4-B042C37CCEA9}">
    <text xml:space="preserve">This is a manual number added here when the percent outside air needs to be increased. </text>
  </threadedComment>
  <threadedComment ref="B4" dT="2023-01-20T01:58:59.17" personId="{4EB4B6F3-1969-DB48-B081-3832009A33BA}" id="{A66CCCA1-94A6-43AC-922B-E9352551A14B}">
    <text>Import zone from Revit</text>
  </threadedComment>
  <threadedComment ref="C4" dT="2023-01-20T01:59:19.81" personId="{4EB4B6F3-1969-DB48-B081-3832009A33BA}" id="{BF83FFD4-DABD-4405-9220-3AA1B9C49690}">
    <text>Import room from Revit</text>
  </threadedComment>
  <threadedComment ref="D4" dT="2023-01-20T01:59:37.35" personId="{4EB4B6F3-1969-DB48-B081-3832009A33BA}" id="{75E461AD-46C1-4439-9A31-EA1A4EF9D6C2}">
    <text>Import room number from Revit</text>
  </threadedComment>
  <threadedComment ref="E4" dT="2023-01-20T01:59:56.66" personId="{4EB4B6F3-1969-DB48-B081-3832009A33BA}" id="{2FF02F18-3F27-400C-8051-1D6953C7273F}">
    <text>Import Area from Revit</text>
  </threadedComment>
  <threadedComment ref="F4" dT="2023-01-20T02:00:11.73" personId="{4EB4B6F3-1969-DB48-B081-3832009A33BA}" id="{989ED1B4-CAE6-409C-920C-C6CFEEE395A1}">
    <text>Import height from Revit</text>
  </threadedComment>
  <threadedComment ref="AM4" dT="2023-01-20T02:57:22.76" personId="{4EB4B6F3-1969-DB48-B081-3832009A33BA}" id="{3A8A7B81-F443-4A01-8322-316F92C363AC}">
    <text>This is by default equal to the calculated CFM. Go through this cell and make sure the supply CFM is correct. Check the OSA Percentage.</text>
  </threadedComment>
  <threadedComment ref="AN4" dT="2023-01-20T03:00:57.68" personId="{4EB4B6F3-1969-DB48-B081-3832009A33BA}" id="{BCF7DC4E-E914-468D-BDC2-C08877BB67B6}">
    <text>Input this manually depending on the transfer air requirements. Good practice to complete air balance drawing before editing this column.</text>
  </threadedComment>
  <threadedComment ref="AO4" dT="2023-01-20T03:01:25.80" personId="{4EB4B6F3-1969-DB48-B081-3832009A33BA}" id="{7F185DA6-DB3E-4BFB-B34A-655772AA1EE7}">
    <text xml:space="preserve">Usually automatic, but check and edit as necessary. </text>
  </threadedComment>
  <threadedComment ref="AR4" dT="2023-01-20T02:57:47.98" personId="{4EB4B6F3-1969-DB48-B081-3832009A33BA}" id="{2100AEBD-D5E7-4E2B-86D2-E5575750B200}">
    <text>All cells in this column must be green</text>
  </threadedComment>
</ThreadedComments>
</file>

<file path=xl/threadedComments/threadedComment3.xml><?xml version="1.0" encoding="utf-8"?>
<ThreadedComments xmlns="http://schemas.microsoft.com/office/spreadsheetml/2018/threadedcomments" xmlns:x="http://schemas.openxmlformats.org/spreadsheetml/2006/main">
  <threadedComment ref="A4" dT="2023-01-20T03:02:14.75" personId="{4EB4B6F3-1969-DB48-B081-3832009A33BA}" id="{CEEA40B8-9803-45F9-9590-1EB56958D071}">
    <text>Increase or decrease number of rows in this table to match the number of zones.</text>
  </threadedComment>
</ThreadedComments>
</file>

<file path=xl/threadedComments/threadedComment4.xml><?xml version="1.0" encoding="utf-8"?>
<ThreadedComments xmlns="http://schemas.microsoft.com/office/spreadsheetml/2018/threadedcomments" xmlns:x="http://schemas.openxmlformats.org/spreadsheetml/2006/main">
  <threadedComment ref="E4" dT="2024-02-28T04:55:32.39" personId="{9818FCBF-2832-490A-8648-B86041484521}" id="{F4177687-8E80-4A6B-B057-68A653B66C78}">
    <text>Positive for positive
Negative value for negative pressurization</text>
  </threadedComment>
  <threadedComment ref="F4" dT="2023-04-25T00:29:13.68" personId="{9818FCBF-2832-490A-8648-B86041484521}" id="{4E5A4463-7793-4AC4-A59E-2608060717A3}">
    <text>Number of showers / toilets / urinals</text>
  </threadedComment>
  <threadedComment ref="X4" dT="2023-04-25T00:26:28.36" personId="{9818FCBF-2832-490A-8648-B86041484521}" id="{6AA7AC04-FAAA-4D66-BDEA-A5CAE99FC69E}">
    <text>Pick Based on the zone efficiency table in ASHRAE 62.1</text>
  </threadedComment>
  <threadedComment ref="AC18" dT="2024-02-28T04:54:53.71" personId="{9818FCBF-2832-490A-8648-B86041484521}" id="{13686920-EDD3-4F99-ACEB-4FD7EA2EE9CE}">
    <text>Only use this when you plan to have the sequence to support this</text>
  </threadedComment>
</ThreadedComments>
</file>

<file path=xl/threadedComments/threadedComment5.xml><?xml version="1.0" encoding="utf-8"?>
<ThreadedComments xmlns="http://schemas.microsoft.com/office/spreadsheetml/2018/threadedcomments" xmlns:x="http://schemas.openxmlformats.org/spreadsheetml/2006/main">
  <threadedComment ref="A4" dT="2023-01-20T03:02:14.75" personId="{4EB4B6F3-1969-DB48-B081-3832009A33BA}" id="{8B74483E-F39A-48BC-9A4F-F2282AE37744}">
    <text>Increase or decrease number of rows in this table to match the number of zones.</text>
  </threadedComment>
</ThreadedComments>
</file>

<file path=xl/threadedComments/threadedComment6.xml><?xml version="1.0" encoding="utf-8"?>
<ThreadedComments xmlns="http://schemas.microsoft.com/office/spreadsheetml/2018/threadedcomments" xmlns:x="http://schemas.openxmlformats.org/spreadsheetml/2006/main">
  <threadedComment ref="E5" dT="2024-06-05T21:51:06.23" personId="{9818FCBF-2832-490A-8648-B86041484521}" id="{930EF23D-D45B-4D67-966B-45A826562ECB}">
    <text>Get this filled out from Lighting Designer</text>
  </threadedComment>
  <threadedComment ref="F5" dT="2024-03-03T01:38:12.17" personId="{9818FCBF-2832-490A-8648-B86041484521}" id="{6F5F8440-E01F-467D-900D-CCE89770EB90}">
    <text xml:space="preserve">Positive for positive
Negative value for negative pressurization
</text>
  </threadedComment>
  <threadedComment ref="N5" dT="2024-06-05T20:36:01.61" personId="{9818FCBF-2832-490A-8648-B86041484521}" id="{F8A1F67B-FE2C-44CF-885B-3462D5807212}">
    <text>https://up.codes/viewer/california/ca-building-code-2022/chapter/10/means-of-egress#1004.5</text>
    <extLst>
      <x:ext xmlns:xltc2="http://schemas.microsoft.com/office/spreadsheetml/2020/threadedcomments2" uri="{F7C98A9C-CBB3-438F-8F68-D28B6AF4A901}">
        <xltc2:checksum>3246042005</xltc2:checksum>
        <xltc2:hyperlink startIndex="0" length="90" url="https://up.codes/viewer/california/ca-building-code-2022/chapter/10/means-of-egress#1004.5"/>
      </x:ext>
    </extLst>
  </threadedComment>
</ThreadedComments>
</file>

<file path=xl/threadedComments/threadedComment7.xml><?xml version="1.0" encoding="utf-8"?>
<ThreadedComments xmlns="http://schemas.microsoft.com/office/spreadsheetml/2018/threadedcomments" xmlns:x="http://schemas.openxmlformats.org/spreadsheetml/2006/main">
  <threadedComment ref="E5" dT="2024-06-05T21:51:06.23" personId="{9818FCBF-2832-490A-8648-B86041484521}" id="{EA480CCD-9FEF-4F87-ACA0-177602A979C9}">
    <text>Get this filled out from Lighting Designer</text>
  </threadedComment>
  <threadedComment ref="F5" dT="2024-03-03T01:38:12.17" personId="{9818FCBF-2832-490A-8648-B86041484521}" id="{641F641A-2B96-441A-B5D4-69B451CBED1B}">
    <text xml:space="preserve">Positive for positive
Negative value for negative pressurization
</text>
  </threadedComment>
  <threadedComment ref="N5" dT="2024-06-05T20:36:01.61" personId="{9818FCBF-2832-490A-8648-B86041484521}" id="{679FC2F4-B367-45E1-8D41-D2A619DFAB13}">
    <text>https://up.codes/viewer/california/ca-building-code-2022/chapter/10/means-of-egress#1004.5</text>
    <extLst>
      <x:ext xmlns:xltc2="http://schemas.microsoft.com/office/spreadsheetml/2020/threadedcomments2" uri="{F7C98A9C-CBB3-438F-8F68-D28B6AF4A901}">
        <xltc2:checksum>3246042005</xltc2:checksum>
        <xltc2:hyperlink startIndex="0" length="90" url="https://up.codes/viewer/california/ca-building-code-2022/chapter/10/means-of-egress#1004.5"/>
      </x:ext>
    </extLst>
  </threadedComment>
</ThreadedComments>
</file>

<file path=xl/threadedComments/threadedComment8.xml><?xml version="1.0" encoding="utf-8"?>
<ThreadedComments xmlns="http://schemas.microsoft.com/office/spreadsheetml/2018/threadedcomments" xmlns:x="http://schemas.openxmlformats.org/spreadsheetml/2006/main">
  <threadedComment ref="F11" dT="2023-01-20T00:11:27.69" personId="{9818FCBF-2832-490A-8648-B86041484521}" id="{84D71866-A333-4CD0-9197-88E7042E5A29}">
    <text xml:space="preserve">This is desired room temperature. Input based on RFP or ASHRAE. </text>
  </threadedComment>
  <threadedComment ref="G11" dT="2023-01-20T00:11:36.80" personId="{9818FCBF-2832-490A-8648-B86041484521}" id="{437746F2-980E-42E9-9E62-943E879A051B}">
    <text xml:space="preserve">This is desired room temperature. Input based on RFP or ASHRAE. </text>
  </threadedComment>
</ThreadedComments>
</file>

<file path=xl/threadedComments/threadedComment9.xml><?xml version="1.0" encoding="utf-8"?>
<ThreadedComments xmlns="http://schemas.microsoft.com/office/spreadsheetml/2018/threadedcomments" xmlns:x="http://schemas.openxmlformats.org/spreadsheetml/2006/main">
  <threadedComment ref="C4" dT="2024-07-15T21:19:54.79" personId="{9818FCBF-2832-490A-8648-B86041484521}" id="{BD869CD4-096A-456B-9126-20BC0B49DB06}">
    <text>List all applicable Components</text>
  </threadedComment>
  <threadedComment ref="C24" dT="2024-07-15T21:20:15.87" personId="{9818FCBF-2832-490A-8648-B86041484521}" id="{FF9BFD97-92B3-438B-94B7-4D68C71209E1}">
    <text xml:space="preserve">List all applicable components. </text>
  </threadedComment>
</ThreadedComments>
</file>

<file path=xl/threadedComments/threadedComment10.xml><?xml version="1.0" encoding="utf-8"?>
<ThreadedComments xmlns="http://schemas.microsoft.com/office/spreadsheetml/2018/threadedcomments" xmlns:x="http://schemas.openxmlformats.org/spreadsheetml/2006/main">
  <threadedComment ref="D5" dT="2024-03-03T01:38:12.17" personId="{9818FCBF-2832-490A-8648-B86041484521}" id="{6F767A3F-F52C-44D7-9F63-D60A46F3BF41}">
    <text xml:space="preserve">Positive for positive
Negative value for negative pressurization
</text>
  </threadedComment>
  <threadedComment ref="Q5" dT="2023-04-05T23:02:22.87" personId="{9818FCBF-2832-490A-8648-B86041484521}" id="{9CA4B69A-D90F-4871-8F75-C811F2AC2E34}">
    <text>Select Value from ASHRAE Table 6-4</text>
  </threadedComment>
</ThreadedComments>
</file>

<file path=xl/threadedComments/threadedComment11.xml><?xml version="1.0" encoding="utf-8"?>
<ThreadedComments xmlns="http://schemas.microsoft.com/office/spreadsheetml/2018/threadedcomments" xmlns:x="http://schemas.openxmlformats.org/spreadsheetml/2006/main">
  <threadedComment ref="E5" dT="2024-06-05T21:51:06.23" personId="{9818FCBF-2832-490A-8648-B86041484521}" id="{FC91BA6C-57B6-4819-85F0-015C508289C5}">
    <text>Get this filled out from Lighting Designer</text>
  </threadedComment>
  <threadedComment ref="F5" dT="2024-03-03T01:38:12.17" personId="{9818FCBF-2832-490A-8648-B86041484521}" id="{64347174-A77D-484A-9321-BDACC44CBE88}">
    <text xml:space="preserve">Positive for positive
Negative value for negative pressurization
</text>
  </threadedComment>
  <threadedComment ref="N5" dT="2024-06-05T20:36:01.61" personId="{9818FCBF-2832-490A-8648-B86041484521}" id="{47597CBB-90BF-4B83-B19F-62F091A4C1F8}">
    <text>https://up.codes/viewer/california/ca-building-code-2022/chapter/10/means-of-egress#1004.5</text>
    <extLst>
      <x:ext xmlns:xltc2="http://schemas.microsoft.com/office/spreadsheetml/2020/threadedcomments2" uri="{F7C98A9C-CBB3-438F-8F68-D28B6AF4A901}">
        <xltc2:checksum>3246042005</xltc2:checksum>
        <xltc2:hyperlink startIndex="0" length="90" url="https://up.codes/viewer/california/ca-building-code-2022/chapter/10/means-of-egress#1004.5"/>
      </x:ext>
    </extLst>
  </threadedComment>
</ThreadedComments>
</file>

<file path=xl/threadedComments/threadedComment12.xml><?xml version="1.0" encoding="utf-8"?>
<ThreadedComments xmlns="http://schemas.microsoft.com/office/spreadsheetml/2018/threadedcomments" xmlns:x="http://schemas.openxmlformats.org/spreadsheetml/2006/main">
  <threadedComment ref="G3" dT="2024-03-03T22:26:18.76" personId="{9818FCBF-2832-490A-8648-B86041484521}" id="{DD884302-B4BA-4FC6-89DE-092D7787DBDD}">
    <text>From EnergyPro</text>
  </threadedComment>
  <threadedComment ref="H3" dT="2024-03-03T22:26:35.82" personId="{9818FCBF-2832-490A-8648-B86041484521}" id="{5D6E878F-F5BC-4DA5-96CC-DC128D97E4A5}">
    <text>From EnergyPro</text>
  </threadedComment>
  <threadedComment ref="B8" dT="2024-03-04T19:40:56.45" personId="{9818FCBF-2832-490A-8648-B86041484521}" id="{2BA79C46-F0D8-4A9F-9005-A0420E2E6802}">
    <text>Only put load once. Either in BTUs or in Watts.</text>
  </threadedComment>
  <threadedComment ref="A9" dT="2024-03-03T22:26:03.96" personId="{9818FCBF-2832-490A-8648-B86041484521}" id="{96319E2C-C317-466B-A8EB-4E7A838AE188}">
    <text>Insert rows and list out all the equipment</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3-01-20T00:11:27.69" personId="{9818FCBF-2832-490A-8648-B86041484521}" id="{E0601F33-184C-4984-A0E4-F32973E0C3DA}">
    <text xml:space="preserve">This is desired room temperature. Input based on RFP or ASHRAE. </text>
  </threadedComment>
  <threadedComment ref="E11" dT="2023-01-20T00:11:36.80" personId="{9818FCBF-2832-490A-8648-B86041484521}" id="{EFCFC2A7-092A-45A3-9C4B-3C27C4873A04}">
    <text xml:space="preserve">This is desired room temperature. Input based on RFP or ASHRAE.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E31AA9A-4055-470D-9E7B-03948855BD29}">
  <we:reference id="wa104036095" version="1.1.0.0" store="en-US" storeType="OMEX"/>
  <we:alternateReferences>
    <we:reference id="WA104036095" version="1.1.0.0" store="WA10403609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forms.office.com/r/P66hCumLFp"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externalLinkPath" Target="/Users/rush/Downloads/Revamped%20AHU%20Psych%20Calcs%20(1).xlsm" TargetMode="External"/><Relationship Id="rId6" Type="http://schemas.openxmlformats.org/officeDocument/2006/relationships/table" Target="../tables/table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4.xml"/><Relationship Id="rId5" Type="http://schemas.openxmlformats.org/officeDocument/2006/relationships/table" Target="../tables/table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microsoft.com/office/2017/10/relationships/threadedComment" Target="../threadedComments/threadedComment6.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7" Type="http://schemas.microsoft.com/office/2017/10/relationships/threadedComment" Target="../threadedComments/threadedComment7.x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omments" Target="../comments7.xml"/><Relationship Id="rId5" Type="http://schemas.openxmlformats.org/officeDocument/2006/relationships/table" Target="../tables/table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9.vml"/><Relationship Id="rId1" Type="http://schemas.openxmlformats.org/officeDocument/2006/relationships/printerSettings" Target="../printerSettings/printerSettings6.bin"/><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vmlDrawing" Target="../drawings/vmlDrawing10.vml"/><Relationship Id="rId5" Type="http://schemas.microsoft.com/office/2017/10/relationships/threadedComment" Target="../threadedComments/threadedComment9.xml"/><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1.vml"/><Relationship Id="rId1" Type="http://schemas.openxmlformats.org/officeDocument/2006/relationships/drawing" Target="../drawings/drawing9.xml"/><Relationship Id="rId6" Type="http://schemas.microsoft.com/office/2017/10/relationships/threadedComment" Target="../threadedComments/threadedComment10.xml"/><Relationship Id="rId5" Type="http://schemas.openxmlformats.org/officeDocument/2006/relationships/comments" Target="../comments10.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microsoft.com/office/2017/10/relationships/threadedComment" Target="../threadedComments/threadedComment11.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mments" Target="../comments11.xml"/><Relationship Id="rId5" Type="http://schemas.openxmlformats.org/officeDocument/2006/relationships/table" Target="../tables/table16.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vmlDrawing" Target="../drawings/vmlDrawing13.vml"/><Relationship Id="rId7" Type="http://schemas.openxmlformats.org/officeDocument/2006/relationships/comments" Target="../comments12.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vmlDrawing" Target="../drawings/vmlDrawing14.vml"/><Relationship Id="rId1" Type="http://schemas.openxmlformats.org/officeDocument/2006/relationships/printerSettings" Target="../printerSettings/printerSettings10.bin"/><Relationship Id="rId5" Type="http://schemas.microsoft.com/office/2017/10/relationships/threadedComment" Target="../threadedComments/threadedComment13.xml"/><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printerSettings" Target="../printerSettings/printerSettings11.bin"/><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hyperlink" Target="https://up.codes/viewer/california/ca-mechanical-code-2022/chapter/2/definitions" TargetMode="External"/><Relationship Id="rId7" Type="http://schemas.openxmlformats.org/officeDocument/2006/relationships/table" Target="../tables/table29.xml"/><Relationship Id="rId2" Type="http://schemas.openxmlformats.org/officeDocument/2006/relationships/hyperlink" Target="https://up.codes/viewer/california/ca-mechanical-code-2022/chapter/2/definitions" TargetMode="External"/><Relationship Id="rId1" Type="http://schemas.openxmlformats.org/officeDocument/2006/relationships/hyperlink" Target="https://up.codes/viewer/california/ca-mechanical-code-2022/chapter/2/definitions" TargetMode="External"/><Relationship Id="rId6" Type="http://schemas.openxmlformats.org/officeDocument/2006/relationships/printerSettings" Target="../printerSettings/printerSettings12.bin"/><Relationship Id="rId5" Type="http://schemas.openxmlformats.org/officeDocument/2006/relationships/hyperlink" Target="https://up.codes/viewer/california/ca-mechanical-code-2022/chapter/2/definitions" TargetMode="External"/><Relationship Id="rId4" Type="http://schemas.openxmlformats.org/officeDocument/2006/relationships/hyperlink" Target="https://up.codes/viewer/california/ca-mechanical-code-2022/chapter/2/definitions" TargetMode="External"/></Relationships>
</file>

<file path=xl/worksheets/_rels/sheet21.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367C2-79D8-4E67-B88D-E083BDDFFB8C}">
  <sheetPr codeName="Sheet10">
    <tabColor theme="2"/>
  </sheetPr>
  <dimension ref="B2:AE34"/>
  <sheetViews>
    <sheetView showGridLines="0" showRowColHeaders="0" zoomScaleNormal="100" workbookViewId="0">
      <selection activeCell="P11" sqref="P11"/>
    </sheetView>
  </sheetViews>
  <sheetFormatPr defaultColWidth="8.88671875" defaultRowHeight="13.2"/>
  <cols>
    <col min="1" max="1" width="3.88671875" customWidth="1"/>
    <col min="2" max="2" width="17" customWidth="1"/>
    <col min="3" max="3" width="11.44140625" customWidth="1"/>
    <col min="4" max="4" width="21" customWidth="1"/>
    <col min="5" max="5" width="12.6640625" customWidth="1"/>
    <col min="6" max="6" width="9.6640625" customWidth="1"/>
    <col min="7" max="7" width="11.44140625" customWidth="1"/>
    <col min="8" max="8" width="11" customWidth="1"/>
    <col min="9" max="9" width="9.44140625" customWidth="1"/>
    <col min="10" max="10" width="12.44140625" bestFit="1" customWidth="1"/>
    <col min="11" max="14" width="9.44140625" customWidth="1"/>
    <col min="15" max="16" width="10.44140625" customWidth="1"/>
    <col min="17" max="17" width="13.44140625" bestFit="1" customWidth="1"/>
    <col min="18" max="18" width="11.5546875" bestFit="1" customWidth="1"/>
    <col min="19" max="19" width="10.33203125" customWidth="1"/>
    <col min="20" max="20" width="9.44140625" bestFit="1" customWidth="1"/>
    <col min="22" max="22" width="8.88671875" customWidth="1"/>
    <col min="23" max="23" width="16.44140625" customWidth="1"/>
    <col min="24" max="24" width="8.88671875" customWidth="1"/>
    <col min="25" max="25" width="10.44140625" bestFit="1" customWidth="1"/>
    <col min="26" max="31" width="8.88671875" hidden="1" customWidth="1"/>
    <col min="32" max="32" width="0" hidden="1" customWidth="1"/>
  </cols>
  <sheetData>
    <row r="2" spans="2:29">
      <c r="B2" s="28" t="s">
        <v>108</v>
      </c>
      <c r="C2" s="378" t="s">
        <v>109</v>
      </c>
      <c r="D2" s="379"/>
      <c r="E2" s="28" t="s">
        <v>110</v>
      </c>
      <c r="F2" s="380"/>
      <c r="G2" s="379"/>
    </row>
    <row r="3" spans="2:29">
      <c r="B3" s="11"/>
      <c r="C3" s="27"/>
      <c r="D3" s="27"/>
      <c r="Z3" s="11" t="b">
        <v>1</v>
      </c>
      <c r="AA3" s="11" t="s">
        <v>112</v>
      </c>
      <c r="AB3" s="11" t="s">
        <v>113</v>
      </c>
      <c r="AC3" s="11" t="s">
        <v>114</v>
      </c>
    </row>
    <row r="4" spans="2:29">
      <c r="B4" s="381" t="s">
        <v>115</v>
      </c>
      <c r="C4" s="382"/>
      <c r="D4" s="382"/>
      <c r="E4" s="382"/>
      <c r="F4" s="382"/>
      <c r="G4" s="383"/>
      <c r="J4" s="384" t="s">
        <v>116</v>
      </c>
      <c r="K4" s="384"/>
      <c r="L4" s="384"/>
      <c r="Z4" s="11" t="b">
        <v>0</v>
      </c>
      <c r="AA4" s="11" t="s">
        <v>117</v>
      </c>
      <c r="AB4" s="11" t="s">
        <v>118</v>
      </c>
      <c r="AC4" s="11" t="s">
        <v>119</v>
      </c>
    </row>
    <row r="5" spans="2:29">
      <c r="B5" s="385" t="s">
        <v>120</v>
      </c>
      <c r="C5" s="385"/>
      <c r="D5" s="385"/>
      <c r="E5" s="385"/>
      <c r="F5" s="385"/>
      <c r="G5" s="385"/>
      <c r="S5" s="11"/>
      <c r="AA5" s="11" t="s">
        <v>121</v>
      </c>
      <c r="AB5" s="11" t="s">
        <v>122</v>
      </c>
    </row>
    <row r="6" spans="2:29">
      <c r="B6" s="121" t="s">
        <v>123</v>
      </c>
      <c r="C6" s="288">
        <v>7</v>
      </c>
      <c r="D6" s="3"/>
      <c r="E6" s="387" t="s">
        <v>125</v>
      </c>
      <c r="F6" s="388"/>
      <c r="G6" s="122">
        <v>0</v>
      </c>
      <c r="J6" s="394" t="s">
        <v>126</v>
      </c>
      <c r="K6" s="395"/>
      <c r="L6" s="396"/>
      <c r="S6" s="11"/>
      <c r="AB6" s="11" t="s">
        <v>127</v>
      </c>
    </row>
    <row r="7" spans="2:29">
      <c r="B7" s="384" t="s">
        <v>128</v>
      </c>
      <c r="C7" s="384"/>
      <c r="D7" s="384"/>
      <c r="E7" s="384" t="s">
        <v>129</v>
      </c>
      <c r="F7" s="384"/>
      <c r="G7" s="384"/>
      <c r="J7" s="24" t="s">
        <v>130</v>
      </c>
      <c r="K7" s="25">
        <f ca="1">AHU_Schedules[[#Totals],[(Tons)34]]</f>
        <v>132.41221571353907</v>
      </c>
      <c r="L7" s="26" t="s">
        <v>131</v>
      </c>
      <c r="AB7" s="11" t="s">
        <v>132</v>
      </c>
    </row>
    <row r="8" spans="2:29">
      <c r="B8" s="386" t="s">
        <v>133</v>
      </c>
      <c r="C8" s="122">
        <v>90</v>
      </c>
      <c r="D8" s="121" t="s">
        <v>134</v>
      </c>
      <c r="E8" s="386" t="s">
        <v>135</v>
      </c>
      <c r="F8" s="389">
        <v>26</v>
      </c>
      <c r="G8" s="386" t="s">
        <v>136</v>
      </c>
      <c r="J8" s="24" t="s">
        <v>137</v>
      </c>
      <c r="K8" s="25">
        <f ca="1">AHU_Schedules[[#Totals],[GPM MAX]]</f>
        <v>226.99236979463839</v>
      </c>
      <c r="L8" s="26" t="s">
        <v>138</v>
      </c>
      <c r="AB8" s="11" t="s">
        <v>139</v>
      </c>
    </row>
    <row r="9" spans="2:29">
      <c r="B9" s="386"/>
      <c r="C9" s="122">
        <v>65</v>
      </c>
      <c r="D9" s="121" t="s">
        <v>140</v>
      </c>
      <c r="E9" s="386"/>
      <c r="F9" s="390"/>
      <c r="G9" s="386"/>
      <c r="J9" s="24" t="s">
        <v>144</v>
      </c>
      <c r="K9" s="25" t="e">
        <f>AHU_Schedules[[#Totals],[(mbh)46]]+[2]!AH1_VAV_table[[#Totals],[MIN MBH]]+[2]!AH2_VAV_table[[#Totals],[MIN MBH]]</f>
        <v>#REF!</v>
      </c>
      <c r="L9" s="26" t="s">
        <v>145</v>
      </c>
      <c r="AB9" s="11" t="s">
        <v>141</v>
      </c>
    </row>
    <row r="10" spans="2:29">
      <c r="B10" s="386" t="s">
        <v>142</v>
      </c>
      <c r="C10" s="123">
        <v>80</v>
      </c>
      <c r="D10" s="121" t="s">
        <v>136</v>
      </c>
      <c r="E10" s="386" t="s">
        <v>143</v>
      </c>
      <c r="F10" s="122"/>
      <c r="G10" s="121" t="s">
        <v>136</v>
      </c>
      <c r="J10" s="24" t="s">
        <v>147</v>
      </c>
      <c r="K10" s="25" t="e">
        <f>AHU_Schedules[[#Totals],[(˚F db)46]]+[2]!AH1_VAV_table[[#Totals],[GPM]]+[2]!AH2_VAV_table[[#Totals],[GPM]]</f>
        <v>#REF!</v>
      </c>
      <c r="L10" s="26" t="s">
        <v>138</v>
      </c>
    </row>
    <row r="11" spans="2:29">
      <c r="B11" s="386"/>
      <c r="C11" s="123">
        <v>75</v>
      </c>
      <c r="D11" s="121" t="s">
        <v>140</v>
      </c>
      <c r="E11" s="386"/>
      <c r="F11" s="122"/>
      <c r="G11" s="121" t="s">
        <v>146</v>
      </c>
    </row>
    <row r="12" spans="2:29">
      <c r="B12" s="2"/>
      <c r="D12" s="3"/>
      <c r="E12" s="3"/>
      <c r="J12" s="16"/>
      <c r="K12" s="16"/>
      <c r="L12" s="16"/>
    </row>
    <row r="13" spans="2:29">
      <c r="B13" s="384" t="s">
        <v>148</v>
      </c>
      <c r="C13" s="384"/>
      <c r="D13" s="384"/>
    </row>
    <row r="14" spans="2:29">
      <c r="B14" s="124" t="s">
        <v>149</v>
      </c>
      <c r="C14" s="123">
        <v>42</v>
      </c>
      <c r="D14" s="121" t="s">
        <v>150</v>
      </c>
    </row>
    <row r="15" spans="2:29">
      <c r="B15" s="124" t="s">
        <v>151</v>
      </c>
      <c r="C15" s="123">
        <v>56</v>
      </c>
      <c r="D15" s="121" t="s">
        <v>150</v>
      </c>
    </row>
    <row r="16" spans="2:29">
      <c r="B16" s="124" t="s">
        <v>152</v>
      </c>
      <c r="C16" s="123">
        <v>140</v>
      </c>
      <c r="D16" s="121" t="s">
        <v>150</v>
      </c>
    </row>
    <row r="17" spans="2:25">
      <c r="B17" s="124" t="s">
        <v>153</v>
      </c>
      <c r="C17" s="123">
        <v>110</v>
      </c>
      <c r="D17" s="121" t="s">
        <v>150</v>
      </c>
    </row>
    <row r="18" spans="2:25">
      <c r="B18" s="124" t="s">
        <v>154</v>
      </c>
      <c r="C18" s="125">
        <v>1.2</v>
      </c>
      <c r="D18" s="121" t="s">
        <v>155</v>
      </c>
    </row>
    <row r="19" spans="2:25">
      <c r="B19" s="124" t="s">
        <v>156</v>
      </c>
      <c r="C19" s="125"/>
      <c r="D19" s="121" t="s">
        <v>157</v>
      </c>
      <c r="H19" s="16"/>
      <c r="I19" s="16"/>
      <c r="J19" s="16"/>
      <c r="K19" s="16"/>
      <c r="L19" s="16"/>
    </row>
    <row r="20" spans="2:25" ht="13.8">
      <c r="B20" s="124" t="s">
        <v>794</v>
      </c>
      <c r="C20" s="125">
        <v>0.3</v>
      </c>
      <c r="D20" s="121" t="s">
        <v>155</v>
      </c>
      <c r="H20" s="16"/>
      <c r="I20" s="16"/>
      <c r="J20" s="393" t="s">
        <v>158</v>
      </c>
      <c r="K20" s="393"/>
      <c r="L20" s="16"/>
    </row>
    <row r="21" spans="2:25">
      <c r="H21" s="16"/>
      <c r="I21" s="16"/>
      <c r="J21" s="16"/>
      <c r="K21" s="16"/>
      <c r="L21" s="16"/>
    </row>
    <row r="23" spans="2:25">
      <c r="B23" s="391" t="s">
        <v>159</v>
      </c>
      <c r="C23" s="391"/>
      <c r="D23" s="391"/>
      <c r="E23" s="391"/>
      <c r="F23" s="391"/>
      <c r="G23" s="391"/>
      <c r="H23" s="391"/>
      <c r="I23" s="391"/>
      <c r="J23" s="391"/>
      <c r="K23" s="391"/>
      <c r="L23" s="391"/>
      <c r="M23" s="391"/>
      <c r="N23" s="391"/>
      <c r="O23" s="391"/>
      <c r="P23" s="391"/>
      <c r="Q23" s="391"/>
      <c r="R23" s="391"/>
      <c r="S23" s="391"/>
      <c r="T23" s="391"/>
      <c r="U23" s="391"/>
      <c r="V23" s="391"/>
      <c r="W23" s="391"/>
      <c r="X23" s="391"/>
      <c r="Y23" s="391"/>
    </row>
    <row r="24" spans="2:25">
      <c r="B24" s="16"/>
      <c r="C24" s="16"/>
      <c r="D24" s="16"/>
      <c r="E24" s="16"/>
      <c r="F24" s="16"/>
      <c r="G24" s="16"/>
      <c r="H24" s="16"/>
      <c r="I24" s="16"/>
      <c r="J24" s="16"/>
      <c r="K24" s="16"/>
      <c r="L24" s="16"/>
      <c r="M24" s="16"/>
      <c r="N24" s="16"/>
      <c r="O24" s="16"/>
      <c r="P24" s="16"/>
      <c r="Q24" s="16"/>
      <c r="R24" s="16"/>
      <c r="S24" s="16"/>
      <c r="T24" s="16"/>
    </row>
    <row r="25" spans="2:25" ht="20.399999999999999">
      <c r="B25" s="32" t="s">
        <v>160</v>
      </c>
      <c r="C25" s="30" t="s">
        <v>161</v>
      </c>
      <c r="D25" s="30" t="s">
        <v>162</v>
      </c>
      <c r="E25" s="30" t="s">
        <v>163</v>
      </c>
      <c r="F25" s="30" t="s">
        <v>164</v>
      </c>
      <c r="G25" s="30" t="s">
        <v>165</v>
      </c>
      <c r="H25" s="30" t="s">
        <v>166</v>
      </c>
      <c r="I25" s="30" t="s">
        <v>167</v>
      </c>
      <c r="J25" s="30" t="s">
        <v>168</v>
      </c>
      <c r="K25" s="30" t="s">
        <v>169</v>
      </c>
      <c r="L25" s="30" t="s">
        <v>170</v>
      </c>
      <c r="M25" s="30" t="s">
        <v>171</v>
      </c>
      <c r="N25" s="30" t="s">
        <v>172</v>
      </c>
      <c r="O25" s="30" t="s">
        <v>173</v>
      </c>
      <c r="P25" s="30" t="s">
        <v>174</v>
      </c>
      <c r="Q25" s="30" t="s">
        <v>175</v>
      </c>
      <c r="R25" s="30" t="s">
        <v>176</v>
      </c>
      <c r="S25" s="30" t="s">
        <v>177</v>
      </c>
      <c r="T25" s="31" t="s">
        <v>178</v>
      </c>
      <c r="U25" s="31" t="s">
        <v>886</v>
      </c>
      <c r="V25" s="30" t="s">
        <v>734</v>
      </c>
      <c r="W25" s="30" t="s">
        <v>887</v>
      </c>
      <c r="X25" s="30" t="s">
        <v>888</v>
      </c>
      <c r="Y25" s="30" t="s">
        <v>889</v>
      </c>
    </row>
    <row r="26" spans="2:25">
      <c r="B26" s="282" t="s">
        <v>1080</v>
      </c>
      <c r="C26" s="283"/>
      <c r="D26" s="283"/>
      <c r="E26" s="284" t="b">
        <v>0</v>
      </c>
      <c r="F26" s="283" t="b">
        <v>0</v>
      </c>
      <c r="G26" s="284" t="b">
        <v>0</v>
      </c>
      <c r="H26" s="284" t="b">
        <v>0</v>
      </c>
      <c r="I26" s="284" t="b">
        <v>0</v>
      </c>
      <c r="J26" s="284" t="b">
        <v>1</v>
      </c>
      <c r="K26" s="284" t="b">
        <v>0</v>
      </c>
      <c r="L26" s="284" t="b">
        <v>0</v>
      </c>
      <c r="M26" s="284" t="b">
        <v>0</v>
      </c>
      <c r="N26" s="284" t="b">
        <v>0</v>
      </c>
      <c r="O26" s="284" t="b">
        <v>0</v>
      </c>
      <c r="P26" s="284"/>
      <c r="Q26" s="284"/>
      <c r="R26" s="284" t="b">
        <v>0</v>
      </c>
      <c r="S26" s="284" t="b">
        <v>0</v>
      </c>
      <c r="T26" s="285" t="b">
        <v>0</v>
      </c>
      <c r="U26" s="285"/>
      <c r="V26" s="286"/>
      <c r="W26" s="286"/>
      <c r="X26" s="286" t="b">
        <v>0</v>
      </c>
      <c r="Y26" s="286" t="b">
        <v>0</v>
      </c>
    </row>
    <row r="27" spans="2:25">
      <c r="B27" s="282" t="s">
        <v>1080</v>
      </c>
      <c r="C27" s="283" t="s">
        <v>1081</v>
      </c>
      <c r="D27" s="283" t="s">
        <v>117</v>
      </c>
      <c r="E27" s="284" t="b">
        <v>0</v>
      </c>
      <c r="F27" s="283" t="b">
        <v>0</v>
      </c>
      <c r="G27" s="284" t="b">
        <v>0</v>
      </c>
      <c r="H27" s="284" t="b">
        <v>0</v>
      </c>
      <c r="I27" s="284" t="b">
        <v>1</v>
      </c>
      <c r="J27" s="284" t="b">
        <v>0</v>
      </c>
      <c r="K27" s="284" t="b">
        <v>0</v>
      </c>
      <c r="L27" s="284" t="b">
        <v>0</v>
      </c>
      <c r="M27" s="284" t="b">
        <v>0</v>
      </c>
      <c r="N27" s="284" t="b">
        <v>0</v>
      </c>
      <c r="O27" s="284" t="b">
        <v>0</v>
      </c>
      <c r="P27" s="284"/>
      <c r="Q27" s="284"/>
      <c r="R27" s="284" t="b">
        <v>0</v>
      </c>
      <c r="S27" s="284" t="b">
        <v>0</v>
      </c>
      <c r="T27" s="285" t="b">
        <v>0</v>
      </c>
      <c r="U27" s="285"/>
      <c r="V27" s="286"/>
      <c r="W27" s="286"/>
      <c r="X27" s="286" t="b">
        <v>0</v>
      </c>
      <c r="Y27" s="286" t="b">
        <v>0</v>
      </c>
    </row>
    <row r="28" spans="2:25">
      <c r="B28" s="282" t="s">
        <v>1082</v>
      </c>
      <c r="C28" s="283"/>
      <c r="D28" s="283"/>
      <c r="E28" s="284" t="b">
        <v>0</v>
      </c>
      <c r="F28" s="283" t="b">
        <v>0</v>
      </c>
      <c r="G28" s="284" t="b">
        <v>0</v>
      </c>
      <c r="H28" s="284" t="b">
        <v>0</v>
      </c>
      <c r="I28" s="284" t="b">
        <v>0</v>
      </c>
      <c r="J28" s="284" t="b">
        <v>0</v>
      </c>
      <c r="K28" s="284" t="b">
        <v>0</v>
      </c>
      <c r="L28" s="284" t="b">
        <v>0</v>
      </c>
      <c r="M28" s="284" t="b">
        <v>0</v>
      </c>
      <c r="N28" s="284" t="b">
        <v>0</v>
      </c>
      <c r="O28" s="284" t="b">
        <v>0</v>
      </c>
      <c r="P28" s="284"/>
      <c r="Q28" s="284"/>
      <c r="R28" s="284" t="b">
        <v>0</v>
      </c>
      <c r="S28" s="284" t="b">
        <v>0</v>
      </c>
      <c r="T28" s="285" t="b">
        <v>0</v>
      </c>
      <c r="U28" s="285"/>
      <c r="V28" s="286"/>
      <c r="W28" s="286"/>
      <c r="X28" s="286" t="b">
        <v>0</v>
      </c>
      <c r="Y28" s="286" t="b">
        <v>0</v>
      </c>
    </row>
    <row r="32" spans="2:25">
      <c r="B32" s="392" t="s">
        <v>758</v>
      </c>
      <c r="C32" s="392"/>
      <c r="D32" s="392"/>
      <c r="E32" s="392"/>
      <c r="F32" s="312"/>
      <c r="G32" s="312"/>
      <c r="H32" s="312"/>
      <c r="I32" s="312"/>
      <c r="J32" s="312"/>
      <c r="K32" s="312"/>
      <c r="L32" s="312"/>
      <c r="M32" s="312"/>
      <c r="N32" s="312"/>
      <c r="O32" s="312"/>
      <c r="P32" s="312"/>
      <c r="Q32" s="312"/>
      <c r="R32" s="312"/>
      <c r="S32" s="312"/>
      <c r="T32" s="312"/>
      <c r="U32" s="312"/>
    </row>
    <row r="33" spans="2:5">
      <c r="B33" s="311" t="s">
        <v>755</v>
      </c>
      <c r="C33" s="311" t="s">
        <v>789</v>
      </c>
      <c r="D33" s="311" t="s">
        <v>756</v>
      </c>
      <c r="E33" s="311" t="s">
        <v>757</v>
      </c>
    </row>
    <row r="34" spans="2:5">
      <c r="B34" s="341"/>
      <c r="C34" s="341"/>
      <c r="D34" s="341"/>
      <c r="E34" s="341"/>
    </row>
  </sheetData>
  <mergeCells count="19">
    <mergeCell ref="B23:Y23"/>
    <mergeCell ref="B32:E32"/>
    <mergeCell ref="J20:K20"/>
    <mergeCell ref="J6:L6"/>
    <mergeCell ref="C2:D2"/>
    <mergeCell ref="F2:G2"/>
    <mergeCell ref="B4:G4"/>
    <mergeCell ref="B13:D13"/>
    <mergeCell ref="J4:L4"/>
    <mergeCell ref="B5:G5"/>
    <mergeCell ref="E7:G7"/>
    <mergeCell ref="B10:B11"/>
    <mergeCell ref="B7:D7"/>
    <mergeCell ref="B8:B9"/>
    <mergeCell ref="G8:G9"/>
    <mergeCell ref="E8:E9"/>
    <mergeCell ref="E6:F6"/>
    <mergeCell ref="E10:E11"/>
    <mergeCell ref="F8:F9"/>
  </mergeCells>
  <phoneticPr fontId="12" type="noConversion"/>
  <dataValidations disablePrompts="1" count="7">
    <dataValidation type="decimal" operator="lessThanOrEqual" allowBlank="1" showInputMessage="1" showErrorMessage="1" sqref="C8:C11 F8:F11" xr:uid="{B46BD661-27D5-EA4A-98D9-A97E7ED39DFB}">
      <formula1>600</formula1>
    </dataValidation>
    <dataValidation type="whole" operator="lessThanOrEqual" allowBlank="1" showInputMessage="1" showErrorMessage="1" sqref="C14:C17" xr:uid="{74E3A6C0-DA95-3548-BE04-1A70A06AA0B7}">
      <formula1>600</formula1>
    </dataValidation>
    <dataValidation type="whole" operator="greaterThan" allowBlank="1" showInputMessage="1" showErrorMessage="1" sqref="G6" xr:uid="{0EEAE432-7AE5-4E19-99A0-476DD6038212}">
      <formula1>-1</formula1>
    </dataValidation>
    <dataValidation type="list" allowBlank="1" showInputMessage="1" showErrorMessage="1" sqref="E26:O28 R26:T28" xr:uid="{57127854-0033-9F43-9FDF-126419A3E943}">
      <formula1>$Z$3:$Z$4</formula1>
    </dataValidation>
    <dataValidation type="list" allowBlank="1" showInputMessage="1" showErrorMessage="1" sqref="C26:D28" xr:uid="{752016F0-3485-7D46-A297-38E9578FC1FD}">
      <formula1>$AA$3:$AA$5</formula1>
    </dataValidation>
    <dataValidation type="list" allowBlank="1" showInputMessage="1" showErrorMessage="1" sqref="P26:P28" xr:uid="{69929419-8A96-0A4C-BC33-A3DDB95DC281}">
      <formula1>$AB$3:$AB$6</formula1>
    </dataValidation>
    <dataValidation type="list" allowBlank="1" showInputMessage="1" showErrorMessage="1" sqref="Q26:Q28" xr:uid="{7B4C686C-BBBC-D948-B85E-80E76ED94999}">
      <formula1>$AB$7:$AB$9</formula1>
    </dataValidation>
  </dataValidations>
  <hyperlinks>
    <hyperlink ref="J20" r:id="rId1" display="SURVEY" xr:uid="{85CD794C-812E-4F58-88D3-ACECA4BCAFD1}"/>
  </hyperlinks>
  <pageMargins left="0.7" right="0.7" top="0.75" bottom="0.75" header="0.3" footer="0.3"/>
  <pageSetup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5383" r:id="rId5" name="Button 23">
              <controlPr defaultSize="0" print="0" autoFill="0" autoPict="0" macro="[0]!ADDahu" altText="HUMIDIFICATION">
                <anchor moveWithCells="1" sizeWithCells="1">
                  <from>
                    <xdr:col>12</xdr:col>
                    <xdr:colOff>426720</xdr:colOff>
                    <xdr:row>2</xdr:row>
                    <xdr:rowOff>114300</xdr:rowOff>
                  </from>
                  <to>
                    <xdr:col>14</xdr:col>
                    <xdr:colOff>457200</xdr:colOff>
                    <xdr:row>5</xdr:row>
                    <xdr:rowOff>0</xdr:rowOff>
                  </to>
                </anchor>
              </controlPr>
            </control>
          </mc:Choice>
        </mc:AlternateContent>
        <mc:AlternateContent xmlns:mc="http://schemas.openxmlformats.org/markup-compatibility/2006">
          <mc:Choice Requires="x14">
            <control shapeId="15384" r:id="rId6" name="Button 24">
              <controlPr defaultSize="0" print="0" autoFill="0" autoPict="0" macro="[0]!ADDFCUMAIN" altText="HUMIDIFICATION">
                <anchor moveWithCells="1" sizeWithCells="1">
                  <from>
                    <xdr:col>14</xdr:col>
                    <xdr:colOff>571500</xdr:colOff>
                    <xdr:row>2</xdr:row>
                    <xdr:rowOff>121920</xdr:rowOff>
                  </from>
                  <to>
                    <xdr:col>16</xdr:col>
                    <xdr:colOff>472440</xdr:colOff>
                    <xdr:row>5</xdr:row>
                    <xdr:rowOff>15240</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4712E79-1CC0-4B34-AE6D-AA6447E4CFD4}">
          <x14:formula1>
            <xm:f>'ASHRAE Table'!$T$3:$T$21</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7EB6A-574D-403E-81B0-C5F32FE8FEC2}">
  <sheetPr codeName="Sheet4"/>
  <dimension ref="A4:J5"/>
  <sheetViews>
    <sheetView workbookViewId="0">
      <selection activeCell="I17" sqref="I17"/>
    </sheetView>
  </sheetViews>
  <sheetFormatPr defaultRowHeight="13.2"/>
  <cols>
    <col min="1" max="1" width="6.44140625" bestFit="1" customWidth="1"/>
    <col min="2" max="2" width="7.109375" bestFit="1" customWidth="1"/>
    <col min="3" max="3" width="10.21875" bestFit="1" customWidth="1"/>
    <col min="4" max="4" width="10.77734375" bestFit="1" customWidth="1"/>
    <col min="5" max="5" width="9.88671875" bestFit="1" customWidth="1"/>
    <col min="6" max="6" width="10.44140625" bestFit="1" customWidth="1"/>
    <col min="7" max="7" width="10.21875" bestFit="1" customWidth="1"/>
    <col min="8" max="8" width="10.77734375" bestFit="1" customWidth="1"/>
    <col min="9" max="9" width="8.21875" bestFit="1" customWidth="1"/>
    <col min="10" max="10" width="18" bestFit="1" customWidth="1"/>
  </cols>
  <sheetData>
    <row r="4" spans="1:10">
      <c r="C4" s="397" t="s">
        <v>803</v>
      </c>
      <c r="D4" s="397"/>
      <c r="E4" s="397"/>
      <c r="F4" s="397"/>
      <c r="G4" s="397"/>
      <c r="H4" s="397"/>
    </row>
    <row r="5" spans="1:10">
      <c r="A5" t="s">
        <v>796</v>
      </c>
      <c r="B5" t="s">
        <v>52</v>
      </c>
      <c r="C5" t="s">
        <v>799</v>
      </c>
      <c r="D5" t="s">
        <v>800</v>
      </c>
      <c r="E5" t="s">
        <v>797</v>
      </c>
      <c r="F5" t="s">
        <v>798</v>
      </c>
      <c r="G5" t="s">
        <v>801</v>
      </c>
      <c r="H5" t="s">
        <v>802</v>
      </c>
      <c r="I5" t="s">
        <v>804</v>
      </c>
      <c r="J5" t="s">
        <v>805</v>
      </c>
    </row>
  </sheetData>
  <mergeCells count="1">
    <mergeCell ref="C4:H4"/>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0EF80-512B-4FB0-B0D3-86BAFF8103BA}">
  <sheetPr codeName="Sheet12">
    <tabColor rgb="FFFFFF00"/>
    <pageSetUpPr fitToPage="1"/>
  </sheetPr>
  <dimension ref="A3:BM102"/>
  <sheetViews>
    <sheetView showGridLines="0" zoomScale="80" zoomScaleNormal="70" zoomScaleSheetLayoutView="50" zoomScalePageLayoutView="80" workbookViewId="0">
      <pane xSplit="7" ySplit="4" topLeftCell="H5" activePane="bottomRight" state="frozen"/>
      <selection pane="topRight" activeCell="H1" sqref="H1"/>
      <selection pane="bottomLeft" activeCell="A3" sqref="A3"/>
      <selection pane="bottomRight" activeCell="J26" sqref="J26"/>
    </sheetView>
  </sheetViews>
  <sheetFormatPr defaultColWidth="8.88671875" defaultRowHeight="15"/>
  <cols>
    <col min="1" max="1" width="2.88671875" style="33" customWidth="1"/>
    <col min="2" max="2" width="12.6640625" style="33" customWidth="1"/>
    <col min="3" max="3" width="9.88671875" style="34" bestFit="1" customWidth="1"/>
    <col min="4" max="4" width="14" style="35" bestFit="1" customWidth="1"/>
    <col min="5" max="5" width="16" style="34" bestFit="1" customWidth="1"/>
    <col min="6" max="6" width="9.88671875" style="34" bestFit="1" customWidth="1"/>
    <col min="7" max="7" width="12.6640625" style="33" hidden="1" customWidth="1"/>
    <col min="8" max="8" width="20.6640625" style="36" bestFit="1" customWidth="1"/>
    <col min="9" max="9" width="20.6640625" style="36" customWidth="1"/>
    <col min="10" max="10" width="15.88671875" style="33" customWidth="1"/>
    <col min="11" max="11" width="34.88671875" style="33" bestFit="1" customWidth="1"/>
    <col min="12" max="12" width="34.88671875" style="36" bestFit="1" customWidth="1"/>
    <col min="13" max="13" width="29.109375" style="33" bestFit="1" customWidth="1"/>
    <col min="14" max="14" width="30.6640625" style="33" customWidth="1"/>
    <col min="15" max="16" width="25.88671875" style="36" bestFit="1" customWidth="1"/>
    <col min="17" max="17" width="25.88671875" style="33" bestFit="1" customWidth="1"/>
    <col min="18" max="18" width="17.6640625" style="33" bestFit="1" customWidth="1"/>
    <col min="19" max="19" width="23.6640625" style="33" bestFit="1" customWidth="1"/>
    <col min="20" max="20" width="23.33203125" style="36" bestFit="1" customWidth="1"/>
    <col min="21" max="21" width="63" style="36" bestFit="1" customWidth="1"/>
    <col min="22" max="22" width="19.109375" style="34" bestFit="1" customWidth="1"/>
    <col min="23" max="23" width="16.6640625" style="36" bestFit="1" customWidth="1"/>
    <col min="24" max="24" width="18" style="37" customWidth="1"/>
    <col min="25" max="25" width="19.109375" style="33" bestFit="1" customWidth="1"/>
    <col min="26" max="26" width="19.6640625" style="34" customWidth="1"/>
    <col min="27" max="27" width="20.44140625" style="34" customWidth="1"/>
    <col min="28" max="28" width="21.88671875" style="34" bestFit="1" customWidth="1"/>
    <col min="29" max="29" width="22.44140625" style="34" bestFit="1" customWidth="1"/>
    <col min="30" max="30" width="13.33203125" style="34" bestFit="1" customWidth="1"/>
    <col min="31" max="31" width="18.44140625" style="38" bestFit="1" customWidth="1"/>
    <col min="32" max="32" width="22" style="38" bestFit="1" customWidth="1"/>
    <col min="33" max="33" width="17.44140625" style="38" customWidth="1"/>
    <col min="34" max="34" width="18.88671875" style="39" customWidth="1"/>
    <col min="35" max="35" width="16" style="39" customWidth="1"/>
    <col min="36" max="36" width="20" style="39" bestFit="1" customWidth="1"/>
    <col min="37" max="38" width="21" style="33" customWidth="1"/>
    <col min="39" max="39" width="19.5546875" style="33" customWidth="1"/>
    <col min="40" max="40" width="16.6640625" style="33" customWidth="1"/>
    <col min="41" max="41" width="19.33203125" style="33" bestFit="1" customWidth="1"/>
    <col min="42" max="42" width="14.21875" style="33" bestFit="1" customWidth="1"/>
    <col min="43" max="43" width="13.5546875" style="33" bestFit="1" customWidth="1"/>
    <col min="44" max="44" width="12.109375" style="33" bestFit="1" customWidth="1"/>
    <col min="45" max="45" width="15" style="33" bestFit="1" customWidth="1"/>
    <col min="46" max="46" width="15.6640625" style="33" bestFit="1" customWidth="1"/>
    <col min="47" max="47" width="14.5546875" style="33" bestFit="1" customWidth="1"/>
    <col min="48" max="48" width="18.33203125" style="33" bestFit="1" customWidth="1"/>
    <col min="49" max="49" width="13.44140625" style="33" bestFit="1" customWidth="1"/>
    <col min="50" max="50" width="14.6640625" style="33" bestFit="1" customWidth="1"/>
    <col min="51" max="51" width="32.109375" style="33" bestFit="1" customWidth="1"/>
    <col min="52" max="52" width="12.44140625" style="33" bestFit="1" customWidth="1"/>
    <col min="53" max="53" width="24.21875" style="33" bestFit="1" customWidth="1"/>
    <col min="54" max="54" width="14.44140625" style="33" bestFit="1" customWidth="1"/>
    <col min="55" max="55" width="12.21875" style="33" bestFit="1" customWidth="1"/>
    <col min="56" max="56" width="8.88671875" style="33" customWidth="1"/>
    <col min="57" max="16384" width="8.88671875" style="33"/>
  </cols>
  <sheetData>
    <row r="3" spans="1:65" ht="15.6">
      <c r="B3" s="399" t="s">
        <v>2</v>
      </c>
      <c r="C3" s="400"/>
      <c r="D3" s="400"/>
      <c r="E3" s="400"/>
      <c r="F3" s="400"/>
      <c r="G3" s="400"/>
      <c r="H3" s="401"/>
      <c r="I3" s="91"/>
      <c r="J3" s="96"/>
      <c r="K3" s="398" t="s">
        <v>3</v>
      </c>
      <c r="L3" s="398"/>
      <c r="M3" s="398"/>
      <c r="N3" s="398"/>
      <c r="O3" s="398"/>
      <c r="P3" s="398"/>
      <c r="Q3" s="398"/>
      <c r="R3" s="398"/>
      <c r="S3" s="398" t="s">
        <v>4</v>
      </c>
      <c r="T3" s="398"/>
      <c r="U3" s="398"/>
      <c r="V3" s="398"/>
      <c r="W3" s="398"/>
      <c r="X3" s="398"/>
      <c r="Y3" s="398"/>
      <c r="Z3" s="398"/>
      <c r="AA3" s="398"/>
      <c r="AB3" s="398"/>
      <c r="AC3" s="398"/>
      <c r="AD3" s="398"/>
      <c r="AE3" s="398"/>
      <c r="AF3" s="398"/>
      <c r="AG3" s="398"/>
      <c r="AH3" s="398"/>
      <c r="AI3" s="398"/>
      <c r="AJ3" s="398"/>
      <c r="AO3" s="293" t="s">
        <v>745</v>
      </c>
      <c r="AP3" s="294">
        <f ca="1">((TABLE4A4398[[#Totals],[DESIGN OA (CFM)]]+AQ3)/TABLE4A4398[[#Totals],[DESIGN SA (CFM)]])</f>
        <v>0.33578947368421053</v>
      </c>
      <c r="AQ3" s="402">
        <v>0</v>
      </c>
      <c r="AR3" s="402"/>
    </row>
    <row r="4" spans="1:65" s="41" customFormat="1" ht="53.1" customHeight="1">
      <c r="A4" s="40"/>
      <c r="B4" s="79" t="s">
        <v>5</v>
      </c>
      <c r="C4" s="80" t="s">
        <v>6</v>
      </c>
      <c r="D4" s="81" t="s">
        <v>7</v>
      </c>
      <c r="E4" s="81" t="s">
        <v>8</v>
      </c>
      <c r="F4" s="81" t="s">
        <v>9</v>
      </c>
      <c r="G4" s="82" t="s">
        <v>10</v>
      </c>
      <c r="H4" s="82" t="s">
        <v>11</v>
      </c>
      <c r="I4" s="81" t="s">
        <v>12</v>
      </c>
      <c r="J4" s="81" t="s">
        <v>13</v>
      </c>
      <c r="K4" s="81" t="s">
        <v>14</v>
      </c>
      <c r="L4" s="81" t="s">
        <v>15</v>
      </c>
      <c r="M4" s="81" t="s">
        <v>16</v>
      </c>
      <c r="N4" s="81" t="s">
        <v>17</v>
      </c>
      <c r="O4" s="81" t="s">
        <v>18</v>
      </c>
      <c r="P4" s="81" t="s">
        <v>19</v>
      </c>
      <c r="Q4" s="81" t="s">
        <v>20</v>
      </c>
      <c r="R4" s="81" t="s">
        <v>21</v>
      </c>
      <c r="S4" s="81" t="s">
        <v>22</v>
      </c>
      <c r="T4" s="82" t="s">
        <v>23</v>
      </c>
      <c r="U4" s="81" t="s">
        <v>24</v>
      </c>
      <c r="V4" s="81" t="s">
        <v>25</v>
      </c>
      <c r="W4" s="81" t="s">
        <v>26</v>
      </c>
      <c r="X4" s="81" t="s">
        <v>27</v>
      </c>
      <c r="Y4" s="81" t="s">
        <v>28</v>
      </c>
      <c r="Z4" s="81" t="s">
        <v>29</v>
      </c>
      <c r="AA4" s="81" t="s">
        <v>30</v>
      </c>
      <c r="AB4" s="81" t="s">
        <v>31</v>
      </c>
      <c r="AC4" s="81" t="s">
        <v>32</v>
      </c>
      <c r="AD4" s="81" t="s">
        <v>33</v>
      </c>
      <c r="AE4" s="81" t="s">
        <v>34</v>
      </c>
      <c r="AF4" s="81" t="s">
        <v>35</v>
      </c>
      <c r="AG4" s="81" t="s">
        <v>36</v>
      </c>
      <c r="AH4" s="81" t="s">
        <v>37</v>
      </c>
      <c r="AI4" s="81" t="s">
        <v>38</v>
      </c>
      <c r="AJ4" s="81" t="s">
        <v>39</v>
      </c>
      <c r="AK4" s="81" t="s">
        <v>675</v>
      </c>
      <c r="AL4" s="81" t="s">
        <v>40</v>
      </c>
      <c r="AM4" s="81" t="s">
        <v>676</v>
      </c>
      <c r="AN4" s="81" t="s">
        <v>94</v>
      </c>
      <c r="AO4" s="81" t="s">
        <v>677</v>
      </c>
      <c r="AP4" s="81" t="s">
        <v>41</v>
      </c>
      <c r="AQ4" s="81" t="s">
        <v>42</v>
      </c>
      <c r="AR4" s="81" t="s">
        <v>43</v>
      </c>
      <c r="AS4" s="81" t="s">
        <v>44</v>
      </c>
      <c r="AT4" s="83" t="s">
        <v>45</v>
      </c>
      <c r="AU4" s="33"/>
      <c r="AV4" s="33"/>
      <c r="AW4" s="33"/>
      <c r="AX4" s="33"/>
      <c r="AY4" s="33"/>
      <c r="AZ4" s="33"/>
      <c r="BA4" s="33"/>
      <c r="BB4" s="33"/>
      <c r="BC4" s="33"/>
      <c r="BD4" s="33"/>
      <c r="BE4" s="33"/>
      <c r="BF4" s="33"/>
      <c r="BG4" s="33"/>
      <c r="BH4" s="33"/>
      <c r="BI4" s="33"/>
      <c r="BJ4" s="33"/>
      <c r="BK4" s="33"/>
      <c r="BL4" s="33"/>
      <c r="BM4" s="33"/>
    </row>
    <row r="5" spans="1:65" ht="15" customHeight="1">
      <c r="B5" s="77" t="s">
        <v>65</v>
      </c>
      <c r="C5" s="97" t="s">
        <v>46</v>
      </c>
      <c r="D5" s="97">
        <v>1234</v>
      </c>
      <c r="E5" s="97">
        <v>500</v>
      </c>
      <c r="F5" s="97">
        <v>10</v>
      </c>
      <c r="G5" s="95" t="str">
        <f>VLOOKUP($K5,'UMC Table 4-A'!$A$2:$E$132,5,FALSE)</f>
        <v>NR</v>
      </c>
      <c r="H5" s="97">
        <v>200</v>
      </c>
      <c r="I5" s="97">
        <v>250</v>
      </c>
      <c r="J5" s="95">
        <f t="shared" ref="J5" si="0">IF(OR((K5="PATIENT CORRIDOR"),(K5="TOILET")),(E5*0.5),E5)</f>
        <v>500</v>
      </c>
      <c r="K5" s="97" t="s">
        <v>514</v>
      </c>
      <c r="L5" s="95" t="str">
        <f>VLOOKUP($K5,'UMC Table 4-A'!$A$2:$E$132,2,FALSE)</f>
        <v>NR</v>
      </c>
      <c r="M5" s="95">
        <f>VLOOKUP($K5,'UMC Table 4-A'!$A$2:$E$132,3,FALSE)</f>
        <v>2</v>
      </c>
      <c r="N5" s="98">
        <f>IF(TABLE4A4398[[#This Row],[FUNCTION OR SPACE]]="NOT PER TABLE 4A","NA",IF(M5&lt;&gt;"NR",ROUNDUP((E5*F5*M5)/60,-1),0))</f>
        <v>170</v>
      </c>
      <c r="O5" s="95">
        <f>VLOOKUP($K5,'UMC Table 4-A'!$A$2:$E$132,4,FALSE)</f>
        <v>4</v>
      </c>
      <c r="P5" s="95">
        <f>IF(TABLE4A4398[[#This Row],[FUNCTION OR SPACE]]="NOT PER TABLE 4A","NA",IF(O5&lt;&gt;"NR",ROUNDUP((E5*F5*O5)/60,-1),0))</f>
        <v>340</v>
      </c>
      <c r="Q5" s="95" t="str">
        <f>VLOOKUP($K5,'UMC Table 4-A'!$A$2:$E$132,5,FALSE)</f>
        <v>NR</v>
      </c>
      <c r="R5" s="95">
        <f>IF(G5="Yes",P5,0)</f>
        <v>0</v>
      </c>
      <c r="S5" s="97" t="s">
        <v>48</v>
      </c>
      <c r="T5" s="97">
        <v>0</v>
      </c>
      <c r="U5" s="97" t="s">
        <v>48</v>
      </c>
      <c r="V5" s="95" t="str">
        <f>IF(TABLE4A4398[[#This Row],[FUNCTION OR SPACE]]="NOT PER TABLE 4A",VLOOKUP(TABLE4A4398[[#This Row],[OCCUPANCY CATEGORY]],Ashrae90.1Vent[#All],2,FALSE),"NA")</f>
        <v>NA</v>
      </c>
      <c r="W5" s="99" t="str">
        <f>IF(TABLE4A4398[[#This Row],[FUNCTION OR SPACE]]="NOT PER TABLE 4A", VLOOKUP(TABLE4A4398[[#This Row],[OCCUPANCY CATEGORY]],Ashrae90.1Vent[#All],3,FALSE),"NA")</f>
        <v>NA</v>
      </c>
      <c r="X5" s="99" t="str">
        <f>IF(TABLE4A4398[[#This Row],[FUNCTION OR SPACE]]="NOT PER TABLE 4A",VLOOKUP(TABLE4A4398[[#This Row],[OCCUPANCY CATEGORY]],Ashrae90.1Vent[#All],4,FALSE),"NA")</f>
        <v>NA</v>
      </c>
      <c r="Y5" s="99" t="str">
        <f>IF(TABLE4A4398[[#This Row],[FUNCTION OR SPACE]]="NOT PER TABLE 4A",VLOOKUP(TABLE4A4398[[#This Row],[OCCUPANCY CATEGORY]],Ashrae90.1Vent[#All],5,FALSE),"NA")</f>
        <v>NA</v>
      </c>
      <c r="Z5" s="97" t="str">
        <f>IF(TABLE4A4398[[#This Row],[FUNCTION OR SPACE]]="NOT PER TABLE 4A",TABLE4A4398[[#This Row],[Occupants (Pz)]],"NA")</f>
        <v>NA</v>
      </c>
      <c r="AA5" s="99" t="str">
        <f>IF(TABLE4A4398[[#This Row],[FUNCTION OR SPACE]]="NOT PER TABLE 4A",CEILING((X5/1000)*E5,1),"NA")</f>
        <v>NA</v>
      </c>
      <c r="AB5" s="99" t="str">
        <f>IF(TABLE4A4398[[#This Row],[FUNCTION OR SPACE]]="NOT PER TABLE 4A",IF((TABLE4A4398[[#Totals],[Actual Number of  Occupants (Ps)]]/TABLE4A4398[[#Totals],[Occupants (Pz)]])&gt;1,1,TABLE4A4398[[#Totals],[Actual Number of  Occupants (Ps)]]/TABLE4A4398[[#Totals],[Occupants (Pz)]]),"NA")</f>
        <v>NA</v>
      </c>
      <c r="AC5" s="100" t="str">
        <f>IF(TABLE4A4398[[#This Row],[FUNCTION OR SPACE]]="NOT PER TABLE 4A",(TABLE4A4398[[#This Row],[DIVERSITY (D)]]*TABLE4A4398[[#This Row],[RP
(CFM/PER PERSON)]]*TABLE4A4398[[#This Row],[Occupants (Pz)]])+(TABLE4A4398[[#This Row],[RA
(CFM/FT²)]]*TABLE4A4398[[#This Row],[AREA 
(FT²)]]),"NA")</f>
        <v>NA</v>
      </c>
      <c r="AD5" s="101" t="str">
        <f>IF(TABLE4A4398[[#This Row],[FUNCTION OR SPACE]]="NOT PER TABLE 4A",IF(TABLE4A4398[[#This Row],[DIVERSITY (D)]]&lt;0.6,(0.88*TABLE4A4398[[#This Row],[DIVERSITY (D)]]+0.22),0.75),"NA")</f>
        <v>NA</v>
      </c>
      <c r="AE5" s="100" t="str">
        <f>IF(TABLE4A4398[[#This Row],[FUNCTION OR SPACE]]="NOT PER TABLE 4A",TABLE4A4398[[#This Row],[Uncorrected OA (Vou)]]/TABLE4A4398[[#This Row],[System Efficiency (Ev)]],"NA")</f>
        <v>NA</v>
      </c>
      <c r="AF5" s="97" t="s">
        <v>49</v>
      </c>
      <c r="AG5" s="100" t="str">
        <f>VLOOKUP(TABLE4A4398[[#This Row],[OCCUPANCY CATEGORY]],Ashrae90.1Vent[#All],6,FALSE)</f>
        <v>NA</v>
      </c>
      <c r="AH5" s="100" t="str">
        <f>IF(TABLE4A4398[[#This Row],[Exhaust Category]]="NOT APPLICABLE","NA",VLOOKUP(TABLE4A4398[[#This Row],[Exhaust Category]],ASHRAE_EA_Table[#All],2,FALSE))</f>
        <v>NA</v>
      </c>
      <c r="AI5" s="100" t="str">
        <f>IF(TABLE4A4398[[#This Row],[Exhaust Category]]="NOT APPLICABLE","NA",VLOOKUP(TABLE4A4398[[#This Row],[Exhaust Category]],ASHRAE_EA_Table[#All],3,FALSE))</f>
        <v>NA</v>
      </c>
      <c r="AJ5" s="99">
        <f>IFERROR(IF(TABLE4A4398[[#This Row],[EA RATE
(CFM/UNIT)]] = 0,TABLE4A4398[[#This Row],[EA RATE
(CFM/FT²)]]*TABLE4A4398[[#This Row],[AREA 
(FT²)]],TABLE4A4398[[#This Row],[EA RATE
(CFM/UNIT)]]*TABLE4A4398[[#This Row],[ASHRAE
EXHAUST UNIT]]),0)</f>
        <v>0</v>
      </c>
      <c r="AK5" s="94">
        <f>MROUND(IF(TABLE4A4398[[#This Row],[FUNCTION OR SPACE]]="NOT PER TABLE 4A",TABLE4A4398[[#This Row],[OUTSIDE AIRFLOW (CFM) (Vot)]],TABLE4A4398[[#This Row],[MIN OUTDOOR ACH 
(CFM)]]),5)</f>
        <v>170</v>
      </c>
      <c r="AL5" s="95" cm="1">
        <f t="array" aca="1" ref="AL5"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5" s="102">
        <f ca="1">TABLE4A4398[[#This Row],[CALCULATED SA 
(CFM)]]</f>
        <v>500</v>
      </c>
      <c r="AN5" s="102" cm="1">
        <f t="array" aca="1" ref="AN5" ca="1">returnair_comb(TABLE4A4398[[#This Row],[DESIGN SA (CFM)]],TABLE4A4398[[#This Row],[Desired Air Balance Difference]],TABLE4A4398[[#This Row],[100% EA
 (YES/NR)]],TABLE4A4398[[#This Row],[FUNCTION OR SPACE]],TABLE4A4398[[#This Row],[Exhaust Category]],TABLE4A4398[[#This Row],[MIN ASHRAE EA
(CFM)]])</f>
        <v>300</v>
      </c>
      <c r="AO5" s="102" cm="1">
        <f t="array" aca="1" ref="AO5"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5" s="103">
        <f ca="1">AM5-AN5-AO5</f>
        <v>200</v>
      </c>
      <c r="AQ5" s="103">
        <f ca="1">IFERROR(AL5/E5,"-")</f>
        <v>1</v>
      </c>
      <c r="AR5" s="103">
        <f ca="1">IF(TABLE4A4398[[#This Row],[DESIGN SA (CFM)]]=0,0,(TABLE4A4398[[#This Row],[DESIGN OA (CFM)]]/TABLE4A4398[[#This Row],[DESIGN SA (CFM)]])*100)</f>
        <v>34</v>
      </c>
      <c r="AS5" s="103">
        <f ca="1">AM5/E5/F5*60</f>
        <v>6</v>
      </c>
      <c r="AT5" s="78" t="str">
        <f ca="1">IF(AL5-AN5-AO5+AP5=0,"Yes","No")</f>
        <v>No</v>
      </c>
    </row>
    <row r="6" spans="1:65" ht="15" customHeight="1">
      <c r="B6" s="77" t="s">
        <v>65</v>
      </c>
      <c r="C6" s="97" t="s">
        <v>46</v>
      </c>
      <c r="D6" s="97">
        <v>1234</v>
      </c>
      <c r="E6" s="97">
        <v>6000</v>
      </c>
      <c r="F6" s="97">
        <v>10</v>
      </c>
      <c r="G6" s="95" t="str">
        <f>VLOOKUP($K6,'UMC Table 4-A'!$A$2:$E$132,5,FALSE)</f>
        <v>NR</v>
      </c>
      <c r="H6" s="97">
        <v>200</v>
      </c>
      <c r="I6" s="97">
        <v>250</v>
      </c>
      <c r="J6" s="95">
        <f t="shared" ref="J6:J12" si="1">IF(OR((K6="PATIENT CORRIDOR"),(K6="TOILET")),(E6*0.5),E6)</f>
        <v>6000</v>
      </c>
      <c r="K6" s="97" t="s">
        <v>514</v>
      </c>
      <c r="L6" s="95" t="str">
        <f>VLOOKUP($K6,'UMC Table 4-A'!$A$2:$E$132,2,FALSE)</f>
        <v>NR</v>
      </c>
      <c r="M6" s="95">
        <f>VLOOKUP($K6,'UMC Table 4-A'!$A$2:$E$132,3,FALSE)</f>
        <v>2</v>
      </c>
      <c r="N6" s="98">
        <f>IF(TABLE4A4398[[#This Row],[FUNCTION OR SPACE]]="NOT PER TABLE 4A","NA",IF(M6&lt;&gt;"NR",ROUNDUP((E6*F6*M6)/60,-1),0))</f>
        <v>2000</v>
      </c>
      <c r="O6" s="95">
        <f>VLOOKUP($K6,'UMC Table 4-A'!$A$2:$E$132,4,FALSE)</f>
        <v>4</v>
      </c>
      <c r="P6" s="95">
        <f>IF(TABLE4A4398[[#This Row],[FUNCTION OR SPACE]]="NOT PER TABLE 4A","NA",IF(O6&lt;&gt;"NR",ROUNDUP((E6*F6*O6)/60,-1),0))</f>
        <v>4000</v>
      </c>
      <c r="Q6" s="95" t="str">
        <f>VLOOKUP($K6,'UMC Table 4-A'!$A$2:$E$132,5,FALSE)</f>
        <v>NR</v>
      </c>
      <c r="R6" s="95">
        <f t="shared" ref="R6:R12" si="2">IF(G6="Yes",P6,0)</f>
        <v>0</v>
      </c>
      <c r="S6" s="97" t="s">
        <v>48</v>
      </c>
      <c r="T6" s="97">
        <v>0</v>
      </c>
      <c r="U6" s="97" t="s">
        <v>48</v>
      </c>
      <c r="V6" s="95" t="str">
        <f>IF(TABLE4A4398[[#This Row],[FUNCTION OR SPACE]]="NOT PER TABLE 4A",VLOOKUP(TABLE4A4398[[#This Row],[OCCUPANCY CATEGORY]],Ashrae90.1Vent[#All],2,FALSE),"NA")</f>
        <v>NA</v>
      </c>
      <c r="W6" s="99" t="str">
        <f>IF(TABLE4A4398[[#This Row],[FUNCTION OR SPACE]]="NOT PER TABLE 4A", VLOOKUP(TABLE4A4398[[#This Row],[OCCUPANCY CATEGORY]],Ashrae90.1Vent[#All],3,FALSE),"NA")</f>
        <v>NA</v>
      </c>
      <c r="X6" s="99" t="str">
        <f>IF(TABLE4A4398[[#This Row],[FUNCTION OR SPACE]]="NOT PER TABLE 4A",VLOOKUP(TABLE4A4398[[#This Row],[OCCUPANCY CATEGORY]],Ashrae90.1Vent[#All],4,FALSE),"NA")</f>
        <v>NA</v>
      </c>
      <c r="Y6" s="99" t="str">
        <f>IF(TABLE4A4398[[#This Row],[FUNCTION OR SPACE]]="NOT PER TABLE 4A",VLOOKUP(TABLE4A4398[[#This Row],[OCCUPANCY CATEGORY]],Ashrae90.1Vent[#All],5,FALSE),"NA")</f>
        <v>NA</v>
      </c>
      <c r="Z6" s="97" t="str">
        <f>IF(TABLE4A4398[[#This Row],[FUNCTION OR SPACE]]="NOT PER TABLE 4A",TABLE4A4398[[#This Row],[Occupants (Pz)]],"NA")</f>
        <v>NA</v>
      </c>
      <c r="AA6" s="99" t="str">
        <f>IF(TABLE4A4398[[#This Row],[FUNCTION OR SPACE]]="NOT PER TABLE 4A",CEILING((X6/1000)*E6,1),"NA")</f>
        <v>NA</v>
      </c>
      <c r="AB6" s="99" t="str">
        <f>IF(TABLE4A4398[[#This Row],[FUNCTION OR SPACE]]="NOT PER TABLE 4A",IF((TABLE4A4398[[#Totals],[Actual Number of  Occupants (Ps)]]/TABLE4A4398[[#Totals],[Occupants (Pz)]])&gt;1,1,TABLE4A4398[[#Totals],[Actual Number of  Occupants (Ps)]]/TABLE4A4398[[#Totals],[Occupants (Pz)]]),"NA")</f>
        <v>NA</v>
      </c>
      <c r="AC6" s="100" t="str">
        <f>IF(TABLE4A4398[[#This Row],[FUNCTION OR SPACE]]="NOT PER TABLE 4A",(TABLE4A4398[[#This Row],[DIVERSITY (D)]]*TABLE4A4398[[#This Row],[RP
(CFM/PER PERSON)]]*TABLE4A4398[[#This Row],[Occupants (Pz)]])+(TABLE4A4398[[#This Row],[RA
(CFM/FT²)]]*TABLE4A4398[[#This Row],[AREA 
(FT²)]]),"NA")</f>
        <v>NA</v>
      </c>
      <c r="AD6" s="101" t="str">
        <f>IF(TABLE4A4398[[#This Row],[FUNCTION OR SPACE]]="NOT PER TABLE 4A",IF(TABLE4A4398[[#This Row],[DIVERSITY (D)]]&lt;0.6,(0.88*TABLE4A4398[[#This Row],[DIVERSITY (D)]]+0.22),0.75),"NA")</f>
        <v>NA</v>
      </c>
      <c r="AE6" s="100" t="str">
        <f>IF(TABLE4A4398[[#This Row],[FUNCTION OR SPACE]]="NOT PER TABLE 4A",TABLE4A4398[[#This Row],[Uncorrected OA (Vou)]]/TABLE4A4398[[#This Row],[System Efficiency (Ev)]],"NA")</f>
        <v>NA</v>
      </c>
      <c r="AF6" s="97" t="s">
        <v>49</v>
      </c>
      <c r="AG6" s="100" t="str">
        <f>VLOOKUP(TABLE4A4398[[#This Row],[OCCUPANCY CATEGORY]],Ashrae90.1Vent[#All],6,FALSE)</f>
        <v>NA</v>
      </c>
      <c r="AH6" s="100" t="str">
        <f>IF(TABLE4A4398[[#This Row],[Exhaust Category]]="NOT APPLICABLE","NA",VLOOKUP(TABLE4A4398[[#This Row],[Exhaust Category]],ASHRAE_EA_Table[#All],2,FALSE))</f>
        <v>NA</v>
      </c>
      <c r="AI6" s="100" t="str">
        <f>IF(TABLE4A4398[[#This Row],[Exhaust Category]]="NOT APPLICABLE","NA",VLOOKUP(TABLE4A4398[[#This Row],[Exhaust Category]],ASHRAE_EA_Table[#All],3,FALSE))</f>
        <v>NA</v>
      </c>
      <c r="AJ6" s="99">
        <f>IFERROR(IF(TABLE4A4398[[#This Row],[EA RATE
(CFM/UNIT)]] = 0,TABLE4A4398[[#This Row],[EA RATE
(CFM/FT²)]]*TABLE4A4398[[#This Row],[AREA 
(FT²)]],TABLE4A4398[[#This Row],[EA RATE
(CFM/UNIT)]]*TABLE4A4398[[#This Row],[ASHRAE
EXHAUST UNIT]]),0)</f>
        <v>0</v>
      </c>
      <c r="AK6" s="94">
        <f>MROUND(IF(TABLE4A4398[[#This Row],[FUNCTION OR SPACE]]="NOT PER TABLE 4A",TABLE4A4398[[#This Row],[OUTSIDE AIRFLOW (CFM) (Vot)]],TABLE4A4398[[#This Row],[MIN OUTDOOR ACH 
(CFM)]]),5)</f>
        <v>2000</v>
      </c>
      <c r="AL6" s="95" cm="1">
        <f t="array" aca="1" ref="AL6"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6000</v>
      </c>
      <c r="AM6" s="102">
        <f ca="1">TABLE4A4398[[#This Row],[CALCULATED SA 
(CFM)]]</f>
        <v>6000</v>
      </c>
      <c r="AN6" s="102" cm="1">
        <f t="array" aca="1" ref="AN6" ca="1">returnair_comb(TABLE4A4398[[#This Row],[DESIGN SA (CFM)]],TABLE4A4398[[#This Row],[Desired Air Balance Difference]],TABLE4A4398[[#This Row],[100% EA
 (YES/NR)]],TABLE4A4398[[#This Row],[FUNCTION OR SPACE]],TABLE4A4398[[#This Row],[Exhaust Category]],TABLE4A4398[[#This Row],[MIN ASHRAE EA
(CFM)]])</f>
        <v>5800</v>
      </c>
      <c r="AO6" s="102" cm="1">
        <f t="array" aca="1" ref="AO6"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6" s="103">
        <f t="shared" ref="AP6:AP12" ca="1" si="3">AM6-AN6-AO6</f>
        <v>200</v>
      </c>
      <c r="AQ6" s="103">
        <f t="shared" ref="AQ6:AQ12" ca="1" si="4">IFERROR(AL6/E6,"-")</f>
        <v>1</v>
      </c>
      <c r="AR6" s="103">
        <f ca="1">IF(TABLE4A4398[[#This Row],[DESIGN SA (CFM)]]=0,0,(TABLE4A4398[[#This Row],[DESIGN OA (CFM)]]/TABLE4A4398[[#This Row],[DESIGN SA (CFM)]])*100)</f>
        <v>33.333333333333329</v>
      </c>
      <c r="AS6" s="103">
        <f t="shared" ref="AS6:AS12" ca="1" si="5">AM6/E6/F6*60</f>
        <v>6</v>
      </c>
      <c r="AT6" s="78" t="str">
        <f t="shared" ref="AT6:AT12" ca="1" si="6">IF(AL6-AN6-AO6+AP6=0,"Yes","No")</f>
        <v>No</v>
      </c>
    </row>
    <row r="7" spans="1:65" ht="15" customHeight="1">
      <c r="B7" s="77" t="s">
        <v>65</v>
      </c>
      <c r="C7" s="97" t="s">
        <v>46</v>
      </c>
      <c r="D7" s="97">
        <v>1234</v>
      </c>
      <c r="E7" s="97">
        <v>500</v>
      </c>
      <c r="F7" s="97">
        <v>10</v>
      </c>
      <c r="G7" s="95" t="str">
        <f>VLOOKUP($K7,'UMC Table 4-A'!$A$2:$E$132,5,FALSE)</f>
        <v>NR</v>
      </c>
      <c r="H7" s="97">
        <v>200</v>
      </c>
      <c r="I7" s="97">
        <v>250</v>
      </c>
      <c r="J7" s="95">
        <f t="shared" si="1"/>
        <v>500</v>
      </c>
      <c r="K7" s="97" t="s">
        <v>514</v>
      </c>
      <c r="L7" s="95" t="str">
        <f>VLOOKUP($K7,'UMC Table 4-A'!$A$2:$E$132,2,FALSE)</f>
        <v>NR</v>
      </c>
      <c r="M7" s="95">
        <f>VLOOKUP($K7,'UMC Table 4-A'!$A$2:$E$132,3,FALSE)</f>
        <v>2</v>
      </c>
      <c r="N7" s="98">
        <f>IF(TABLE4A4398[[#This Row],[FUNCTION OR SPACE]]="NOT PER TABLE 4A","NA",IF(M7&lt;&gt;"NR",ROUNDUP((E7*F7*M7)/60,-1),0))</f>
        <v>170</v>
      </c>
      <c r="O7" s="95">
        <f>VLOOKUP($K7,'UMC Table 4-A'!$A$2:$E$132,4,FALSE)</f>
        <v>4</v>
      </c>
      <c r="P7" s="95">
        <f>IF(TABLE4A4398[[#This Row],[FUNCTION OR SPACE]]="NOT PER TABLE 4A","NA",IF(O7&lt;&gt;"NR",ROUNDUP((E7*F7*O7)/60,-1),0))</f>
        <v>340</v>
      </c>
      <c r="Q7" s="95" t="str">
        <f>VLOOKUP($K7,'UMC Table 4-A'!$A$2:$E$132,5,FALSE)</f>
        <v>NR</v>
      </c>
      <c r="R7" s="95">
        <f t="shared" si="2"/>
        <v>0</v>
      </c>
      <c r="S7" s="97" t="s">
        <v>48</v>
      </c>
      <c r="T7" s="97">
        <v>0</v>
      </c>
      <c r="U7" s="97" t="s">
        <v>48</v>
      </c>
      <c r="V7" s="95" t="str">
        <f>IF(TABLE4A4398[[#This Row],[FUNCTION OR SPACE]]="NOT PER TABLE 4A",VLOOKUP(TABLE4A4398[[#This Row],[OCCUPANCY CATEGORY]],Ashrae90.1Vent[#All],2,FALSE),"NA")</f>
        <v>NA</v>
      </c>
      <c r="W7" s="99" t="str">
        <f>IF(TABLE4A4398[[#This Row],[FUNCTION OR SPACE]]="NOT PER TABLE 4A", VLOOKUP(TABLE4A4398[[#This Row],[OCCUPANCY CATEGORY]],Ashrae90.1Vent[#All],3,FALSE),"NA")</f>
        <v>NA</v>
      </c>
      <c r="X7" s="99" t="str">
        <f>IF(TABLE4A4398[[#This Row],[FUNCTION OR SPACE]]="NOT PER TABLE 4A",VLOOKUP(TABLE4A4398[[#This Row],[OCCUPANCY CATEGORY]],Ashrae90.1Vent[#All],4,FALSE),"NA")</f>
        <v>NA</v>
      </c>
      <c r="Y7" s="99" t="str">
        <f>IF(TABLE4A4398[[#This Row],[FUNCTION OR SPACE]]="NOT PER TABLE 4A",VLOOKUP(TABLE4A4398[[#This Row],[OCCUPANCY CATEGORY]],Ashrae90.1Vent[#All],5,FALSE),"NA")</f>
        <v>NA</v>
      </c>
      <c r="Z7" s="97" t="str">
        <f>IF(TABLE4A4398[[#This Row],[FUNCTION OR SPACE]]="NOT PER TABLE 4A",TABLE4A4398[[#This Row],[Occupants (Pz)]],"NA")</f>
        <v>NA</v>
      </c>
      <c r="AA7" s="99" t="str">
        <f>IF(TABLE4A4398[[#This Row],[FUNCTION OR SPACE]]="NOT PER TABLE 4A",CEILING((X7/1000)*E7,1),"NA")</f>
        <v>NA</v>
      </c>
      <c r="AB7" s="99" t="str">
        <f>IF(TABLE4A4398[[#This Row],[FUNCTION OR SPACE]]="NOT PER TABLE 4A",IF((TABLE4A4398[[#Totals],[Actual Number of  Occupants (Ps)]]/TABLE4A4398[[#Totals],[Occupants (Pz)]])&gt;1,1,TABLE4A4398[[#Totals],[Actual Number of  Occupants (Ps)]]/TABLE4A4398[[#Totals],[Occupants (Pz)]]),"NA")</f>
        <v>NA</v>
      </c>
      <c r="AC7" s="100" t="str">
        <f>IF(TABLE4A4398[[#This Row],[FUNCTION OR SPACE]]="NOT PER TABLE 4A",(TABLE4A4398[[#This Row],[DIVERSITY (D)]]*TABLE4A4398[[#This Row],[RP
(CFM/PER PERSON)]]*TABLE4A4398[[#This Row],[Occupants (Pz)]])+(TABLE4A4398[[#This Row],[RA
(CFM/FT²)]]*TABLE4A4398[[#This Row],[AREA 
(FT²)]]),"NA")</f>
        <v>NA</v>
      </c>
      <c r="AD7" s="101" t="str">
        <f>IF(TABLE4A4398[[#This Row],[FUNCTION OR SPACE]]="NOT PER TABLE 4A",IF(TABLE4A4398[[#This Row],[DIVERSITY (D)]]&lt;0.6,(0.88*TABLE4A4398[[#This Row],[DIVERSITY (D)]]+0.22),0.75),"NA")</f>
        <v>NA</v>
      </c>
      <c r="AE7" s="100" t="str">
        <f>IF(TABLE4A4398[[#This Row],[FUNCTION OR SPACE]]="NOT PER TABLE 4A",TABLE4A4398[[#This Row],[Uncorrected OA (Vou)]]/TABLE4A4398[[#This Row],[System Efficiency (Ev)]],"NA")</f>
        <v>NA</v>
      </c>
      <c r="AF7" s="97" t="s">
        <v>49</v>
      </c>
      <c r="AG7" s="100" t="str">
        <f>VLOOKUP(TABLE4A4398[[#This Row],[OCCUPANCY CATEGORY]],Ashrae90.1Vent[#All],6,FALSE)</f>
        <v>NA</v>
      </c>
      <c r="AH7" s="100" t="str">
        <f>IF(TABLE4A4398[[#This Row],[Exhaust Category]]="NOT APPLICABLE","NA",VLOOKUP(TABLE4A4398[[#This Row],[Exhaust Category]],ASHRAE_EA_Table[#All],2,FALSE))</f>
        <v>NA</v>
      </c>
      <c r="AI7" s="100" t="str">
        <f>IF(TABLE4A4398[[#This Row],[Exhaust Category]]="NOT APPLICABLE","NA",VLOOKUP(TABLE4A4398[[#This Row],[Exhaust Category]],ASHRAE_EA_Table[#All],3,FALSE))</f>
        <v>NA</v>
      </c>
      <c r="AJ7" s="99">
        <f>IFERROR(IF(TABLE4A4398[[#This Row],[EA RATE
(CFM/UNIT)]] = 0,TABLE4A4398[[#This Row],[EA RATE
(CFM/FT²)]]*TABLE4A4398[[#This Row],[AREA 
(FT²)]],TABLE4A4398[[#This Row],[EA RATE
(CFM/UNIT)]]*TABLE4A4398[[#This Row],[ASHRAE
EXHAUST UNIT]]),0)</f>
        <v>0</v>
      </c>
      <c r="AK7" s="94">
        <f>MROUND(IF(TABLE4A4398[[#This Row],[FUNCTION OR SPACE]]="NOT PER TABLE 4A",TABLE4A4398[[#This Row],[OUTSIDE AIRFLOW (CFM) (Vot)]],TABLE4A4398[[#This Row],[MIN OUTDOOR ACH 
(CFM)]]),5)</f>
        <v>170</v>
      </c>
      <c r="AL7" s="95" cm="1">
        <f t="array" aca="1" ref="AL7"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7" s="102">
        <f ca="1">TABLE4A4398[[#This Row],[CALCULATED SA 
(CFM)]]</f>
        <v>500</v>
      </c>
      <c r="AN7" s="102" cm="1">
        <f t="array" aca="1" ref="AN7" ca="1">returnair_comb(TABLE4A4398[[#This Row],[DESIGN SA (CFM)]],TABLE4A4398[[#This Row],[Desired Air Balance Difference]],TABLE4A4398[[#This Row],[100% EA
 (YES/NR)]],TABLE4A4398[[#This Row],[FUNCTION OR SPACE]],TABLE4A4398[[#This Row],[Exhaust Category]],TABLE4A4398[[#This Row],[MIN ASHRAE EA
(CFM)]])</f>
        <v>300</v>
      </c>
      <c r="AO7" s="102" cm="1">
        <f t="array" aca="1" ref="AO7"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7" s="103">
        <f t="shared" ca="1" si="3"/>
        <v>200</v>
      </c>
      <c r="AQ7" s="103">
        <f t="shared" ca="1" si="4"/>
        <v>1</v>
      </c>
      <c r="AR7" s="103">
        <f ca="1">IF(TABLE4A4398[[#This Row],[DESIGN SA (CFM)]]=0,0,(TABLE4A4398[[#This Row],[DESIGN OA (CFM)]]/TABLE4A4398[[#This Row],[DESIGN SA (CFM)]])*100)</f>
        <v>34</v>
      </c>
      <c r="AS7" s="103">
        <f t="shared" ca="1" si="5"/>
        <v>6</v>
      </c>
      <c r="AT7" s="78" t="str">
        <f t="shared" ca="1" si="6"/>
        <v>No</v>
      </c>
    </row>
    <row r="8" spans="1:65" ht="15" customHeight="1">
      <c r="B8" s="77" t="s">
        <v>65</v>
      </c>
      <c r="C8" s="97" t="s">
        <v>46</v>
      </c>
      <c r="D8" s="97">
        <v>1234</v>
      </c>
      <c r="E8" s="97">
        <v>500</v>
      </c>
      <c r="F8" s="97">
        <v>10</v>
      </c>
      <c r="G8" s="95" t="str">
        <f>VLOOKUP($K8,'UMC Table 4-A'!$A$2:$E$132,5,FALSE)</f>
        <v>NR</v>
      </c>
      <c r="H8" s="97">
        <v>200</v>
      </c>
      <c r="I8" s="97">
        <v>250</v>
      </c>
      <c r="J8" s="95">
        <f t="shared" si="1"/>
        <v>500</v>
      </c>
      <c r="K8" s="97" t="s">
        <v>514</v>
      </c>
      <c r="L8" s="95" t="str">
        <f>VLOOKUP($K8,'UMC Table 4-A'!$A$2:$E$132,2,FALSE)</f>
        <v>NR</v>
      </c>
      <c r="M8" s="95">
        <f>VLOOKUP($K8,'UMC Table 4-A'!$A$2:$E$132,3,FALSE)</f>
        <v>2</v>
      </c>
      <c r="N8" s="98">
        <f>IF(TABLE4A4398[[#This Row],[FUNCTION OR SPACE]]="NOT PER TABLE 4A","NA",IF(M8&lt;&gt;"NR",ROUNDUP((E8*F8*M8)/60,-1),0))</f>
        <v>170</v>
      </c>
      <c r="O8" s="95">
        <f>VLOOKUP($K8,'UMC Table 4-A'!$A$2:$E$132,4,FALSE)</f>
        <v>4</v>
      </c>
      <c r="P8" s="95">
        <f>IF(TABLE4A4398[[#This Row],[FUNCTION OR SPACE]]="NOT PER TABLE 4A","NA",IF(O8&lt;&gt;"NR",ROUNDUP((E8*F8*O8)/60,-1),0))</f>
        <v>340</v>
      </c>
      <c r="Q8" s="95" t="str">
        <f>VLOOKUP($K8,'UMC Table 4-A'!$A$2:$E$132,5,FALSE)</f>
        <v>NR</v>
      </c>
      <c r="R8" s="95">
        <f t="shared" si="2"/>
        <v>0</v>
      </c>
      <c r="S8" s="97" t="s">
        <v>48</v>
      </c>
      <c r="T8" s="97">
        <v>0</v>
      </c>
      <c r="U8" s="97" t="s">
        <v>48</v>
      </c>
      <c r="V8" s="95" t="str">
        <f>IF(TABLE4A4398[[#This Row],[FUNCTION OR SPACE]]="NOT PER TABLE 4A",VLOOKUP(TABLE4A4398[[#This Row],[OCCUPANCY CATEGORY]],Ashrae90.1Vent[#All],2,FALSE),"NA")</f>
        <v>NA</v>
      </c>
      <c r="W8" s="99" t="str">
        <f>IF(TABLE4A4398[[#This Row],[FUNCTION OR SPACE]]="NOT PER TABLE 4A", VLOOKUP(TABLE4A4398[[#This Row],[OCCUPANCY CATEGORY]],Ashrae90.1Vent[#All],3,FALSE),"NA")</f>
        <v>NA</v>
      </c>
      <c r="X8" s="99" t="str">
        <f>IF(TABLE4A4398[[#This Row],[FUNCTION OR SPACE]]="NOT PER TABLE 4A",VLOOKUP(TABLE4A4398[[#This Row],[OCCUPANCY CATEGORY]],Ashrae90.1Vent[#All],4,FALSE),"NA")</f>
        <v>NA</v>
      </c>
      <c r="Y8" s="99" t="str">
        <f>IF(TABLE4A4398[[#This Row],[FUNCTION OR SPACE]]="NOT PER TABLE 4A",VLOOKUP(TABLE4A4398[[#This Row],[OCCUPANCY CATEGORY]],Ashrae90.1Vent[#All],5,FALSE),"NA")</f>
        <v>NA</v>
      </c>
      <c r="Z8" s="97" t="str">
        <f>IF(TABLE4A4398[[#This Row],[FUNCTION OR SPACE]]="NOT PER TABLE 4A",TABLE4A4398[[#This Row],[Occupants (Pz)]],"NA")</f>
        <v>NA</v>
      </c>
      <c r="AA8" s="99" t="str">
        <f>IF(TABLE4A4398[[#This Row],[FUNCTION OR SPACE]]="NOT PER TABLE 4A",CEILING((X8/1000)*E8,1),"NA")</f>
        <v>NA</v>
      </c>
      <c r="AB8" s="99" t="str">
        <f>IF(TABLE4A4398[[#This Row],[FUNCTION OR SPACE]]="NOT PER TABLE 4A",IF((TABLE4A4398[[#Totals],[Actual Number of  Occupants (Ps)]]/TABLE4A4398[[#Totals],[Occupants (Pz)]])&gt;1,1,TABLE4A4398[[#Totals],[Actual Number of  Occupants (Ps)]]/TABLE4A4398[[#Totals],[Occupants (Pz)]]),"NA")</f>
        <v>NA</v>
      </c>
      <c r="AC8" s="100" t="str">
        <f>IF(TABLE4A4398[[#This Row],[FUNCTION OR SPACE]]="NOT PER TABLE 4A",(TABLE4A4398[[#This Row],[DIVERSITY (D)]]*TABLE4A4398[[#This Row],[RP
(CFM/PER PERSON)]]*TABLE4A4398[[#This Row],[Occupants (Pz)]])+(TABLE4A4398[[#This Row],[RA
(CFM/FT²)]]*TABLE4A4398[[#This Row],[AREA 
(FT²)]]),"NA")</f>
        <v>NA</v>
      </c>
      <c r="AD8" s="101" t="str">
        <f>IF(TABLE4A4398[[#This Row],[FUNCTION OR SPACE]]="NOT PER TABLE 4A",IF(TABLE4A4398[[#This Row],[DIVERSITY (D)]]&lt;0.6,(0.88*TABLE4A4398[[#This Row],[DIVERSITY (D)]]+0.22),0.75),"NA")</f>
        <v>NA</v>
      </c>
      <c r="AE8" s="100" t="str">
        <f>IF(TABLE4A4398[[#This Row],[FUNCTION OR SPACE]]="NOT PER TABLE 4A",TABLE4A4398[[#This Row],[Uncorrected OA (Vou)]]/TABLE4A4398[[#This Row],[System Efficiency (Ev)]],"NA")</f>
        <v>NA</v>
      </c>
      <c r="AF8" s="97" t="s">
        <v>49</v>
      </c>
      <c r="AG8" s="100" t="str">
        <f>VLOOKUP(TABLE4A4398[[#This Row],[OCCUPANCY CATEGORY]],Ashrae90.1Vent[#All],6,FALSE)</f>
        <v>NA</v>
      </c>
      <c r="AH8" s="100" t="str">
        <f>IF(TABLE4A4398[[#This Row],[Exhaust Category]]="NOT APPLICABLE","NA",VLOOKUP(TABLE4A4398[[#This Row],[Exhaust Category]],ASHRAE_EA_Table[#All],2,FALSE))</f>
        <v>NA</v>
      </c>
      <c r="AI8" s="100" t="str">
        <f>IF(TABLE4A4398[[#This Row],[Exhaust Category]]="NOT APPLICABLE","NA",VLOOKUP(TABLE4A4398[[#This Row],[Exhaust Category]],ASHRAE_EA_Table[#All],3,FALSE))</f>
        <v>NA</v>
      </c>
      <c r="AJ8" s="99">
        <f>IFERROR(IF(TABLE4A4398[[#This Row],[EA RATE
(CFM/UNIT)]] = 0,TABLE4A4398[[#This Row],[EA RATE
(CFM/FT²)]]*TABLE4A4398[[#This Row],[AREA 
(FT²)]],TABLE4A4398[[#This Row],[EA RATE
(CFM/UNIT)]]*TABLE4A4398[[#This Row],[ASHRAE
EXHAUST UNIT]]),0)</f>
        <v>0</v>
      </c>
      <c r="AK8" s="94">
        <f>MROUND(IF(TABLE4A4398[[#This Row],[FUNCTION OR SPACE]]="NOT PER TABLE 4A",TABLE4A4398[[#This Row],[OUTSIDE AIRFLOW (CFM) (Vot)]],TABLE4A4398[[#This Row],[MIN OUTDOOR ACH 
(CFM)]]),5)</f>
        <v>170</v>
      </c>
      <c r="AL8" s="95" cm="1">
        <f t="array" aca="1" ref="AL8"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8" s="102">
        <f ca="1">TABLE4A4398[[#This Row],[CALCULATED SA 
(CFM)]]</f>
        <v>500</v>
      </c>
      <c r="AN8" s="102" cm="1">
        <f t="array" aca="1" ref="AN8" ca="1">returnair_comb(TABLE4A4398[[#This Row],[DESIGN SA (CFM)]],TABLE4A4398[[#This Row],[Desired Air Balance Difference]],TABLE4A4398[[#This Row],[100% EA
 (YES/NR)]],TABLE4A4398[[#This Row],[FUNCTION OR SPACE]],TABLE4A4398[[#This Row],[Exhaust Category]],TABLE4A4398[[#This Row],[MIN ASHRAE EA
(CFM)]])</f>
        <v>300</v>
      </c>
      <c r="AO8" s="102" cm="1">
        <f t="array" aca="1" ref="AO8"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8" s="103">
        <f t="shared" ca="1" si="3"/>
        <v>200</v>
      </c>
      <c r="AQ8" s="103">
        <f t="shared" ca="1" si="4"/>
        <v>1</v>
      </c>
      <c r="AR8" s="103">
        <f ca="1">IF(TABLE4A4398[[#This Row],[DESIGN SA (CFM)]]=0,0,(TABLE4A4398[[#This Row],[DESIGN OA (CFM)]]/TABLE4A4398[[#This Row],[DESIGN SA (CFM)]])*100)</f>
        <v>34</v>
      </c>
      <c r="AS8" s="103">
        <f t="shared" ca="1" si="5"/>
        <v>6</v>
      </c>
      <c r="AT8" s="78" t="str">
        <f t="shared" ca="1" si="6"/>
        <v>No</v>
      </c>
    </row>
    <row r="9" spans="1:65" ht="15" customHeight="1">
      <c r="B9" s="77" t="s">
        <v>65</v>
      </c>
      <c r="C9" s="97" t="s">
        <v>46</v>
      </c>
      <c r="D9" s="97">
        <v>1234</v>
      </c>
      <c r="E9" s="97">
        <v>500</v>
      </c>
      <c r="F9" s="97">
        <v>10</v>
      </c>
      <c r="G9" s="95" t="str">
        <f>VLOOKUP($K9,'UMC Table 4-A'!$A$2:$E$132,5,FALSE)</f>
        <v>NR</v>
      </c>
      <c r="H9" s="97">
        <v>200</v>
      </c>
      <c r="I9" s="97">
        <v>250</v>
      </c>
      <c r="J9" s="95">
        <f t="shared" si="1"/>
        <v>500</v>
      </c>
      <c r="K9" s="97" t="s">
        <v>514</v>
      </c>
      <c r="L9" s="95" t="str">
        <f>VLOOKUP($K9,'UMC Table 4-A'!$A$2:$E$132,2,FALSE)</f>
        <v>NR</v>
      </c>
      <c r="M9" s="95">
        <f>VLOOKUP($K9,'UMC Table 4-A'!$A$2:$E$132,3,FALSE)</f>
        <v>2</v>
      </c>
      <c r="N9" s="98">
        <f>IF(TABLE4A4398[[#This Row],[FUNCTION OR SPACE]]="NOT PER TABLE 4A","NA",IF(M9&lt;&gt;"NR",ROUNDUP((E9*F9*M9)/60,-1),0))</f>
        <v>170</v>
      </c>
      <c r="O9" s="95">
        <f>VLOOKUP($K9,'UMC Table 4-A'!$A$2:$E$132,4,FALSE)</f>
        <v>4</v>
      </c>
      <c r="P9" s="95">
        <f>IF(TABLE4A4398[[#This Row],[FUNCTION OR SPACE]]="NOT PER TABLE 4A","NA",IF(O9&lt;&gt;"NR",ROUNDUP((E9*F9*O9)/60,-1),0))</f>
        <v>340</v>
      </c>
      <c r="Q9" s="95" t="str">
        <f>VLOOKUP($K9,'UMC Table 4-A'!$A$2:$E$132,5,FALSE)</f>
        <v>NR</v>
      </c>
      <c r="R9" s="95">
        <f t="shared" si="2"/>
        <v>0</v>
      </c>
      <c r="S9" s="97" t="s">
        <v>48</v>
      </c>
      <c r="T9" s="97">
        <v>0</v>
      </c>
      <c r="U9" s="97" t="s">
        <v>48</v>
      </c>
      <c r="V9" s="95" t="str">
        <f>IF(TABLE4A4398[[#This Row],[FUNCTION OR SPACE]]="NOT PER TABLE 4A",VLOOKUP(TABLE4A4398[[#This Row],[OCCUPANCY CATEGORY]],Ashrae90.1Vent[#All],2,FALSE),"NA")</f>
        <v>NA</v>
      </c>
      <c r="W9" s="99" t="str">
        <f>IF(TABLE4A4398[[#This Row],[FUNCTION OR SPACE]]="NOT PER TABLE 4A", VLOOKUP(TABLE4A4398[[#This Row],[OCCUPANCY CATEGORY]],Ashrae90.1Vent[#All],3,FALSE),"NA")</f>
        <v>NA</v>
      </c>
      <c r="X9" s="99" t="str">
        <f>IF(TABLE4A4398[[#This Row],[FUNCTION OR SPACE]]="NOT PER TABLE 4A",VLOOKUP(TABLE4A4398[[#This Row],[OCCUPANCY CATEGORY]],Ashrae90.1Vent[#All],4,FALSE),"NA")</f>
        <v>NA</v>
      </c>
      <c r="Y9" s="99" t="str">
        <f>IF(TABLE4A4398[[#This Row],[FUNCTION OR SPACE]]="NOT PER TABLE 4A",VLOOKUP(TABLE4A4398[[#This Row],[OCCUPANCY CATEGORY]],Ashrae90.1Vent[#All],5,FALSE),"NA")</f>
        <v>NA</v>
      </c>
      <c r="Z9" s="97" t="str">
        <f>IF(TABLE4A4398[[#This Row],[FUNCTION OR SPACE]]="NOT PER TABLE 4A",TABLE4A4398[[#This Row],[Occupants (Pz)]],"NA")</f>
        <v>NA</v>
      </c>
      <c r="AA9" s="99" t="str">
        <f>IF(TABLE4A4398[[#This Row],[FUNCTION OR SPACE]]="NOT PER TABLE 4A",CEILING((X9/1000)*E9,1),"NA")</f>
        <v>NA</v>
      </c>
      <c r="AB9" s="99" t="str">
        <f>IF(TABLE4A4398[[#This Row],[FUNCTION OR SPACE]]="NOT PER TABLE 4A",IF((TABLE4A4398[[#Totals],[Actual Number of  Occupants (Ps)]]/TABLE4A4398[[#Totals],[Occupants (Pz)]])&gt;1,1,TABLE4A4398[[#Totals],[Actual Number of  Occupants (Ps)]]/TABLE4A4398[[#Totals],[Occupants (Pz)]]),"NA")</f>
        <v>NA</v>
      </c>
      <c r="AC9" s="100" t="str">
        <f>IF(TABLE4A4398[[#This Row],[FUNCTION OR SPACE]]="NOT PER TABLE 4A",(TABLE4A4398[[#This Row],[DIVERSITY (D)]]*TABLE4A4398[[#This Row],[RP
(CFM/PER PERSON)]]*TABLE4A4398[[#This Row],[Occupants (Pz)]])+(TABLE4A4398[[#This Row],[RA
(CFM/FT²)]]*TABLE4A4398[[#This Row],[AREA 
(FT²)]]),"NA")</f>
        <v>NA</v>
      </c>
      <c r="AD9" s="101" t="str">
        <f>IF(TABLE4A4398[[#This Row],[FUNCTION OR SPACE]]="NOT PER TABLE 4A",IF(TABLE4A4398[[#This Row],[DIVERSITY (D)]]&lt;0.6,(0.88*TABLE4A4398[[#This Row],[DIVERSITY (D)]]+0.22),0.75),"NA")</f>
        <v>NA</v>
      </c>
      <c r="AE9" s="100" t="str">
        <f>IF(TABLE4A4398[[#This Row],[FUNCTION OR SPACE]]="NOT PER TABLE 4A",TABLE4A4398[[#This Row],[Uncorrected OA (Vou)]]/TABLE4A4398[[#This Row],[System Efficiency (Ev)]],"NA")</f>
        <v>NA</v>
      </c>
      <c r="AF9" s="97" t="s">
        <v>49</v>
      </c>
      <c r="AG9" s="100" t="str">
        <f>VLOOKUP(TABLE4A4398[[#This Row],[OCCUPANCY CATEGORY]],Ashrae90.1Vent[#All],6,FALSE)</f>
        <v>NA</v>
      </c>
      <c r="AH9" s="100" t="str">
        <f>IF(TABLE4A4398[[#This Row],[Exhaust Category]]="NOT APPLICABLE","NA",VLOOKUP(TABLE4A4398[[#This Row],[Exhaust Category]],ASHRAE_EA_Table[#All],2,FALSE))</f>
        <v>NA</v>
      </c>
      <c r="AI9" s="100" t="str">
        <f>IF(TABLE4A4398[[#This Row],[Exhaust Category]]="NOT APPLICABLE","NA",VLOOKUP(TABLE4A4398[[#This Row],[Exhaust Category]],ASHRAE_EA_Table[#All],3,FALSE))</f>
        <v>NA</v>
      </c>
      <c r="AJ9" s="99">
        <f>IFERROR(IF(TABLE4A4398[[#This Row],[EA RATE
(CFM/UNIT)]] = 0,TABLE4A4398[[#This Row],[EA RATE
(CFM/FT²)]]*TABLE4A4398[[#This Row],[AREA 
(FT²)]],TABLE4A4398[[#This Row],[EA RATE
(CFM/UNIT)]]*TABLE4A4398[[#This Row],[ASHRAE
EXHAUST UNIT]]),0)</f>
        <v>0</v>
      </c>
      <c r="AK9" s="94">
        <f>MROUND(IF(TABLE4A4398[[#This Row],[FUNCTION OR SPACE]]="NOT PER TABLE 4A",TABLE4A4398[[#This Row],[OUTSIDE AIRFLOW (CFM) (Vot)]],TABLE4A4398[[#This Row],[MIN OUTDOOR ACH 
(CFM)]]),5)</f>
        <v>170</v>
      </c>
      <c r="AL9" s="95" cm="1">
        <f t="array" aca="1" ref="AL9"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9" s="102">
        <f ca="1">TABLE4A4398[[#This Row],[CALCULATED SA 
(CFM)]]</f>
        <v>500</v>
      </c>
      <c r="AN9" s="102" cm="1">
        <f t="array" aca="1" ref="AN9" ca="1">returnair_comb(TABLE4A4398[[#This Row],[DESIGN SA (CFM)]],TABLE4A4398[[#This Row],[Desired Air Balance Difference]],TABLE4A4398[[#This Row],[100% EA
 (YES/NR)]],TABLE4A4398[[#This Row],[FUNCTION OR SPACE]],TABLE4A4398[[#This Row],[Exhaust Category]],TABLE4A4398[[#This Row],[MIN ASHRAE EA
(CFM)]])</f>
        <v>300</v>
      </c>
      <c r="AO9" s="102" cm="1">
        <f t="array" aca="1" ref="AO9"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9" s="103">
        <f t="shared" ca="1" si="3"/>
        <v>200</v>
      </c>
      <c r="AQ9" s="103">
        <f t="shared" ca="1" si="4"/>
        <v>1</v>
      </c>
      <c r="AR9" s="103">
        <f ca="1">IF(TABLE4A4398[[#This Row],[DESIGN SA (CFM)]]=0,0,(TABLE4A4398[[#This Row],[DESIGN OA (CFM)]]/TABLE4A4398[[#This Row],[DESIGN SA (CFM)]])*100)</f>
        <v>34</v>
      </c>
      <c r="AS9" s="103">
        <f t="shared" ca="1" si="5"/>
        <v>6</v>
      </c>
      <c r="AT9" s="78" t="str">
        <f t="shared" ca="1" si="6"/>
        <v>No</v>
      </c>
    </row>
    <row r="10" spans="1:65" ht="15" customHeight="1">
      <c r="B10" s="77" t="s">
        <v>65</v>
      </c>
      <c r="C10" s="97" t="s">
        <v>46</v>
      </c>
      <c r="D10" s="97">
        <v>1234</v>
      </c>
      <c r="E10" s="97">
        <v>500</v>
      </c>
      <c r="F10" s="97">
        <v>10</v>
      </c>
      <c r="G10" s="95" t="str">
        <f>VLOOKUP($K10,'UMC Table 4-A'!$A$2:$E$132,5,FALSE)</f>
        <v>NR</v>
      </c>
      <c r="H10" s="97">
        <v>200</v>
      </c>
      <c r="I10" s="97">
        <v>250</v>
      </c>
      <c r="J10" s="95">
        <f t="shared" si="1"/>
        <v>500</v>
      </c>
      <c r="K10" s="97" t="s">
        <v>514</v>
      </c>
      <c r="L10" s="95" t="str">
        <f>VLOOKUP($K10,'UMC Table 4-A'!$A$2:$E$132,2,FALSE)</f>
        <v>NR</v>
      </c>
      <c r="M10" s="95">
        <f>VLOOKUP($K10,'UMC Table 4-A'!$A$2:$E$132,3,FALSE)</f>
        <v>2</v>
      </c>
      <c r="N10" s="98">
        <f>IF(TABLE4A4398[[#This Row],[FUNCTION OR SPACE]]="NOT PER TABLE 4A","NA",IF(M10&lt;&gt;"NR",ROUNDUP((E10*F10*M10)/60,-1),0))</f>
        <v>170</v>
      </c>
      <c r="O10" s="95">
        <f>VLOOKUP($K10,'UMC Table 4-A'!$A$2:$E$132,4,FALSE)</f>
        <v>4</v>
      </c>
      <c r="P10" s="95">
        <f>IF(TABLE4A4398[[#This Row],[FUNCTION OR SPACE]]="NOT PER TABLE 4A","NA",IF(O10&lt;&gt;"NR",ROUNDUP((E10*F10*O10)/60,-1),0))</f>
        <v>340</v>
      </c>
      <c r="Q10" s="95" t="str">
        <f>VLOOKUP($K10,'UMC Table 4-A'!$A$2:$E$132,5,FALSE)</f>
        <v>NR</v>
      </c>
      <c r="R10" s="95">
        <f t="shared" si="2"/>
        <v>0</v>
      </c>
      <c r="S10" s="97" t="s">
        <v>48</v>
      </c>
      <c r="T10" s="97">
        <v>0</v>
      </c>
      <c r="U10" s="97" t="s">
        <v>48</v>
      </c>
      <c r="V10" s="95" t="str">
        <f>IF(TABLE4A4398[[#This Row],[FUNCTION OR SPACE]]="NOT PER TABLE 4A",VLOOKUP(TABLE4A4398[[#This Row],[OCCUPANCY CATEGORY]],Ashrae90.1Vent[#All],2,FALSE),"NA")</f>
        <v>NA</v>
      </c>
      <c r="W10" s="99" t="str">
        <f>IF(TABLE4A4398[[#This Row],[FUNCTION OR SPACE]]="NOT PER TABLE 4A", VLOOKUP(TABLE4A4398[[#This Row],[OCCUPANCY CATEGORY]],Ashrae90.1Vent[#All],3,FALSE),"NA")</f>
        <v>NA</v>
      </c>
      <c r="X10" s="99" t="str">
        <f>IF(TABLE4A4398[[#This Row],[FUNCTION OR SPACE]]="NOT PER TABLE 4A",VLOOKUP(TABLE4A4398[[#This Row],[OCCUPANCY CATEGORY]],Ashrae90.1Vent[#All],4,FALSE),"NA")</f>
        <v>NA</v>
      </c>
      <c r="Y10" s="99" t="str">
        <f>IF(TABLE4A4398[[#This Row],[FUNCTION OR SPACE]]="NOT PER TABLE 4A",VLOOKUP(TABLE4A4398[[#This Row],[OCCUPANCY CATEGORY]],Ashrae90.1Vent[#All],5,FALSE),"NA")</f>
        <v>NA</v>
      </c>
      <c r="Z10" s="97" t="str">
        <f>IF(TABLE4A4398[[#This Row],[FUNCTION OR SPACE]]="NOT PER TABLE 4A",TABLE4A4398[[#This Row],[Occupants (Pz)]],"NA")</f>
        <v>NA</v>
      </c>
      <c r="AA10" s="99" t="str">
        <f>IF(TABLE4A4398[[#This Row],[FUNCTION OR SPACE]]="NOT PER TABLE 4A",CEILING((X10/1000)*E10,1),"NA")</f>
        <v>NA</v>
      </c>
      <c r="AB10" s="99" t="str">
        <f>IF(TABLE4A4398[[#This Row],[FUNCTION OR SPACE]]="NOT PER TABLE 4A",IF((TABLE4A4398[[#Totals],[Actual Number of  Occupants (Ps)]]/TABLE4A4398[[#Totals],[Occupants (Pz)]])&gt;1,1,TABLE4A4398[[#Totals],[Actual Number of  Occupants (Ps)]]/TABLE4A4398[[#Totals],[Occupants (Pz)]]),"NA")</f>
        <v>NA</v>
      </c>
      <c r="AC10" s="100" t="str">
        <f>IF(TABLE4A4398[[#This Row],[FUNCTION OR SPACE]]="NOT PER TABLE 4A",(TABLE4A4398[[#This Row],[DIVERSITY (D)]]*TABLE4A4398[[#This Row],[RP
(CFM/PER PERSON)]]*TABLE4A4398[[#This Row],[Occupants (Pz)]])+(TABLE4A4398[[#This Row],[RA
(CFM/FT²)]]*TABLE4A4398[[#This Row],[AREA 
(FT²)]]),"NA")</f>
        <v>NA</v>
      </c>
      <c r="AD10" s="101" t="str">
        <f>IF(TABLE4A4398[[#This Row],[FUNCTION OR SPACE]]="NOT PER TABLE 4A",IF(TABLE4A4398[[#This Row],[DIVERSITY (D)]]&lt;0.6,(0.88*TABLE4A4398[[#This Row],[DIVERSITY (D)]]+0.22),0.75),"NA")</f>
        <v>NA</v>
      </c>
      <c r="AE10" s="100" t="str">
        <f>IF(TABLE4A4398[[#This Row],[FUNCTION OR SPACE]]="NOT PER TABLE 4A",TABLE4A4398[[#This Row],[Uncorrected OA (Vou)]]/TABLE4A4398[[#This Row],[System Efficiency (Ev)]],"NA")</f>
        <v>NA</v>
      </c>
      <c r="AF10" s="97" t="s">
        <v>49</v>
      </c>
      <c r="AG10" s="100" t="str">
        <f>VLOOKUP(TABLE4A4398[[#This Row],[OCCUPANCY CATEGORY]],Ashrae90.1Vent[#All],6,FALSE)</f>
        <v>NA</v>
      </c>
      <c r="AH10" s="100" t="str">
        <f>IF(TABLE4A4398[[#This Row],[Exhaust Category]]="NOT APPLICABLE","NA",VLOOKUP(TABLE4A4398[[#This Row],[Exhaust Category]],ASHRAE_EA_Table[#All],2,FALSE))</f>
        <v>NA</v>
      </c>
      <c r="AI10" s="100" t="str">
        <f>IF(TABLE4A4398[[#This Row],[Exhaust Category]]="NOT APPLICABLE","NA",VLOOKUP(TABLE4A4398[[#This Row],[Exhaust Category]],ASHRAE_EA_Table[#All],3,FALSE))</f>
        <v>NA</v>
      </c>
      <c r="AJ10" s="99">
        <f>IFERROR(IF(TABLE4A4398[[#This Row],[EA RATE
(CFM/UNIT)]] = 0,TABLE4A4398[[#This Row],[EA RATE
(CFM/FT²)]]*TABLE4A4398[[#This Row],[AREA 
(FT²)]],TABLE4A4398[[#This Row],[EA RATE
(CFM/UNIT)]]*TABLE4A4398[[#This Row],[ASHRAE
EXHAUST UNIT]]),0)</f>
        <v>0</v>
      </c>
      <c r="AK10" s="94">
        <f>MROUND(IF(TABLE4A4398[[#This Row],[FUNCTION OR SPACE]]="NOT PER TABLE 4A",TABLE4A4398[[#This Row],[OUTSIDE AIRFLOW (CFM) (Vot)]],TABLE4A4398[[#This Row],[MIN OUTDOOR ACH 
(CFM)]]),5)</f>
        <v>170</v>
      </c>
      <c r="AL10" s="95" cm="1">
        <f t="array" aca="1" ref="AL10"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10" s="102">
        <f ca="1">TABLE4A4398[[#This Row],[CALCULATED SA 
(CFM)]]</f>
        <v>500</v>
      </c>
      <c r="AN10" s="102" cm="1">
        <f t="array" aca="1" ref="AN10" ca="1">returnair_comb(TABLE4A4398[[#This Row],[DESIGN SA (CFM)]],TABLE4A4398[[#This Row],[Desired Air Balance Difference]],TABLE4A4398[[#This Row],[100% EA
 (YES/NR)]],TABLE4A4398[[#This Row],[FUNCTION OR SPACE]],TABLE4A4398[[#This Row],[Exhaust Category]],TABLE4A4398[[#This Row],[MIN ASHRAE EA
(CFM)]])</f>
        <v>300</v>
      </c>
      <c r="AO10" s="102" cm="1">
        <f t="array" aca="1" ref="AO10"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10" s="103">
        <f t="shared" ca="1" si="3"/>
        <v>200</v>
      </c>
      <c r="AQ10" s="103">
        <f t="shared" ca="1" si="4"/>
        <v>1</v>
      </c>
      <c r="AR10" s="103">
        <f ca="1">IF(TABLE4A4398[[#This Row],[DESIGN SA (CFM)]]=0,0,(TABLE4A4398[[#This Row],[DESIGN OA (CFM)]]/TABLE4A4398[[#This Row],[DESIGN SA (CFM)]])*100)</f>
        <v>34</v>
      </c>
      <c r="AS10" s="103">
        <f t="shared" ca="1" si="5"/>
        <v>6</v>
      </c>
      <c r="AT10" s="78" t="str">
        <f t="shared" ca="1" si="6"/>
        <v>No</v>
      </c>
    </row>
    <row r="11" spans="1:65" ht="15" customHeight="1">
      <c r="B11" s="77" t="s">
        <v>65</v>
      </c>
      <c r="C11" s="97" t="s">
        <v>46</v>
      </c>
      <c r="D11" s="97">
        <v>1234</v>
      </c>
      <c r="E11" s="97">
        <v>500</v>
      </c>
      <c r="F11" s="97">
        <v>10</v>
      </c>
      <c r="G11" s="95" t="str">
        <f>VLOOKUP($K11,'UMC Table 4-A'!$A$2:$E$132,5,FALSE)</f>
        <v>NR</v>
      </c>
      <c r="H11" s="97">
        <v>200</v>
      </c>
      <c r="I11" s="97">
        <v>250</v>
      </c>
      <c r="J11" s="95">
        <f t="shared" si="1"/>
        <v>500</v>
      </c>
      <c r="K11" s="97" t="s">
        <v>514</v>
      </c>
      <c r="L11" s="95" t="str">
        <f>VLOOKUP($K11,'UMC Table 4-A'!$A$2:$E$132,2,FALSE)</f>
        <v>NR</v>
      </c>
      <c r="M11" s="95">
        <f>VLOOKUP($K11,'UMC Table 4-A'!$A$2:$E$132,3,FALSE)</f>
        <v>2</v>
      </c>
      <c r="N11" s="98">
        <f>IF(TABLE4A4398[[#This Row],[FUNCTION OR SPACE]]="NOT PER TABLE 4A","NA",IF(M11&lt;&gt;"NR",ROUNDUP((E11*F11*M11)/60,-1),0))</f>
        <v>170</v>
      </c>
      <c r="O11" s="95">
        <f>VLOOKUP($K11,'UMC Table 4-A'!$A$2:$E$132,4,FALSE)</f>
        <v>4</v>
      </c>
      <c r="P11" s="95">
        <f>IF(TABLE4A4398[[#This Row],[FUNCTION OR SPACE]]="NOT PER TABLE 4A","NA",IF(O11&lt;&gt;"NR",ROUNDUP((E11*F11*O11)/60,-1),0))</f>
        <v>340</v>
      </c>
      <c r="Q11" s="95" t="str">
        <f>VLOOKUP($K11,'UMC Table 4-A'!$A$2:$E$132,5,FALSE)</f>
        <v>NR</v>
      </c>
      <c r="R11" s="95">
        <f t="shared" si="2"/>
        <v>0</v>
      </c>
      <c r="S11" s="97" t="s">
        <v>48</v>
      </c>
      <c r="T11" s="97">
        <v>0</v>
      </c>
      <c r="U11" s="97" t="s">
        <v>48</v>
      </c>
      <c r="V11" s="95" t="str">
        <f>IF(TABLE4A4398[[#This Row],[FUNCTION OR SPACE]]="NOT PER TABLE 4A",VLOOKUP(TABLE4A4398[[#This Row],[OCCUPANCY CATEGORY]],Ashrae90.1Vent[#All],2,FALSE),"NA")</f>
        <v>NA</v>
      </c>
      <c r="W11" s="99" t="str">
        <f>IF(TABLE4A4398[[#This Row],[FUNCTION OR SPACE]]="NOT PER TABLE 4A", VLOOKUP(TABLE4A4398[[#This Row],[OCCUPANCY CATEGORY]],Ashrae90.1Vent[#All],3,FALSE),"NA")</f>
        <v>NA</v>
      </c>
      <c r="X11" s="99" t="str">
        <f>IF(TABLE4A4398[[#This Row],[FUNCTION OR SPACE]]="NOT PER TABLE 4A",VLOOKUP(TABLE4A4398[[#This Row],[OCCUPANCY CATEGORY]],Ashrae90.1Vent[#All],4,FALSE),"NA")</f>
        <v>NA</v>
      </c>
      <c r="Y11" s="99" t="str">
        <f>IF(TABLE4A4398[[#This Row],[FUNCTION OR SPACE]]="NOT PER TABLE 4A",VLOOKUP(TABLE4A4398[[#This Row],[OCCUPANCY CATEGORY]],Ashrae90.1Vent[#All],5,FALSE),"NA")</f>
        <v>NA</v>
      </c>
      <c r="Z11" s="97" t="str">
        <f>IF(TABLE4A4398[[#This Row],[FUNCTION OR SPACE]]="NOT PER TABLE 4A",TABLE4A4398[[#This Row],[Occupants (Pz)]],"NA")</f>
        <v>NA</v>
      </c>
      <c r="AA11" s="99" t="str">
        <f>IF(TABLE4A4398[[#This Row],[FUNCTION OR SPACE]]="NOT PER TABLE 4A",CEILING((X11/1000)*E11,1),"NA")</f>
        <v>NA</v>
      </c>
      <c r="AB11" s="99" t="str">
        <f>IF(TABLE4A4398[[#This Row],[FUNCTION OR SPACE]]="NOT PER TABLE 4A",IF((TABLE4A4398[[#Totals],[Actual Number of  Occupants (Ps)]]/TABLE4A4398[[#Totals],[Occupants (Pz)]])&gt;1,1,TABLE4A4398[[#Totals],[Actual Number of  Occupants (Ps)]]/TABLE4A4398[[#Totals],[Occupants (Pz)]]),"NA")</f>
        <v>NA</v>
      </c>
      <c r="AC11" s="100" t="str">
        <f>IF(TABLE4A4398[[#This Row],[FUNCTION OR SPACE]]="NOT PER TABLE 4A",(TABLE4A4398[[#This Row],[DIVERSITY (D)]]*TABLE4A4398[[#This Row],[RP
(CFM/PER PERSON)]]*TABLE4A4398[[#This Row],[Occupants (Pz)]])+(TABLE4A4398[[#This Row],[RA
(CFM/FT²)]]*TABLE4A4398[[#This Row],[AREA 
(FT²)]]),"NA")</f>
        <v>NA</v>
      </c>
      <c r="AD11" s="101" t="str">
        <f>IF(TABLE4A4398[[#This Row],[FUNCTION OR SPACE]]="NOT PER TABLE 4A",IF(TABLE4A4398[[#This Row],[DIVERSITY (D)]]&lt;0.6,(0.88*TABLE4A4398[[#This Row],[DIVERSITY (D)]]+0.22),0.75),"NA")</f>
        <v>NA</v>
      </c>
      <c r="AE11" s="100" t="str">
        <f>IF(TABLE4A4398[[#This Row],[FUNCTION OR SPACE]]="NOT PER TABLE 4A",TABLE4A4398[[#This Row],[Uncorrected OA (Vou)]]/TABLE4A4398[[#This Row],[System Efficiency (Ev)]],"NA")</f>
        <v>NA</v>
      </c>
      <c r="AF11" s="97" t="s">
        <v>49</v>
      </c>
      <c r="AG11" s="100" t="str">
        <f>VLOOKUP(TABLE4A4398[[#This Row],[OCCUPANCY CATEGORY]],Ashrae90.1Vent[#All],6,FALSE)</f>
        <v>NA</v>
      </c>
      <c r="AH11" s="100" t="str">
        <f>IF(TABLE4A4398[[#This Row],[Exhaust Category]]="NOT APPLICABLE","NA",VLOOKUP(TABLE4A4398[[#This Row],[Exhaust Category]],ASHRAE_EA_Table[#All],2,FALSE))</f>
        <v>NA</v>
      </c>
      <c r="AI11" s="100" t="str">
        <f>IF(TABLE4A4398[[#This Row],[Exhaust Category]]="NOT APPLICABLE","NA",VLOOKUP(TABLE4A4398[[#This Row],[Exhaust Category]],ASHRAE_EA_Table[#All],3,FALSE))</f>
        <v>NA</v>
      </c>
      <c r="AJ11" s="99">
        <f>IFERROR(IF(TABLE4A4398[[#This Row],[EA RATE
(CFM/UNIT)]] = 0,TABLE4A4398[[#This Row],[EA RATE
(CFM/FT²)]]*TABLE4A4398[[#This Row],[AREA 
(FT²)]],TABLE4A4398[[#This Row],[EA RATE
(CFM/UNIT)]]*TABLE4A4398[[#This Row],[ASHRAE
EXHAUST UNIT]]),0)</f>
        <v>0</v>
      </c>
      <c r="AK11" s="94">
        <f>MROUND(IF(TABLE4A4398[[#This Row],[FUNCTION OR SPACE]]="NOT PER TABLE 4A",TABLE4A4398[[#This Row],[OUTSIDE AIRFLOW (CFM) (Vot)]],TABLE4A4398[[#This Row],[MIN OUTDOOR ACH 
(CFM)]]),5)</f>
        <v>170</v>
      </c>
      <c r="AL11" s="95" cm="1">
        <f t="array" aca="1" ref="AL11"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11" s="102">
        <f ca="1">TABLE4A4398[[#This Row],[CALCULATED SA 
(CFM)]]</f>
        <v>500</v>
      </c>
      <c r="AN11" s="102" cm="1">
        <f t="array" aca="1" ref="AN11" ca="1">returnair_comb(TABLE4A4398[[#This Row],[DESIGN SA (CFM)]],TABLE4A4398[[#This Row],[Desired Air Balance Difference]],TABLE4A4398[[#This Row],[100% EA
 (YES/NR)]],TABLE4A4398[[#This Row],[FUNCTION OR SPACE]],TABLE4A4398[[#This Row],[Exhaust Category]],TABLE4A4398[[#This Row],[MIN ASHRAE EA
(CFM)]])</f>
        <v>300</v>
      </c>
      <c r="AO11" s="102" cm="1">
        <f t="array" aca="1" ref="AO11"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11" s="103">
        <f t="shared" ca="1" si="3"/>
        <v>200</v>
      </c>
      <c r="AQ11" s="103">
        <f t="shared" ca="1" si="4"/>
        <v>1</v>
      </c>
      <c r="AR11" s="103">
        <f ca="1">IF(TABLE4A4398[[#This Row],[DESIGN SA (CFM)]]=0,0,(TABLE4A4398[[#This Row],[DESIGN OA (CFM)]]/TABLE4A4398[[#This Row],[DESIGN SA (CFM)]])*100)</f>
        <v>34</v>
      </c>
      <c r="AS11" s="103">
        <f t="shared" ca="1" si="5"/>
        <v>6</v>
      </c>
      <c r="AT11" s="78" t="str">
        <f t="shared" ca="1" si="6"/>
        <v>No</v>
      </c>
    </row>
    <row r="12" spans="1:65" ht="15" customHeight="1">
      <c r="B12" s="77" t="s">
        <v>65</v>
      </c>
      <c r="C12" s="97" t="s">
        <v>46</v>
      </c>
      <c r="D12" s="97">
        <v>1234</v>
      </c>
      <c r="E12" s="97">
        <v>500</v>
      </c>
      <c r="F12" s="97">
        <v>10</v>
      </c>
      <c r="G12" s="95" t="str">
        <f>VLOOKUP($K12,'UMC Table 4-A'!$A$2:$E$132,5,FALSE)</f>
        <v>NR</v>
      </c>
      <c r="H12" s="97">
        <v>200</v>
      </c>
      <c r="I12" s="97">
        <v>250</v>
      </c>
      <c r="J12" s="95">
        <f t="shared" si="1"/>
        <v>500</v>
      </c>
      <c r="K12" s="97" t="s">
        <v>514</v>
      </c>
      <c r="L12" s="95" t="str">
        <f>VLOOKUP($K12,'UMC Table 4-A'!$A$2:$E$132,2,FALSE)</f>
        <v>NR</v>
      </c>
      <c r="M12" s="95">
        <f>VLOOKUP($K12,'UMC Table 4-A'!$A$2:$E$132,3,FALSE)</f>
        <v>2</v>
      </c>
      <c r="N12" s="98">
        <f>IF(TABLE4A4398[[#This Row],[FUNCTION OR SPACE]]="NOT PER TABLE 4A","NA",IF(M12&lt;&gt;"NR",ROUNDUP((E12*F12*M12)/60,-1),0))</f>
        <v>170</v>
      </c>
      <c r="O12" s="95">
        <f>VLOOKUP($K12,'UMC Table 4-A'!$A$2:$E$132,4,FALSE)</f>
        <v>4</v>
      </c>
      <c r="P12" s="95">
        <f>IF(TABLE4A4398[[#This Row],[FUNCTION OR SPACE]]="NOT PER TABLE 4A","NA",IF(O12&lt;&gt;"NR",ROUNDUP((E12*F12*O12)/60,-1),0))</f>
        <v>340</v>
      </c>
      <c r="Q12" s="95" t="str">
        <f>VLOOKUP($K12,'UMC Table 4-A'!$A$2:$E$132,5,FALSE)</f>
        <v>NR</v>
      </c>
      <c r="R12" s="95">
        <f t="shared" si="2"/>
        <v>0</v>
      </c>
      <c r="S12" s="97" t="s">
        <v>48</v>
      </c>
      <c r="T12" s="97">
        <v>0</v>
      </c>
      <c r="U12" s="97" t="s">
        <v>48</v>
      </c>
      <c r="V12" s="95" t="str">
        <f>IF(TABLE4A4398[[#This Row],[FUNCTION OR SPACE]]="NOT PER TABLE 4A",VLOOKUP(TABLE4A4398[[#This Row],[OCCUPANCY CATEGORY]],Ashrae90.1Vent[#All],2,FALSE),"NA")</f>
        <v>NA</v>
      </c>
      <c r="W12" s="99" t="str">
        <f>IF(TABLE4A4398[[#This Row],[FUNCTION OR SPACE]]="NOT PER TABLE 4A", VLOOKUP(TABLE4A4398[[#This Row],[OCCUPANCY CATEGORY]],Ashrae90.1Vent[#All],3,FALSE),"NA")</f>
        <v>NA</v>
      </c>
      <c r="X12" s="99" t="str">
        <f>IF(TABLE4A4398[[#This Row],[FUNCTION OR SPACE]]="NOT PER TABLE 4A",VLOOKUP(TABLE4A4398[[#This Row],[OCCUPANCY CATEGORY]],Ashrae90.1Vent[#All],4,FALSE),"NA")</f>
        <v>NA</v>
      </c>
      <c r="Y12" s="99" t="str">
        <f>IF(TABLE4A4398[[#This Row],[FUNCTION OR SPACE]]="NOT PER TABLE 4A",VLOOKUP(TABLE4A4398[[#This Row],[OCCUPANCY CATEGORY]],Ashrae90.1Vent[#All],5,FALSE),"NA")</f>
        <v>NA</v>
      </c>
      <c r="Z12" s="97" t="str">
        <f>IF(TABLE4A4398[[#This Row],[FUNCTION OR SPACE]]="NOT PER TABLE 4A",TABLE4A4398[[#This Row],[Occupants (Pz)]],"NA")</f>
        <v>NA</v>
      </c>
      <c r="AA12" s="99" t="str">
        <f>IF(TABLE4A4398[[#This Row],[FUNCTION OR SPACE]]="NOT PER TABLE 4A",CEILING((X12/1000)*E12,1),"NA")</f>
        <v>NA</v>
      </c>
      <c r="AB12" s="99" t="str">
        <f>IF(TABLE4A4398[[#This Row],[FUNCTION OR SPACE]]="NOT PER TABLE 4A",IF((TABLE4A4398[[#Totals],[Actual Number of  Occupants (Ps)]]/TABLE4A4398[[#Totals],[Occupants (Pz)]])&gt;1,1,TABLE4A4398[[#Totals],[Actual Number of  Occupants (Ps)]]/TABLE4A4398[[#Totals],[Occupants (Pz)]]),"NA")</f>
        <v>NA</v>
      </c>
      <c r="AC12" s="100" t="str">
        <f>IF(TABLE4A4398[[#This Row],[FUNCTION OR SPACE]]="NOT PER TABLE 4A",(TABLE4A4398[[#This Row],[DIVERSITY (D)]]*TABLE4A4398[[#This Row],[RP
(CFM/PER PERSON)]]*TABLE4A4398[[#This Row],[Occupants (Pz)]])+(TABLE4A4398[[#This Row],[RA
(CFM/FT²)]]*TABLE4A4398[[#This Row],[AREA 
(FT²)]]),"NA")</f>
        <v>NA</v>
      </c>
      <c r="AD12" s="101" t="str">
        <f>IF(TABLE4A4398[[#This Row],[FUNCTION OR SPACE]]="NOT PER TABLE 4A",IF(TABLE4A4398[[#This Row],[DIVERSITY (D)]]&lt;0.6,(0.88*TABLE4A4398[[#This Row],[DIVERSITY (D)]]+0.22),0.75),"NA")</f>
        <v>NA</v>
      </c>
      <c r="AE12" s="100" t="str">
        <f>IF(TABLE4A4398[[#This Row],[FUNCTION OR SPACE]]="NOT PER TABLE 4A",TABLE4A4398[[#This Row],[Uncorrected OA (Vou)]]/TABLE4A4398[[#This Row],[System Efficiency (Ev)]],"NA")</f>
        <v>NA</v>
      </c>
      <c r="AF12" s="97" t="s">
        <v>49</v>
      </c>
      <c r="AG12" s="100" t="str">
        <f>VLOOKUP(TABLE4A4398[[#This Row],[OCCUPANCY CATEGORY]],Ashrae90.1Vent[#All],6,FALSE)</f>
        <v>NA</v>
      </c>
      <c r="AH12" s="100" t="str">
        <f>IF(TABLE4A4398[[#This Row],[Exhaust Category]]="NOT APPLICABLE","NA",VLOOKUP(TABLE4A4398[[#This Row],[Exhaust Category]],ASHRAE_EA_Table[#All],2,FALSE))</f>
        <v>NA</v>
      </c>
      <c r="AI12" s="100" t="str">
        <f>IF(TABLE4A4398[[#This Row],[Exhaust Category]]="NOT APPLICABLE","NA",VLOOKUP(TABLE4A4398[[#This Row],[Exhaust Category]],ASHRAE_EA_Table[#All],3,FALSE))</f>
        <v>NA</v>
      </c>
      <c r="AJ12" s="99">
        <f>IFERROR(IF(TABLE4A4398[[#This Row],[EA RATE
(CFM/UNIT)]] = 0,TABLE4A4398[[#This Row],[EA RATE
(CFM/FT²)]]*TABLE4A4398[[#This Row],[AREA 
(FT²)]],TABLE4A4398[[#This Row],[EA RATE
(CFM/UNIT)]]*TABLE4A4398[[#This Row],[ASHRAE
EXHAUST UNIT]]),0)</f>
        <v>0</v>
      </c>
      <c r="AK12" s="94">
        <f>MROUND(IF(TABLE4A4398[[#This Row],[FUNCTION OR SPACE]]="NOT PER TABLE 4A",TABLE4A4398[[#This Row],[OUTSIDE AIRFLOW (CFM) (Vot)]],TABLE4A4398[[#This Row],[MIN OUTDOOR ACH 
(CFM)]]),5)</f>
        <v>170</v>
      </c>
      <c r="AL12" s="95" cm="1">
        <f t="array" aca="1" ref="AL12"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500</v>
      </c>
      <c r="AM12" s="102">
        <f ca="1">TABLE4A4398[[#This Row],[CALCULATED SA 
(CFM)]]</f>
        <v>500</v>
      </c>
      <c r="AN12" s="102" cm="1">
        <f t="array" aca="1" ref="AN12" ca="1">returnair_comb(TABLE4A4398[[#This Row],[DESIGN SA (CFM)]],TABLE4A4398[[#This Row],[Desired Air Balance Difference]],TABLE4A4398[[#This Row],[100% EA
 (YES/NR)]],TABLE4A4398[[#This Row],[FUNCTION OR SPACE]],TABLE4A4398[[#This Row],[Exhaust Category]],TABLE4A4398[[#This Row],[MIN ASHRAE EA
(CFM)]])</f>
        <v>300</v>
      </c>
      <c r="AO12" s="102" cm="1">
        <f t="array" aca="1" ref="AO12"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12" s="103">
        <f t="shared" ca="1" si="3"/>
        <v>200</v>
      </c>
      <c r="AQ12" s="103">
        <f t="shared" ca="1" si="4"/>
        <v>1</v>
      </c>
      <c r="AR12" s="103">
        <f ca="1">IF(TABLE4A4398[[#This Row],[DESIGN SA (CFM)]]=0,0,(TABLE4A4398[[#This Row],[DESIGN OA (CFM)]]/TABLE4A4398[[#This Row],[DESIGN SA (CFM)]])*100)</f>
        <v>34</v>
      </c>
      <c r="AS12" s="103">
        <f t="shared" ca="1" si="5"/>
        <v>6</v>
      </c>
      <c r="AT12" s="78" t="str">
        <f t="shared" ca="1" si="6"/>
        <v>No</v>
      </c>
    </row>
    <row r="13" spans="1:65" ht="15" customHeight="1">
      <c r="B13" s="92"/>
      <c r="C13" s="107"/>
      <c r="D13" s="107"/>
      <c r="E13" s="108">
        <f>SUBTOTAL(109,TABLE4A4398[AREA 
(FT²)])</f>
        <v>9500</v>
      </c>
      <c r="F13" s="108"/>
      <c r="G13" s="108"/>
      <c r="H13" s="108"/>
      <c r="I13" s="108"/>
      <c r="J13" s="108"/>
      <c r="K13" s="108"/>
      <c r="L13" s="108"/>
      <c r="M13" s="108"/>
      <c r="N13" s="109">
        <f>SUBTOTAL(109,TABLE4A4398[MIN OUTDOOR ACH 
(CFM)])</f>
        <v>3190</v>
      </c>
      <c r="O13" s="108"/>
      <c r="P13" s="108">
        <f>SUBTOTAL(109,TABLE4A4398[MIN TOTAL ACH 
(CFM)])</f>
        <v>6380</v>
      </c>
      <c r="Q13" s="108"/>
      <c r="R13" s="108">
        <f>SUBTOTAL(109,TABLE4A4398[MIN EA 
(CFM)])</f>
        <v>0</v>
      </c>
      <c r="S13" s="108"/>
      <c r="T13" s="108"/>
      <c r="U13" s="108"/>
      <c r="V13" s="108"/>
      <c r="W13" s="108"/>
      <c r="X13" s="108"/>
      <c r="Y13" s="108"/>
      <c r="Z13" s="108">
        <f>SUBTOTAL(109,TABLE4A4398[Actual Number of  Occupants (Ps)])</f>
        <v>0</v>
      </c>
      <c r="AA13" s="108">
        <f>SUBTOTAL(109,TABLE4A4398[Occupants (Pz)])</f>
        <v>0</v>
      </c>
      <c r="AB13" s="108"/>
      <c r="AC13" s="108"/>
      <c r="AD13" s="108"/>
      <c r="AE13" s="108"/>
      <c r="AF13" s="108"/>
      <c r="AG13" s="108"/>
      <c r="AH13" s="108"/>
      <c r="AI13" s="108"/>
      <c r="AJ13" s="108"/>
      <c r="AK13" s="108">
        <f>SUBTOTAL(109,TABLE4A4398[DESIGN OA (CFM)])</f>
        <v>3190</v>
      </c>
      <c r="AL13" s="108">
        <f ca="1">SUBTOTAL(109,TABLE4A4398[CALCULATED SA 
(CFM)])</f>
        <v>9500</v>
      </c>
      <c r="AM13" s="108">
        <f ca="1">SUBTOTAL(109,TABLE4A4398[DESIGN SA (CFM)])</f>
        <v>9500</v>
      </c>
      <c r="AN13" s="109">
        <f ca="1">SUBTOTAL(109,TABLE4A4398[DESIGN RA (CFM)])</f>
        <v>7900</v>
      </c>
      <c r="AO13" s="108">
        <f ca="1">SUBTOTAL(109,TABLE4A4398[DESIGN EA (CFM)])</f>
        <v>0</v>
      </c>
      <c r="AP13" s="108">
        <f ca="1">SUBTOTAL(109,TABLE4A4398[Transfer Air CFM])</f>
        <v>1600</v>
      </c>
      <c r="AQ13" s="108"/>
      <c r="AR13" s="110"/>
      <c r="AS13" s="110"/>
      <c r="AT13" s="93"/>
    </row>
    <row r="14" spans="1:65" ht="15" customHeight="1">
      <c r="B14" s="42"/>
      <c r="C14" s="43"/>
      <c r="G14" s="34"/>
      <c r="H14" s="44"/>
      <c r="I14" s="44"/>
      <c r="L14" s="45"/>
      <c r="M14" s="46"/>
      <c r="N14" s="46"/>
      <c r="P14" s="33"/>
      <c r="S14" s="47"/>
      <c r="T14" s="47"/>
      <c r="U14" s="33"/>
      <c r="V14" s="33"/>
      <c r="W14" s="33"/>
      <c r="X14" s="33"/>
      <c r="Y14" s="47"/>
      <c r="Z14" s="48"/>
    </row>
    <row r="15" spans="1:65" ht="15" customHeight="1">
      <c r="B15" s="49"/>
      <c r="C15" s="43"/>
      <c r="G15" s="34"/>
      <c r="H15" s="44"/>
      <c r="I15" s="44"/>
      <c r="L15" s="45"/>
      <c r="M15" s="46"/>
      <c r="N15" s="46"/>
      <c r="P15" s="33"/>
      <c r="U15" s="33"/>
      <c r="V15" s="33"/>
      <c r="W15" s="33"/>
      <c r="X15" s="33"/>
      <c r="Y15" s="34"/>
      <c r="Z15" s="48"/>
    </row>
    <row r="16" spans="1:65" ht="15" customHeight="1">
      <c r="B16" s="42"/>
      <c r="C16" s="43"/>
      <c r="U16" s="33"/>
      <c r="V16" s="33"/>
      <c r="W16" s="33"/>
      <c r="X16" s="33"/>
    </row>
    <row r="17" spans="12:26" ht="15" customHeight="1">
      <c r="L17" s="33"/>
      <c r="O17" s="33"/>
      <c r="R17" s="33" t="s">
        <v>76</v>
      </c>
      <c r="U17" s="33"/>
      <c r="V17" s="33"/>
      <c r="W17" s="33"/>
      <c r="X17" s="33"/>
    </row>
    <row r="18" spans="12:26" ht="15" customHeight="1">
      <c r="U18" s="33"/>
      <c r="V18" s="33"/>
      <c r="W18" s="33"/>
      <c r="X18" s="33"/>
    </row>
    <row r="19" spans="12:26" ht="15" customHeight="1">
      <c r="U19" s="33"/>
      <c r="V19" s="33"/>
      <c r="W19" s="33"/>
      <c r="X19" s="33"/>
    </row>
    <row r="20" spans="12:26" ht="15" customHeight="1">
      <c r="U20" s="33"/>
      <c r="V20" s="33"/>
      <c r="W20" s="33"/>
      <c r="X20" s="33"/>
    </row>
    <row r="21" spans="12:26" ht="15" customHeight="1">
      <c r="U21" s="33"/>
      <c r="V21" s="33"/>
      <c r="W21" s="33"/>
      <c r="X21" s="33"/>
      <c r="Z21" s="270"/>
    </row>
    <row r="22" spans="12:26" ht="15" customHeight="1"/>
    <row r="23" spans="12:26" ht="15" customHeight="1"/>
    <row r="24" spans="12:26" ht="15" customHeight="1"/>
    <row r="25" spans="12:26" ht="15" customHeight="1"/>
    <row r="26" spans="12:26" ht="15" customHeight="1"/>
    <row r="27" spans="12:26" ht="15" customHeight="1"/>
    <row r="28" spans="12:26" ht="15" customHeight="1"/>
    <row r="29" spans="12:26" ht="15" customHeight="1"/>
    <row r="30" spans="12:26" ht="15" customHeight="1"/>
    <row r="31" spans="12:26" ht="15" customHeight="1"/>
    <row r="32" spans="12:2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spans="33:48" ht="15" customHeight="1"/>
    <row r="50" spans="33:48" ht="15" customHeight="1"/>
    <row r="51" spans="33:48" ht="15" customHeight="1"/>
    <row r="52" spans="33:48" ht="15" customHeight="1"/>
    <row r="53" spans="33:48" ht="15" customHeight="1">
      <c r="AG53" s="34"/>
      <c r="AH53" s="34"/>
      <c r="AI53" s="34"/>
      <c r="AJ53" s="34"/>
      <c r="AK53" s="34"/>
      <c r="AL53" s="34"/>
      <c r="AM53" s="34"/>
      <c r="AN53" s="34"/>
      <c r="AO53" s="34"/>
      <c r="AP53" s="34"/>
      <c r="AQ53" s="34"/>
      <c r="AR53" s="34"/>
      <c r="AS53" s="34"/>
      <c r="AT53" s="34"/>
    </row>
    <row r="54" spans="33:48" ht="15" customHeight="1">
      <c r="AG54" s="34"/>
      <c r="AH54" s="34"/>
      <c r="AI54" s="34"/>
      <c r="AJ54" s="34"/>
      <c r="AK54" s="34"/>
      <c r="AL54" s="34"/>
      <c r="AM54" s="34"/>
      <c r="AN54" s="34"/>
      <c r="AO54" s="34"/>
      <c r="AP54" s="34"/>
      <c r="AQ54" s="34"/>
      <c r="AR54" s="34"/>
      <c r="AS54" s="34"/>
      <c r="AT54" s="34"/>
    </row>
    <row r="55" spans="33:48" ht="15" customHeight="1">
      <c r="AG55" s="34"/>
      <c r="AH55" s="34"/>
      <c r="AI55" s="34"/>
      <c r="AJ55" s="34"/>
      <c r="AK55" s="34"/>
      <c r="AL55" s="34"/>
      <c r="AM55" s="34"/>
      <c r="AN55" s="34"/>
      <c r="AO55" s="34"/>
      <c r="AP55" s="34"/>
      <c r="AQ55" s="34"/>
      <c r="AR55" s="34"/>
      <c r="AS55" s="34"/>
      <c r="AT55" s="34"/>
    </row>
    <row r="56" spans="33:48" ht="15" customHeight="1">
      <c r="AG56" s="34"/>
      <c r="AH56" s="34"/>
      <c r="AI56" s="34"/>
      <c r="AJ56" s="34"/>
      <c r="AK56" s="34"/>
      <c r="AL56" s="34"/>
      <c r="AM56" s="34"/>
      <c r="AN56" s="34"/>
      <c r="AO56" s="34"/>
      <c r="AP56" s="34"/>
      <c r="AQ56" s="34"/>
      <c r="AR56" s="34"/>
      <c r="AS56" s="34"/>
      <c r="AT56" s="34"/>
      <c r="AV56" s="34"/>
    </row>
    <row r="57" spans="33:48" ht="15" customHeight="1">
      <c r="AG57" s="34"/>
      <c r="AH57" s="34"/>
      <c r="AI57" s="34"/>
      <c r="AJ57" s="34"/>
      <c r="AK57" s="34"/>
      <c r="AL57" s="34"/>
      <c r="AM57" s="34"/>
      <c r="AN57" s="34"/>
      <c r="AO57" s="34"/>
      <c r="AP57" s="34"/>
      <c r="AQ57" s="34"/>
      <c r="AR57" s="34"/>
      <c r="AS57" s="34"/>
      <c r="AT57" s="34"/>
      <c r="AV57" s="34"/>
    </row>
    <row r="58" spans="33:48" ht="15" customHeight="1">
      <c r="AG58" s="34"/>
      <c r="AH58" s="34"/>
      <c r="AI58" s="34"/>
      <c r="AJ58" s="34"/>
      <c r="AK58" s="34"/>
      <c r="AL58" s="34"/>
      <c r="AM58" s="34"/>
      <c r="AN58" s="34"/>
      <c r="AO58" s="34"/>
      <c r="AP58" s="34"/>
      <c r="AQ58" s="34"/>
      <c r="AR58" s="34"/>
      <c r="AS58" s="34"/>
      <c r="AT58" s="34"/>
      <c r="AV58" s="34"/>
    </row>
    <row r="59" spans="33:48" ht="15" customHeight="1">
      <c r="AG59" s="34"/>
      <c r="AH59" s="34"/>
      <c r="AI59" s="34"/>
      <c r="AJ59" s="34"/>
      <c r="AK59" s="34"/>
      <c r="AL59" s="34"/>
      <c r="AM59" s="34"/>
      <c r="AN59" s="34"/>
      <c r="AO59" s="34"/>
      <c r="AP59" s="34"/>
      <c r="AQ59" s="34"/>
      <c r="AR59" s="34"/>
      <c r="AS59" s="34"/>
      <c r="AT59" s="34"/>
      <c r="AV59" s="34"/>
    </row>
    <row r="60" spans="33:48" ht="15" customHeight="1">
      <c r="AG60" s="34"/>
      <c r="AH60" s="34"/>
      <c r="AI60" s="34"/>
      <c r="AJ60" s="34"/>
      <c r="AK60" s="34"/>
      <c r="AL60" s="34"/>
      <c r="AM60" s="34"/>
      <c r="AN60" s="34"/>
      <c r="AO60" s="34"/>
      <c r="AP60" s="34"/>
      <c r="AQ60" s="34"/>
      <c r="AR60" s="34"/>
      <c r="AS60" s="34"/>
      <c r="AT60" s="34"/>
      <c r="AV60" s="34"/>
    </row>
    <row r="61" spans="33:48" ht="15" customHeight="1">
      <c r="AG61" s="34"/>
      <c r="AH61" s="34"/>
      <c r="AI61" s="34"/>
      <c r="AJ61" s="34"/>
      <c r="AK61" s="34"/>
      <c r="AL61" s="34"/>
      <c r="AM61" s="34"/>
      <c r="AN61" s="34"/>
      <c r="AO61" s="34"/>
      <c r="AP61" s="34"/>
      <c r="AQ61" s="34"/>
      <c r="AR61" s="34"/>
      <c r="AS61" s="34"/>
      <c r="AT61" s="34"/>
      <c r="AV61" s="34"/>
    </row>
    <row r="62" spans="33:48" ht="15" customHeight="1">
      <c r="AG62" s="34"/>
      <c r="AH62" s="34"/>
      <c r="AI62" s="34"/>
      <c r="AJ62" s="34"/>
      <c r="AK62" s="34"/>
      <c r="AL62" s="34"/>
      <c r="AM62" s="34"/>
      <c r="AN62" s="34"/>
      <c r="AO62" s="34"/>
      <c r="AP62" s="34"/>
      <c r="AQ62" s="34"/>
      <c r="AR62" s="34"/>
      <c r="AS62" s="34"/>
      <c r="AT62" s="34"/>
      <c r="AV62" s="34"/>
    </row>
    <row r="63" spans="33:48" ht="15" customHeight="1">
      <c r="AG63" s="34"/>
      <c r="AH63" s="34"/>
      <c r="AI63" s="34"/>
      <c r="AJ63" s="34"/>
      <c r="AK63" s="34"/>
      <c r="AL63" s="34"/>
      <c r="AM63" s="34"/>
      <c r="AN63" s="34"/>
      <c r="AO63" s="34"/>
      <c r="AP63" s="34"/>
      <c r="AQ63" s="34"/>
      <c r="AR63" s="34"/>
      <c r="AS63" s="34"/>
      <c r="AT63" s="34"/>
      <c r="AV63" s="34"/>
    </row>
    <row r="64" spans="33:48" ht="15" customHeight="1">
      <c r="AG64" s="34"/>
      <c r="AH64" s="34"/>
      <c r="AI64" s="34"/>
      <c r="AJ64" s="34"/>
      <c r="AK64" s="34"/>
      <c r="AL64" s="34"/>
      <c r="AM64" s="34"/>
      <c r="AN64" s="34"/>
      <c r="AO64" s="34"/>
      <c r="AP64" s="34"/>
      <c r="AQ64" s="34"/>
      <c r="AR64" s="34"/>
      <c r="AS64" s="34"/>
      <c r="AT64" s="34"/>
      <c r="AV64" s="34"/>
    </row>
    <row r="65" spans="14:49" ht="15" customHeight="1">
      <c r="AG65" s="34"/>
      <c r="AH65" s="34"/>
      <c r="AI65" s="34"/>
      <c r="AJ65" s="34"/>
      <c r="AK65" s="34"/>
      <c r="AL65" s="34"/>
      <c r="AM65" s="34"/>
      <c r="AN65" s="34"/>
      <c r="AO65" s="34"/>
      <c r="AP65" s="34"/>
      <c r="AQ65" s="34"/>
      <c r="AR65" s="34"/>
      <c r="AS65" s="34"/>
      <c r="AT65" s="34"/>
      <c r="AV65" s="34"/>
    </row>
    <row r="66" spans="14:49" ht="15" customHeight="1">
      <c r="AG66" s="34"/>
      <c r="AH66" s="34"/>
      <c r="AI66" s="34"/>
      <c r="AJ66" s="34"/>
      <c r="AK66" s="34"/>
      <c r="AL66" s="34"/>
      <c r="AM66" s="34"/>
      <c r="AN66" s="34"/>
      <c r="AO66" s="34"/>
      <c r="AP66" s="34"/>
      <c r="AQ66" s="34"/>
      <c r="AR66" s="34"/>
      <c r="AS66" s="34"/>
      <c r="AT66" s="34"/>
      <c r="AV66" s="34"/>
    </row>
    <row r="67" spans="14:49" ht="15" customHeight="1">
      <c r="AG67" s="34"/>
      <c r="AH67" s="34"/>
      <c r="AI67" s="34"/>
      <c r="AJ67" s="34"/>
      <c r="AK67" s="34"/>
      <c r="AL67" s="34"/>
      <c r="AM67" s="34"/>
      <c r="AN67" s="34"/>
      <c r="AO67" s="34"/>
      <c r="AP67" s="34"/>
      <c r="AQ67" s="34"/>
      <c r="AR67" s="34"/>
      <c r="AS67" s="34"/>
      <c r="AT67" s="34"/>
      <c r="AV67" s="34"/>
    </row>
    <row r="68" spans="14:49" ht="15" customHeight="1">
      <c r="AG68" s="34"/>
      <c r="AH68" s="34"/>
      <c r="AI68" s="34"/>
      <c r="AJ68" s="34"/>
      <c r="AK68" s="34"/>
      <c r="AL68" s="34"/>
      <c r="AM68" s="34"/>
      <c r="AN68" s="34"/>
      <c r="AO68" s="34"/>
      <c r="AP68" s="34"/>
      <c r="AQ68" s="34"/>
      <c r="AR68" s="34"/>
      <c r="AS68" s="34"/>
      <c r="AT68" s="34"/>
      <c r="AV68" s="34"/>
    </row>
    <row r="69" spans="14:49" ht="15" customHeight="1">
      <c r="N69" s="36"/>
      <c r="O69" s="33"/>
      <c r="P69" s="33"/>
      <c r="Q69" s="36"/>
      <c r="V69" s="33"/>
      <c r="W69" s="33"/>
      <c r="X69" s="33"/>
      <c r="Y69" s="36"/>
      <c r="Z69" s="36"/>
      <c r="AB69" s="36"/>
      <c r="AC69" s="37"/>
      <c r="AD69" s="33"/>
      <c r="AG69" s="34"/>
      <c r="AH69" s="34"/>
      <c r="AI69" s="34"/>
      <c r="AJ69" s="34"/>
      <c r="AK69" s="34"/>
      <c r="AL69" s="34"/>
      <c r="AM69" s="34"/>
      <c r="AN69" s="34"/>
      <c r="AO69" s="34"/>
      <c r="AP69" s="34"/>
      <c r="AQ69" s="34"/>
      <c r="AR69" s="34"/>
      <c r="AS69" s="34"/>
      <c r="AT69" s="34"/>
      <c r="AV69" s="34"/>
    </row>
    <row r="70" spans="14:49" ht="15" customHeight="1">
      <c r="N70" s="34"/>
      <c r="O70" s="34"/>
      <c r="P70" s="34"/>
      <c r="Q70" s="34"/>
      <c r="R70" s="34"/>
      <c r="S70" s="34"/>
      <c r="T70" s="34"/>
      <c r="U70" s="34"/>
      <c r="W70" s="34"/>
      <c r="X70" s="34"/>
      <c r="Y70" s="34"/>
      <c r="AG70" s="34"/>
      <c r="AH70" s="34"/>
      <c r="AI70" s="34"/>
      <c r="AJ70" s="34"/>
      <c r="AK70" s="34"/>
      <c r="AL70" s="34"/>
      <c r="AM70" s="34"/>
      <c r="AN70" s="34"/>
      <c r="AO70" s="34"/>
      <c r="AP70" s="34"/>
      <c r="AQ70" s="34"/>
      <c r="AR70" s="34"/>
      <c r="AS70" s="34"/>
      <c r="AT70" s="34"/>
      <c r="AV70" s="34"/>
    </row>
    <row r="71" spans="14:49" ht="15" customHeight="1">
      <c r="N71" s="34"/>
      <c r="O71" s="34"/>
      <c r="P71" s="34"/>
      <c r="Q71" s="34"/>
      <c r="R71" s="34"/>
      <c r="S71" s="34"/>
      <c r="T71" s="34"/>
      <c r="U71" s="34"/>
      <c r="W71" s="34"/>
      <c r="X71" s="34"/>
      <c r="Y71" s="34"/>
      <c r="AG71" s="34"/>
      <c r="AH71" s="34"/>
      <c r="AI71" s="34"/>
      <c r="AJ71" s="34"/>
      <c r="AK71" s="34"/>
      <c r="AL71" s="34"/>
      <c r="AM71" s="34"/>
      <c r="AN71" s="34"/>
      <c r="AO71" s="34"/>
      <c r="AP71" s="34"/>
      <c r="AQ71" s="34"/>
      <c r="AR71" s="34"/>
      <c r="AS71" s="34"/>
      <c r="AT71" s="34"/>
      <c r="AV71" s="34"/>
    </row>
    <row r="72" spans="14:49" ht="15" customHeight="1">
      <c r="N72" s="34"/>
      <c r="O72" s="34"/>
      <c r="P72" s="34"/>
      <c r="Q72" s="34"/>
      <c r="R72" s="34"/>
      <c r="S72" s="34"/>
      <c r="T72" s="34"/>
      <c r="U72" s="34"/>
      <c r="W72" s="34"/>
      <c r="X72" s="34"/>
      <c r="Y72" s="34"/>
      <c r="AG72" s="34"/>
      <c r="AH72" s="34"/>
      <c r="AI72" s="34"/>
      <c r="AJ72" s="34"/>
      <c r="AK72" s="34"/>
      <c r="AL72" s="34"/>
      <c r="AM72" s="34"/>
      <c r="AN72" s="34"/>
      <c r="AO72" s="34"/>
      <c r="AP72" s="34"/>
      <c r="AQ72" s="34"/>
      <c r="AR72" s="34"/>
      <c r="AS72" s="34"/>
      <c r="AT72" s="34"/>
      <c r="AV72" s="34"/>
    </row>
    <row r="73" spans="14:49" ht="15" customHeight="1">
      <c r="N73" s="34"/>
      <c r="O73" s="34"/>
      <c r="P73" s="34"/>
      <c r="Q73" s="34"/>
      <c r="R73" s="34"/>
      <c r="S73" s="34"/>
      <c r="T73" s="34"/>
      <c r="U73" s="34"/>
      <c r="W73" s="34"/>
      <c r="X73" s="34"/>
      <c r="Y73" s="34"/>
      <c r="AG73" s="34"/>
      <c r="AH73" s="34"/>
      <c r="AI73" s="34"/>
      <c r="AJ73" s="34"/>
      <c r="AK73" s="34"/>
      <c r="AL73" s="34"/>
      <c r="AM73" s="34"/>
      <c r="AN73" s="34"/>
      <c r="AO73" s="34"/>
      <c r="AP73" s="34"/>
      <c r="AQ73" s="34"/>
      <c r="AR73" s="34"/>
      <c r="AS73" s="34"/>
      <c r="AT73" s="34"/>
      <c r="AV73" s="34"/>
    </row>
    <row r="74" spans="14:49" ht="15" customHeight="1">
      <c r="N74" s="38"/>
      <c r="O74" s="38"/>
      <c r="P74" s="34"/>
      <c r="Q74" s="34"/>
      <c r="R74" s="34"/>
      <c r="S74" s="34"/>
      <c r="T74" s="34"/>
      <c r="U74" s="34"/>
      <c r="W74" s="34"/>
      <c r="X74" s="34"/>
      <c r="Y74" s="34"/>
      <c r="AC74" s="33"/>
      <c r="AG74" s="34"/>
      <c r="AH74" s="34"/>
      <c r="AI74" s="34"/>
      <c r="AJ74" s="34"/>
      <c r="AK74" s="34"/>
      <c r="AL74" s="34"/>
      <c r="AM74" s="34"/>
      <c r="AN74" s="34"/>
      <c r="AO74" s="34"/>
      <c r="AP74" s="34"/>
      <c r="AQ74" s="34"/>
      <c r="AR74" s="34"/>
      <c r="AS74" s="34"/>
      <c r="AT74" s="34"/>
      <c r="AV74" s="34"/>
    </row>
    <row r="75" spans="14:49" ht="15" customHeight="1">
      <c r="N75" s="38"/>
      <c r="O75" s="38"/>
      <c r="P75" s="34"/>
      <c r="Q75" s="34"/>
      <c r="R75" s="34"/>
      <c r="S75" s="34"/>
      <c r="T75" s="34"/>
      <c r="U75" s="34"/>
      <c r="W75" s="34"/>
      <c r="X75" s="34"/>
      <c r="Y75" s="34"/>
      <c r="AC75" s="33"/>
      <c r="AG75" s="34"/>
      <c r="AH75" s="34"/>
      <c r="AI75" s="34"/>
      <c r="AJ75" s="34"/>
      <c r="AK75" s="34"/>
      <c r="AL75" s="34"/>
      <c r="AM75" s="34"/>
      <c r="AN75" s="34"/>
      <c r="AO75" s="34"/>
      <c r="AP75" s="34"/>
      <c r="AQ75" s="34"/>
      <c r="AR75" s="34"/>
      <c r="AS75" s="34"/>
      <c r="AT75" s="34"/>
      <c r="AV75" s="34"/>
    </row>
    <row r="76" spans="14:49" ht="15" customHeight="1">
      <c r="N76" s="38"/>
      <c r="O76" s="38"/>
      <c r="P76" s="34"/>
      <c r="Q76" s="34"/>
      <c r="R76" s="34"/>
      <c r="S76" s="34"/>
      <c r="T76" s="34"/>
      <c r="U76" s="34"/>
      <c r="W76" s="34"/>
      <c r="X76" s="34"/>
      <c r="Y76" s="34"/>
      <c r="AC76" s="33"/>
      <c r="AH76" s="34"/>
      <c r="AI76" s="34"/>
      <c r="AJ76" s="34"/>
      <c r="AK76" s="34"/>
      <c r="AL76" s="34"/>
      <c r="AM76" s="34"/>
      <c r="AN76" s="34"/>
      <c r="AO76" s="34"/>
      <c r="AP76" s="34"/>
      <c r="AQ76" s="34"/>
      <c r="AR76" s="34"/>
      <c r="AS76" s="34"/>
      <c r="AT76" s="34"/>
      <c r="AV76" s="34"/>
    </row>
    <row r="77" spans="14:49" ht="15" customHeight="1">
      <c r="AB77" s="48"/>
      <c r="AH77" s="34"/>
      <c r="AI77" s="34"/>
      <c r="AJ77" s="34"/>
      <c r="AK77" s="34"/>
      <c r="AL77" s="34"/>
      <c r="AM77" s="34"/>
      <c r="AN77" s="34"/>
      <c r="AO77" s="34"/>
      <c r="AP77" s="34"/>
      <c r="AQ77" s="34"/>
      <c r="AR77" s="34"/>
      <c r="AS77" s="34"/>
      <c r="AT77" s="34"/>
      <c r="AV77" s="34"/>
    </row>
    <row r="78" spans="14:49">
      <c r="AH78" s="34"/>
      <c r="AI78" s="34"/>
      <c r="AJ78" s="34"/>
      <c r="AK78" s="34"/>
      <c r="AL78" s="34"/>
      <c r="AM78" s="34"/>
      <c r="AN78" s="34"/>
      <c r="AO78" s="34"/>
      <c r="AP78" s="34"/>
      <c r="AQ78" s="34"/>
      <c r="AR78" s="34"/>
      <c r="AS78" s="34"/>
      <c r="AT78" s="34"/>
      <c r="AW78" s="34"/>
    </row>
    <row r="79" spans="14:49" ht="15" customHeight="1">
      <c r="AH79" s="34"/>
      <c r="AI79" s="34"/>
      <c r="AJ79" s="34"/>
      <c r="AK79" s="34"/>
      <c r="AL79" s="34"/>
      <c r="AM79" s="34"/>
      <c r="AN79" s="34"/>
      <c r="AO79" s="34"/>
      <c r="AP79" s="34"/>
      <c r="AQ79" s="34"/>
      <c r="AR79" s="34"/>
      <c r="AS79" s="34"/>
      <c r="AT79" s="34"/>
      <c r="AU79" s="34"/>
      <c r="AW79" s="34"/>
    </row>
    <row r="80" spans="14:49" ht="15" customHeight="1">
      <c r="AH80" s="34"/>
      <c r="AI80" s="34"/>
      <c r="AJ80" s="34"/>
      <c r="AK80" s="34"/>
      <c r="AL80" s="34"/>
      <c r="AM80" s="34"/>
      <c r="AN80" s="34"/>
      <c r="AO80" s="34"/>
      <c r="AP80" s="34"/>
      <c r="AQ80" s="34"/>
      <c r="AR80" s="34"/>
      <c r="AS80" s="34"/>
      <c r="AT80" s="34"/>
      <c r="AU80" s="34"/>
      <c r="AW80" s="34"/>
    </row>
    <row r="81" spans="34:49" ht="15" customHeight="1">
      <c r="AH81" s="34"/>
      <c r="AI81" s="34"/>
      <c r="AJ81" s="34"/>
      <c r="AK81" s="34"/>
      <c r="AL81" s="34"/>
      <c r="AM81" s="34"/>
      <c r="AN81" s="34"/>
      <c r="AO81" s="34"/>
      <c r="AP81" s="34"/>
      <c r="AQ81" s="34"/>
      <c r="AR81" s="34"/>
      <c r="AS81" s="34"/>
      <c r="AT81" s="34"/>
      <c r="AU81" s="34"/>
      <c r="AW81" s="34"/>
    </row>
    <row r="82" spans="34:49" ht="15" customHeight="1">
      <c r="AH82" s="34"/>
      <c r="AI82" s="34"/>
      <c r="AJ82" s="34"/>
      <c r="AK82" s="34"/>
      <c r="AL82" s="34"/>
      <c r="AM82" s="34"/>
      <c r="AN82" s="34"/>
      <c r="AO82" s="34"/>
      <c r="AP82" s="34"/>
      <c r="AQ82" s="34"/>
      <c r="AR82" s="34"/>
      <c r="AS82" s="34"/>
      <c r="AT82" s="34"/>
      <c r="AU82" s="34"/>
      <c r="AW82" s="34"/>
    </row>
    <row r="83" spans="34:49" ht="15" customHeight="1">
      <c r="AH83" s="34"/>
      <c r="AI83" s="34"/>
      <c r="AJ83" s="34"/>
      <c r="AK83" s="34"/>
      <c r="AL83" s="34"/>
      <c r="AM83" s="34"/>
      <c r="AN83" s="34"/>
      <c r="AO83" s="34"/>
      <c r="AP83" s="34"/>
      <c r="AQ83" s="34"/>
      <c r="AR83" s="34"/>
      <c r="AS83" s="34"/>
      <c r="AT83" s="34"/>
      <c r="AU83" s="34"/>
      <c r="AW83" s="34"/>
    </row>
    <row r="84" spans="34:49" ht="15" customHeight="1">
      <c r="AH84" s="34"/>
      <c r="AI84" s="34"/>
      <c r="AJ84" s="34"/>
      <c r="AK84" s="34"/>
      <c r="AL84" s="34"/>
      <c r="AM84" s="34"/>
      <c r="AN84" s="34"/>
      <c r="AO84" s="34"/>
      <c r="AP84" s="34"/>
      <c r="AQ84" s="34"/>
      <c r="AR84" s="34"/>
      <c r="AS84" s="34"/>
      <c r="AT84" s="34"/>
      <c r="AU84" s="34"/>
      <c r="AW84" s="34"/>
    </row>
    <row r="85" spans="34:49" ht="15" customHeight="1">
      <c r="AH85" s="34"/>
      <c r="AI85" s="34"/>
      <c r="AJ85" s="34"/>
      <c r="AK85" s="34"/>
      <c r="AL85" s="34"/>
      <c r="AM85" s="34"/>
      <c r="AN85" s="34"/>
      <c r="AO85" s="34"/>
      <c r="AP85" s="34"/>
      <c r="AQ85" s="34"/>
      <c r="AR85" s="34"/>
      <c r="AS85" s="34"/>
      <c r="AT85" s="34"/>
      <c r="AU85" s="34"/>
      <c r="AW85" s="34"/>
    </row>
    <row r="86" spans="34:49" ht="15" customHeight="1">
      <c r="AH86" s="34"/>
      <c r="AI86" s="34"/>
      <c r="AJ86" s="34"/>
      <c r="AK86" s="34"/>
      <c r="AL86" s="34"/>
      <c r="AM86" s="34"/>
      <c r="AN86" s="34"/>
      <c r="AO86" s="34"/>
      <c r="AP86" s="34"/>
      <c r="AQ86" s="34"/>
      <c r="AR86" s="34"/>
      <c r="AS86" s="34"/>
      <c r="AT86" s="34"/>
      <c r="AU86" s="34"/>
      <c r="AW86" s="34"/>
    </row>
    <row r="87" spans="34:49" ht="15" customHeight="1">
      <c r="AH87" s="34"/>
      <c r="AI87" s="34"/>
      <c r="AJ87" s="34"/>
      <c r="AK87" s="34"/>
      <c r="AL87" s="34"/>
      <c r="AM87" s="34"/>
      <c r="AN87" s="34"/>
      <c r="AO87" s="34"/>
      <c r="AP87" s="34"/>
      <c r="AQ87" s="34"/>
      <c r="AR87" s="34"/>
      <c r="AS87" s="34"/>
      <c r="AT87" s="34"/>
      <c r="AU87" s="34"/>
      <c r="AW87" s="34"/>
    </row>
    <row r="88" spans="34:49" ht="15" customHeight="1">
      <c r="AH88" s="34"/>
      <c r="AI88" s="34"/>
      <c r="AJ88" s="34"/>
      <c r="AK88" s="34"/>
      <c r="AL88" s="34"/>
      <c r="AM88" s="34"/>
      <c r="AN88" s="34"/>
      <c r="AO88" s="34"/>
      <c r="AP88" s="34"/>
      <c r="AQ88" s="34"/>
      <c r="AR88" s="34"/>
      <c r="AS88" s="34"/>
      <c r="AT88" s="34"/>
      <c r="AU88" s="34"/>
      <c r="AW88" s="34"/>
    </row>
    <row r="89" spans="34:49" ht="15" customHeight="1">
      <c r="AH89" s="34"/>
      <c r="AI89" s="34"/>
      <c r="AJ89" s="34"/>
      <c r="AK89" s="34"/>
      <c r="AL89" s="34"/>
      <c r="AM89" s="34"/>
      <c r="AN89" s="34"/>
      <c r="AO89" s="34"/>
      <c r="AP89" s="34"/>
      <c r="AQ89" s="34"/>
      <c r="AR89" s="34"/>
      <c r="AS89" s="34"/>
      <c r="AT89" s="34"/>
      <c r="AU89" s="34"/>
      <c r="AW89" s="34"/>
    </row>
    <row r="90" spans="34:49" ht="15" customHeight="1">
      <c r="AH90" s="34"/>
      <c r="AI90" s="34"/>
      <c r="AJ90" s="34"/>
      <c r="AK90" s="34"/>
      <c r="AL90" s="34"/>
      <c r="AM90" s="34"/>
      <c r="AN90" s="34"/>
      <c r="AO90" s="34"/>
      <c r="AP90" s="34"/>
      <c r="AQ90" s="34"/>
      <c r="AR90" s="34"/>
      <c r="AS90" s="34"/>
      <c r="AT90" s="34"/>
      <c r="AU90" s="34"/>
      <c r="AW90" s="34"/>
    </row>
    <row r="91" spans="34:49" ht="15" customHeight="1">
      <c r="AH91" s="34"/>
      <c r="AI91" s="34"/>
      <c r="AJ91" s="34"/>
      <c r="AK91" s="34"/>
      <c r="AL91" s="34"/>
      <c r="AM91" s="34"/>
      <c r="AN91" s="34"/>
      <c r="AO91" s="34"/>
      <c r="AP91" s="34"/>
      <c r="AQ91" s="34"/>
      <c r="AR91" s="34"/>
      <c r="AS91" s="34"/>
      <c r="AT91" s="34"/>
      <c r="AU91" s="34"/>
      <c r="AW91" s="34"/>
    </row>
    <row r="92" spans="34:49" ht="15" customHeight="1">
      <c r="AH92" s="34"/>
      <c r="AI92" s="34"/>
      <c r="AJ92" s="34"/>
      <c r="AK92" s="34"/>
      <c r="AL92" s="34"/>
      <c r="AM92" s="34"/>
      <c r="AN92" s="34"/>
      <c r="AO92" s="34"/>
      <c r="AP92" s="34"/>
      <c r="AQ92" s="34"/>
      <c r="AR92" s="34"/>
      <c r="AS92" s="34"/>
      <c r="AT92" s="34"/>
      <c r="AU92" s="34"/>
      <c r="AW92" s="34"/>
    </row>
    <row r="93" spans="34:49" ht="15" customHeight="1">
      <c r="AH93" s="34"/>
      <c r="AI93" s="34"/>
      <c r="AJ93" s="34"/>
      <c r="AK93" s="34"/>
      <c r="AL93" s="34"/>
      <c r="AM93" s="34"/>
      <c r="AN93" s="34"/>
      <c r="AO93" s="34"/>
      <c r="AP93" s="34"/>
      <c r="AQ93" s="34"/>
      <c r="AR93" s="34"/>
      <c r="AS93" s="34"/>
      <c r="AT93" s="34"/>
      <c r="AU93" s="34"/>
      <c r="AW93" s="34"/>
    </row>
    <row r="94" spans="34:49" ht="15" customHeight="1">
      <c r="AH94" s="34"/>
      <c r="AI94" s="34"/>
      <c r="AJ94" s="34"/>
      <c r="AK94" s="34"/>
      <c r="AL94" s="34"/>
      <c r="AM94" s="34"/>
      <c r="AN94" s="34"/>
      <c r="AO94" s="34"/>
      <c r="AP94" s="34"/>
      <c r="AQ94" s="34"/>
      <c r="AR94" s="34"/>
      <c r="AS94" s="34"/>
      <c r="AT94" s="34"/>
      <c r="AU94" s="34"/>
      <c r="AW94" s="34"/>
    </row>
    <row r="95" spans="34:49" ht="15" customHeight="1">
      <c r="AH95" s="34"/>
      <c r="AI95" s="34"/>
      <c r="AJ95" s="34"/>
      <c r="AK95" s="34"/>
      <c r="AL95" s="34"/>
      <c r="AM95" s="34"/>
      <c r="AN95" s="34"/>
      <c r="AO95" s="34"/>
      <c r="AP95" s="34"/>
      <c r="AQ95" s="34"/>
      <c r="AR95" s="34"/>
      <c r="AS95" s="34"/>
      <c r="AT95" s="34"/>
      <c r="AU95" s="34"/>
      <c r="AW95" s="34"/>
    </row>
    <row r="96" spans="34:49" ht="15.75" customHeight="1">
      <c r="AH96" s="34"/>
      <c r="AI96" s="34"/>
      <c r="AJ96" s="34"/>
      <c r="AK96" s="34"/>
      <c r="AL96" s="34"/>
      <c r="AM96" s="34"/>
      <c r="AN96" s="34"/>
      <c r="AO96" s="34"/>
      <c r="AP96" s="34"/>
      <c r="AQ96" s="34"/>
      <c r="AR96" s="34"/>
      <c r="AS96" s="34"/>
      <c r="AT96" s="34"/>
      <c r="AU96" s="34"/>
      <c r="AW96" s="34"/>
    </row>
    <row r="97" spans="34:49">
      <c r="AH97" s="34"/>
      <c r="AI97" s="34"/>
      <c r="AJ97" s="34"/>
      <c r="AK97" s="34"/>
      <c r="AL97" s="34"/>
      <c r="AM97" s="34"/>
      <c r="AN97" s="34"/>
      <c r="AO97" s="34"/>
      <c r="AP97" s="34"/>
      <c r="AQ97" s="34"/>
      <c r="AR97" s="34"/>
      <c r="AS97" s="34"/>
      <c r="AT97" s="34"/>
      <c r="AU97" s="34"/>
      <c r="AW97" s="34"/>
    </row>
    <row r="98" spans="34:49">
      <c r="AH98" s="34"/>
      <c r="AI98" s="34"/>
      <c r="AJ98" s="34"/>
      <c r="AK98" s="34"/>
      <c r="AL98" s="34"/>
      <c r="AM98" s="34"/>
      <c r="AN98" s="34"/>
      <c r="AO98" s="34"/>
      <c r="AP98" s="34"/>
      <c r="AQ98" s="34"/>
      <c r="AR98" s="34"/>
      <c r="AS98" s="34"/>
      <c r="AT98" s="34"/>
      <c r="AU98" s="34"/>
      <c r="AW98" s="34"/>
    </row>
    <row r="99" spans="34:49">
      <c r="AR99" s="50"/>
      <c r="AS99" s="50"/>
      <c r="AT99" s="50"/>
      <c r="AU99" s="34"/>
      <c r="AW99" s="34"/>
    </row>
    <row r="100" spans="34:49" ht="15" customHeight="1">
      <c r="AU100" s="34"/>
      <c r="AW100" s="34"/>
    </row>
    <row r="101" spans="34:49">
      <c r="AU101" s="34"/>
    </row>
    <row r="102" spans="34:49">
      <c r="AU102" s="50"/>
    </row>
  </sheetData>
  <dataConsolidate topLabels="1">
    <dataRefs count="1">
      <dataRef ref="C8:D86" sheet="AHU 1" r:id="rId1"/>
    </dataRefs>
  </dataConsolidate>
  <mergeCells count="4">
    <mergeCell ref="K3:R3"/>
    <mergeCell ref="S3:AJ3"/>
    <mergeCell ref="B3:H3"/>
    <mergeCell ref="AQ3:AR3"/>
  </mergeCells>
  <phoneticPr fontId="12" type="noConversion"/>
  <conditionalFormatting sqref="AR5:AR12">
    <cfRule type="cellIs" dxfId="851" priority="3" operator="greaterThan">
      <formula>#REF!</formula>
    </cfRule>
  </conditionalFormatting>
  <conditionalFormatting sqref="AP5:AQ12">
    <cfRule type="cellIs" dxfId="850" priority="2" operator="greaterThan">
      <formula>#REF!</formula>
    </cfRule>
  </conditionalFormatting>
  <conditionalFormatting sqref="AM5:AM13">
    <cfRule type="dataBar" priority="10">
      <dataBar>
        <cfvo type="min"/>
        <cfvo type="max"/>
        <color rgb="FF638EC6"/>
      </dataBar>
      <extLst>
        <ext xmlns:x14="http://schemas.microsoft.com/office/spreadsheetml/2009/9/main" uri="{B025F937-C7B1-47D3-B67F-A62EFF666E3E}">
          <x14:id>{8F48CCA3-2395-490B-9322-FF904E0F9765}</x14:id>
        </ext>
      </extLst>
    </cfRule>
  </conditionalFormatting>
  <dataValidations count="4">
    <dataValidation type="whole" operator="greaterThan" allowBlank="1" showInputMessage="1" showErrorMessage="1" sqref="AN5:AO12" xr:uid="{2C826603-EAFD-4AAE-9F20-882A4446A8AE}">
      <formula1>-1</formula1>
    </dataValidation>
    <dataValidation type="whole" operator="greaterThan" allowBlank="1" showInputMessage="1" showErrorMessage="1" sqref="E5:E12" xr:uid="{B3A111F1-8A33-4C11-913E-140CC35EA048}">
      <formula1>1</formula1>
    </dataValidation>
    <dataValidation type="decimal" operator="greaterThan" allowBlank="1" showInputMessage="1" showErrorMessage="1" sqref="F5:F12" xr:uid="{C2C84CC5-1E8B-47D7-B43F-6797E0635F46}">
      <formula1>1</formula1>
    </dataValidation>
    <dataValidation type="whole" operator="greaterThan" allowBlank="1" showInputMessage="1" showErrorMessage="1" sqref="AM5:AM12" xr:uid="{9288F396-7B7D-4A1B-93B1-D049E4B0619B}">
      <formula1>0</formula1>
    </dataValidation>
  </dataValidations>
  <pageMargins left="0.25" right="0.25" top="0.75" bottom="0.75" header="0.3" footer="0.3"/>
  <pageSetup paperSize="17" scale="47" fitToHeight="0" orientation="landscape" r:id="rId2"/>
  <headerFooter differentFirst="1" alignWithMargins="0">
    <firstHeader>&amp;L15175 - Design-Build Rady Children’s Hospital Murrieta Hub Medical Office Building, Murrieta, CA
AHU Systems and Airflows&amp;R&amp;D</firstHeader>
  </headerFooter>
  <ignoredErrors>
    <ignoredError sqref="AM5 AM7:AO10 AM6 AN6:AO6 AN5:AO5"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6029" r:id="rId5" name="Button 13">
              <controlPr defaultSize="0" print="0" autoFill="0" autoPict="0" macro="[0]!AddRowsToTableWithUserInput" altText="HUMIDIFICATION">
                <anchor moveWithCells="1" sizeWithCells="1">
                  <from>
                    <xdr:col>1</xdr:col>
                    <xdr:colOff>784860</xdr:colOff>
                    <xdr:row>0</xdr:row>
                    <xdr:rowOff>15240</xdr:rowOff>
                  </from>
                  <to>
                    <xdr:col>3</xdr:col>
                    <xdr:colOff>563880</xdr:colOff>
                    <xdr:row>2</xdr:row>
                    <xdr:rowOff>22860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8F48CCA3-2395-490B-9322-FF904E0F9765}">
            <x14:dataBar minLength="0" maxLength="100" border="1" negativeBarBorderColorSameAsPositive="0">
              <x14:cfvo type="autoMin"/>
              <x14:cfvo type="autoMax"/>
              <x14:borderColor rgb="FF638EC6"/>
              <x14:negativeFillColor rgb="FFFF0000"/>
              <x14:negativeBorderColor rgb="FFFF0000"/>
              <x14:axisColor rgb="FF000000"/>
            </x14:dataBar>
          </x14:cfRule>
          <xm:sqref>AM5:AM13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promptTitle="Title" prompt="Input message" xr:uid="{10FC0657-FF5F-4A06-9577-421757662B29}">
          <x14:formula1>
            <xm:f>'UMC Table 4-A'!$A$2:$A$132</xm:f>
          </x14:formula1>
          <xm:sqref>K5:K12</xm:sqref>
        </x14:dataValidation>
        <x14:dataValidation type="list" allowBlank="1" showInputMessage="1" showErrorMessage="1" xr:uid="{88628EBF-4FDD-4838-8E7F-DCE08C28DC77}">
          <x14:formula1>
            <xm:f>'ASHRAE Table'!$J$2:$J$37</xm:f>
          </x14:formula1>
          <xm:sqref>S5:S12</xm:sqref>
        </x14:dataValidation>
        <x14:dataValidation type="list" allowBlank="1" showInputMessage="1" showErrorMessage="1" xr:uid="{80938584-D353-43E0-9492-BAC4C343B750}">
          <x14:formula1>
            <xm:f>'ASHRAE Table'!$A$2:$A$93</xm:f>
          </x14:formula1>
          <xm:sqref>U5:U12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443B-C81C-4F7B-933B-0C22D15B7317}">
  <sheetPr codeName="Sheet8"/>
  <dimension ref="A2:W7"/>
  <sheetViews>
    <sheetView workbookViewId="0">
      <selection activeCell="H27" sqref="H27"/>
    </sheetView>
  </sheetViews>
  <sheetFormatPr defaultRowHeight="13.2"/>
  <cols>
    <col min="1" max="1" width="11.44140625" bestFit="1" customWidth="1"/>
    <col min="2" max="2" width="22.33203125" customWidth="1"/>
    <col min="3" max="3" width="38.44140625" customWidth="1"/>
    <col min="4" max="4" width="10.21875" bestFit="1" customWidth="1"/>
    <col min="5" max="5" width="11.77734375" bestFit="1" customWidth="1"/>
    <col min="6" max="6" width="19.6640625" customWidth="1"/>
    <col min="7" max="7" width="10.44140625" bestFit="1" customWidth="1"/>
    <col min="8" max="8" width="12.21875" bestFit="1" customWidth="1"/>
    <col min="9" max="9" width="9.77734375" bestFit="1" customWidth="1"/>
    <col min="10" max="10" width="12.21875" bestFit="1" customWidth="1"/>
    <col min="11" max="11" width="10.44140625" bestFit="1" customWidth="1"/>
    <col min="12" max="12" width="12" bestFit="1" customWidth="1"/>
    <col min="13" max="13" width="10.5546875" bestFit="1" customWidth="1"/>
    <col min="14" max="14" width="11.88671875" bestFit="1" customWidth="1"/>
    <col min="15" max="15" width="12.88671875" bestFit="1" customWidth="1"/>
    <col min="16" max="16" width="13.21875" bestFit="1" customWidth="1"/>
    <col min="17" max="17" width="13.33203125" bestFit="1" customWidth="1"/>
    <col min="23" max="23" width="0" hidden="1" customWidth="1"/>
  </cols>
  <sheetData>
    <row r="2" spans="1:23" ht="15.6">
      <c r="C2" s="95" t="s">
        <v>1068</v>
      </c>
      <c r="D2" s="373" t="s">
        <v>49</v>
      </c>
      <c r="W2" s="11" t="s">
        <v>111</v>
      </c>
    </row>
    <row r="3" spans="1:23">
      <c r="W3" s="11" t="s">
        <v>49</v>
      </c>
    </row>
    <row r="4" spans="1:23" ht="45">
      <c r="A4" s="104" t="s">
        <v>5</v>
      </c>
      <c r="B4" s="104" t="s">
        <v>50</v>
      </c>
      <c r="C4" s="104" t="s">
        <v>51</v>
      </c>
      <c r="D4" s="104" t="s">
        <v>52</v>
      </c>
      <c r="E4" s="104" t="s">
        <v>53</v>
      </c>
      <c r="F4" s="104" t="s">
        <v>54</v>
      </c>
      <c r="G4" s="104" t="s">
        <v>55</v>
      </c>
      <c r="H4" s="104" t="s">
        <v>56</v>
      </c>
      <c r="I4" s="104" t="s">
        <v>57</v>
      </c>
      <c r="J4" s="104" t="s">
        <v>58</v>
      </c>
      <c r="K4" s="104" t="s">
        <v>59</v>
      </c>
      <c r="L4" s="104" t="s">
        <v>60</v>
      </c>
      <c r="M4" s="104" t="s">
        <v>1</v>
      </c>
      <c r="N4" s="104" t="s">
        <v>1065</v>
      </c>
      <c r="O4" s="104" t="s">
        <v>61</v>
      </c>
      <c r="P4" s="104" t="s">
        <v>62</v>
      </c>
      <c r="Q4" s="104" t="s">
        <v>63</v>
      </c>
      <c r="R4" s="104" t="s">
        <v>64</v>
      </c>
    </row>
    <row r="5" spans="1:23" ht="15">
      <c r="A5" s="105" t="s">
        <v>65</v>
      </c>
      <c r="B5" s="105" t="s">
        <v>66</v>
      </c>
      <c r="C5" s="105" t="s">
        <v>67</v>
      </c>
      <c r="D5" s="95">
        <f ca="1">SUMIF(TABLE4A4398[ZONE],AHU_CAV_SCHEDULE441114[[#This Row],[ZONE]],TABLE4A4398[DESIGN SA (CFM)])</f>
        <v>9500</v>
      </c>
      <c r="E5" s="95">
        <f ca="1">IFERROR((VLOOKUP(D5,'DO NOT TOUCH'!$C$9:$D$14,2,TRUE)),"TBD")</f>
        <v>16</v>
      </c>
      <c r="F5" s="95">
        <v>0.5</v>
      </c>
      <c r="G5" s="95">
        <f>INPUT_OUTPUTS!$C$16</f>
        <v>140</v>
      </c>
      <c r="H5" s="95">
        <f>INPUT_OUTPUTS!$C$17</f>
        <v>110</v>
      </c>
      <c r="I5" s="95">
        <v>55</v>
      </c>
      <c r="J5" s="95">
        <v>85</v>
      </c>
      <c r="K5" s="95">
        <f ca="1">MROUND((1.08*(J5-I5)*D5)/1000,0.1)</f>
        <v>307.8</v>
      </c>
      <c r="L5" s="106">
        <f ca="1">(K5*1000)/(500*(G5-H5))</f>
        <v>20.52</v>
      </c>
      <c r="M5" s="106">
        <f ca="1">IF(L5&lt;0.5,0.5,L5)</f>
        <v>20.52</v>
      </c>
      <c r="N5" s="431">
        <f ca="1">IF($D$2 = "YES",(_xlfn.XLOOKUP(AHU_CAV_SCHEDULE441114[[#This Row],[GPM]],Hydronic_Pipe_Size[SOUND SENSITIVE],Hydronic_Pipe_Size[SIZE],"Not Found",1)),(_xlfn.XLOOKUP(AHU_CAV_SCHEDULE441114[[#This Row],[GPM]],Hydronic_Pipe_Size[GPM],Hydronic_Pipe_Size[SIZE],"Not Found",1)))</f>
        <v>1.5</v>
      </c>
      <c r="O5" s="106">
        <v>5</v>
      </c>
      <c r="P5" s="106">
        <f ca="1">IFERROR((_xlfn.XLOOKUP(E5,'DO NOT TOUCH'!$D$9:$D$14,'DO NOT TOUCH'!$E$9:$E$14,)),"TBD")</f>
        <v>60</v>
      </c>
      <c r="Q5" s="106">
        <f>INPUT_OUTPUTS!$C$19</f>
        <v>0</v>
      </c>
      <c r="R5" s="95" t="s">
        <v>68</v>
      </c>
    </row>
    <row r="6" spans="1:23" ht="15">
      <c r="A6" s="105" t="s">
        <v>70</v>
      </c>
      <c r="B6" s="105" t="s">
        <v>66</v>
      </c>
      <c r="C6" s="105" t="s">
        <v>67</v>
      </c>
      <c r="D6" s="95">
        <f>SUMIF(TABLE4A4398[ZONE],AHU_CAV_SCHEDULE441114[[#This Row],[ZONE]],TABLE4A4398[DESIGN SA (CFM)])</f>
        <v>0</v>
      </c>
      <c r="E6" s="95" t="str">
        <f>IFERROR((VLOOKUP(D6,'DO NOT TOUCH'!$C$9:$D$14,2,TRUE)),"TBD")</f>
        <v>TBD</v>
      </c>
      <c r="F6" s="95">
        <f>F5</f>
        <v>0.5</v>
      </c>
      <c r="G6" s="95">
        <f>INPUT_OUTPUTS!$C$16</f>
        <v>140</v>
      </c>
      <c r="H6" s="95">
        <f>INPUT_OUTPUTS!$C$17</f>
        <v>110</v>
      </c>
      <c r="I6" s="95">
        <f>I5</f>
        <v>55</v>
      </c>
      <c r="J6" s="95">
        <f>J5</f>
        <v>85</v>
      </c>
      <c r="K6" s="95">
        <f>MROUND((1.08*(J6-I6)*D6)/1000,0.1)</f>
        <v>0</v>
      </c>
      <c r="L6" s="106">
        <f>(K6*1000)/(500*(G6-H6))</f>
        <v>0</v>
      </c>
      <c r="M6" s="106">
        <f>IF(L6&lt;0.5,0.5,L6)</f>
        <v>0.5</v>
      </c>
      <c r="N6" s="431">
        <f>IF($D$2 = "YES",(_xlfn.XLOOKUP(AHU_CAV_SCHEDULE441114[[#This Row],[GPM]],Hydronic_Pipe_Size[SOUND SENSITIVE],Hydronic_Pipe_Size[SIZE],"Not Found",1)),(_xlfn.XLOOKUP(AHU_CAV_SCHEDULE441114[[#This Row],[GPM]],Hydronic_Pipe_Size[GPM],Hydronic_Pipe_Size[SIZE],"Not Found",1)))</f>
        <v>0.75</v>
      </c>
      <c r="O6" s="106">
        <f>O5</f>
        <v>5</v>
      </c>
      <c r="P6" s="106" t="str">
        <f>IFERROR((_xlfn.XLOOKUP(E6,'DO NOT TOUCH'!$D$9:$D$14,'DO NOT TOUCH'!$E$9:$E$14,)),"TBD")</f>
        <v>TBD</v>
      </c>
      <c r="Q6" s="106">
        <f>INPUT_OUTPUTS!$C$19</f>
        <v>0</v>
      </c>
      <c r="R6" s="95" t="str">
        <f>R5</f>
        <v>1, 2</v>
      </c>
    </row>
    <row r="7" spans="1:23" ht="15">
      <c r="A7" s="111" t="s">
        <v>77</v>
      </c>
      <c r="B7" s="112"/>
      <c r="C7" s="112"/>
      <c r="D7" s="113"/>
      <c r="E7" s="113"/>
      <c r="F7" s="113"/>
      <c r="G7" s="113"/>
      <c r="H7" s="113"/>
      <c r="I7" s="113"/>
      <c r="J7" s="113"/>
      <c r="K7" s="113">
        <f ca="1">SUBTOTAL(109,AHU_CAV_SCHEDULE441114[MIN MBH])</f>
        <v>307.8</v>
      </c>
      <c r="L7" s="113"/>
      <c r="M7" s="114">
        <f ca="1">SUBTOTAL(109,AHU_CAV_SCHEDULE441114[GPM])</f>
        <v>21.02</v>
      </c>
      <c r="N7" s="114"/>
      <c r="O7" s="113"/>
      <c r="P7" s="113"/>
      <c r="Q7" s="113"/>
      <c r="R7" s="115"/>
    </row>
  </sheetData>
  <dataValidations disablePrompts="1" count="1">
    <dataValidation type="list" allowBlank="1" showInputMessage="1" showErrorMessage="1" sqref="D2" xr:uid="{2FEA1AB8-4323-4CB2-857F-9F47BEBF0A3E}">
      <formula1>$W$2:$W$3</formula1>
    </dataValidation>
  </dataValidations>
  <pageMargins left="0.7" right="0.7" top="0.75" bottom="0.75" header="0.3" footer="0.3"/>
  <ignoredErrors>
    <ignoredError sqref="D5 F5"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120834" r:id="rId3" name="Button 2">
              <controlPr defaultSize="0" print="0" autoFill="0" autoPict="0" macro="[0]!AddRowsToTableWithUserInput" altText="HUMIDIFICATION">
                <anchor moveWithCells="1" sizeWithCells="1">
                  <from>
                    <xdr:col>0</xdr:col>
                    <xdr:colOff>335280</xdr:colOff>
                    <xdr:row>0</xdr:row>
                    <xdr:rowOff>76200</xdr:rowOff>
                  </from>
                  <to>
                    <xdr:col>1</xdr:col>
                    <xdr:colOff>876300</xdr:colOff>
                    <xdr:row>2</xdr:row>
                    <xdr:rowOff>106680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75627-BC4D-4897-93C2-955F94019DDB}">
  <sheetPr codeName="Sheet11">
    <pageSetUpPr fitToPage="1"/>
  </sheetPr>
  <dimension ref="A1:AN18"/>
  <sheetViews>
    <sheetView showGridLines="0" zoomScale="82" zoomScaleNormal="100" workbookViewId="0">
      <selection activeCell="K26" sqref="K26"/>
    </sheetView>
  </sheetViews>
  <sheetFormatPr defaultRowHeight="13.2"/>
  <cols>
    <col min="1" max="1" width="21" bestFit="1" customWidth="1"/>
    <col min="2" max="2" width="19.5546875" bestFit="1" customWidth="1"/>
    <col min="3" max="3" width="19.33203125" bestFit="1" customWidth="1"/>
    <col min="4" max="4" width="20.88671875" bestFit="1" customWidth="1"/>
    <col min="5" max="5" width="20.88671875" customWidth="1"/>
    <col min="6" max="6" width="15.6640625" customWidth="1"/>
    <col min="7" max="8" width="16.6640625" customWidth="1"/>
    <col min="9" max="9" width="13.5546875" bestFit="1" customWidth="1"/>
    <col min="10" max="10" width="25.6640625" bestFit="1" customWidth="1"/>
    <col min="11" max="11" width="63" bestFit="1" customWidth="1"/>
    <col min="12" max="12" width="29.6640625" customWidth="1"/>
    <col min="13" max="13" width="22.33203125" customWidth="1"/>
    <col min="14" max="14" width="16.44140625" bestFit="1" customWidth="1"/>
    <col min="15" max="15" width="16.44140625" customWidth="1"/>
    <col min="16" max="16" width="21" bestFit="1" customWidth="1"/>
    <col min="17" max="17" width="17.44140625" customWidth="1"/>
    <col min="18" max="18" width="23.6640625" customWidth="1"/>
    <col min="19" max="19" width="21.88671875" bestFit="1" customWidth="1"/>
    <col min="20" max="20" width="20.6640625" bestFit="1" customWidth="1"/>
    <col min="21" max="21" width="16.77734375" customWidth="1"/>
    <col min="22" max="22" width="29.21875" bestFit="1" customWidth="1"/>
    <col min="23" max="23" width="16.5546875" customWidth="1"/>
    <col min="24" max="24" width="24" bestFit="1" customWidth="1"/>
    <col min="25" max="25" width="14.77734375" customWidth="1"/>
    <col min="26" max="26" width="19" bestFit="1" customWidth="1"/>
    <col min="27" max="27" width="21.109375" bestFit="1" customWidth="1"/>
    <col min="28" max="28" width="12.21875" bestFit="1" customWidth="1"/>
    <col min="29" max="29" width="29" bestFit="1" customWidth="1"/>
    <col min="30" max="31" width="27.88671875" customWidth="1"/>
    <col min="32" max="32" width="18.5546875" customWidth="1"/>
    <col min="33" max="33" width="21.44140625" customWidth="1"/>
    <col min="34" max="34" width="15.109375" customWidth="1"/>
    <col min="35" max="35" width="18" bestFit="1" customWidth="1"/>
    <col min="36" max="36" width="18" customWidth="1"/>
    <col min="37" max="37" width="21.33203125" bestFit="1" customWidth="1"/>
    <col min="38" max="39" width="20.88671875" bestFit="1" customWidth="1"/>
    <col min="40" max="40" width="19.5546875" bestFit="1" customWidth="1"/>
    <col min="41" max="41" width="26.6640625" bestFit="1" customWidth="1"/>
    <col min="42" max="42" width="33.44140625" bestFit="1" customWidth="1"/>
    <col min="43" max="43" width="17.44140625" bestFit="1" customWidth="1"/>
    <col min="44" max="44" width="18.5546875" bestFit="1" customWidth="1"/>
    <col min="45" max="45" width="25.33203125" bestFit="1" customWidth="1"/>
    <col min="46" max="46" width="34.109375" bestFit="1" customWidth="1"/>
    <col min="47" max="47" width="26.6640625" bestFit="1" customWidth="1"/>
    <col min="48" max="48" width="33.44140625" bestFit="1" customWidth="1"/>
    <col min="49" max="50" width="17.44140625" bestFit="1" customWidth="1"/>
    <col min="51" max="51" width="18.5546875" bestFit="1" customWidth="1"/>
    <col min="52" max="52" width="19.5546875" bestFit="1" customWidth="1"/>
    <col min="53" max="53" width="14.5546875" bestFit="1" customWidth="1"/>
    <col min="54" max="54" width="17.88671875" bestFit="1" customWidth="1"/>
    <col min="55" max="55" width="12.5546875" bestFit="1" customWidth="1"/>
    <col min="56" max="56" width="15.6640625" bestFit="1" customWidth="1"/>
    <col min="57" max="57" width="12.109375" bestFit="1" customWidth="1"/>
    <col min="58" max="58" width="15.6640625" bestFit="1" customWidth="1"/>
    <col min="59" max="59" width="12.88671875" bestFit="1" customWidth="1"/>
    <col min="60" max="60" width="14.5546875" bestFit="1" customWidth="1"/>
    <col min="61" max="61" width="13" bestFit="1" customWidth="1"/>
    <col min="62" max="62" width="15.6640625" bestFit="1" customWidth="1"/>
    <col min="63" max="63" width="14.88671875" bestFit="1" customWidth="1"/>
    <col min="64" max="64" width="15.6640625" bestFit="1" customWidth="1"/>
    <col min="65" max="65" width="18.5546875" bestFit="1" customWidth="1"/>
  </cols>
  <sheetData>
    <row r="1" spans="1:40" s="296" customFormat="1" ht="17.399999999999999">
      <c r="Q1" s="405" t="s">
        <v>682</v>
      </c>
      <c r="R1" s="405"/>
      <c r="S1" s="297">
        <v>100</v>
      </c>
      <c r="T1" s="405" t="s">
        <v>746</v>
      </c>
      <c r="U1" s="405"/>
      <c r="V1" s="297" t="s">
        <v>749</v>
      </c>
      <c r="W1" s="298" t="s">
        <v>750</v>
      </c>
      <c r="X1" s="299"/>
      <c r="Z1" s="405" t="s">
        <v>885</v>
      </c>
      <c r="AA1" s="405"/>
      <c r="AB1" s="299">
        <v>0</v>
      </c>
    </row>
    <row r="3" spans="1:40">
      <c r="A3" s="403" t="s">
        <v>78</v>
      </c>
      <c r="B3" s="404"/>
      <c r="C3" s="404"/>
      <c r="D3" s="404"/>
      <c r="E3" s="404"/>
      <c r="F3" s="404"/>
      <c r="G3" s="404"/>
      <c r="H3" s="404"/>
      <c r="I3" s="404"/>
      <c r="J3" s="403" t="s">
        <v>79</v>
      </c>
      <c r="K3" s="403"/>
      <c r="L3" s="403"/>
      <c r="M3" s="403"/>
      <c r="N3" s="403"/>
      <c r="O3" s="403"/>
      <c r="P3" s="403"/>
      <c r="Q3" s="403"/>
      <c r="R3" s="403"/>
      <c r="S3" s="403"/>
      <c r="T3" s="403"/>
      <c r="U3" s="403"/>
      <c r="V3" s="403"/>
      <c r="W3" s="403"/>
      <c r="X3" s="403"/>
      <c r="Y3" s="403"/>
      <c r="Z3" s="403"/>
      <c r="AA3" s="403"/>
      <c r="AB3" s="403"/>
      <c r="AC3" s="403"/>
      <c r="AD3" s="403"/>
      <c r="AE3" s="403"/>
      <c r="AF3" s="403"/>
      <c r="AG3" s="403"/>
      <c r="AH3" s="403"/>
      <c r="AI3" s="403"/>
      <c r="AJ3" s="403"/>
      <c r="AK3" s="403" t="s">
        <v>754</v>
      </c>
      <c r="AL3" s="404"/>
      <c r="AM3" s="404"/>
    </row>
    <row r="4" spans="1:40" s="11" customFormat="1" ht="46.8">
      <c r="A4" s="310" t="s">
        <v>80</v>
      </c>
      <c r="B4" s="310" t="s">
        <v>81</v>
      </c>
      <c r="C4" s="310" t="s">
        <v>82</v>
      </c>
      <c r="D4" s="302" t="s">
        <v>83</v>
      </c>
      <c r="E4" s="302" t="s">
        <v>737</v>
      </c>
      <c r="F4" s="302" t="s">
        <v>84</v>
      </c>
      <c r="G4" s="302" t="s">
        <v>85</v>
      </c>
      <c r="H4" s="302" t="s">
        <v>884</v>
      </c>
      <c r="I4" s="302" t="s">
        <v>883</v>
      </c>
      <c r="J4" s="302" t="s">
        <v>22</v>
      </c>
      <c r="K4" s="302" t="s">
        <v>86</v>
      </c>
      <c r="L4" s="302" t="s">
        <v>25</v>
      </c>
      <c r="M4" s="302" t="s">
        <v>26</v>
      </c>
      <c r="N4" s="302" t="s">
        <v>27</v>
      </c>
      <c r="O4" s="302" t="s">
        <v>741</v>
      </c>
      <c r="P4" s="302" t="s">
        <v>742</v>
      </c>
      <c r="Q4" s="302" t="s">
        <v>28</v>
      </c>
      <c r="R4" s="302" t="s">
        <v>30</v>
      </c>
      <c r="S4" s="302" t="s">
        <v>31</v>
      </c>
      <c r="T4" s="301" t="s">
        <v>32</v>
      </c>
      <c r="U4" s="301" t="s">
        <v>33</v>
      </c>
      <c r="V4" s="301" t="s">
        <v>34</v>
      </c>
      <c r="W4" s="301" t="s">
        <v>87</v>
      </c>
      <c r="X4" s="301" t="s">
        <v>88</v>
      </c>
      <c r="Y4" s="301" t="s">
        <v>89</v>
      </c>
      <c r="Z4" s="301" t="s">
        <v>35</v>
      </c>
      <c r="AA4" s="301" t="s">
        <v>90</v>
      </c>
      <c r="AB4" s="301" t="s">
        <v>36</v>
      </c>
      <c r="AC4" s="301" t="s">
        <v>91</v>
      </c>
      <c r="AD4" s="301" t="s">
        <v>744</v>
      </c>
      <c r="AE4" s="301" t="s">
        <v>739</v>
      </c>
      <c r="AF4" s="302" t="s">
        <v>37</v>
      </c>
      <c r="AG4" s="302" t="s">
        <v>38</v>
      </c>
      <c r="AH4" s="302" t="s">
        <v>39</v>
      </c>
      <c r="AI4" s="301" t="s">
        <v>92</v>
      </c>
      <c r="AJ4" s="301" t="s">
        <v>738</v>
      </c>
      <c r="AK4" s="301" t="s">
        <v>93</v>
      </c>
      <c r="AL4" s="301" t="s">
        <v>94</v>
      </c>
      <c r="AM4" s="302" t="s">
        <v>95</v>
      </c>
      <c r="AN4" s="310" t="s">
        <v>96</v>
      </c>
    </row>
    <row r="5" spans="1:40" ht="15.6">
      <c r="A5" s="303" t="s">
        <v>102</v>
      </c>
      <c r="B5" s="303">
        <v>102</v>
      </c>
      <c r="C5" s="303" t="s">
        <v>740</v>
      </c>
      <c r="D5" s="303">
        <v>200</v>
      </c>
      <c r="E5" s="303">
        <v>0</v>
      </c>
      <c r="F5" s="303">
        <v>0</v>
      </c>
      <c r="G5" s="304">
        <f>IF((VLOOKUP(Ahu_Ashrae_Generic[[#This Row],[Occupancy Category]],Ashrae90.1Vent[#All],7,FALSE)) = "YES",MROUND(D5/2,5),MROUND(D5,5))</f>
        <v>200</v>
      </c>
      <c r="H5" s="303"/>
      <c r="I5" s="303">
        <v>250</v>
      </c>
      <c r="J5" s="303" t="s">
        <v>48</v>
      </c>
      <c r="K5" s="303" t="s">
        <v>379</v>
      </c>
      <c r="L5" s="305">
        <f>VLOOKUP(Ahu_Ashrae_Generic[[#This Row],[Occupancy Category]],Ashrae90.1Vent[#All],2,FALSE)</f>
        <v>5</v>
      </c>
      <c r="M5" s="305">
        <f>VLOOKUP(Ahu_Ashrae_Generic[[#This Row],[Occupancy Category]],Ashrae90.1Vent[#All],3,FALSE)</f>
        <v>0.06</v>
      </c>
      <c r="N5" s="305">
        <f>VLOOKUP(Ahu_Ashrae_Generic[[#This Row],[Occupancy Category]],Ashrae90.1Vent[#All],4,FALSE)</f>
        <v>5</v>
      </c>
      <c r="O5" s="305">
        <f>Ahu_Ashrae_Generic[[#This Row],[Occupants (Pz)]]*Ahu_Ashrae_Generic[[#This Row],[RP
(CFM/PER PERSON)]]</f>
        <v>5</v>
      </c>
      <c r="P5" s="305">
        <f>Ahu_Ashrae_Generic[[#This Row],[RA
(CFM/FT²)]]*Ahu_Ashrae_Generic[[#This Row],[AREA (FT²)]]</f>
        <v>12</v>
      </c>
      <c r="Q5" s="305">
        <f>VLOOKUP(Ahu_Ashrae_Generic[[#This Row],[Occupancy Category]],Ashrae90.1Vent[#All],5,FALSE)</f>
        <v>1</v>
      </c>
      <c r="R5" s="305">
        <f>CEILING((N5/1000)*D5,1)</f>
        <v>1</v>
      </c>
      <c r="S5" s="306">
        <f>IF(($S$1/Ahu_Ashrae_Generic[[#Totals],[Occupants (Pz)]])&gt;1,1,$S$1/Ahu_Ashrae_Generic[[#Totals],[Occupants (Pz)]])</f>
        <v>0.53475935828877008</v>
      </c>
      <c r="T5" s="307">
        <f>(Ahu_Ashrae_Generic[[#This Row],[DIVERSITY (D)]]*Ahu_Ashrae_Generic[[#This Row],[RP
(CFM/PER PERSON)]]*Ahu_Ashrae_Generic[[#This Row],[Occupants (Pz)]])+(Ahu_Ashrae_Generic[[#This Row],[RA
(CFM/FT²)]]*Ahu_Ashrae_Generic[[#This Row],[AREA (FT²)]])</f>
        <v>14.67379679144385</v>
      </c>
      <c r="U5" s="306">
        <f>IF(Ahu_Ashrae_Generic[[#This Row],[DIVERSITY (D)]]&lt;0.6,(0.88*Ahu_Ashrae_Generic[[#This Row],[DIVERSITY (D)]]+0.22),0.75)</f>
        <v>0.69058823529411772</v>
      </c>
      <c r="V5" s="307">
        <f>Ahu_Ashrae_Generic[[#This Row],[Uncorrected OA (Vou)]]/Ahu_Ashrae_Generic[[#This Row],[System Efficiency (Ev)]]</f>
        <v>21.248257704816474</v>
      </c>
      <c r="W5" s="307">
        <f>(Ahu_Ashrae_Generic[[#This Row],[RP
(CFM/PER PERSON)]]*Ahu_Ashrae_Generic[[#This Row],[Occupants (Pz)]])+(Ahu_Ashrae_Generic[[#This Row],[RA
(CFM/FT²)]]*Ahu_Ashrae_Generic[[#This Row],[AREA (FT²)]])</f>
        <v>17</v>
      </c>
      <c r="X5" s="303">
        <v>0.8</v>
      </c>
      <c r="Y5" s="307">
        <f>Ahu_Ashrae_Generic[[#This Row],[Breathing Zone OA (Vbz)]]/Ahu_Ashrae_Generic[[#This Row],[Zone Efficiency (Ez)]]</f>
        <v>21.25</v>
      </c>
      <c r="Z5" s="308" t="s">
        <v>49</v>
      </c>
      <c r="AA5" s="305" t="str" cm="1">
        <f t="array" aca="1" ref="AA5" ca="1">corequirement(Ahu_Ashrae_Generic[[#This Row],[AREA (FT²)]],Ahu_Ashrae_Generic[[#This Row],[EXHAUST RECOVERY]],INPUT_OUTPUTS!$C$6,Ahu_Ashrae_Generic[[#This Row],[Occupant Component]])</f>
        <v>NO</v>
      </c>
      <c r="AB5" s="307" t="str">
        <f>VLOOKUP(Ahu_Ashrae_Generic[[#This Row],[Occupancy Category]],Ashrae90.1Vent[#All],6,FALSE)</f>
        <v>YES</v>
      </c>
      <c r="AC5" s="307">
        <f ca="1">IF(Ahu_Ashrae_Generic[[#This Row],[CO2 SENSOR]]="YES",IF(Ahu_Ashrae_Generic[[#This Row],[OS]]="NO",Ahu_Ashrae_Generic[[#This Row],[Area Component]],0),IF(Ahu_Ashrae_Generic[[#This Row],[OS]]="YES",Ahu_Ashrae_Generic[[#This Row],[Occupant Component]],Ahu_Ashrae_Generic[[#This Row],[OUTSIDE AIRFLOW (CFM) (Vot)]]))</f>
        <v>5</v>
      </c>
      <c r="AD5" s="309">
        <v>100</v>
      </c>
      <c r="AE5" s="307" t="str">
        <f>IF(Ahu_Ashrae_Generic[[#This Row],[Exhaust Category]] = "NOT APPLICABLE","NR","YES")</f>
        <v>NR</v>
      </c>
      <c r="AF5" s="307" t="str">
        <f>IF(Ahu_Ashrae_Generic[[#This Row],[Exhaust Category]]="NOT APPLICABLE","NA",VLOOKUP(Ahu_Ashrae_Generic[[#This Row],[Exhaust Category]],ASHRAE_EA_Table[#All],2,FALSE))</f>
        <v>NA</v>
      </c>
      <c r="AG5" s="307" t="str">
        <f>IF(Ahu_Ashrae_Generic[[#This Row],[Exhaust Category]]="NOT APPLICABLE","NA",VLOOKUP(Ahu_Ashrae_Generic[[#This Row],[Exhaust Category]],ASHRAE_EA_Table[#All],3,FALSE))</f>
        <v>NA</v>
      </c>
      <c r="AH5" s="305">
        <f>Ahu_Ashrae_Generic[[#This Row],[Misc Exhaust From Room]]+(IFERROR(IF(Ahu_Ashrae_Generic[[#This Row],[EA RATE
(CFM/UNIT)]] = "NA",Ahu_Ashrae_Generic[[#This Row],[EA RATE
(CFM/FT²)]]*Ahu_Ashrae_Generic[[#This Row],[AREA (FT²)]],Ahu_Ashrae_Generic[[#This Row],[EA RATE
(CFM/UNIT)]]*Ahu_Ashrae_Generic[[#This Row],[Exhaust Units]]),0))</f>
        <v>100</v>
      </c>
      <c r="AI5" s="307">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75</v>
      </c>
      <c r="AJ5" s="307" cm="1">
        <f t="array" aca="1" ref="AJ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250</v>
      </c>
      <c r="AK5" s="309">
        <f ca="1">Ahu_Ashrae_Generic[[#This Row],[Calculated VAV Max CFM]]</f>
        <v>250</v>
      </c>
      <c r="AL5" s="303" cm="1">
        <f t="array" aca="1" ref="AL5" ca="1">Returnair(Ahu_Ashrae_Generic[[#This Row],[Calculated VAV Max CFM]],Ahu_Ashrae_Generic[[#This Row],[Desired Room Balance]],Ahu_Ashrae_Generic[[#This Row],[Exhausted?]],Ahu_Ashrae_Generic[[#This Row],[Misc Exhaust From Room]])</f>
        <v>150</v>
      </c>
      <c r="AM5" s="303" cm="1">
        <f t="array" aca="1" ref="AM5" ca="1">Exhaustair(Ahu_Ashrae_Generic[[#This Row],[DESIGN VAV MAX SA(CFM)]],Ahu_Ashrae_Generic[[#This Row],[Exhausted?]],Ahu_Ashrae_Generic[[#This Row],[MIN ASHRAE EA
(CFM)]],Ahu_Ashrae_Generic[[#This Row],[Desired Room Balance]],Ahu_Ashrae_Generic[[#This Row],[Misc Exhaust From Room]])</f>
        <v>100</v>
      </c>
      <c r="AN5" s="300">
        <f ca="1">Ahu_Ashrae_Generic[[#This Row],[OUTSIDE AIRFLOW (CFM) (Vot)]]/Ahu_Ashrae_Generic[[#This Row],[DESIGN VAV MAX SA(CFM)]]</f>
        <v>8.4993030819265902E-2</v>
      </c>
    </row>
    <row r="6" spans="1:40" ht="15.6">
      <c r="A6" s="97" t="s">
        <v>102</v>
      </c>
      <c r="B6" s="97">
        <v>102</v>
      </c>
      <c r="C6" s="97" t="s">
        <v>743</v>
      </c>
      <c r="D6" s="97">
        <v>550</v>
      </c>
      <c r="E6" s="97">
        <v>0</v>
      </c>
      <c r="F6" s="97">
        <v>0</v>
      </c>
      <c r="G6" s="116">
        <f>IF((VLOOKUP(Ahu_Ashrae_Generic[[#This Row],[Occupancy Category]],Ashrae90.1Vent[#All],7,FALSE)) = "YES",MROUND(D6/2,5),MROUND(D6,5))</f>
        <v>550</v>
      </c>
      <c r="H6" s="97"/>
      <c r="I6" s="97">
        <v>500</v>
      </c>
      <c r="J6" s="97" t="s">
        <v>48</v>
      </c>
      <c r="K6" s="97" t="s">
        <v>379</v>
      </c>
      <c r="L6" s="99">
        <f>VLOOKUP(Ahu_Ashrae_Generic[[#This Row],[Occupancy Category]],Ashrae90.1Vent[#All],2,FALSE)</f>
        <v>5</v>
      </c>
      <c r="M6" s="99">
        <f>VLOOKUP(Ahu_Ashrae_Generic[[#This Row],[Occupancy Category]],Ashrae90.1Vent[#All],3,FALSE)</f>
        <v>0.06</v>
      </c>
      <c r="N6" s="99">
        <f>VLOOKUP(Ahu_Ashrae_Generic[[#This Row],[Occupancy Category]],Ashrae90.1Vent[#All],4,FALSE)</f>
        <v>5</v>
      </c>
      <c r="O6" s="305">
        <f>Ahu_Ashrae_Generic[[#This Row],[Occupants (Pz)]]*Ahu_Ashrae_Generic[[#This Row],[RP
(CFM/PER PERSON)]]</f>
        <v>15</v>
      </c>
      <c r="P6" s="99">
        <f>Ahu_Ashrae_Generic[[#This Row],[RA
(CFM/FT²)]]*Ahu_Ashrae_Generic[[#This Row],[AREA (FT²)]]</f>
        <v>33</v>
      </c>
      <c r="Q6" s="99">
        <f>VLOOKUP(Ahu_Ashrae_Generic[[#This Row],[Occupancy Category]],Ashrae90.1Vent[#All],5,FALSE)</f>
        <v>1</v>
      </c>
      <c r="R6" s="99">
        <f>CEILING((N6/1000)*D6,1)</f>
        <v>3</v>
      </c>
      <c r="S6" s="101">
        <f>IF(($S$1/Ahu_Ashrae_Generic[[#Totals],[Occupants (Pz)]])&gt;1,1,$S$1/Ahu_Ashrae_Generic[[#Totals],[Occupants (Pz)]])</f>
        <v>0.53475935828877008</v>
      </c>
      <c r="T6" s="100">
        <f>(Ahu_Ashrae_Generic[[#This Row],[DIVERSITY (D)]]*Ahu_Ashrae_Generic[[#This Row],[RP
(CFM/PER PERSON)]]*Ahu_Ashrae_Generic[[#This Row],[Occupants (Pz)]])+(Ahu_Ashrae_Generic[[#This Row],[RA
(CFM/FT²)]]*Ahu_Ashrae_Generic[[#This Row],[AREA (FT²)]])</f>
        <v>41.021390374331553</v>
      </c>
      <c r="U6" s="101">
        <f>IF(Ahu_Ashrae_Generic[[#This Row],[DIVERSITY (D)]]&lt;0.6,(0.88*Ahu_Ashrae_Generic[[#This Row],[DIVERSITY (D)]]+0.22),0.75)</f>
        <v>0.69058823529411772</v>
      </c>
      <c r="V6" s="100">
        <f>Ahu_Ashrae_Generic[[#This Row],[Uncorrected OA (Vou)]]/Ahu_Ashrae_Generic[[#This Row],[System Efficiency (Ev)]]</f>
        <v>59.400650456868512</v>
      </c>
      <c r="W6" s="100">
        <f>(Ahu_Ashrae_Generic[[#This Row],[RP
(CFM/PER PERSON)]]*Ahu_Ashrae_Generic[[#This Row],[Occupants (Pz)]])+(Ahu_Ashrae_Generic[[#This Row],[RA
(CFM/FT²)]]*Ahu_Ashrae_Generic[[#This Row],[AREA (FT²)]])</f>
        <v>48</v>
      </c>
      <c r="X6" s="292">
        <v>0.8</v>
      </c>
      <c r="Y6" s="100">
        <f>Ahu_Ashrae_Generic[[#This Row],[Breathing Zone OA (Vbz)]]/Ahu_Ashrae_Generic[[#This Row],[Zone Efficiency (Ez)]]</f>
        <v>60</v>
      </c>
      <c r="Z6" s="291" t="s">
        <v>49</v>
      </c>
      <c r="AA6" s="305" t="str" cm="1">
        <f t="array" aca="1" ref="AA6" ca="1">corequirement(Ahu_Ashrae_Generic[[#This Row],[AREA (FT²)]],Ahu_Ashrae_Generic[[#This Row],[EXHAUST RECOVERY]],INPUT_OUTPUTS!$C$6,Ahu_Ashrae_Generic[[#This Row],[Occupant Component]])</f>
        <v>NO</v>
      </c>
      <c r="AB6" s="100" t="str">
        <f>VLOOKUP(Ahu_Ashrae_Generic[[#This Row],[Occupancy Category]],Ashrae90.1Vent[#All],6,FALSE)</f>
        <v>YES</v>
      </c>
      <c r="AC6" s="100">
        <f ca="1">IF(Ahu_Ashrae_Generic[[#This Row],[CO2 SENSOR]]="YES",IF(Ahu_Ashrae_Generic[[#This Row],[OS]]="NO",Ahu_Ashrae_Generic[[#This Row],[Area Component]],0),IF(Ahu_Ashrae_Generic[[#This Row],[OS]]="YES",Ahu_Ashrae_Generic[[#This Row],[Occupant Component]],Ahu_Ashrae_Generic[[#This Row],[OUTSIDE AIRFLOW (CFM) (Vot)]]))</f>
        <v>15</v>
      </c>
      <c r="AD6" s="144">
        <v>0</v>
      </c>
      <c r="AE6" s="100" t="str">
        <f>IF(Ahu_Ashrae_Generic[[#This Row],[Exhaust Category]] = "NOT APPLICABLE","NR","YES")</f>
        <v>NR</v>
      </c>
      <c r="AF6" s="100" t="str">
        <f>IF(Ahu_Ashrae_Generic[[#This Row],[Exhaust Category]]="NOT APPLICABLE","NA",VLOOKUP(Ahu_Ashrae_Generic[[#This Row],[Exhaust Category]],ASHRAE_EA_Table[#All],2,FALSE))</f>
        <v>NA</v>
      </c>
      <c r="AG6" s="100" t="str">
        <f>IF(Ahu_Ashrae_Generic[[#This Row],[Exhaust Category]]="NOT APPLICABLE","NA",VLOOKUP(Ahu_Ashrae_Generic[[#This Row],[Exhaust Category]],ASHRAE_EA_Table[#All],3,FALSE))</f>
        <v>NA</v>
      </c>
      <c r="AH6" s="99">
        <f>Ahu_Ashrae_Generic[[#This Row],[Misc Exhaust From Room]]+(IFERROR(IF(Ahu_Ashrae_Generic[[#This Row],[EA RATE
(CFM/UNIT)]] = "NA",Ahu_Ashrae_Generic[[#This Row],[EA RATE
(CFM/FT²)]]*Ahu_Ashrae_Generic[[#This Row],[AREA (FT²)]],Ahu_Ashrae_Generic[[#This Row],[EA RATE
(CFM/UNIT)]]*Ahu_Ashrae_Generic[[#This Row],[Exhaust Units]]),0))</f>
        <v>0</v>
      </c>
      <c r="AI6"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6" s="100" cm="1">
        <f t="array" aca="1" ref="AJ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6" s="144">
        <f ca="1">Ahu_Ashrae_Generic[[#This Row],[Calculated VAV Max CFM]]</f>
        <v>550</v>
      </c>
      <c r="AL6" s="97" cm="1">
        <f t="array" aca="1" ref="AL6" ca="1">Returnair(Ahu_Ashrae_Generic[[#This Row],[Calculated VAV Max CFM]],Ahu_Ashrae_Generic[[#This Row],[Desired Room Balance]],Ahu_Ashrae_Generic[[#This Row],[Exhausted?]],Ahu_Ashrae_Generic[[#This Row],[Misc Exhaust From Room]])</f>
        <v>550</v>
      </c>
      <c r="AM6" s="97" cm="1">
        <f t="array" aca="1" ref="AM6" ca="1">Exhaustair(Ahu_Ashrae_Generic[[#This Row],[DESIGN VAV MAX SA(CFM)]],Ahu_Ashrae_Generic[[#This Row],[Exhausted?]],Ahu_Ashrae_Generic[[#This Row],[MIN ASHRAE EA
(CFM)]],Ahu_Ashrae_Generic[[#This Row],[Desired Room Balance]],Ahu_Ashrae_Generic[[#This Row],[Misc Exhaust From Room]])</f>
        <v>0</v>
      </c>
      <c r="AN6" s="69">
        <f ca="1">Ahu_Ashrae_Generic[[#This Row],[OUTSIDE AIRFLOW (CFM) (Vot)]]/Ahu_Ashrae_Generic[[#This Row],[DESIGN VAV MAX SA(CFM)]]</f>
        <v>0.10800118264885183</v>
      </c>
    </row>
    <row r="7" spans="1:40" ht="15.6">
      <c r="A7" s="97" t="s">
        <v>102</v>
      </c>
      <c r="B7" s="97">
        <v>102</v>
      </c>
      <c r="C7" s="97" t="s">
        <v>740</v>
      </c>
      <c r="D7" s="97">
        <v>550</v>
      </c>
      <c r="E7" s="97">
        <v>0</v>
      </c>
      <c r="F7" s="97">
        <v>4</v>
      </c>
      <c r="G7" s="116">
        <f>IF((VLOOKUP(Ahu_Ashrae_Generic[[#This Row],[Occupancy Category]],Ashrae90.1Vent[#All],7,FALSE)) = "YES",MROUND(D7/2,5),MROUND(D7,5))</f>
        <v>550</v>
      </c>
      <c r="H7" s="97"/>
      <c r="I7" s="97">
        <v>300</v>
      </c>
      <c r="J7" s="97" t="s">
        <v>48</v>
      </c>
      <c r="K7" s="97" t="s">
        <v>379</v>
      </c>
      <c r="L7" s="99">
        <f>VLOOKUP(Ahu_Ashrae_Generic[[#This Row],[Occupancy Category]],Ashrae90.1Vent[#All],2,FALSE)</f>
        <v>5</v>
      </c>
      <c r="M7" s="99">
        <f>VLOOKUP(Ahu_Ashrae_Generic[[#This Row],[Occupancy Category]],Ashrae90.1Vent[#All],3,FALSE)</f>
        <v>0.06</v>
      </c>
      <c r="N7" s="99">
        <f>VLOOKUP(Ahu_Ashrae_Generic[[#This Row],[Occupancy Category]],Ashrae90.1Vent[#All],4,FALSE)</f>
        <v>5</v>
      </c>
      <c r="O7" s="305">
        <f>Ahu_Ashrae_Generic[[#This Row],[Occupants (Pz)]]*Ahu_Ashrae_Generic[[#This Row],[RP
(CFM/PER PERSON)]]</f>
        <v>15</v>
      </c>
      <c r="P7" s="99">
        <f>Ahu_Ashrae_Generic[[#This Row],[RA
(CFM/FT²)]]*Ahu_Ashrae_Generic[[#This Row],[AREA (FT²)]]</f>
        <v>33</v>
      </c>
      <c r="Q7" s="99">
        <f>VLOOKUP(Ahu_Ashrae_Generic[[#This Row],[Occupancy Category]],Ashrae90.1Vent[#All],5,FALSE)</f>
        <v>1</v>
      </c>
      <c r="R7" s="99">
        <f t="shared" ref="R7:R17" si="0">CEILING((N7/1000)*D7,1)</f>
        <v>3</v>
      </c>
      <c r="S7" s="101">
        <f>IF(($S$1/Ahu_Ashrae_Generic[[#Totals],[Occupants (Pz)]])&gt;1,1,$S$1/Ahu_Ashrae_Generic[[#Totals],[Occupants (Pz)]])</f>
        <v>0.53475935828877008</v>
      </c>
      <c r="T7" s="100">
        <f>(Ahu_Ashrae_Generic[[#This Row],[DIVERSITY (D)]]*Ahu_Ashrae_Generic[[#This Row],[RP
(CFM/PER PERSON)]]*Ahu_Ashrae_Generic[[#This Row],[Occupants (Pz)]])+(Ahu_Ashrae_Generic[[#This Row],[RA
(CFM/FT²)]]*Ahu_Ashrae_Generic[[#This Row],[AREA (FT²)]])</f>
        <v>41.021390374331553</v>
      </c>
      <c r="U7" s="101">
        <f>IF(Ahu_Ashrae_Generic[[#This Row],[DIVERSITY (D)]]&lt;0.6,(0.88*Ahu_Ashrae_Generic[[#This Row],[DIVERSITY (D)]]+0.22),0.75)</f>
        <v>0.69058823529411772</v>
      </c>
      <c r="V7" s="100">
        <f>Ahu_Ashrae_Generic[[#This Row],[Uncorrected OA (Vou)]]/Ahu_Ashrae_Generic[[#This Row],[System Efficiency (Ev)]]</f>
        <v>59.400650456868512</v>
      </c>
      <c r="W7" s="100">
        <f>(Ahu_Ashrae_Generic[[#This Row],[RP
(CFM/PER PERSON)]]*Ahu_Ashrae_Generic[[#This Row],[Occupants (Pz)]])+(Ahu_Ashrae_Generic[[#This Row],[RA
(CFM/FT²)]]*Ahu_Ashrae_Generic[[#This Row],[AREA (FT²)]])</f>
        <v>48</v>
      </c>
      <c r="X7" s="97">
        <v>0.8</v>
      </c>
      <c r="Y7" s="100">
        <f>Ahu_Ashrae_Generic[[#This Row],[Breathing Zone OA (Vbz)]]/Ahu_Ashrae_Generic[[#This Row],[Zone Efficiency (Ez)]]</f>
        <v>60</v>
      </c>
      <c r="Z7" s="291" t="s">
        <v>49</v>
      </c>
      <c r="AA7" s="305" t="str" cm="1">
        <f t="array" aca="1" ref="AA7" ca="1">corequirement(Ahu_Ashrae_Generic[[#This Row],[AREA (FT²)]],Ahu_Ashrae_Generic[[#This Row],[EXHAUST RECOVERY]],INPUT_OUTPUTS!$C$6,Ahu_Ashrae_Generic[[#This Row],[Occupant Component]])</f>
        <v>NO</v>
      </c>
      <c r="AB7" s="100" t="str">
        <f>VLOOKUP(Ahu_Ashrae_Generic[[#This Row],[Occupancy Category]],Ashrae90.1Vent[#All],6,FALSE)</f>
        <v>YES</v>
      </c>
      <c r="AC7" s="100">
        <f ca="1">IF(Ahu_Ashrae_Generic[[#This Row],[CO2 SENSOR]]="YES",IF(Ahu_Ashrae_Generic[[#This Row],[OS]]="NO",Ahu_Ashrae_Generic[[#This Row],[Area Component]],0),IF(Ahu_Ashrae_Generic[[#This Row],[OS]]="YES",Ahu_Ashrae_Generic[[#This Row],[Occupant Component]],Ahu_Ashrae_Generic[[#This Row],[OUTSIDE AIRFLOW (CFM) (Vot)]]))</f>
        <v>15</v>
      </c>
      <c r="AD7" s="144">
        <v>0</v>
      </c>
      <c r="AE7" s="100" t="str">
        <f>IF(Ahu_Ashrae_Generic[[#This Row],[Exhaust Category]] = "NOT APPLICABLE","NR","YES")</f>
        <v>NR</v>
      </c>
      <c r="AF7" s="100" t="str">
        <f>IF(Ahu_Ashrae_Generic[[#This Row],[Exhaust Category]]="NOT APPLICABLE","NA",VLOOKUP(Ahu_Ashrae_Generic[[#This Row],[Exhaust Category]],ASHRAE_EA_Table[#All],2,FALSE))</f>
        <v>NA</v>
      </c>
      <c r="AG7" s="100" t="str">
        <f>IF(Ahu_Ashrae_Generic[[#This Row],[Exhaust Category]]="NOT APPLICABLE","NA",VLOOKUP(Ahu_Ashrae_Generic[[#This Row],[Exhaust Category]],ASHRAE_EA_Table[#All],3,FALSE))</f>
        <v>NA</v>
      </c>
      <c r="AH7" s="99">
        <f>Ahu_Ashrae_Generic[[#This Row],[Misc Exhaust From Room]]+(IFERROR(IF(Ahu_Ashrae_Generic[[#This Row],[EA RATE
(CFM/UNIT)]] = "NA",Ahu_Ashrae_Generic[[#This Row],[EA RATE
(CFM/FT²)]]*Ahu_Ashrae_Generic[[#This Row],[AREA (FT²)]],Ahu_Ashrae_Generic[[#This Row],[EA RATE
(CFM/UNIT)]]*Ahu_Ashrae_Generic[[#This Row],[Exhaust Units]]),0))</f>
        <v>0</v>
      </c>
      <c r="AI7"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7" s="100" cm="1">
        <f t="array" aca="1" ref="AJ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7" s="144">
        <f ca="1">Ahu_Ashrae_Generic[[#This Row],[Calculated VAV Max CFM]]</f>
        <v>550</v>
      </c>
      <c r="AL7" s="97" cm="1">
        <f t="array" aca="1" ref="AL7" ca="1">Returnair(Ahu_Ashrae_Generic[[#This Row],[Calculated VAV Max CFM]],Ahu_Ashrae_Generic[[#This Row],[Desired Room Balance]],Ahu_Ashrae_Generic[[#This Row],[Exhausted?]],Ahu_Ashrae_Generic[[#This Row],[Misc Exhaust From Room]])</f>
        <v>550</v>
      </c>
      <c r="AM7" s="97" cm="1">
        <f t="array" aca="1" ref="AM7" ca="1">Exhaustair(Ahu_Ashrae_Generic[[#This Row],[DESIGN VAV MAX SA(CFM)]],Ahu_Ashrae_Generic[[#This Row],[Exhausted?]],Ahu_Ashrae_Generic[[#This Row],[MIN ASHRAE EA
(CFM)]],Ahu_Ashrae_Generic[[#This Row],[Desired Room Balance]],Ahu_Ashrae_Generic[[#This Row],[Misc Exhaust From Room]])</f>
        <v>0</v>
      </c>
      <c r="AN7" s="69">
        <f ca="1">Ahu_Ashrae_Generic[[#This Row],[OUTSIDE AIRFLOW (CFM) (Vot)]]/Ahu_Ashrae_Generic[[#This Row],[DESIGN VAV MAX SA(CFM)]]</f>
        <v>0.10800118264885183</v>
      </c>
    </row>
    <row r="8" spans="1:40" ht="15.6">
      <c r="A8" s="97" t="s">
        <v>102</v>
      </c>
      <c r="B8" s="97">
        <v>102</v>
      </c>
      <c r="C8" s="97" t="s">
        <v>740</v>
      </c>
      <c r="D8" s="97">
        <v>550</v>
      </c>
      <c r="E8" s="97">
        <v>0</v>
      </c>
      <c r="F8" s="97">
        <v>4</v>
      </c>
      <c r="G8" s="116">
        <f>IF((VLOOKUP(Ahu_Ashrae_Generic[[#This Row],[Occupancy Category]],Ashrae90.1Vent[#All],7,FALSE)) = "YES",MROUND(D8/2,5),MROUND(D8,5))</f>
        <v>550</v>
      </c>
      <c r="H8" s="97"/>
      <c r="I8" s="97">
        <v>300</v>
      </c>
      <c r="J8" s="97" t="s">
        <v>48</v>
      </c>
      <c r="K8" s="97" t="s">
        <v>379</v>
      </c>
      <c r="L8" s="99">
        <f>VLOOKUP(Ahu_Ashrae_Generic[[#This Row],[Occupancy Category]],Ashrae90.1Vent[#All],2,FALSE)</f>
        <v>5</v>
      </c>
      <c r="M8" s="99">
        <f>VLOOKUP(Ahu_Ashrae_Generic[[#This Row],[Occupancy Category]],Ashrae90.1Vent[#All],3,FALSE)</f>
        <v>0.06</v>
      </c>
      <c r="N8" s="99">
        <f>VLOOKUP(Ahu_Ashrae_Generic[[#This Row],[Occupancy Category]],Ashrae90.1Vent[#All],4,FALSE)</f>
        <v>5</v>
      </c>
      <c r="O8" s="305">
        <f>Ahu_Ashrae_Generic[[#This Row],[Occupants (Pz)]]*Ahu_Ashrae_Generic[[#This Row],[RP
(CFM/PER PERSON)]]</f>
        <v>15</v>
      </c>
      <c r="P8" s="99">
        <f>Ahu_Ashrae_Generic[[#This Row],[RA
(CFM/FT²)]]*Ahu_Ashrae_Generic[[#This Row],[AREA (FT²)]]</f>
        <v>33</v>
      </c>
      <c r="Q8" s="99">
        <f>VLOOKUP(Ahu_Ashrae_Generic[[#This Row],[Occupancy Category]],Ashrae90.1Vent[#All],5,FALSE)</f>
        <v>1</v>
      </c>
      <c r="R8" s="99">
        <f t="shared" si="0"/>
        <v>3</v>
      </c>
      <c r="S8" s="101">
        <f>IF(($S$1/Ahu_Ashrae_Generic[[#Totals],[Occupants (Pz)]])&gt;1,1,$S$1/Ahu_Ashrae_Generic[[#Totals],[Occupants (Pz)]])</f>
        <v>0.53475935828877008</v>
      </c>
      <c r="T8" s="100">
        <f>(Ahu_Ashrae_Generic[[#This Row],[DIVERSITY (D)]]*Ahu_Ashrae_Generic[[#This Row],[RP
(CFM/PER PERSON)]]*Ahu_Ashrae_Generic[[#This Row],[Occupants (Pz)]])+(Ahu_Ashrae_Generic[[#This Row],[RA
(CFM/FT²)]]*Ahu_Ashrae_Generic[[#This Row],[AREA (FT²)]])</f>
        <v>41.021390374331553</v>
      </c>
      <c r="U8" s="101">
        <f>IF(Ahu_Ashrae_Generic[[#This Row],[DIVERSITY (D)]]&lt;0.6,(0.88*Ahu_Ashrae_Generic[[#This Row],[DIVERSITY (D)]]+0.22),0.75)</f>
        <v>0.69058823529411772</v>
      </c>
      <c r="V8" s="100">
        <f>Ahu_Ashrae_Generic[[#This Row],[Uncorrected OA (Vou)]]/Ahu_Ashrae_Generic[[#This Row],[System Efficiency (Ev)]]</f>
        <v>59.400650456868512</v>
      </c>
      <c r="W8" s="100">
        <f>(Ahu_Ashrae_Generic[[#This Row],[RP
(CFM/PER PERSON)]]*Ahu_Ashrae_Generic[[#This Row],[Occupants (Pz)]])+(Ahu_Ashrae_Generic[[#This Row],[RA
(CFM/FT²)]]*Ahu_Ashrae_Generic[[#This Row],[AREA (FT²)]])</f>
        <v>48</v>
      </c>
      <c r="X8" s="97">
        <v>0.8</v>
      </c>
      <c r="Y8" s="100">
        <f>Ahu_Ashrae_Generic[[#This Row],[Breathing Zone OA (Vbz)]]/Ahu_Ashrae_Generic[[#This Row],[Zone Efficiency (Ez)]]</f>
        <v>60</v>
      </c>
      <c r="Z8" s="291" t="s">
        <v>49</v>
      </c>
      <c r="AA8" s="305" t="str" cm="1">
        <f t="array" aca="1" ref="AA8" ca="1">corequirement(Ahu_Ashrae_Generic[[#This Row],[AREA (FT²)]],Ahu_Ashrae_Generic[[#This Row],[EXHAUST RECOVERY]],INPUT_OUTPUTS!$C$6,Ahu_Ashrae_Generic[[#This Row],[Occupant Component]])</f>
        <v>NO</v>
      </c>
      <c r="AB8" s="100" t="str">
        <f>VLOOKUP(Ahu_Ashrae_Generic[[#This Row],[Occupancy Category]],Ashrae90.1Vent[#All],6,FALSE)</f>
        <v>YES</v>
      </c>
      <c r="AC8" s="100">
        <f ca="1">IF(Ahu_Ashrae_Generic[[#This Row],[CO2 SENSOR]]="YES",IF(Ahu_Ashrae_Generic[[#This Row],[OS]]="NO",Ahu_Ashrae_Generic[[#This Row],[Area Component]],0),IF(Ahu_Ashrae_Generic[[#This Row],[OS]]="YES",Ahu_Ashrae_Generic[[#This Row],[Occupant Component]],Ahu_Ashrae_Generic[[#This Row],[OUTSIDE AIRFLOW (CFM) (Vot)]]))</f>
        <v>15</v>
      </c>
      <c r="AD8" s="144">
        <v>0</v>
      </c>
      <c r="AE8" s="100" t="str">
        <f>IF(Ahu_Ashrae_Generic[[#This Row],[Exhaust Category]] = "NOT APPLICABLE","NR","YES")</f>
        <v>NR</v>
      </c>
      <c r="AF8" s="100" t="str">
        <f>IF(Ahu_Ashrae_Generic[[#This Row],[Exhaust Category]]="NOT APPLICABLE","NA",VLOOKUP(Ahu_Ashrae_Generic[[#This Row],[Exhaust Category]],ASHRAE_EA_Table[#All],2,FALSE))</f>
        <v>NA</v>
      </c>
      <c r="AG8" s="100" t="str">
        <f>IF(Ahu_Ashrae_Generic[[#This Row],[Exhaust Category]]="NOT APPLICABLE","NA",VLOOKUP(Ahu_Ashrae_Generic[[#This Row],[Exhaust Category]],ASHRAE_EA_Table[#All],3,FALSE))</f>
        <v>NA</v>
      </c>
      <c r="AH8" s="99">
        <f>Ahu_Ashrae_Generic[[#This Row],[Misc Exhaust From Room]]+(IFERROR(IF(Ahu_Ashrae_Generic[[#This Row],[EA RATE
(CFM/UNIT)]] = "NA",Ahu_Ashrae_Generic[[#This Row],[EA RATE
(CFM/FT²)]]*Ahu_Ashrae_Generic[[#This Row],[AREA (FT²)]],Ahu_Ashrae_Generic[[#This Row],[EA RATE
(CFM/UNIT)]]*Ahu_Ashrae_Generic[[#This Row],[Exhaust Units]]),0))</f>
        <v>0</v>
      </c>
      <c r="AI8"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8" s="100" cm="1">
        <f t="array" aca="1" ref="AJ8"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8" s="144">
        <f ca="1">Ahu_Ashrae_Generic[[#This Row],[Calculated VAV Max CFM]]</f>
        <v>550</v>
      </c>
      <c r="AL8" s="97" cm="1">
        <f t="array" aca="1" ref="AL8" ca="1">Returnair(Ahu_Ashrae_Generic[[#This Row],[Calculated VAV Max CFM]],Ahu_Ashrae_Generic[[#This Row],[Desired Room Balance]],Ahu_Ashrae_Generic[[#This Row],[Exhausted?]],Ahu_Ashrae_Generic[[#This Row],[Misc Exhaust From Room]])</f>
        <v>550</v>
      </c>
      <c r="AM8" s="97" cm="1">
        <f t="array" aca="1" ref="AM8" ca="1">Exhaustair(Ahu_Ashrae_Generic[[#This Row],[DESIGN VAV MAX SA(CFM)]],Ahu_Ashrae_Generic[[#This Row],[Exhausted?]],Ahu_Ashrae_Generic[[#This Row],[MIN ASHRAE EA
(CFM)]],Ahu_Ashrae_Generic[[#This Row],[Desired Room Balance]],Ahu_Ashrae_Generic[[#This Row],[Misc Exhaust From Room]])</f>
        <v>0</v>
      </c>
      <c r="AN8" s="69">
        <f ca="1">Ahu_Ashrae_Generic[[#This Row],[OUTSIDE AIRFLOW (CFM) (Vot)]]/Ahu_Ashrae_Generic[[#This Row],[DESIGN VAV MAX SA(CFM)]]</f>
        <v>0.10800118264885183</v>
      </c>
    </row>
    <row r="9" spans="1:40" ht="15.6">
      <c r="A9" s="97" t="s">
        <v>102</v>
      </c>
      <c r="B9" s="97">
        <v>102</v>
      </c>
      <c r="C9" s="97" t="s">
        <v>740</v>
      </c>
      <c r="D9" s="97">
        <v>550</v>
      </c>
      <c r="E9" s="97">
        <v>0</v>
      </c>
      <c r="F9" s="97">
        <v>4</v>
      </c>
      <c r="G9" s="116">
        <f>IF((VLOOKUP(Ahu_Ashrae_Generic[[#This Row],[Occupancy Category]],Ashrae90.1Vent[#All],7,FALSE)) = "YES",MROUND(D9/2,5),MROUND(D9,5))</f>
        <v>550</v>
      </c>
      <c r="H9" s="97"/>
      <c r="I9" s="97">
        <v>300</v>
      </c>
      <c r="J9" s="97" t="s">
        <v>48</v>
      </c>
      <c r="K9" s="97" t="s">
        <v>379</v>
      </c>
      <c r="L9" s="99">
        <f>VLOOKUP(Ahu_Ashrae_Generic[[#This Row],[Occupancy Category]],Ashrae90.1Vent[#All],2,FALSE)</f>
        <v>5</v>
      </c>
      <c r="M9" s="99">
        <f>VLOOKUP(Ahu_Ashrae_Generic[[#This Row],[Occupancy Category]],Ashrae90.1Vent[#All],3,FALSE)</f>
        <v>0.06</v>
      </c>
      <c r="N9" s="99">
        <f>VLOOKUP(Ahu_Ashrae_Generic[[#This Row],[Occupancy Category]],Ashrae90.1Vent[#All],4,FALSE)</f>
        <v>5</v>
      </c>
      <c r="O9" s="305">
        <f>Ahu_Ashrae_Generic[[#This Row],[Occupants (Pz)]]*Ahu_Ashrae_Generic[[#This Row],[RP
(CFM/PER PERSON)]]</f>
        <v>15</v>
      </c>
      <c r="P9" s="99">
        <f>Ahu_Ashrae_Generic[[#This Row],[RA
(CFM/FT²)]]*Ahu_Ashrae_Generic[[#This Row],[AREA (FT²)]]</f>
        <v>33</v>
      </c>
      <c r="Q9" s="99">
        <f>VLOOKUP(Ahu_Ashrae_Generic[[#This Row],[Occupancy Category]],Ashrae90.1Vent[#All],5,FALSE)</f>
        <v>1</v>
      </c>
      <c r="R9" s="99">
        <f t="shared" si="0"/>
        <v>3</v>
      </c>
      <c r="S9" s="101">
        <f>IF(($S$1/Ahu_Ashrae_Generic[[#Totals],[Occupants (Pz)]])&gt;1,1,$S$1/Ahu_Ashrae_Generic[[#Totals],[Occupants (Pz)]])</f>
        <v>0.53475935828877008</v>
      </c>
      <c r="T9" s="100">
        <f>(Ahu_Ashrae_Generic[[#This Row],[DIVERSITY (D)]]*Ahu_Ashrae_Generic[[#This Row],[RP
(CFM/PER PERSON)]]*Ahu_Ashrae_Generic[[#This Row],[Occupants (Pz)]])+(Ahu_Ashrae_Generic[[#This Row],[RA
(CFM/FT²)]]*Ahu_Ashrae_Generic[[#This Row],[AREA (FT²)]])</f>
        <v>41.021390374331553</v>
      </c>
      <c r="U9" s="101">
        <f>IF(Ahu_Ashrae_Generic[[#This Row],[DIVERSITY (D)]]&lt;0.6,(0.88*Ahu_Ashrae_Generic[[#This Row],[DIVERSITY (D)]]+0.22),0.75)</f>
        <v>0.69058823529411772</v>
      </c>
      <c r="V9" s="100">
        <f>Ahu_Ashrae_Generic[[#This Row],[Uncorrected OA (Vou)]]/Ahu_Ashrae_Generic[[#This Row],[System Efficiency (Ev)]]</f>
        <v>59.400650456868512</v>
      </c>
      <c r="W9" s="100">
        <f>(Ahu_Ashrae_Generic[[#This Row],[RP
(CFM/PER PERSON)]]*Ahu_Ashrae_Generic[[#This Row],[Occupants (Pz)]])+(Ahu_Ashrae_Generic[[#This Row],[RA
(CFM/FT²)]]*Ahu_Ashrae_Generic[[#This Row],[AREA (FT²)]])</f>
        <v>48</v>
      </c>
      <c r="X9" s="97">
        <v>0.8</v>
      </c>
      <c r="Y9" s="100">
        <f>Ahu_Ashrae_Generic[[#This Row],[Breathing Zone OA (Vbz)]]/Ahu_Ashrae_Generic[[#This Row],[Zone Efficiency (Ez)]]</f>
        <v>60</v>
      </c>
      <c r="Z9" s="291" t="s">
        <v>49</v>
      </c>
      <c r="AA9" s="305" t="str" cm="1">
        <f t="array" aca="1" ref="AA9" ca="1">corequirement(Ahu_Ashrae_Generic[[#This Row],[AREA (FT²)]],Ahu_Ashrae_Generic[[#This Row],[EXHAUST RECOVERY]],INPUT_OUTPUTS!$C$6,Ahu_Ashrae_Generic[[#This Row],[Occupant Component]])</f>
        <v>NO</v>
      </c>
      <c r="AB9" s="100" t="str">
        <f>VLOOKUP(Ahu_Ashrae_Generic[[#This Row],[Occupancy Category]],Ashrae90.1Vent[#All],6,FALSE)</f>
        <v>YES</v>
      </c>
      <c r="AC9" s="100">
        <f ca="1">IF(Ahu_Ashrae_Generic[[#This Row],[CO2 SENSOR]]="YES",IF(Ahu_Ashrae_Generic[[#This Row],[OS]]="NO",Ahu_Ashrae_Generic[[#This Row],[Area Component]],0),IF(Ahu_Ashrae_Generic[[#This Row],[OS]]="YES",Ahu_Ashrae_Generic[[#This Row],[Occupant Component]],Ahu_Ashrae_Generic[[#This Row],[OUTSIDE AIRFLOW (CFM) (Vot)]]))</f>
        <v>15</v>
      </c>
      <c r="AD9" s="144">
        <v>0</v>
      </c>
      <c r="AE9" s="100" t="str">
        <f>IF(Ahu_Ashrae_Generic[[#This Row],[Exhaust Category]] = "NOT APPLICABLE","NR","YES")</f>
        <v>NR</v>
      </c>
      <c r="AF9" s="100" t="str">
        <f>IF(Ahu_Ashrae_Generic[[#This Row],[Exhaust Category]]="NOT APPLICABLE","NA",VLOOKUP(Ahu_Ashrae_Generic[[#This Row],[Exhaust Category]],ASHRAE_EA_Table[#All],2,FALSE))</f>
        <v>NA</v>
      </c>
      <c r="AG9" s="100" t="str">
        <f>IF(Ahu_Ashrae_Generic[[#This Row],[Exhaust Category]]="NOT APPLICABLE","NA",VLOOKUP(Ahu_Ashrae_Generic[[#This Row],[Exhaust Category]],ASHRAE_EA_Table[#All],3,FALSE))</f>
        <v>NA</v>
      </c>
      <c r="AH9" s="99">
        <f>Ahu_Ashrae_Generic[[#This Row],[Misc Exhaust From Room]]+(IFERROR(IF(Ahu_Ashrae_Generic[[#This Row],[EA RATE
(CFM/UNIT)]] = "NA",Ahu_Ashrae_Generic[[#This Row],[EA RATE
(CFM/FT²)]]*Ahu_Ashrae_Generic[[#This Row],[AREA (FT²)]],Ahu_Ashrae_Generic[[#This Row],[EA RATE
(CFM/UNIT)]]*Ahu_Ashrae_Generic[[#This Row],[Exhaust Units]]),0))</f>
        <v>0</v>
      </c>
      <c r="AI9"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9" s="100" cm="1">
        <f t="array" aca="1" ref="AJ9"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9" s="144">
        <f ca="1">Ahu_Ashrae_Generic[[#This Row],[Calculated VAV Max CFM]]</f>
        <v>550</v>
      </c>
      <c r="AL9" s="97" cm="1">
        <f t="array" aca="1" ref="AL9" ca="1">Returnair(Ahu_Ashrae_Generic[[#This Row],[Calculated VAV Max CFM]],Ahu_Ashrae_Generic[[#This Row],[Desired Room Balance]],Ahu_Ashrae_Generic[[#This Row],[Exhausted?]],Ahu_Ashrae_Generic[[#This Row],[Misc Exhaust From Room]])</f>
        <v>550</v>
      </c>
      <c r="AM9" s="97" cm="1">
        <f t="array" aca="1" ref="AM9" ca="1">Exhaustair(Ahu_Ashrae_Generic[[#This Row],[DESIGN VAV MAX SA(CFM)]],Ahu_Ashrae_Generic[[#This Row],[Exhausted?]],Ahu_Ashrae_Generic[[#This Row],[MIN ASHRAE EA
(CFM)]],Ahu_Ashrae_Generic[[#This Row],[Desired Room Balance]],Ahu_Ashrae_Generic[[#This Row],[Misc Exhaust From Room]])</f>
        <v>0</v>
      </c>
      <c r="AN9" s="69">
        <f ca="1">Ahu_Ashrae_Generic[[#This Row],[OUTSIDE AIRFLOW (CFM) (Vot)]]/Ahu_Ashrae_Generic[[#This Row],[DESIGN VAV MAX SA(CFM)]]</f>
        <v>0.10800118264885183</v>
      </c>
    </row>
    <row r="10" spans="1:40" ht="15.6">
      <c r="A10" s="97" t="s">
        <v>102</v>
      </c>
      <c r="B10" s="97">
        <v>102</v>
      </c>
      <c r="C10" s="97" t="s">
        <v>740</v>
      </c>
      <c r="D10" s="97">
        <v>550</v>
      </c>
      <c r="E10" s="97">
        <v>0</v>
      </c>
      <c r="F10" s="97">
        <v>4</v>
      </c>
      <c r="G10" s="116">
        <f>IF((VLOOKUP(Ahu_Ashrae_Generic[[#This Row],[Occupancy Category]],Ashrae90.1Vent[#All],7,FALSE)) = "YES",MROUND(D10/2,5),MROUND(D10,5))</f>
        <v>550</v>
      </c>
      <c r="H10" s="97"/>
      <c r="I10" s="97">
        <v>300</v>
      </c>
      <c r="J10" s="97" t="s">
        <v>48</v>
      </c>
      <c r="K10" s="97" t="s">
        <v>379</v>
      </c>
      <c r="L10" s="99">
        <f>VLOOKUP(Ahu_Ashrae_Generic[[#This Row],[Occupancy Category]],Ashrae90.1Vent[#All],2,FALSE)</f>
        <v>5</v>
      </c>
      <c r="M10" s="99">
        <f>VLOOKUP(Ahu_Ashrae_Generic[[#This Row],[Occupancy Category]],Ashrae90.1Vent[#All],3,FALSE)</f>
        <v>0.06</v>
      </c>
      <c r="N10" s="99">
        <f>VLOOKUP(Ahu_Ashrae_Generic[[#This Row],[Occupancy Category]],Ashrae90.1Vent[#All],4,FALSE)</f>
        <v>5</v>
      </c>
      <c r="O10" s="305">
        <f>Ahu_Ashrae_Generic[[#This Row],[Occupants (Pz)]]*Ahu_Ashrae_Generic[[#This Row],[RP
(CFM/PER PERSON)]]</f>
        <v>15</v>
      </c>
      <c r="P10" s="99">
        <f>Ahu_Ashrae_Generic[[#This Row],[RA
(CFM/FT²)]]*Ahu_Ashrae_Generic[[#This Row],[AREA (FT²)]]</f>
        <v>33</v>
      </c>
      <c r="Q10" s="99">
        <f>VLOOKUP(Ahu_Ashrae_Generic[[#This Row],[Occupancy Category]],Ashrae90.1Vent[#All],5,FALSE)</f>
        <v>1</v>
      </c>
      <c r="R10" s="99">
        <f t="shared" si="0"/>
        <v>3</v>
      </c>
      <c r="S10" s="101">
        <f>IF(($S$1/Ahu_Ashrae_Generic[[#Totals],[Occupants (Pz)]])&gt;1,1,$S$1/Ahu_Ashrae_Generic[[#Totals],[Occupants (Pz)]])</f>
        <v>0.53475935828877008</v>
      </c>
      <c r="T10" s="100">
        <f>(Ahu_Ashrae_Generic[[#This Row],[DIVERSITY (D)]]*Ahu_Ashrae_Generic[[#This Row],[RP
(CFM/PER PERSON)]]*Ahu_Ashrae_Generic[[#This Row],[Occupants (Pz)]])+(Ahu_Ashrae_Generic[[#This Row],[RA
(CFM/FT²)]]*Ahu_Ashrae_Generic[[#This Row],[AREA (FT²)]])</f>
        <v>41.021390374331553</v>
      </c>
      <c r="U10" s="101">
        <f>IF(Ahu_Ashrae_Generic[[#This Row],[DIVERSITY (D)]]&lt;0.6,(0.88*Ahu_Ashrae_Generic[[#This Row],[DIVERSITY (D)]]+0.22),0.75)</f>
        <v>0.69058823529411772</v>
      </c>
      <c r="V10" s="100">
        <f>Ahu_Ashrae_Generic[[#This Row],[Uncorrected OA (Vou)]]/Ahu_Ashrae_Generic[[#This Row],[System Efficiency (Ev)]]</f>
        <v>59.400650456868512</v>
      </c>
      <c r="W10" s="100">
        <f>(Ahu_Ashrae_Generic[[#This Row],[RP
(CFM/PER PERSON)]]*Ahu_Ashrae_Generic[[#This Row],[Occupants (Pz)]])+(Ahu_Ashrae_Generic[[#This Row],[RA
(CFM/FT²)]]*Ahu_Ashrae_Generic[[#This Row],[AREA (FT²)]])</f>
        <v>48</v>
      </c>
      <c r="X10" s="97">
        <v>0.8</v>
      </c>
      <c r="Y10" s="100">
        <f>Ahu_Ashrae_Generic[[#This Row],[Breathing Zone OA (Vbz)]]/Ahu_Ashrae_Generic[[#This Row],[Zone Efficiency (Ez)]]</f>
        <v>60</v>
      </c>
      <c r="Z10" s="291" t="s">
        <v>49</v>
      </c>
      <c r="AA10" s="305" t="str" cm="1">
        <f t="array" aca="1" ref="AA10" ca="1">corequirement(Ahu_Ashrae_Generic[[#This Row],[AREA (FT²)]],Ahu_Ashrae_Generic[[#This Row],[EXHAUST RECOVERY]],INPUT_OUTPUTS!$C$6,Ahu_Ashrae_Generic[[#This Row],[Occupant Component]])</f>
        <v>NO</v>
      </c>
      <c r="AB10" s="100" t="str">
        <f>VLOOKUP(Ahu_Ashrae_Generic[[#This Row],[Occupancy Category]],Ashrae90.1Vent[#All],6,FALSE)</f>
        <v>YES</v>
      </c>
      <c r="AC10" s="100">
        <f ca="1">IF(Ahu_Ashrae_Generic[[#This Row],[CO2 SENSOR]]="YES",IF(Ahu_Ashrae_Generic[[#This Row],[OS]]="NO",Ahu_Ashrae_Generic[[#This Row],[Area Component]],0),IF(Ahu_Ashrae_Generic[[#This Row],[OS]]="YES",Ahu_Ashrae_Generic[[#This Row],[Occupant Component]],Ahu_Ashrae_Generic[[#This Row],[OUTSIDE AIRFLOW (CFM) (Vot)]]))</f>
        <v>15</v>
      </c>
      <c r="AD10" s="144">
        <v>0</v>
      </c>
      <c r="AE10" s="100" t="str">
        <f>IF(Ahu_Ashrae_Generic[[#This Row],[Exhaust Category]] = "NOT APPLICABLE","NR","YES")</f>
        <v>NR</v>
      </c>
      <c r="AF10" s="100" t="str">
        <f>IF(Ahu_Ashrae_Generic[[#This Row],[Exhaust Category]]="NOT APPLICABLE","NA",VLOOKUP(Ahu_Ashrae_Generic[[#This Row],[Exhaust Category]],ASHRAE_EA_Table[#All],2,FALSE))</f>
        <v>NA</v>
      </c>
      <c r="AG10" s="100" t="str">
        <f>IF(Ahu_Ashrae_Generic[[#This Row],[Exhaust Category]]="NOT APPLICABLE","NA",VLOOKUP(Ahu_Ashrae_Generic[[#This Row],[Exhaust Category]],ASHRAE_EA_Table[#All],3,FALSE))</f>
        <v>NA</v>
      </c>
      <c r="AH10" s="99">
        <f>Ahu_Ashrae_Generic[[#This Row],[Misc Exhaust From Room]]+(IFERROR(IF(Ahu_Ashrae_Generic[[#This Row],[EA RATE
(CFM/UNIT)]] = "NA",Ahu_Ashrae_Generic[[#This Row],[EA RATE
(CFM/FT²)]]*Ahu_Ashrae_Generic[[#This Row],[AREA (FT²)]],Ahu_Ashrae_Generic[[#This Row],[EA RATE
(CFM/UNIT)]]*Ahu_Ashrae_Generic[[#This Row],[Exhaust Units]]),0))</f>
        <v>0</v>
      </c>
      <c r="AI10"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10" s="100" cm="1">
        <f t="array" aca="1" ref="AJ10"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0" s="144">
        <f ca="1">Ahu_Ashrae_Generic[[#This Row],[Calculated VAV Max CFM]]</f>
        <v>550</v>
      </c>
      <c r="AL10" s="97" cm="1">
        <f t="array" aca="1" ref="AL10" ca="1">Returnair(Ahu_Ashrae_Generic[[#This Row],[Calculated VAV Max CFM]],Ahu_Ashrae_Generic[[#This Row],[Desired Room Balance]],Ahu_Ashrae_Generic[[#This Row],[Exhausted?]],Ahu_Ashrae_Generic[[#This Row],[Misc Exhaust From Room]])</f>
        <v>550</v>
      </c>
      <c r="AM10" s="97" cm="1">
        <f t="array" aca="1" ref="AM10" ca="1">Exhaustair(Ahu_Ashrae_Generic[[#This Row],[DESIGN VAV MAX SA(CFM)]],Ahu_Ashrae_Generic[[#This Row],[Exhausted?]],Ahu_Ashrae_Generic[[#This Row],[MIN ASHRAE EA
(CFM)]],Ahu_Ashrae_Generic[[#This Row],[Desired Room Balance]],Ahu_Ashrae_Generic[[#This Row],[Misc Exhaust From Room]])</f>
        <v>0</v>
      </c>
      <c r="AN10" s="69">
        <f ca="1">Ahu_Ashrae_Generic[[#This Row],[OUTSIDE AIRFLOW (CFM) (Vot)]]/Ahu_Ashrae_Generic[[#This Row],[DESIGN VAV MAX SA(CFM)]]</f>
        <v>0.10800118264885183</v>
      </c>
    </row>
    <row r="11" spans="1:40" ht="15.6">
      <c r="A11" s="97" t="s">
        <v>102</v>
      </c>
      <c r="B11" s="97">
        <v>102</v>
      </c>
      <c r="C11" s="97" t="s">
        <v>740</v>
      </c>
      <c r="D11" s="97">
        <v>550</v>
      </c>
      <c r="E11" s="97">
        <v>0</v>
      </c>
      <c r="F11" s="97">
        <v>4</v>
      </c>
      <c r="G11" s="116">
        <f>IF((VLOOKUP(Ahu_Ashrae_Generic[[#This Row],[Occupancy Category]],Ashrae90.1Vent[#All],7,FALSE)) = "YES",MROUND(D11/2,5),MROUND(D11,5))</f>
        <v>550</v>
      </c>
      <c r="H11" s="97"/>
      <c r="I11" s="97">
        <v>300</v>
      </c>
      <c r="J11" s="97" t="s">
        <v>48</v>
      </c>
      <c r="K11" s="97" t="s">
        <v>379</v>
      </c>
      <c r="L11" s="99">
        <f>VLOOKUP(Ahu_Ashrae_Generic[[#This Row],[Occupancy Category]],Ashrae90.1Vent[#All],2,FALSE)</f>
        <v>5</v>
      </c>
      <c r="M11" s="99">
        <f>VLOOKUP(Ahu_Ashrae_Generic[[#This Row],[Occupancy Category]],Ashrae90.1Vent[#All],3,FALSE)</f>
        <v>0.06</v>
      </c>
      <c r="N11" s="99">
        <f>VLOOKUP(Ahu_Ashrae_Generic[[#This Row],[Occupancy Category]],Ashrae90.1Vent[#All],4,FALSE)</f>
        <v>5</v>
      </c>
      <c r="O11" s="305">
        <f>Ahu_Ashrae_Generic[[#This Row],[Occupants (Pz)]]*Ahu_Ashrae_Generic[[#This Row],[RP
(CFM/PER PERSON)]]</f>
        <v>15</v>
      </c>
      <c r="P11" s="99">
        <f>Ahu_Ashrae_Generic[[#This Row],[RA
(CFM/FT²)]]*Ahu_Ashrae_Generic[[#This Row],[AREA (FT²)]]</f>
        <v>33</v>
      </c>
      <c r="Q11" s="99">
        <f>VLOOKUP(Ahu_Ashrae_Generic[[#This Row],[Occupancy Category]],Ashrae90.1Vent[#All],5,FALSE)</f>
        <v>1</v>
      </c>
      <c r="R11" s="99">
        <f t="shared" si="0"/>
        <v>3</v>
      </c>
      <c r="S11" s="101">
        <f>IF(($S$1/Ahu_Ashrae_Generic[[#Totals],[Occupants (Pz)]])&gt;1,1,$S$1/Ahu_Ashrae_Generic[[#Totals],[Occupants (Pz)]])</f>
        <v>0.53475935828877008</v>
      </c>
      <c r="T11" s="100">
        <f>(Ahu_Ashrae_Generic[[#This Row],[DIVERSITY (D)]]*Ahu_Ashrae_Generic[[#This Row],[RP
(CFM/PER PERSON)]]*Ahu_Ashrae_Generic[[#This Row],[Occupants (Pz)]])+(Ahu_Ashrae_Generic[[#This Row],[RA
(CFM/FT²)]]*Ahu_Ashrae_Generic[[#This Row],[AREA (FT²)]])</f>
        <v>41.021390374331553</v>
      </c>
      <c r="U11" s="101">
        <f>IF(Ahu_Ashrae_Generic[[#This Row],[DIVERSITY (D)]]&lt;0.6,(0.88*Ahu_Ashrae_Generic[[#This Row],[DIVERSITY (D)]]+0.22),0.75)</f>
        <v>0.69058823529411772</v>
      </c>
      <c r="V11" s="100">
        <f>Ahu_Ashrae_Generic[[#This Row],[Uncorrected OA (Vou)]]/Ahu_Ashrae_Generic[[#This Row],[System Efficiency (Ev)]]</f>
        <v>59.400650456868512</v>
      </c>
      <c r="W11" s="100">
        <f>(Ahu_Ashrae_Generic[[#This Row],[RP
(CFM/PER PERSON)]]*Ahu_Ashrae_Generic[[#This Row],[Occupants (Pz)]])+(Ahu_Ashrae_Generic[[#This Row],[RA
(CFM/FT²)]]*Ahu_Ashrae_Generic[[#This Row],[AREA (FT²)]])</f>
        <v>48</v>
      </c>
      <c r="X11" s="97">
        <v>0.8</v>
      </c>
      <c r="Y11" s="100">
        <f>Ahu_Ashrae_Generic[[#This Row],[Breathing Zone OA (Vbz)]]/Ahu_Ashrae_Generic[[#This Row],[Zone Efficiency (Ez)]]</f>
        <v>60</v>
      </c>
      <c r="Z11" s="291" t="s">
        <v>49</v>
      </c>
      <c r="AA11" s="305" t="str" cm="1">
        <f t="array" aca="1" ref="AA11" ca="1">corequirement(Ahu_Ashrae_Generic[[#This Row],[AREA (FT²)]],Ahu_Ashrae_Generic[[#This Row],[EXHAUST RECOVERY]],INPUT_OUTPUTS!$C$6,Ahu_Ashrae_Generic[[#This Row],[Occupant Component]])</f>
        <v>NO</v>
      </c>
      <c r="AB11" s="100" t="str">
        <f>VLOOKUP(Ahu_Ashrae_Generic[[#This Row],[Occupancy Category]],Ashrae90.1Vent[#All],6,FALSE)</f>
        <v>YES</v>
      </c>
      <c r="AC11" s="100">
        <f ca="1">IF(Ahu_Ashrae_Generic[[#This Row],[CO2 SENSOR]]="YES",IF(Ahu_Ashrae_Generic[[#This Row],[OS]]="NO",Ahu_Ashrae_Generic[[#This Row],[Area Component]],0),IF(Ahu_Ashrae_Generic[[#This Row],[OS]]="YES",Ahu_Ashrae_Generic[[#This Row],[Occupant Component]],Ahu_Ashrae_Generic[[#This Row],[OUTSIDE AIRFLOW (CFM) (Vot)]]))</f>
        <v>15</v>
      </c>
      <c r="AD11" s="144">
        <v>0</v>
      </c>
      <c r="AE11" s="100" t="str">
        <f>IF(Ahu_Ashrae_Generic[[#This Row],[Exhaust Category]] = "NOT APPLICABLE","NR","YES")</f>
        <v>NR</v>
      </c>
      <c r="AF11" s="100" t="str">
        <f>IF(Ahu_Ashrae_Generic[[#This Row],[Exhaust Category]]="NOT APPLICABLE","NA",VLOOKUP(Ahu_Ashrae_Generic[[#This Row],[Exhaust Category]],ASHRAE_EA_Table[#All],2,FALSE))</f>
        <v>NA</v>
      </c>
      <c r="AG11" s="100" t="str">
        <f>IF(Ahu_Ashrae_Generic[[#This Row],[Exhaust Category]]="NOT APPLICABLE","NA",VLOOKUP(Ahu_Ashrae_Generic[[#This Row],[Exhaust Category]],ASHRAE_EA_Table[#All],3,FALSE))</f>
        <v>NA</v>
      </c>
      <c r="AH11" s="99">
        <f>Ahu_Ashrae_Generic[[#This Row],[Misc Exhaust From Room]]+(IFERROR(IF(Ahu_Ashrae_Generic[[#This Row],[EA RATE
(CFM/UNIT)]] = "NA",Ahu_Ashrae_Generic[[#This Row],[EA RATE
(CFM/FT²)]]*Ahu_Ashrae_Generic[[#This Row],[AREA (FT²)]],Ahu_Ashrae_Generic[[#This Row],[EA RATE
(CFM/UNIT)]]*Ahu_Ashrae_Generic[[#This Row],[Exhaust Units]]),0))</f>
        <v>0</v>
      </c>
      <c r="AI11"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J11" s="100" cm="1">
        <f t="array" aca="1" ref="AJ11"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1" s="144">
        <f ca="1">Ahu_Ashrae_Generic[[#This Row],[Calculated VAV Max CFM]]</f>
        <v>550</v>
      </c>
      <c r="AL11" s="97" cm="1">
        <f t="array" aca="1" ref="AL11" ca="1">Returnair(Ahu_Ashrae_Generic[[#This Row],[Calculated VAV Max CFM]],Ahu_Ashrae_Generic[[#This Row],[Desired Room Balance]],Ahu_Ashrae_Generic[[#This Row],[Exhausted?]],Ahu_Ashrae_Generic[[#This Row],[Misc Exhaust From Room]])</f>
        <v>550</v>
      </c>
      <c r="AM11" s="97" cm="1">
        <f t="array" aca="1" ref="AM11" ca="1">Exhaustair(Ahu_Ashrae_Generic[[#This Row],[DESIGN VAV MAX SA(CFM)]],Ahu_Ashrae_Generic[[#This Row],[Exhausted?]],Ahu_Ashrae_Generic[[#This Row],[MIN ASHRAE EA
(CFM)]],Ahu_Ashrae_Generic[[#This Row],[Desired Room Balance]],Ahu_Ashrae_Generic[[#This Row],[Misc Exhaust From Room]])</f>
        <v>0</v>
      </c>
      <c r="AN11" s="69">
        <f ca="1">Ahu_Ashrae_Generic[[#This Row],[OUTSIDE AIRFLOW (CFM) (Vot)]]/Ahu_Ashrae_Generic[[#This Row],[DESIGN VAV MAX SA(CFM)]]</f>
        <v>0.10800118264885183</v>
      </c>
    </row>
    <row r="12" spans="1:40" ht="15.6">
      <c r="A12" s="97" t="s">
        <v>102</v>
      </c>
      <c r="B12" s="97">
        <v>102</v>
      </c>
      <c r="C12" s="97" t="s">
        <v>740</v>
      </c>
      <c r="D12" s="97">
        <v>550</v>
      </c>
      <c r="E12" s="97">
        <v>0</v>
      </c>
      <c r="F12" s="97">
        <v>4</v>
      </c>
      <c r="G12" s="116">
        <f>IF((VLOOKUP(Ahu_Ashrae_Generic[[#This Row],[Occupancy Category]],Ashrae90.1Vent[#All],7,FALSE)) = "YES",MROUND(D12/2,5),MROUND(D12,5))</f>
        <v>550</v>
      </c>
      <c r="H12" s="97"/>
      <c r="I12" s="97">
        <v>300</v>
      </c>
      <c r="J12" s="97" t="s">
        <v>48</v>
      </c>
      <c r="K12" s="97" t="s">
        <v>75</v>
      </c>
      <c r="L12" s="99">
        <f>VLOOKUP(Ahu_Ashrae_Generic[[#This Row],[Occupancy Category]],Ashrae90.1Vent[#All],2,FALSE)</f>
        <v>5</v>
      </c>
      <c r="M12" s="99">
        <f>VLOOKUP(Ahu_Ashrae_Generic[[#This Row],[Occupancy Category]],Ashrae90.1Vent[#All],3,FALSE)</f>
        <v>0.06</v>
      </c>
      <c r="N12" s="99">
        <f>VLOOKUP(Ahu_Ashrae_Generic[[#This Row],[Occupancy Category]],Ashrae90.1Vent[#All],4,FALSE)</f>
        <v>50</v>
      </c>
      <c r="O12" s="305">
        <f>Ahu_Ashrae_Generic[[#This Row],[Occupants (Pz)]]*Ahu_Ashrae_Generic[[#This Row],[RP
(CFM/PER PERSON)]]</f>
        <v>140</v>
      </c>
      <c r="P12" s="99">
        <f>Ahu_Ashrae_Generic[[#This Row],[RA
(CFM/FT²)]]*Ahu_Ashrae_Generic[[#This Row],[AREA (FT²)]]</f>
        <v>33</v>
      </c>
      <c r="Q12" s="99">
        <f>VLOOKUP(Ahu_Ashrae_Generic[[#This Row],[Occupancy Category]],Ashrae90.1Vent[#All],5,FALSE)</f>
        <v>1</v>
      </c>
      <c r="R12" s="99">
        <f t="shared" si="0"/>
        <v>28</v>
      </c>
      <c r="S12" s="101">
        <f>IF(($S$1/Ahu_Ashrae_Generic[[#Totals],[Occupants (Pz)]])&gt;1,1,$S$1/Ahu_Ashrae_Generic[[#Totals],[Occupants (Pz)]])</f>
        <v>0.53475935828877008</v>
      </c>
      <c r="T12" s="100">
        <f>(Ahu_Ashrae_Generic[[#This Row],[DIVERSITY (D)]]*Ahu_Ashrae_Generic[[#This Row],[RP
(CFM/PER PERSON)]]*Ahu_Ashrae_Generic[[#This Row],[Occupants (Pz)]])+(Ahu_Ashrae_Generic[[#This Row],[RA
(CFM/FT²)]]*Ahu_Ashrae_Generic[[#This Row],[AREA (FT²)]])</f>
        <v>107.86631016042782</v>
      </c>
      <c r="U12" s="101">
        <f>IF(Ahu_Ashrae_Generic[[#This Row],[DIVERSITY (D)]]&lt;0.6,(0.88*Ahu_Ashrae_Generic[[#This Row],[DIVERSITY (D)]]+0.22),0.75)</f>
        <v>0.69058823529411772</v>
      </c>
      <c r="V12" s="100">
        <f>Ahu_Ashrae_Generic[[#This Row],[Uncorrected OA (Vou)]]/Ahu_Ashrae_Generic[[#This Row],[System Efficiency (Ev)]]</f>
        <v>156.19482731918848</v>
      </c>
      <c r="W12" s="100">
        <f>(Ahu_Ashrae_Generic[[#This Row],[RP
(CFM/PER PERSON)]]*Ahu_Ashrae_Generic[[#This Row],[Occupants (Pz)]])+(Ahu_Ashrae_Generic[[#This Row],[RA
(CFM/FT²)]]*Ahu_Ashrae_Generic[[#This Row],[AREA (FT²)]])</f>
        <v>173</v>
      </c>
      <c r="X12" s="97">
        <v>0.8</v>
      </c>
      <c r="Y12" s="100">
        <f>Ahu_Ashrae_Generic[[#This Row],[Breathing Zone OA (Vbz)]]/Ahu_Ashrae_Generic[[#This Row],[Zone Efficiency (Ez)]]</f>
        <v>216.25</v>
      </c>
      <c r="Z12" s="291" t="s">
        <v>49</v>
      </c>
      <c r="AA12" s="305" t="str" cm="1">
        <f t="array" aca="1" ref="AA12" ca="1">corequirement(Ahu_Ashrae_Generic[[#This Row],[AREA (FT²)]],Ahu_Ashrae_Generic[[#This Row],[EXHAUST RECOVERY]],INPUT_OUTPUTS!$C$6,Ahu_Ashrae_Generic[[#This Row],[Occupant Component]])</f>
        <v>NO</v>
      </c>
      <c r="AB12" s="100" t="str">
        <f>VLOOKUP(Ahu_Ashrae_Generic[[#This Row],[Occupancy Category]],Ashrae90.1Vent[#All],6,FALSE)</f>
        <v>YES</v>
      </c>
      <c r="AC12" s="100">
        <f ca="1">IF(Ahu_Ashrae_Generic[[#This Row],[CO2 SENSOR]]="YES",IF(Ahu_Ashrae_Generic[[#This Row],[OS]]="NO",Ahu_Ashrae_Generic[[#This Row],[Area Component]],0),IF(Ahu_Ashrae_Generic[[#This Row],[OS]]="YES",Ahu_Ashrae_Generic[[#This Row],[Occupant Component]],Ahu_Ashrae_Generic[[#This Row],[OUTSIDE AIRFLOW (CFM) (Vot)]]))</f>
        <v>140</v>
      </c>
      <c r="AD12" s="144">
        <v>0</v>
      </c>
      <c r="AE12" s="100" t="str">
        <f>IF(Ahu_Ashrae_Generic[[#This Row],[Exhaust Category]] = "NOT APPLICABLE","NR","YES")</f>
        <v>NR</v>
      </c>
      <c r="AF12" s="100" t="str">
        <f>IF(Ahu_Ashrae_Generic[[#This Row],[Exhaust Category]]="NOT APPLICABLE","NA",VLOOKUP(Ahu_Ashrae_Generic[[#This Row],[Exhaust Category]],ASHRAE_EA_Table[#All],2,FALSE))</f>
        <v>NA</v>
      </c>
      <c r="AG12" s="100" t="str">
        <f>IF(Ahu_Ashrae_Generic[[#This Row],[Exhaust Category]]="NOT APPLICABLE","NA",VLOOKUP(Ahu_Ashrae_Generic[[#This Row],[Exhaust Category]],ASHRAE_EA_Table[#All],3,FALSE))</f>
        <v>NA</v>
      </c>
      <c r="AH12" s="99">
        <f>Ahu_Ashrae_Generic[[#This Row],[Misc Exhaust From Room]]+(IFERROR(IF(Ahu_Ashrae_Generic[[#This Row],[EA RATE
(CFM/UNIT)]] = "NA",Ahu_Ashrae_Generic[[#This Row],[EA RATE
(CFM/FT²)]]*Ahu_Ashrae_Generic[[#This Row],[AREA (FT²)]],Ahu_Ashrae_Generic[[#This Row],[EA RATE
(CFM/UNIT)]]*Ahu_Ashrae_Generic[[#This Row],[Exhaust Units]]),0))</f>
        <v>0</v>
      </c>
      <c r="AI12"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2" s="100" cm="1">
        <f t="array" aca="1" ref="AJ12"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2" s="144">
        <f ca="1">Ahu_Ashrae_Generic[[#This Row],[Calculated VAV Max CFM]]</f>
        <v>550</v>
      </c>
      <c r="AL12" s="97" cm="1">
        <f t="array" aca="1" ref="AL12" ca="1">Returnair(Ahu_Ashrae_Generic[[#This Row],[Calculated VAV Max CFM]],Ahu_Ashrae_Generic[[#This Row],[Desired Room Balance]],Ahu_Ashrae_Generic[[#This Row],[Exhausted?]],Ahu_Ashrae_Generic[[#This Row],[Misc Exhaust From Room]])</f>
        <v>550</v>
      </c>
      <c r="AM12" s="97" cm="1">
        <f t="array" aca="1" ref="AM12" ca="1">Exhaustair(Ahu_Ashrae_Generic[[#This Row],[DESIGN VAV MAX SA(CFM)]],Ahu_Ashrae_Generic[[#This Row],[Exhausted?]],Ahu_Ashrae_Generic[[#This Row],[MIN ASHRAE EA
(CFM)]],Ahu_Ashrae_Generic[[#This Row],[Desired Room Balance]],Ahu_Ashrae_Generic[[#This Row],[Misc Exhaust From Room]])</f>
        <v>0</v>
      </c>
      <c r="AN12" s="69">
        <f ca="1">Ahu_Ashrae_Generic[[#This Row],[OUTSIDE AIRFLOW (CFM) (Vot)]]/Ahu_Ashrae_Generic[[#This Row],[DESIGN VAV MAX SA(CFM)]]</f>
        <v>0.28399059512579722</v>
      </c>
    </row>
    <row r="13" spans="1:40" ht="15.6">
      <c r="A13" s="97" t="s">
        <v>102</v>
      </c>
      <c r="B13" s="97">
        <v>102</v>
      </c>
      <c r="C13" s="97" t="s">
        <v>740</v>
      </c>
      <c r="D13" s="97">
        <v>550</v>
      </c>
      <c r="E13" s="97">
        <v>0</v>
      </c>
      <c r="F13" s="97">
        <v>4</v>
      </c>
      <c r="G13" s="116">
        <f>IF((VLOOKUP(Ahu_Ashrae_Generic[[#This Row],[Occupancy Category]],Ashrae90.1Vent[#All],7,FALSE)) = "YES",MROUND(D13/2,5),MROUND(D13,5))</f>
        <v>550</v>
      </c>
      <c r="H13" s="97"/>
      <c r="I13" s="97">
        <v>300</v>
      </c>
      <c r="J13" s="97" t="s">
        <v>48</v>
      </c>
      <c r="K13" s="97" t="s">
        <v>75</v>
      </c>
      <c r="L13" s="99">
        <f>VLOOKUP(Ahu_Ashrae_Generic[[#This Row],[Occupancy Category]],Ashrae90.1Vent[#All],2,FALSE)</f>
        <v>5</v>
      </c>
      <c r="M13" s="99">
        <f>VLOOKUP(Ahu_Ashrae_Generic[[#This Row],[Occupancy Category]],Ashrae90.1Vent[#All],3,FALSE)</f>
        <v>0.06</v>
      </c>
      <c r="N13" s="99">
        <f>VLOOKUP(Ahu_Ashrae_Generic[[#This Row],[Occupancy Category]],Ashrae90.1Vent[#All],4,FALSE)</f>
        <v>50</v>
      </c>
      <c r="O13" s="305">
        <f>Ahu_Ashrae_Generic[[#This Row],[Occupants (Pz)]]*Ahu_Ashrae_Generic[[#This Row],[RP
(CFM/PER PERSON)]]</f>
        <v>140</v>
      </c>
      <c r="P13" s="99">
        <f>Ahu_Ashrae_Generic[[#This Row],[RA
(CFM/FT²)]]*Ahu_Ashrae_Generic[[#This Row],[AREA (FT²)]]</f>
        <v>33</v>
      </c>
      <c r="Q13" s="99">
        <f>VLOOKUP(Ahu_Ashrae_Generic[[#This Row],[Occupancy Category]],Ashrae90.1Vent[#All],5,FALSE)</f>
        <v>1</v>
      </c>
      <c r="R13" s="99">
        <f t="shared" si="0"/>
        <v>28</v>
      </c>
      <c r="S13" s="101">
        <f>IF(($S$1/Ahu_Ashrae_Generic[[#Totals],[Occupants (Pz)]])&gt;1,1,$S$1/Ahu_Ashrae_Generic[[#Totals],[Occupants (Pz)]])</f>
        <v>0.53475935828877008</v>
      </c>
      <c r="T13" s="100">
        <f>(Ahu_Ashrae_Generic[[#This Row],[DIVERSITY (D)]]*Ahu_Ashrae_Generic[[#This Row],[RP
(CFM/PER PERSON)]]*Ahu_Ashrae_Generic[[#This Row],[Occupants (Pz)]])+(Ahu_Ashrae_Generic[[#This Row],[RA
(CFM/FT²)]]*Ahu_Ashrae_Generic[[#This Row],[AREA (FT²)]])</f>
        <v>107.86631016042782</v>
      </c>
      <c r="U13" s="101">
        <f>IF(Ahu_Ashrae_Generic[[#This Row],[DIVERSITY (D)]]&lt;0.6,(0.88*Ahu_Ashrae_Generic[[#This Row],[DIVERSITY (D)]]+0.22),0.75)</f>
        <v>0.69058823529411772</v>
      </c>
      <c r="V13" s="100">
        <f>Ahu_Ashrae_Generic[[#This Row],[Uncorrected OA (Vou)]]/Ahu_Ashrae_Generic[[#This Row],[System Efficiency (Ev)]]</f>
        <v>156.19482731918848</v>
      </c>
      <c r="W13" s="100">
        <f>(Ahu_Ashrae_Generic[[#This Row],[RP
(CFM/PER PERSON)]]*Ahu_Ashrae_Generic[[#This Row],[Occupants (Pz)]])+(Ahu_Ashrae_Generic[[#This Row],[RA
(CFM/FT²)]]*Ahu_Ashrae_Generic[[#This Row],[AREA (FT²)]])</f>
        <v>173</v>
      </c>
      <c r="X13" s="97">
        <v>0.8</v>
      </c>
      <c r="Y13" s="100">
        <f>Ahu_Ashrae_Generic[[#This Row],[Breathing Zone OA (Vbz)]]/Ahu_Ashrae_Generic[[#This Row],[Zone Efficiency (Ez)]]</f>
        <v>216.25</v>
      </c>
      <c r="Z13" s="291" t="s">
        <v>49</v>
      </c>
      <c r="AA13" s="305" t="str" cm="1">
        <f t="array" aca="1" ref="AA13" ca="1">corequirement(Ahu_Ashrae_Generic[[#This Row],[AREA (FT²)]],Ahu_Ashrae_Generic[[#This Row],[EXHAUST RECOVERY]],INPUT_OUTPUTS!$C$6,Ahu_Ashrae_Generic[[#This Row],[Occupant Component]])</f>
        <v>NO</v>
      </c>
      <c r="AB13" s="100" t="str">
        <f>VLOOKUP(Ahu_Ashrae_Generic[[#This Row],[Occupancy Category]],Ashrae90.1Vent[#All],6,FALSE)</f>
        <v>YES</v>
      </c>
      <c r="AC13" s="100">
        <f ca="1">IF(Ahu_Ashrae_Generic[[#This Row],[CO2 SENSOR]]="YES",IF(Ahu_Ashrae_Generic[[#This Row],[OS]]="NO",Ahu_Ashrae_Generic[[#This Row],[Area Component]],0),IF(Ahu_Ashrae_Generic[[#This Row],[OS]]="YES",Ahu_Ashrae_Generic[[#This Row],[Occupant Component]],Ahu_Ashrae_Generic[[#This Row],[OUTSIDE AIRFLOW (CFM) (Vot)]]))</f>
        <v>140</v>
      </c>
      <c r="AD13" s="144">
        <v>0</v>
      </c>
      <c r="AE13" s="100" t="str">
        <f>IF(Ahu_Ashrae_Generic[[#This Row],[Exhaust Category]] = "NOT APPLICABLE","NR","YES")</f>
        <v>NR</v>
      </c>
      <c r="AF13" s="100" t="str">
        <f>IF(Ahu_Ashrae_Generic[[#This Row],[Exhaust Category]]="NOT APPLICABLE","NA",VLOOKUP(Ahu_Ashrae_Generic[[#This Row],[Exhaust Category]],ASHRAE_EA_Table[#All],2,FALSE))</f>
        <v>NA</v>
      </c>
      <c r="AG13" s="100" t="str">
        <f>IF(Ahu_Ashrae_Generic[[#This Row],[Exhaust Category]]="NOT APPLICABLE","NA",VLOOKUP(Ahu_Ashrae_Generic[[#This Row],[Exhaust Category]],ASHRAE_EA_Table[#All],3,FALSE))</f>
        <v>NA</v>
      </c>
      <c r="AH13" s="99">
        <f>Ahu_Ashrae_Generic[[#This Row],[Misc Exhaust From Room]]+(IFERROR(IF(Ahu_Ashrae_Generic[[#This Row],[EA RATE
(CFM/UNIT)]] = "NA",Ahu_Ashrae_Generic[[#This Row],[EA RATE
(CFM/FT²)]]*Ahu_Ashrae_Generic[[#This Row],[AREA (FT²)]],Ahu_Ashrae_Generic[[#This Row],[EA RATE
(CFM/UNIT)]]*Ahu_Ashrae_Generic[[#This Row],[Exhaust Units]]),0))</f>
        <v>0</v>
      </c>
      <c r="AI13"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3" s="100" cm="1">
        <f t="array" aca="1" ref="AJ13"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3" s="144">
        <f ca="1">Ahu_Ashrae_Generic[[#This Row],[Calculated VAV Max CFM]]</f>
        <v>550</v>
      </c>
      <c r="AL13" s="97" cm="1">
        <f t="array" aca="1" ref="AL13" ca="1">Returnair(Ahu_Ashrae_Generic[[#This Row],[Calculated VAV Max CFM]],Ahu_Ashrae_Generic[[#This Row],[Desired Room Balance]],Ahu_Ashrae_Generic[[#This Row],[Exhausted?]],Ahu_Ashrae_Generic[[#This Row],[Misc Exhaust From Room]])</f>
        <v>550</v>
      </c>
      <c r="AM13" s="97" cm="1">
        <f t="array" aca="1" ref="AM13" ca="1">Exhaustair(Ahu_Ashrae_Generic[[#This Row],[DESIGN VAV MAX SA(CFM)]],Ahu_Ashrae_Generic[[#This Row],[Exhausted?]],Ahu_Ashrae_Generic[[#This Row],[MIN ASHRAE EA
(CFM)]],Ahu_Ashrae_Generic[[#This Row],[Desired Room Balance]],Ahu_Ashrae_Generic[[#This Row],[Misc Exhaust From Room]])</f>
        <v>0</v>
      </c>
      <c r="AN13" s="69">
        <f ca="1">Ahu_Ashrae_Generic[[#This Row],[OUTSIDE AIRFLOW (CFM) (Vot)]]/Ahu_Ashrae_Generic[[#This Row],[DESIGN VAV MAX SA(CFM)]]</f>
        <v>0.28399059512579722</v>
      </c>
    </row>
    <row r="14" spans="1:40" ht="15.6">
      <c r="A14" s="97" t="s">
        <v>102</v>
      </c>
      <c r="B14" s="97">
        <v>102</v>
      </c>
      <c r="C14" s="97" t="s">
        <v>740</v>
      </c>
      <c r="D14" s="97">
        <v>550</v>
      </c>
      <c r="E14" s="97">
        <v>0</v>
      </c>
      <c r="F14" s="97">
        <v>4</v>
      </c>
      <c r="G14" s="116">
        <f>IF((VLOOKUP(Ahu_Ashrae_Generic[[#This Row],[Occupancy Category]],Ashrae90.1Vent[#All],7,FALSE)) = "YES",MROUND(D14/2,5),MROUND(D14,5))</f>
        <v>550</v>
      </c>
      <c r="H14" s="97"/>
      <c r="I14" s="97">
        <v>300</v>
      </c>
      <c r="J14" s="97" t="s">
        <v>48</v>
      </c>
      <c r="K14" s="97" t="s">
        <v>75</v>
      </c>
      <c r="L14" s="99">
        <f>VLOOKUP(Ahu_Ashrae_Generic[[#This Row],[Occupancy Category]],Ashrae90.1Vent[#All],2,FALSE)</f>
        <v>5</v>
      </c>
      <c r="M14" s="99">
        <f>VLOOKUP(Ahu_Ashrae_Generic[[#This Row],[Occupancy Category]],Ashrae90.1Vent[#All],3,FALSE)</f>
        <v>0.06</v>
      </c>
      <c r="N14" s="99">
        <f>VLOOKUP(Ahu_Ashrae_Generic[[#This Row],[Occupancy Category]],Ashrae90.1Vent[#All],4,FALSE)</f>
        <v>50</v>
      </c>
      <c r="O14" s="305">
        <f>Ahu_Ashrae_Generic[[#This Row],[Occupants (Pz)]]*Ahu_Ashrae_Generic[[#This Row],[RP
(CFM/PER PERSON)]]</f>
        <v>140</v>
      </c>
      <c r="P14" s="99">
        <f>Ahu_Ashrae_Generic[[#This Row],[RA
(CFM/FT²)]]*Ahu_Ashrae_Generic[[#This Row],[AREA (FT²)]]</f>
        <v>33</v>
      </c>
      <c r="Q14" s="99">
        <f>VLOOKUP(Ahu_Ashrae_Generic[[#This Row],[Occupancy Category]],Ashrae90.1Vent[#All],5,FALSE)</f>
        <v>1</v>
      </c>
      <c r="R14" s="99">
        <f t="shared" si="0"/>
        <v>28</v>
      </c>
      <c r="S14" s="101">
        <f>IF(($S$1/Ahu_Ashrae_Generic[[#Totals],[Occupants (Pz)]])&gt;1,1,$S$1/Ahu_Ashrae_Generic[[#Totals],[Occupants (Pz)]])</f>
        <v>0.53475935828877008</v>
      </c>
      <c r="T14" s="100">
        <f>(Ahu_Ashrae_Generic[[#This Row],[DIVERSITY (D)]]*Ahu_Ashrae_Generic[[#This Row],[RP
(CFM/PER PERSON)]]*Ahu_Ashrae_Generic[[#This Row],[Occupants (Pz)]])+(Ahu_Ashrae_Generic[[#This Row],[RA
(CFM/FT²)]]*Ahu_Ashrae_Generic[[#This Row],[AREA (FT²)]])</f>
        <v>107.86631016042782</v>
      </c>
      <c r="U14" s="101">
        <f>IF(Ahu_Ashrae_Generic[[#This Row],[DIVERSITY (D)]]&lt;0.6,(0.88*Ahu_Ashrae_Generic[[#This Row],[DIVERSITY (D)]]+0.22),0.75)</f>
        <v>0.69058823529411772</v>
      </c>
      <c r="V14" s="100">
        <f>Ahu_Ashrae_Generic[[#This Row],[Uncorrected OA (Vou)]]/Ahu_Ashrae_Generic[[#This Row],[System Efficiency (Ev)]]</f>
        <v>156.19482731918848</v>
      </c>
      <c r="W14" s="100">
        <f>(Ahu_Ashrae_Generic[[#This Row],[RP
(CFM/PER PERSON)]]*Ahu_Ashrae_Generic[[#This Row],[Occupants (Pz)]])+(Ahu_Ashrae_Generic[[#This Row],[RA
(CFM/FT²)]]*Ahu_Ashrae_Generic[[#This Row],[AREA (FT²)]])</f>
        <v>173</v>
      </c>
      <c r="X14" s="97">
        <v>0.8</v>
      </c>
      <c r="Y14" s="100">
        <f>Ahu_Ashrae_Generic[[#This Row],[Breathing Zone OA (Vbz)]]/Ahu_Ashrae_Generic[[#This Row],[Zone Efficiency (Ez)]]</f>
        <v>216.25</v>
      </c>
      <c r="Z14" s="291" t="s">
        <v>49</v>
      </c>
      <c r="AA14" s="305" t="str" cm="1">
        <f t="array" aca="1" ref="AA14" ca="1">corequirement(Ahu_Ashrae_Generic[[#This Row],[AREA (FT²)]],Ahu_Ashrae_Generic[[#This Row],[EXHAUST RECOVERY]],INPUT_OUTPUTS!$C$6,Ahu_Ashrae_Generic[[#This Row],[Occupant Component]])</f>
        <v>NO</v>
      </c>
      <c r="AB14" s="100" t="str">
        <f>VLOOKUP(Ahu_Ashrae_Generic[[#This Row],[Occupancy Category]],Ashrae90.1Vent[#All],6,FALSE)</f>
        <v>YES</v>
      </c>
      <c r="AC14" s="100">
        <f ca="1">IF(Ahu_Ashrae_Generic[[#This Row],[CO2 SENSOR]]="YES",IF(Ahu_Ashrae_Generic[[#This Row],[OS]]="NO",Ahu_Ashrae_Generic[[#This Row],[Area Component]],0),IF(Ahu_Ashrae_Generic[[#This Row],[OS]]="YES",Ahu_Ashrae_Generic[[#This Row],[Occupant Component]],Ahu_Ashrae_Generic[[#This Row],[OUTSIDE AIRFLOW (CFM) (Vot)]]))</f>
        <v>140</v>
      </c>
      <c r="AD14" s="144">
        <v>0</v>
      </c>
      <c r="AE14" s="100" t="str">
        <f>IF(Ahu_Ashrae_Generic[[#This Row],[Exhaust Category]] = "NOT APPLICABLE","NR","YES")</f>
        <v>NR</v>
      </c>
      <c r="AF14" s="100" t="str">
        <f>IF(Ahu_Ashrae_Generic[[#This Row],[Exhaust Category]]="NOT APPLICABLE","NA",VLOOKUP(Ahu_Ashrae_Generic[[#This Row],[Exhaust Category]],ASHRAE_EA_Table[#All],2,FALSE))</f>
        <v>NA</v>
      </c>
      <c r="AG14" s="100" t="str">
        <f>IF(Ahu_Ashrae_Generic[[#This Row],[Exhaust Category]]="NOT APPLICABLE","NA",VLOOKUP(Ahu_Ashrae_Generic[[#This Row],[Exhaust Category]],ASHRAE_EA_Table[#All],3,FALSE))</f>
        <v>NA</v>
      </c>
      <c r="AH14" s="99">
        <f>Ahu_Ashrae_Generic[[#This Row],[Misc Exhaust From Room]]+(IFERROR(IF(Ahu_Ashrae_Generic[[#This Row],[EA RATE
(CFM/UNIT)]] = "NA",Ahu_Ashrae_Generic[[#This Row],[EA RATE
(CFM/FT²)]]*Ahu_Ashrae_Generic[[#This Row],[AREA (FT²)]],Ahu_Ashrae_Generic[[#This Row],[EA RATE
(CFM/UNIT)]]*Ahu_Ashrae_Generic[[#This Row],[Exhaust Units]]),0))</f>
        <v>0</v>
      </c>
      <c r="AI14"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4" s="100" cm="1">
        <f t="array" aca="1" ref="AJ14"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4" s="144">
        <f ca="1">Ahu_Ashrae_Generic[[#This Row],[Calculated VAV Max CFM]]</f>
        <v>550</v>
      </c>
      <c r="AL14" s="97" cm="1">
        <f t="array" aca="1" ref="AL14" ca="1">Returnair(Ahu_Ashrae_Generic[[#This Row],[Calculated VAV Max CFM]],Ahu_Ashrae_Generic[[#This Row],[Desired Room Balance]],Ahu_Ashrae_Generic[[#This Row],[Exhausted?]],Ahu_Ashrae_Generic[[#This Row],[Misc Exhaust From Room]])</f>
        <v>550</v>
      </c>
      <c r="AM14" s="97" cm="1">
        <f t="array" aca="1" ref="AM14" ca="1">Exhaustair(Ahu_Ashrae_Generic[[#This Row],[DESIGN VAV MAX SA(CFM)]],Ahu_Ashrae_Generic[[#This Row],[Exhausted?]],Ahu_Ashrae_Generic[[#This Row],[MIN ASHRAE EA
(CFM)]],Ahu_Ashrae_Generic[[#This Row],[Desired Room Balance]],Ahu_Ashrae_Generic[[#This Row],[Misc Exhaust From Room]])</f>
        <v>0</v>
      </c>
      <c r="AN14" s="69">
        <f ca="1">Ahu_Ashrae_Generic[[#This Row],[OUTSIDE AIRFLOW (CFM) (Vot)]]/Ahu_Ashrae_Generic[[#This Row],[DESIGN VAV MAX SA(CFM)]]</f>
        <v>0.28399059512579722</v>
      </c>
    </row>
    <row r="15" spans="1:40" ht="15.6">
      <c r="A15" s="97" t="s">
        <v>102</v>
      </c>
      <c r="B15" s="97">
        <v>102</v>
      </c>
      <c r="C15" s="97" t="s">
        <v>740</v>
      </c>
      <c r="D15" s="97">
        <v>550</v>
      </c>
      <c r="E15" s="97">
        <v>0</v>
      </c>
      <c r="F15" s="97">
        <v>4</v>
      </c>
      <c r="G15" s="116">
        <f>IF((VLOOKUP(Ahu_Ashrae_Generic[[#This Row],[Occupancy Category]],Ashrae90.1Vent[#All],7,FALSE)) = "YES",MROUND(D15/2,5),MROUND(D15,5))</f>
        <v>550</v>
      </c>
      <c r="H15" s="97"/>
      <c r="I15" s="97">
        <v>300</v>
      </c>
      <c r="J15" s="97" t="s">
        <v>48</v>
      </c>
      <c r="K15" s="97" t="s">
        <v>75</v>
      </c>
      <c r="L15" s="99">
        <f>VLOOKUP(Ahu_Ashrae_Generic[[#This Row],[Occupancy Category]],Ashrae90.1Vent[#All],2,FALSE)</f>
        <v>5</v>
      </c>
      <c r="M15" s="99">
        <f>VLOOKUP(Ahu_Ashrae_Generic[[#This Row],[Occupancy Category]],Ashrae90.1Vent[#All],3,FALSE)</f>
        <v>0.06</v>
      </c>
      <c r="N15" s="99">
        <f>VLOOKUP(Ahu_Ashrae_Generic[[#This Row],[Occupancy Category]],Ashrae90.1Vent[#All],4,FALSE)</f>
        <v>50</v>
      </c>
      <c r="O15" s="305">
        <f>Ahu_Ashrae_Generic[[#This Row],[Occupants (Pz)]]*Ahu_Ashrae_Generic[[#This Row],[RP
(CFM/PER PERSON)]]</f>
        <v>140</v>
      </c>
      <c r="P15" s="99">
        <f>Ahu_Ashrae_Generic[[#This Row],[RA
(CFM/FT²)]]*Ahu_Ashrae_Generic[[#This Row],[AREA (FT²)]]</f>
        <v>33</v>
      </c>
      <c r="Q15" s="99">
        <f>VLOOKUP(Ahu_Ashrae_Generic[[#This Row],[Occupancy Category]],Ashrae90.1Vent[#All],5,FALSE)</f>
        <v>1</v>
      </c>
      <c r="R15" s="99">
        <f t="shared" si="0"/>
        <v>28</v>
      </c>
      <c r="S15" s="101">
        <f>IF(($S$1/Ahu_Ashrae_Generic[[#Totals],[Occupants (Pz)]])&gt;1,1,$S$1/Ahu_Ashrae_Generic[[#Totals],[Occupants (Pz)]])</f>
        <v>0.53475935828877008</v>
      </c>
      <c r="T15" s="100">
        <f>(Ahu_Ashrae_Generic[[#This Row],[DIVERSITY (D)]]*Ahu_Ashrae_Generic[[#This Row],[RP
(CFM/PER PERSON)]]*Ahu_Ashrae_Generic[[#This Row],[Occupants (Pz)]])+(Ahu_Ashrae_Generic[[#This Row],[RA
(CFM/FT²)]]*Ahu_Ashrae_Generic[[#This Row],[AREA (FT²)]])</f>
        <v>107.86631016042782</v>
      </c>
      <c r="U15" s="101">
        <f>IF(Ahu_Ashrae_Generic[[#This Row],[DIVERSITY (D)]]&lt;0.6,(0.88*Ahu_Ashrae_Generic[[#This Row],[DIVERSITY (D)]]+0.22),0.75)</f>
        <v>0.69058823529411772</v>
      </c>
      <c r="V15" s="100">
        <f>Ahu_Ashrae_Generic[[#This Row],[Uncorrected OA (Vou)]]/Ahu_Ashrae_Generic[[#This Row],[System Efficiency (Ev)]]</f>
        <v>156.19482731918848</v>
      </c>
      <c r="W15" s="100">
        <f>(Ahu_Ashrae_Generic[[#This Row],[RP
(CFM/PER PERSON)]]*Ahu_Ashrae_Generic[[#This Row],[Occupants (Pz)]])+(Ahu_Ashrae_Generic[[#This Row],[RA
(CFM/FT²)]]*Ahu_Ashrae_Generic[[#This Row],[AREA (FT²)]])</f>
        <v>173</v>
      </c>
      <c r="X15" s="97">
        <v>0.8</v>
      </c>
      <c r="Y15" s="100">
        <f>Ahu_Ashrae_Generic[[#This Row],[Breathing Zone OA (Vbz)]]/Ahu_Ashrae_Generic[[#This Row],[Zone Efficiency (Ez)]]</f>
        <v>216.25</v>
      </c>
      <c r="Z15" s="291" t="s">
        <v>49</v>
      </c>
      <c r="AA15" s="305" t="str" cm="1">
        <f t="array" aca="1" ref="AA15" ca="1">corequirement(Ahu_Ashrae_Generic[[#This Row],[AREA (FT²)]],Ahu_Ashrae_Generic[[#This Row],[EXHAUST RECOVERY]],INPUT_OUTPUTS!$C$6,Ahu_Ashrae_Generic[[#This Row],[Occupant Component]])</f>
        <v>NO</v>
      </c>
      <c r="AB15" s="100" t="str">
        <f>VLOOKUP(Ahu_Ashrae_Generic[[#This Row],[Occupancy Category]],Ashrae90.1Vent[#All],6,FALSE)</f>
        <v>YES</v>
      </c>
      <c r="AC15" s="100">
        <f ca="1">IF(Ahu_Ashrae_Generic[[#This Row],[CO2 SENSOR]]="YES",IF(Ahu_Ashrae_Generic[[#This Row],[OS]]="NO",Ahu_Ashrae_Generic[[#This Row],[Area Component]],0),IF(Ahu_Ashrae_Generic[[#This Row],[OS]]="YES",Ahu_Ashrae_Generic[[#This Row],[Occupant Component]],Ahu_Ashrae_Generic[[#This Row],[OUTSIDE AIRFLOW (CFM) (Vot)]]))</f>
        <v>140</v>
      </c>
      <c r="AD15" s="144">
        <v>0</v>
      </c>
      <c r="AE15" s="100" t="str">
        <f>IF(Ahu_Ashrae_Generic[[#This Row],[Exhaust Category]] = "NOT APPLICABLE","NR","YES")</f>
        <v>NR</v>
      </c>
      <c r="AF15" s="100" t="str">
        <f>IF(Ahu_Ashrae_Generic[[#This Row],[Exhaust Category]]="NOT APPLICABLE","NA",VLOOKUP(Ahu_Ashrae_Generic[[#This Row],[Exhaust Category]],ASHRAE_EA_Table[#All],2,FALSE))</f>
        <v>NA</v>
      </c>
      <c r="AG15" s="100" t="str">
        <f>IF(Ahu_Ashrae_Generic[[#This Row],[Exhaust Category]]="NOT APPLICABLE","NA",VLOOKUP(Ahu_Ashrae_Generic[[#This Row],[Exhaust Category]],ASHRAE_EA_Table[#All],3,FALSE))</f>
        <v>NA</v>
      </c>
      <c r="AH15" s="99">
        <f>Ahu_Ashrae_Generic[[#This Row],[Misc Exhaust From Room]]+(IFERROR(IF(Ahu_Ashrae_Generic[[#This Row],[EA RATE
(CFM/UNIT)]] = "NA",Ahu_Ashrae_Generic[[#This Row],[EA RATE
(CFM/FT²)]]*Ahu_Ashrae_Generic[[#This Row],[AREA (FT²)]],Ahu_Ashrae_Generic[[#This Row],[EA RATE
(CFM/UNIT)]]*Ahu_Ashrae_Generic[[#This Row],[Exhaust Units]]),0))</f>
        <v>0</v>
      </c>
      <c r="AI15"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5" s="100" cm="1">
        <f t="array" aca="1" ref="AJ1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5" s="144">
        <f ca="1">Ahu_Ashrae_Generic[[#This Row],[Calculated VAV Max CFM]]</f>
        <v>550</v>
      </c>
      <c r="AL15" s="97" cm="1">
        <f t="array" aca="1" ref="AL15" ca="1">Returnair(Ahu_Ashrae_Generic[[#This Row],[Calculated VAV Max CFM]],Ahu_Ashrae_Generic[[#This Row],[Desired Room Balance]],Ahu_Ashrae_Generic[[#This Row],[Exhausted?]],Ahu_Ashrae_Generic[[#This Row],[Misc Exhaust From Room]])</f>
        <v>550</v>
      </c>
      <c r="AM15" s="97" cm="1">
        <f t="array" aca="1" ref="AM15" ca="1">Exhaustair(Ahu_Ashrae_Generic[[#This Row],[DESIGN VAV MAX SA(CFM)]],Ahu_Ashrae_Generic[[#This Row],[Exhausted?]],Ahu_Ashrae_Generic[[#This Row],[MIN ASHRAE EA
(CFM)]],Ahu_Ashrae_Generic[[#This Row],[Desired Room Balance]],Ahu_Ashrae_Generic[[#This Row],[Misc Exhaust From Room]])</f>
        <v>0</v>
      </c>
      <c r="AN15" s="69">
        <f ca="1">Ahu_Ashrae_Generic[[#This Row],[OUTSIDE AIRFLOW (CFM) (Vot)]]/Ahu_Ashrae_Generic[[#This Row],[DESIGN VAV MAX SA(CFM)]]</f>
        <v>0.28399059512579722</v>
      </c>
    </row>
    <row r="16" spans="1:40" ht="15.6">
      <c r="A16" s="97" t="s">
        <v>102</v>
      </c>
      <c r="B16" s="97">
        <v>102</v>
      </c>
      <c r="C16" s="97" t="s">
        <v>740</v>
      </c>
      <c r="D16" s="97">
        <v>550</v>
      </c>
      <c r="E16" s="97">
        <v>0</v>
      </c>
      <c r="F16" s="97">
        <v>4</v>
      </c>
      <c r="G16" s="116">
        <f>IF((VLOOKUP(Ahu_Ashrae_Generic[[#This Row],[Occupancy Category]],Ashrae90.1Vent[#All],7,FALSE)) = "YES",MROUND(D16/2,5),MROUND(D16,5))</f>
        <v>550</v>
      </c>
      <c r="H16" s="97"/>
      <c r="I16" s="97">
        <v>300</v>
      </c>
      <c r="J16" s="97" t="s">
        <v>48</v>
      </c>
      <c r="K16" s="97" t="s">
        <v>75</v>
      </c>
      <c r="L16" s="99">
        <f>VLOOKUP(Ahu_Ashrae_Generic[[#This Row],[Occupancy Category]],Ashrae90.1Vent[#All],2,FALSE)</f>
        <v>5</v>
      </c>
      <c r="M16" s="99">
        <f>VLOOKUP(Ahu_Ashrae_Generic[[#This Row],[Occupancy Category]],Ashrae90.1Vent[#All],3,FALSE)</f>
        <v>0.06</v>
      </c>
      <c r="N16" s="99">
        <f>VLOOKUP(Ahu_Ashrae_Generic[[#This Row],[Occupancy Category]],Ashrae90.1Vent[#All],4,FALSE)</f>
        <v>50</v>
      </c>
      <c r="O16" s="305">
        <f>Ahu_Ashrae_Generic[[#This Row],[Occupants (Pz)]]*Ahu_Ashrae_Generic[[#This Row],[RP
(CFM/PER PERSON)]]</f>
        <v>140</v>
      </c>
      <c r="P16" s="99">
        <f>Ahu_Ashrae_Generic[[#This Row],[RA
(CFM/FT²)]]*Ahu_Ashrae_Generic[[#This Row],[AREA (FT²)]]</f>
        <v>33</v>
      </c>
      <c r="Q16" s="99">
        <f>VLOOKUP(Ahu_Ashrae_Generic[[#This Row],[Occupancy Category]],Ashrae90.1Vent[#All],5,FALSE)</f>
        <v>1</v>
      </c>
      <c r="R16" s="99">
        <f t="shared" si="0"/>
        <v>28</v>
      </c>
      <c r="S16" s="101">
        <f>IF(($S$1/Ahu_Ashrae_Generic[[#Totals],[Occupants (Pz)]])&gt;1,1,$S$1/Ahu_Ashrae_Generic[[#Totals],[Occupants (Pz)]])</f>
        <v>0.53475935828877008</v>
      </c>
      <c r="T16" s="100">
        <f>(Ahu_Ashrae_Generic[[#This Row],[DIVERSITY (D)]]*Ahu_Ashrae_Generic[[#This Row],[RP
(CFM/PER PERSON)]]*Ahu_Ashrae_Generic[[#This Row],[Occupants (Pz)]])+(Ahu_Ashrae_Generic[[#This Row],[RA
(CFM/FT²)]]*Ahu_Ashrae_Generic[[#This Row],[AREA (FT²)]])</f>
        <v>107.86631016042782</v>
      </c>
      <c r="U16" s="101">
        <f>IF(Ahu_Ashrae_Generic[[#This Row],[DIVERSITY (D)]]&lt;0.6,(0.88*Ahu_Ashrae_Generic[[#This Row],[DIVERSITY (D)]]+0.22),0.75)</f>
        <v>0.69058823529411772</v>
      </c>
      <c r="V16" s="100">
        <f>Ahu_Ashrae_Generic[[#This Row],[Uncorrected OA (Vou)]]/Ahu_Ashrae_Generic[[#This Row],[System Efficiency (Ev)]]</f>
        <v>156.19482731918848</v>
      </c>
      <c r="W16" s="100">
        <f>(Ahu_Ashrae_Generic[[#This Row],[RP
(CFM/PER PERSON)]]*Ahu_Ashrae_Generic[[#This Row],[Occupants (Pz)]])+(Ahu_Ashrae_Generic[[#This Row],[RA
(CFM/FT²)]]*Ahu_Ashrae_Generic[[#This Row],[AREA (FT²)]])</f>
        <v>173</v>
      </c>
      <c r="X16" s="97">
        <v>0.8</v>
      </c>
      <c r="Y16" s="100">
        <f>Ahu_Ashrae_Generic[[#This Row],[Breathing Zone OA (Vbz)]]/Ahu_Ashrae_Generic[[#This Row],[Zone Efficiency (Ez)]]</f>
        <v>216.25</v>
      </c>
      <c r="Z16" s="291" t="s">
        <v>49</v>
      </c>
      <c r="AA16" s="305" t="str" cm="1">
        <f t="array" aca="1" ref="AA16" ca="1">corequirement(Ahu_Ashrae_Generic[[#This Row],[AREA (FT²)]],Ahu_Ashrae_Generic[[#This Row],[EXHAUST RECOVERY]],INPUT_OUTPUTS!$C$6,Ahu_Ashrae_Generic[[#This Row],[Occupant Component]])</f>
        <v>NO</v>
      </c>
      <c r="AB16" s="100" t="str">
        <f>VLOOKUP(Ahu_Ashrae_Generic[[#This Row],[Occupancy Category]],Ashrae90.1Vent[#All],6,FALSE)</f>
        <v>YES</v>
      </c>
      <c r="AC16" s="100">
        <f ca="1">IF(Ahu_Ashrae_Generic[[#This Row],[CO2 SENSOR]]="YES",IF(Ahu_Ashrae_Generic[[#This Row],[OS]]="NO",Ahu_Ashrae_Generic[[#This Row],[Area Component]],0),IF(Ahu_Ashrae_Generic[[#This Row],[OS]]="YES",Ahu_Ashrae_Generic[[#This Row],[Occupant Component]],Ahu_Ashrae_Generic[[#This Row],[OUTSIDE AIRFLOW (CFM) (Vot)]]))</f>
        <v>140</v>
      </c>
      <c r="AD16" s="144">
        <v>0</v>
      </c>
      <c r="AE16" s="100" t="str">
        <f>IF(Ahu_Ashrae_Generic[[#This Row],[Exhaust Category]] = "NOT APPLICABLE","NR","YES")</f>
        <v>NR</v>
      </c>
      <c r="AF16" s="100" t="str">
        <f>IF(Ahu_Ashrae_Generic[[#This Row],[Exhaust Category]]="NOT APPLICABLE","NA",VLOOKUP(Ahu_Ashrae_Generic[[#This Row],[Exhaust Category]],ASHRAE_EA_Table[#All],2,FALSE))</f>
        <v>NA</v>
      </c>
      <c r="AG16" s="100" t="str">
        <f>IF(Ahu_Ashrae_Generic[[#This Row],[Exhaust Category]]="NOT APPLICABLE","NA",VLOOKUP(Ahu_Ashrae_Generic[[#This Row],[Exhaust Category]],ASHRAE_EA_Table[#All],3,FALSE))</f>
        <v>NA</v>
      </c>
      <c r="AH16" s="99">
        <f>Ahu_Ashrae_Generic[[#This Row],[Misc Exhaust From Room]]+(IFERROR(IF(Ahu_Ashrae_Generic[[#This Row],[EA RATE
(CFM/UNIT)]] = "NA",Ahu_Ashrae_Generic[[#This Row],[EA RATE
(CFM/FT²)]]*Ahu_Ashrae_Generic[[#This Row],[AREA (FT²)]],Ahu_Ashrae_Generic[[#This Row],[EA RATE
(CFM/UNIT)]]*Ahu_Ashrae_Generic[[#This Row],[Exhaust Units]]),0))</f>
        <v>0</v>
      </c>
      <c r="AI16"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6" s="100" cm="1">
        <f t="array" aca="1" ref="AJ1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6" s="144">
        <f ca="1">Ahu_Ashrae_Generic[[#This Row],[Calculated VAV Max CFM]]</f>
        <v>550</v>
      </c>
      <c r="AL16" s="97" cm="1">
        <f t="array" aca="1" ref="AL16" ca="1">Returnair(Ahu_Ashrae_Generic[[#This Row],[Calculated VAV Max CFM]],Ahu_Ashrae_Generic[[#This Row],[Desired Room Balance]],Ahu_Ashrae_Generic[[#This Row],[Exhausted?]],Ahu_Ashrae_Generic[[#This Row],[Misc Exhaust From Room]])</f>
        <v>550</v>
      </c>
      <c r="AM16" s="97" cm="1">
        <f t="array" aca="1" ref="AM16" ca="1">Exhaustair(Ahu_Ashrae_Generic[[#This Row],[DESIGN VAV MAX SA(CFM)]],Ahu_Ashrae_Generic[[#This Row],[Exhausted?]],Ahu_Ashrae_Generic[[#This Row],[MIN ASHRAE EA
(CFM)]],Ahu_Ashrae_Generic[[#This Row],[Desired Room Balance]],Ahu_Ashrae_Generic[[#This Row],[Misc Exhaust From Room]])</f>
        <v>0</v>
      </c>
      <c r="AN16" s="69">
        <f ca="1">Ahu_Ashrae_Generic[[#This Row],[OUTSIDE AIRFLOW (CFM) (Vot)]]/Ahu_Ashrae_Generic[[#This Row],[DESIGN VAV MAX SA(CFM)]]</f>
        <v>0.28399059512579722</v>
      </c>
    </row>
    <row r="17" spans="1:40" ht="15.6">
      <c r="A17" s="97" t="s">
        <v>102</v>
      </c>
      <c r="B17" s="97">
        <v>102</v>
      </c>
      <c r="C17" s="97" t="s">
        <v>740</v>
      </c>
      <c r="D17" s="97">
        <v>550</v>
      </c>
      <c r="E17" s="97">
        <v>0</v>
      </c>
      <c r="F17" s="97">
        <v>4</v>
      </c>
      <c r="G17" s="116">
        <f>IF((VLOOKUP(Ahu_Ashrae_Generic[[#This Row],[Occupancy Category]],Ashrae90.1Vent[#All],7,FALSE)) = "YES",MROUND(D17/2,5),MROUND(D17,5))</f>
        <v>550</v>
      </c>
      <c r="H17" s="97"/>
      <c r="I17" s="97">
        <v>300</v>
      </c>
      <c r="J17" s="97" t="s">
        <v>48</v>
      </c>
      <c r="K17" s="97" t="s">
        <v>75</v>
      </c>
      <c r="L17" s="99">
        <f>VLOOKUP(Ahu_Ashrae_Generic[[#This Row],[Occupancy Category]],Ashrae90.1Vent[#All],2,FALSE)</f>
        <v>5</v>
      </c>
      <c r="M17" s="99">
        <f>VLOOKUP(Ahu_Ashrae_Generic[[#This Row],[Occupancy Category]],Ashrae90.1Vent[#All],3,FALSE)</f>
        <v>0.06</v>
      </c>
      <c r="N17" s="99">
        <f>VLOOKUP(Ahu_Ashrae_Generic[[#This Row],[Occupancy Category]],Ashrae90.1Vent[#All],4,FALSE)</f>
        <v>50</v>
      </c>
      <c r="O17" s="305">
        <f>Ahu_Ashrae_Generic[[#This Row],[Occupants (Pz)]]*Ahu_Ashrae_Generic[[#This Row],[RP
(CFM/PER PERSON)]]</f>
        <v>140</v>
      </c>
      <c r="P17" s="99">
        <f>Ahu_Ashrae_Generic[[#This Row],[RA
(CFM/FT²)]]*Ahu_Ashrae_Generic[[#This Row],[AREA (FT²)]]</f>
        <v>33</v>
      </c>
      <c r="Q17" s="99">
        <f>VLOOKUP(Ahu_Ashrae_Generic[[#This Row],[Occupancy Category]],Ashrae90.1Vent[#All],5,FALSE)</f>
        <v>1</v>
      </c>
      <c r="R17" s="99">
        <f t="shared" si="0"/>
        <v>28</v>
      </c>
      <c r="S17" s="101">
        <f>IF(($S$1/Ahu_Ashrae_Generic[[#Totals],[Occupants (Pz)]])&gt;1,1,$S$1/Ahu_Ashrae_Generic[[#Totals],[Occupants (Pz)]])</f>
        <v>0.53475935828877008</v>
      </c>
      <c r="T17" s="100">
        <f>(Ahu_Ashrae_Generic[[#This Row],[DIVERSITY (D)]]*Ahu_Ashrae_Generic[[#This Row],[RP
(CFM/PER PERSON)]]*Ahu_Ashrae_Generic[[#This Row],[Occupants (Pz)]])+(Ahu_Ashrae_Generic[[#This Row],[RA
(CFM/FT²)]]*Ahu_Ashrae_Generic[[#This Row],[AREA (FT²)]])</f>
        <v>107.86631016042782</v>
      </c>
      <c r="U17" s="101">
        <f>IF(Ahu_Ashrae_Generic[[#This Row],[DIVERSITY (D)]]&lt;0.6,(0.88*Ahu_Ashrae_Generic[[#This Row],[DIVERSITY (D)]]+0.22),0.75)</f>
        <v>0.69058823529411772</v>
      </c>
      <c r="V17" s="100">
        <f>Ahu_Ashrae_Generic[[#This Row],[Uncorrected OA (Vou)]]/Ahu_Ashrae_Generic[[#This Row],[System Efficiency (Ev)]]</f>
        <v>156.19482731918848</v>
      </c>
      <c r="W17" s="100">
        <f>(Ahu_Ashrae_Generic[[#This Row],[RP
(CFM/PER PERSON)]]*Ahu_Ashrae_Generic[[#This Row],[Occupants (Pz)]])+(Ahu_Ashrae_Generic[[#This Row],[RA
(CFM/FT²)]]*Ahu_Ashrae_Generic[[#This Row],[AREA (FT²)]])</f>
        <v>173</v>
      </c>
      <c r="X17" s="97">
        <v>0.8</v>
      </c>
      <c r="Y17" s="100">
        <f>Ahu_Ashrae_Generic[[#This Row],[Breathing Zone OA (Vbz)]]/Ahu_Ashrae_Generic[[#This Row],[Zone Efficiency (Ez)]]</f>
        <v>216.25</v>
      </c>
      <c r="Z17" s="291" t="s">
        <v>49</v>
      </c>
      <c r="AA17" s="305" t="str" cm="1">
        <f t="array" aca="1" ref="AA17" ca="1">corequirement(Ahu_Ashrae_Generic[[#This Row],[AREA (FT²)]],Ahu_Ashrae_Generic[[#This Row],[EXHAUST RECOVERY]],INPUT_OUTPUTS!$C$6,Ahu_Ashrae_Generic[[#This Row],[Occupant Component]])</f>
        <v>NO</v>
      </c>
      <c r="AB17" s="100" t="str">
        <f>VLOOKUP(Ahu_Ashrae_Generic[[#This Row],[Occupancy Category]],Ashrae90.1Vent[#All],6,FALSE)</f>
        <v>YES</v>
      </c>
      <c r="AC17" s="100">
        <f ca="1">IF(Ahu_Ashrae_Generic[[#This Row],[CO2 SENSOR]]="YES",IF(Ahu_Ashrae_Generic[[#This Row],[OS]]="NO",Ahu_Ashrae_Generic[[#This Row],[Area Component]],0),IF(Ahu_Ashrae_Generic[[#This Row],[OS]]="YES",Ahu_Ashrae_Generic[[#This Row],[Occupant Component]],Ahu_Ashrae_Generic[[#This Row],[OUTSIDE AIRFLOW (CFM) (Vot)]]))</f>
        <v>140</v>
      </c>
      <c r="AD17" s="144">
        <v>0</v>
      </c>
      <c r="AE17" s="100" t="str">
        <f>IF(Ahu_Ashrae_Generic[[#This Row],[Exhaust Category]] = "NOT APPLICABLE","NR","YES")</f>
        <v>NR</v>
      </c>
      <c r="AF17" s="100" t="str">
        <f>IF(Ahu_Ashrae_Generic[[#This Row],[Exhaust Category]]="NOT APPLICABLE","NA",VLOOKUP(Ahu_Ashrae_Generic[[#This Row],[Exhaust Category]],ASHRAE_EA_Table[#All],2,FALSE))</f>
        <v>NA</v>
      </c>
      <c r="AG17" s="100" t="str">
        <f>IF(Ahu_Ashrae_Generic[[#This Row],[Exhaust Category]]="NOT APPLICABLE","NA",VLOOKUP(Ahu_Ashrae_Generic[[#This Row],[Exhaust Category]],ASHRAE_EA_Table[#All],3,FALSE))</f>
        <v>NA</v>
      </c>
      <c r="AH17" s="99">
        <f>Ahu_Ashrae_Generic[[#This Row],[Misc Exhaust From Room]]+(IFERROR(IF(Ahu_Ashrae_Generic[[#This Row],[EA RATE
(CFM/UNIT)]] = "NA",Ahu_Ashrae_Generic[[#This Row],[EA RATE
(CFM/FT²)]]*Ahu_Ashrae_Generic[[#This Row],[AREA (FT²)]],Ahu_Ashrae_Generic[[#This Row],[EA RATE
(CFM/UNIT)]]*Ahu_Ashrae_Generic[[#This Row],[Exhaust Units]]),0))</f>
        <v>0</v>
      </c>
      <c r="AI17" s="100">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J17" s="100" cm="1">
        <f t="array" aca="1" ref="AJ1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K17" s="144">
        <f ca="1">Ahu_Ashrae_Generic[[#This Row],[Calculated VAV Max CFM]]</f>
        <v>550</v>
      </c>
      <c r="AL17" s="97" cm="1">
        <f t="array" aca="1" ref="AL17" ca="1">Returnair(Ahu_Ashrae_Generic[[#This Row],[Calculated VAV Max CFM]],Ahu_Ashrae_Generic[[#This Row],[Desired Room Balance]],Ahu_Ashrae_Generic[[#This Row],[Exhausted?]],Ahu_Ashrae_Generic[[#This Row],[Misc Exhaust From Room]])</f>
        <v>550</v>
      </c>
      <c r="AM17" s="97" cm="1">
        <f t="array" aca="1" ref="AM17" ca="1">Exhaustair(Ahu_Ashrae_Generic[[#This Row],[DESIGN VAV MAX SA(CFM)]],Ahu_Ashrae_Generic[[#This Row],[Exhausted?]],Ahu_Ashrae_Generic[[#This Row],[MIN ASHRAE EA
(CFM)]],Ahu_Ashrae_Generic[[#This Row],[Desired Room Balance]],Ahu_Ashrae_Generic[[#This Row],[Misc Exhaust From Room]])</f>
        <v>0</v>
      </c>
      <c r="AN17" s="69">
        <f ca="1">Ahu_Ashrae_Generic[[#This Row],[OUTSIDE AIRFLOW (CFM) (Vot)]]/Ahu_Ashrae_Generic[[#This Row],[DESIGN VAV MAX SA(CFM)]]</f>
        <v>0.28399059512579722</v>
      </c>
    </row>
    <row r="18" spans="1:40" ht="15.6">
      <c r="A18" s="63" t="s">
        <v>107</v>
      </c>
      <c r="B18" s="63"/>
      <c r="C18" s="344">
        <f>SUBTOTAL(103,Ahu_Ashrae_Generic[Room])</f>
        <v>13</v>
      </c>
      <c r="D18" s="345">
        <f>SUBTOTAL(109,Ahu_Ashrae_Generic[AREA (FT²)])</f>
        <v>6800</v>
      </c>
      <c r="E18" s="348">
        <f>SUBTOTAL(109,Ahu_Ashrae_Generic[Desired Room Balance])</f>
        <v>0</v>
      </c>
      <c r="F18" s="346"/>
      <c r="G18" s="347"/>
      <c r="H18" s="347">
        <f>SUBTOTAL(109,Ahu_Ashrae_Generic[HEATING LOAD (CFM)])</f>
        <v>0</v>
      </c>
      <c r="I18" s="348">
        <f>SUBTOTAL(109,Ahu_Ashrae_Generic[COOLING LOAD (CFM)])</f>
        <v>4050</v>
      </c>
      <c r="J18" s="63"/>
      <c r="K18" s="63"/>
      <c r="L18" s="349"/>
      <c r="M18" s="349"/>
      <c r="N18" s="349"/>
      <c r="O18" s="349"/>
      <c r="P18" s="349"/>
      <c r="Q18" s="349"/>
      <c r="R18" s="351">
        <f>SUBTOTAL(109,Ahu_Ashrae_Generic[Occupants (Pz)])</f>
        <v>187</v>
      </c>
      <c r="S18" s="351"/>
      <c r="T18" s="350">
        <f>SUBTOTAL(109,Ahu_Ashrae_Generic[Uncorrected OA (Vou)])</f>
        <v>908.00000000000011</v>
      </c>
      <c r="U18" s="349"/>
      <c r="V18" s="350">
        <f>SUBTOTAL(109,Ahu_Ashrae_Generic[OUTSIDE AIRFLOW (CFM) (Vot)])</f>
        <v>1314.8211243611584</v>
      </c>
      <c r="W18" s="350"/>
      <c r="X18" s="350"/>
      <c r="Y18" s="350"/>
      <c r="Z18" s="350"/>
      <c r="AA18" s="350"/>
      <c r="AB18" s="350"/>
      <c r="AC18" s="350">
        <f ca="1">SUBTOTAL(109,Ahu_Ashrae_Generic[MIN OA ALLOWABLE (WITH DCV)])</f>
        <v>935</v>
      </c>
      <c r="AD18" s="350"/>
      <c r="AE18" s="350"/>
      <c r="AF18" s="349"/>
      <c r="AG18" s="349"/>
      <c r="AH18" s="349"/>
      <c r="AI18" s="349"/>
      <c r="AJ18" s="349"/>
      <c r="AK18" s="350">
        <f ca="1">SUBTOTAL(109,Ahu_Ashrae_Generic[DESIGN VAV MAX SA(CFM)])</f>
        <v>6850</v>
      </c>
      <c r="AL18" s="350">
        <f ca="1">SUBTOTAL(109,Ahu_Ashrae_Generic[DESIGN RA (CFM)])</f>
        <v>6750</v>
      </c>
      <c r="AM18" s="350">
        <f ca="1">SUBTOTAL(109,Ahu_Ashrae_Generic[DESIGN EA(CFM)])</f>
        <v>100</v>
      </c>
      <c r="AN18" s="75"/>
    </row>
  </sheetData>
  <mergeCells count="6">
    <mergeCell ref="A3:I3"/>
    <mergeCell ref="Q1:R1"/>
    <mergeCell ref="T1:U1"/>
    <mergeCell ref="AK3:AM3"/>
    <mergeCell ref="J3:AJ3"/>
    <mergeCell ref="Z1:AA1"/>
  </mergeCells>
  <phoneticPr fontId="12" type="noConversion"/>
  <conditionalFormatting sqref="AK5:AK18">
    <cfRule type="dataBar" priority="26">
      <dataBar>
        <cfvo type="min"/>
        <cfvo type="max"/>
        <color rgb="FF638EC6"/>
      </dataBar>
      <extLst>
        <ext xmlns:x14="http://schemas.microsoft.com/office/spreadsheetml/2009/9/main" uri="{B025F937-C7B1-47D3-B67F-A62EFF666E3E}">
          <x14:id>{84D9E212-E9EC-4242-BE2F-7196682BC69D}</x14:id>
        </ext>
      </extLst>
    </cfRule>
  </conditionalFormatting>
  <dataValidations count="1">
    <dataValidation type="whole" allowBlank="1" showInputMessage="1" showErrorMessage="1" sqref="S1 AB1" xr:uid="{BE18D0D8-1B9C-4621-ABBD-BF3D27C9EA7A}">
      <formula1>-1</formula1>
      <formula2>99999</formula2>
    </dataValidation>
  </dataValidations>
  <pageMargins left="0.7" right="0.7" top="0.75" bottom="0.75" header="0.3" footer="0.3"/>
  <pageSetup scale="13" fitToHeight="0" orientation="landscape" r:id="rId1"/>
  <ignoredErrors>
    <ignoredError sqref="AH5 S5 O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69719" r:id="rId4" name="Button 87">
              <controlPr defaultSize="0" print="0" autoFill="0" autoPict="0" macro="[0]!AddRowsToTableWithUserInput" altText="HUMIDIFICATION">
                <anchor moveWithCells="1" sizeWithCells="1">
                  <from>
                    <xdr:col>0</xdr:col>
                    <xdr:colOff>982980</xdr:colOff>
                    <xdr:row>0</xdr:row>
                    <xdr:rowOff>15240</xdr:rowOff>
                  </from>
                  <to>
                    <xdr:col>1</xdr:col>
                    <xdr:colOff>868680</xdr:colOff>
                    <xdr:row>1</xdr:row>
                    <xdr:rowOff>160020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4D9E212-E9EC-4242-BE2F-7196682BC69D}">
            <x14:dataBar minLength="0" maxLength="100" border="1" negativeBarBorderColorSameAsPositive="0">
              <x14:cfvo type="autoMin"/>
              <x14:cfvo type="autoMax"/>
              <x14:borderColor rgb="FF638EC6"/>
              <x14:negativeFillColor rgb="FFFF0000"/>
              <x14:negativeBorderColor rgb="FFFF0000"/>
              <x14:axisColor rgb="FF000000"/>
            </x14:dataBar>
          </x14:cfRule>
          <xm:sqref>AK5:AK18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F975D134-1567-4279-88F2-D2C74BC575D9}">
          <x14:formula1>
            <xm:f>'DO NOT TOUCH'!$B$23:$B$24</xm:f>
          </x14:formula1>
          <xm:sqref>V1</xm:sqref>
        </x14:dataValidation>
        <x14:dataValidation type="list" allowBlank="1" showInputMessage="1" showErrorMessage="1" xr:uid="{54707373-1E21-4FCF-8022-EF21D75C8B93}">
          <x14:formula1>
            <xm:f>'ASHRAE Table'!$Q$3:$Q$13</xm:f>
          </x14:formula1>
          <xm:sqref>X5:X17</xm:sqref>
        </x14:dataValidation>
        <x14:dataValidation type="list" allowBlank="1" showInputMessage="1" showErrorMessage="1" xr:uid="{ACABCE57-1E6D-455F-A0AA-BFF37E488AD5}">
          <x14:formula1>
            <xm:f>'ASHRAE Table'!$J$2:$J$37</xm:f>
          </x14:formula1>
          <xm:sqref>J5:J17</xm:sqref>
        </x14:dataValidation>
        <x14:dataValidation type="list" allowBlank="1" showInputMessage="1" showErrorMessage="1" xr:uid="{D97746D2-C89F-44DA-82C1-46DD8DEBA094}">
          <x14:formula1>
            <xm:f>'ASHRAE Table'!$A$2:$A$93</xm:f>
          </x14:formula1>
          <xm:sqref>K5:K17</xm:sqref>
        </x14:dataValidation>
        <x14:dataValidation type="list" allowBlank="1" showInputMessage="1" showErrorMessage="1" xr:uid="{D828EF70-F693-48D0-8216-B83D698C41BA}">
          <x14:formula1>
            <xm:f>'ASHRAE Table'!$Q$19:$Q$20</xm:f>
          </x14:formula1>
          <xm:sqref>Z5:Z17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3ACB5-BAFE-45FA-8E7C-6479585E67B0}">
  <sheetPr codeName="Sheet14"/>
  <dimension ref="A2:W17"/>
  <sheetViews>
    <sheetView showGridLines="0" showRowColHeaders="0" topLeftCell="B1" zoomScale="90" zoomScaleNormal="85" workbookViewId="0">
      <selection activeCell="P31" sqref="P31"/>
    </sheetView>
  </sheetViews>
  <sheetFormatPr defaultRowHeight="13.2"/>
  <cols>
    <col min="1" max="1" width="12.109375" bestFit="1" customWidth="1"/>
    <col min="2" max="2" width="26.5546875" bestFit="1" customWidth="1"/>
    <col min="3" max="3" width="33.44140625" bestFit="1" customWidth="1"/>
    <col min="4" max="4" width="15.33203125" bestFit="1" customWidth="1"/>
    <col min="5" max="5" width="16.109375" bestFit="1" customWidth="1"/>
    <col min="6" max="6" width="12.5546875" bestFit="1" customWidth="1"/>
    <col min="7" max="7" width="15.109375" bestFit="1" customWidth="1"/>
    <col min="8" max="8" width="16.44140625" bestFit="1" customWidth="1"/>
    <col min="9" max="9" width="11" bestFit="1" customWidth="1"/>
    <col min="10" max="10" width="13" bestFit="1" customWidth="1"/>
    <col min="11" max="11" width="10.44140625" bestFit="1" customWidth="1"/>
    <col min="12" max="12" width="13" bestFit="1" customWidth="1"/>
    <col min="13" max="13" width="11.109375" bestFit="1" customWidth="1"/>
    <col min="14" max="14" width="12.5546875" bestFit="1" customWidth="1"/>
    <col min="15" max="15" width="11" bestFit="1" customWidth="1"/>
    <col min="16" max="16" width="12.5546875" bestFit="1" customWidth="1"/>
    <col min="17" max="17" width="13.5546875" bestFit="1" customWidth="1"/>
    <col min="18" max="18" width="12.6640625" bestFit="1" customWidth="1"/>
    <col min="19" max="19" width="12.5546875" bestFit="1" customWidth="1"/>
    <col min="23" max="23" width="0" hidden="1" customWidth="1"/>
  </cols>
  <sheetData>
    <row r="2" spans="1:23" ht="15.6">
      <c r="C2" s="95" t="s">
        <v>1068</v>
      </c>
      <c r="D2" s="373" t="s">
        <v>49</v>
      </c>
    </row>
    <row r="3" spans="1:23">
      <c r="W3" s="11" t="s">
        <v>111</v>
      </c>
    </row>
    <row r="4" spans="1:23" ht="45">
      <c r="A4" s="104" t="s">
        <v>5</v>
      </c>
      <c r="B4" s="104" t="s">
        <v>50</v>
      </c>
      <c r="C4" s="104" t="s">
        <v>51</v>
      </c>
      <c r="D4" s="104" t="s">
        <v>97</v>
      </c>
      <c r="E4" s="104" t="s">
        <v>98</v>
      </c>
      <c r="F4" s="104" t="s">
        <v>99</v>
      </c>
      <c r="G4" s="104" t="s">
        <v>100</v>
      </c>
      <c r="H4" s="104" t="s">
        <v>101</v>
      </c>
      <c r="I4" s="104" t="s">
        <v>55</v>
      </c>
      <c r="J4" s="104" t="s">
        <v>56</v>
      </c>
      <c r="K4" s="104" t="s">
        <v>57</v>
      </c>
      <c r="L4" s="104" t="s">
        <v>58</v>
      </c>
      <c r="M4" s="104" t="s">
        <v>59</v>
      </c>
      <c r="N4" s="104" t="s">
        <v>60</v>
      </c>
      <c r="O4" s="104" t="s">
        <v>1</v>
      </c>
      <c r="P4" s="104" t="s">
        <v>1069</v>
      </c>
      <c r="Q4" s="104" t="s">
        <v>61</v>
      </c>
      <c r="R4" s="104" t="s">
        <v>62</v>
      </c>
      <c r="S4" s="104" t="s">
        <v>63</v>
      </c>
      <c r="T4" s="104" t="s">
        <v>64</v>
      </c>
      <c r="W4" s="11" t="s">
        <v>49</v>
      </c>
    </row>
    <row r="5" spans="1:23" ht="15">
      <c r="A5" s="117" t="s">
        <v>102</v>
      </c>
      <c r="B5" s="117" t="s">
        <v>66</v>
      </c>
      <c r="C5" s="117" t="s">
        <v>67</v>
      </c>
      <c r="D5" s="118">
        <f ca="1">SUMIF(Ahu_Ashrae_Generic[Zone],AHU_VAV_SCHEDULE[[#This Row],[ZONE]],Ahu_Ashrae_Generic[DESIGN VAV MIN SA(CFM)])</f>
        <v>3015</v>
      </c>
      <c r="E5" s="117">
        <f ca="1">SUMIF(Ahu_Ashrae_Generic[Zone],AHU_VAV_SCHEDULE[[#This Row],[ZONE]],Ahu_Ashrae_Generic[DESIGN VAV MAX SA(CFM)])</f>
        <v>6850</v>
      </c>
      <c r="F5" s="119">
        <f ca="1">IFERROR((VLOOKUP(AHU_VAV_SCHEDULE[[#This Row],[MAX VAV
(CFM)]],'DO NOT TOUCH'!$C$9:$D$14,2,TRUE)),"TBD")</f>
        <v>16</v>
      </c>
      <c r="G5" s="119">
        <v>0.5</v>
      </c>
      <c r="H5" s="119">
        <f ca="1">AHU_VAV_SCHEDULE[[#This Row],[MIN VAV
(CFM)]]</f>
        <v>3015</v>
      </c>
      <c r="I5" s="119">
        <f>INPUT_OUTPUTS!$C$16</f>
        <v>140</v>
      </c>
      <c r="J5" s="119">
        <f>INPUT_OUTPUTS!$C$17</f>
        <v>110</v>
      </c>
      <c r="K5" s="119">
        <v>55</v>
      </c>
      <c r="L5" s="119">
        <v>80</v>
      </c>
      <c r="M5" s="119">
        <f ca="1">MROUND((1.08*(L5-K5)*AHU_VAV_SCHEDULE[[#This Row],[HEATING AIRFLOW 
(CFM)]])/1000,0.1)</f>
        <v>81.400000000000006</v>
      </c>
      <c r="N5" s="120">
        <f t="shared" ref="N5:N16" ca="1" si="0">(M5*1000)/(500*(I5-J5))</f>
        <v>5.4266666666666667</v>
      </c>
      <c r="O5" s="120">
        <f t="shared" ref="O5:O16" ca="1" si="1">IF(N5&lt;0.5,0.5,N5)</f>
        <v>5.4266666666666667</v>
      </c>
      <c r="P5" s="430">
        <f ca="1">IF($D$2 = "YES",(_xlfn.XLOOKUP(AHU_VAV_SCHEDULE[[#This Row],[GPM]],Hydronic_Pipe_Size[SOUND SENSITIVE],Hydronic_Pipe_Size[SIZE],"Not Found",1)),(_xlfn.XLOOKUP(AHU_VAV_SCHEDULE[[#This Row],[GPM]],Hydronic_Pipe_Size[GPM],Hydronic_Pipe_Size[SIZE],"Not Found",1)))</f>
        <v>1</v>
      </c>
      <c r="Q5" s="120">
        <v>5</v>
      </c>
      <c r="R5" s="120">
        <f ca="1">IFERROR((_xlfn.XLOOKUP(F5,'DO NOT TOUCH'!$D$9:$D$14,'DO NOT TOUCH'!$E$9:$E$14,)),"TBD")</f>
        <v>60</v>
      </c>
      <c r="S5" s="120">
        <f>INPUT_OUTPUTS!$C$19</f>
        <v>0</v>
      </c>
      <c r="T5" s="119" t="s">
        <v>68</v>
      </c>
    </row>
    <row r="6" spans="1:23" ht="15">
      <c r="A6" s="117" t="s">
        <v>105</v>
      </c>
      <c r="B6" s="117" t="s">
        <v>66</v>
      </c>
      <c r="C6" s="117" t="s">
        <v>67</v>
      </c>
      <c r="D6" s="118">
        <f>SUMIF(Ahu_Ashrae_Generic[Zone],AHU_VAV_SCHEDULE[[#This Row],[ZONE]],Ahu_Ashrae_Generic[DESIGN VAV MIN SA(CFM)])</f>
        <v>0</v>
      </c>
      <c r="E6" s="117">
        <f>SUMIF(Ahu_Ashrae_Generic[Zone],AHU_VAV_SCHEDULE[[#This Row],[ZONE]],Ahu_Ashrae_Generic[DESIGN VAV MAX SA(CFM)])</f>
        <v>0</v>
      </c>
      <c r="F6" s="119" t="str">
        <f>IFERROR((VLOOKUP(AHU_VAV_SCHEDULE[[#This Row],[MAX VAV
(CFM)]],'DO NOT TOUCH'!$C$9:$D$14,2,TRUE)),"TBD")</f>
        <v>TBD</v>
      </c>
      <c r="G6" s="119">
        <f>G5</f>
        <v>0.5</v>
      </c>
      <c r="H6" s="119">
        <f>AHU_VAV_SCHEDULE[[#This Row],[MIN VAV
(CFM)]]</f>
        <v>0</v>
      </c>
      <c r="I6" s="119">
        <f>INPUT_OUTPUTS!$C$16</f>
        <v>140</v>
      </c>
      <c r="J6" s="119">
        <f>INPUT_OUTPUTS!$C$17</f>
        <v>110</v>
      </c>
      <c r="K6" s="119">
        <f>K5</f>
        <v>55</v>
      </c>
      <c r="L6" s="119">
        <f>L5</f>
        <v>80</v>
      </c>
      <c r="M6" s="119">
        <f>MROUND((1.08*(L6-K6)*AHU_VAV_SCHEDULE[[#This Row],[HEATING AIRFLOW 
(CFM)]])/1000,0.1)</f>
        <v>0</v>
      </c>
      <c r="N6" s="120">
        <f t="shared" si="0"/>
        <v>0</v>
      </c>
      <c r="O6" s="120">
        <f t="shared" si="1"/>
        <v>0.5</v>
      </c>
      <c r="P6" s="430">
        <f>IF($D$2 = "YES",(_xlfn.XLOOKUP(AHU_VAV_SCHEDULE[[#This Row],[GPM]],Hydronic_Pipe_Size[SOUND SENSITIVE],Hydronic_Pipe_Size[SIZE],"Not Found",1)),(_xlfn.XLOOKUP(AHU_VAV_SCHEDULE[[#This Row],[GPM]],Hydronic_Pipe_Size[GPM],Hydronic_Pipe_Size[SIZE],"Not Found",1)))</f>
        <v>0.75</v>
      </c>
      <c r="Q6" s="120">
        <f>Q5</f>
        <v>5</v>
      </c>
      <c r="R6" s="120" t="str">
        <f>IFERROR((_xlfn.XLOOKUP(F6,'DO NOT TOUCH'!$D$9:$D$14,'DO NOT TOUCH'!$E$9:$E$14,)),"TBD")</f>
        <v>TBD</v>
      </c>
      <c r="S6" s="120">
        <f>INPUT_OUTPUTS!$C$19</f>
        <v>0</v>
      </c>
      <c r="T6" s="119" t="str">
        <f>T5</f>
        <v>1, 2</v>
      </c>
    </row>
    <row r="7" spans="1:23" ht="15">
      <c r="A7" s="117" t="s">
        <v>1070</v>
      </c>
      <c r="B7" s="117" t="s">
        <v>66</v>
      </c>
      <c r="C7" s="117" t="s">
        <v>67</v>
      </c>
      <c r="D7" s="118">
        <f>SUMIF(Ahu_Ashrae_Generic[Zone],AHU_VAV_SCHEDULE[[#This Row],[ZONE]],Ahu_Ashrae_Generic[DESIGN VAV MIN SA(CFM)])</f>
        <v>0</v>
      </c>
      <c r="E7" s="117">
        <f>SUMIF(Ahu_Ashrae_Generic[Zone],AHU_VAV_SCHEDULE[[#This Row],[ZONE]],Ahu_Ashrae_Generic[DESIGN VAV MAX SA(CFM)])</f>
        <v>0</v>
      </c>
      <c r="F7" s="119" t="str">
        <f>IFERROR((VLOOKUP(AHU_VAV_SCHEDULE[[#This Row],[MAX VAV
(CFM)]],'DO NOT TOUCH'!$C$9:$D$14,2,TRUE)),"TBD")</f>
        <v>TBD</v>
      </c>
      <c r="G7" s="119">
        <v>0.5</v>
      </c>
      <c r="H7" s="119">
        <f>AHU_VAV_SCHEDULE[[#This Row],[MIN VAV
(CFM)]]</f>
        <v>0</v>
      </c>
      <c r="I7" s="119">
        <f>INPUT_OUTPUTS!$C$16</f>
        <v>140</v>
      </c>
      <c r="J7" s="119">
        <f>INPUT_OUTPUTS!$C$17</f>
        <v>110</v>
      </c>
      <c r="K7" s="119">
        <v>55</v>
      </c>
      <c r="L7" s="119">
        <v>80</v>
      </c>
      <c r="M7" s="119">
        <f>MROUND((1.08*(L7-K7)*AHU_VAV_SCHEDULE[[#This Row],[HEATING AIRFLOW 
(CFM)]])/1000,0.1)</f>
        <v>0</v>
      </c>
      <c r="N7" s="120">
        <f t="shared" si="0"/>
        <v>0</v>
      </c>
      <c r="O7" s="120">
        <f t="shared" si="1"/>
        <v>0.5</v>
      </c>
      <c r="P7" s="430">
        <f>IF($D$2 = "YES",(_xlfn.XLOOKUP(AHU_VAV_SCHEDULE[[#This Row],[GPM]],Hydronic_Pipe_Size[SOUND SENSITIVE],Hydronic_Pipe_Size[SIZE],"Not Found",1)),(_xlfn.XLOOKUP(AHU_VAV_SCHEDULE[[#This Row],[GPM]],Hydronic_Pipe_Size[GPM],Hydronic_Pipe_Size[SIZE],"Not Found",1)))</f>
        <v>0.75</v>
      </c>
      <c r="Q7" s="120">
        <v>5</v>
      </c>
      <c r="R7" s="120" t="str">
        <f>IFERROR((_xlfn.XLOOKUP(F7,'DO NOT TOUCH'!$D$9:$D$14,'DO NOT TOUCH'!$E$9:$E$14,)),"TBD")</f>
        <v>TBD</v>
      </c>
      <c r="S7" s="120">
        <f>INPUT_OUTPUTS!$C$19</f>
        <v>0</v>
      </c>
      <c r="T7" s="119" t="s">
        <v>68</v>
      </c>
    </row>
    <row r="8" spans="1:23" ht="15">
      <c r="A8" s="117" t="s">
        <v>1071</v>
      </c>
      <c r="B8" s="117" t="s">
        <v>66</v>
      </c>
      <c r="C8" s="117" t="s">
        <v>67</v>
      </c>
      <c r="D8" s="118">
        <f>SUMIF(Ahu_Ashrae_Generic[Zone],AHU_VAV_SCHEDULE[[#This Row],[ZONE]],Ahu_Ashrae_Generic[DESIGN VAV MIN SA(CFM)])</f>
        <v>0</v>
      </c>
      <c r="E8" s="117">
        <f>SUMIF(Ahu_Ashrae_Generic[Zone],AHU_VAV_SCHEDULE[[#This Row],[ZONE]],Ahu_Ashrae_Generic[DESIGN VAV MAX SA(CFM)])</f>
        <v>0</v>
      </c>
      <c r="F8" s="119" t="str">
        <f>IFERROR((VLOOKUP(AHU_VAV_SCHEDULE[[#This Row],[MAX VAV
(CFM)]],'DO NOT TOUCH'!$C$9:$D$14,2,TRUE)),"TBD")</f>
        <v>TBD</v>
      </c>
      <c r="G8" s="119">
        <v>0.5</v>
      </c>
      <c r="H8" s="119">
        <f>AHU_VAV_SCHEDULE[[#This Row],[MIN VAV
(CFM)]]</f>
        <v>0</v>
      </c>
      <c r="I8" s="119">
        <f>INPUT_OUTPUTS!$C$16</f>
        <v>140</v>
      </c>
      <c r="J8" s="119">
        <f>INPUT_OUTPUTS!$C$17</f>
        <v>110</v>
      </c>
      <c r="K8" s="119">
        <v>55</v>
      </c>
      <c r="L8" s="119">
        <v>80</v>
      </c>
      <c r="M8" s="119">
        <f>MROUND((1.08*(L8-K8)*AHU_VAV_SCHEDULE[[#This Row],[HEATING AIRFLOW 
(CFM)]])/1000,0.1)</f>
        <v>0</v>
      </c>
      <c r="N8" s="120">
        <f t="shared" si="0"/>
        <v>0</v>
      </c>
      <c r="O8" s="120">
        <f t="shared" si="1"/>
        <v>0.5</v>
      </c>
      <c r="P8" s="430">
        <f>IF($D$2 = "YES",(_xlfn.XLOOKUP(AHU_VAV_SCHEDULE[[#This Row],[GPM]],Hydronic_Pipe_Size[SOUND SENSITIVE],Hydronic_Pipe_Size[SIZE],"Not Found",1)),(_xlfn.XLOOKUP(AHU_VAV_SCHEDULE[[#This Row],[GPM]],Hydronic_Pipe_Size[GPM],Hydronic_Pipe_Size[SIZE],"Not Found",1)))</f>
        <v>0.75</v>
      </c>
      <c r="Q8" s="120">
        <v>5</v>
      </c>
      <c r="R8" s="120" t="str">
        <f>IFERROR((_xlfn.XLOOKUP(F8,'DO NOT TOUCH'!$D$9:$D$14,'DO NOT TOUCH'!$E$9:$E$14,)),"TBD")</f>
        <v>TBD</v>
      </c>
      <c r="S8" s="120">
        <f>INPUT_OUTPUTS!$C$19</f>
        <v>0</v>
      </c>
      <c r="T8" s="119" t="s">
        <v>68</v>
      </c>
    </row>
    <row r="9" spans="1:23" ht="15">
      <c r="A9" s="117" t="s">
        <v>1072</v>
      </c>
      <c r="B9" s="117" t="s">
        <v>66</v>
      </c>
      <c r="C9" s="117" t="s">
        <v>67</v>
      </c>
      <c r="D9" s="118">
        <f>SUMIF(Ahu_Ashrae_Generic[Zone],AHU_VAV_SCHEDULE[[#This Row],[ZONE]],Ahu_Ashrae_Generic[DESIGN VAV MIN SA(CFM)])</f>
        <v>0</v>
      </c>
      <c r="E9" s="117">
        <f>SUMIF(Ahu_Ashrae_Generic[Zone],AHU_VAV_SCHEDULE[[#This Row],[ZONE]],Ahu_Ashrae_Generic[DESIGN VAV MAX SA(CFM)])</f>
        <v>0</v>
      </c>
      <c r="F9" s="119" t="str">
        <f>IFERROR((VLOOKUP(AHU_VAV_SCHEDULE[[#This Row],[MAX VAV
(CFM)]],'DO NOT TOUCH'!$C$9:$D$14,2,TRUE)),"TBD")</f>
        <v>TBD</v>
      </c>
      <c r="G9" s="119">
        <v>0.5</v>
      </c>
      <c r="H9" s="119">
        <f>AHU_VAV_SCHEDULE[[#This Row],[MIN VAV
(CFM)]]</f>
        <v>0</v>
      </c>
      <c r="I9" s="119">
        <f>INPUT_OUTPUTS!$C$16</f>
        <v>140</v>
      </c>
      <c r="J9" s="119">
        <f>INPUT_OUTPUTS!$C$17</f>
        <v>110</v>
      </c>
      <c r="K9" s="119">
        <v>55</v>
      </c>
      <c r="L9" s="119">
        <v>80</v>
      </c>
      <c r="M9" s="119">
        <f>MROUND((1.08*(L9-K9)*AHU_VAV_SCHEDULE[[#This Row],[HEATING AIRFLOW 
(CFM)]])/1000,0.1)</f>
        <v>0</v>
      </c>
      <c r="N9" s="120">
        <f t="shared" si="0"/>
        <v>0</v>
      </c>
      <c r="O9" s="120">
        <f t="shared" si="1"/>
        <v>0.5</v>
      </c>
      <c r="P9" s="430">
        <f>IF($D$2 = "YES",(_xlfn.XLOOKUP(AHU_VAV_SCHEDULE[[#This Row],[GPM]],Hydronic_Pipe_Size[SOUND SENSITIVE],Hydronic_Pipe_Size[SIZE],"Not Found",1)),(_xlfn.XLOOKUP(AHU_VAV_SCHEDULE[[#This Row],[GPM]],Hydronic_Pipe_Size[GPM],Hydronic_Pipe_Size[SIZE],"Not Found",1)))</f>
        <v>0.75</v>
      </c>
      <c r="Q9" s="120">
        <v>5</v>
      </c>
      <c r="R9" s="120" t="str">
        <f>IFERROR((_xlfn.XLOOKUP(F9,'DO NOT TOUCH'!$D$9:$D$14,'DO NOT TOUCH'!$E$9:$E$14,)),"TBD")</f>
        <v>TBD</v>
      </c>
      <c r="S9" s="120">
        <f>INPUT_OUTPUTS!$C$19</f>
        <v>0</v>
      </c>
      <c r="T9" s="119" t="s">
        <v>68</v>
      </c>
    </row>
    <row r="10" spans="1:23" ht="15">
      <c r="A10" s="117" t="s">
        <v>1073</v>
      </c>
      <c r="B10" s="117" t="s">
        <v>66</v>
      </c>
      <c r="C10" s="117" t="s">
        <v>67</v>
      </c>
      <c r="D10" s="118">
        <f>SUMIF(Ahu_Ashrae_Generic[Zone],AHU_VAV_SCHEDULE[[#This Row],[ZONE]],Ahu_Ashrae_Generic[DESIGN VAV MIN SA(CFM)])</f>
        <v>0</v>
      </c>
      <c r="E10" s="117">
        <f>SUMIF(Ahu_Ashrae_Generic[Zone],AHU_VAV_SCHEDULE[[#This Row],[ZONE]],Ahu_Ashrae_Generic[DESIGN VAV MAX SA(CFM)])</f>
        <v>0</v>
      </c>
      <c r="F10" s="119" t="str">
        <f>IFERROR((VLOOKUP(AHU_VAV_SCHEDULE[[#This Row],[MAX VAV
(CFM)]],'DO NOT TOUCH'!$C$9:$D$14,2,TRUE)),"TBD")</f>
        <v>TBD</v>
      </c>
      <c r="G10" s="119">
        <v>0.5</v>
      </c>
      <c r="H10" s="119">
        <f>AHU_VAV_SCHEDULE[[#This Row],[MIN VAV
(CFM)]]</f>
        <v>0</v>
      </c>
      <c r="I10" s="119">
        <f>INPUT_OUTPUTS!$C$16</f>
        <v>140</v>
      </c>
      <c r="J10" s="119">
        <f>INPUT_OUTPUTS!$C$17</f>
        <v>110</v>
      </c>
      <c r="K10" s="119">
        <v>55</v>
      </c>
      <c r="L10" s="119">
        <v>80</v>
      </c>
      <c r="M10" s="119">
        <f>MROUND((1.08*(L10-K10)*AHU_VAV_SCHEDULE[[#This Row],[HEATING AIRFLOW 
(CFM)]])/1000,0.1)</f>
        <v>0</v>
      </c>
      <c r="N10" s="120">
        <f t="shared" si="0"/>
        <v>0</v>
      </c>
      <c r="O10" s="120">
        <f t="shared" si="1"/>
        <v>0.5</v>
      </c>
      <c r="P10" s="430">
        <f>IF($D$2 = "YES",(_xlfn.XLOOKUP(AHU_VAV_SCHEDULE[[#This Row],[GPM]],Hydronic_Pipe_Size[SOUND SENSITIVE],Hydronic_Pipe_Size[SIZE],"Not Found",1)),(_xlfn.XLOOKUP(AHU_VAV_SCHEDULE[[#This Row],[GPM]],Hydronic_Pipe_Size[GPM],Hydronic_Pipe_Size[SIZE],"Not Found",1)))</f>
        <v>0.75</v>
      </c>
      <c r="Q10" s="120">
        <v>5</v>
      </c>
      <c r="R10" s="120" t="str">
        <f>IFERROR((_xlfn.XLOOKUP(F10,'DO NOT TOUCH'!$D$9:$D$14,'DO NOT TOUCH'!$E$9:$E$14,)),"TBD")</f>
        <v>TBD</v>
      </c>
      <c r="S10" s="120">
        <f>INPUT_OUTPUTS!$C$19</f>
        <v>0</v>
      </c>
      <c r="T10" s="119" t="s">
        <v>68</v>
      </c>
    </row>
    <row r="11" spans="1:23" ht="15">
      <c r="A11" s="117" t="s">
        <v>1074</v>
      </c>
      <c r="B11" s="117" t="s">
        <v>66</v>
      </c>
      <c r="C11" s="117" t="s">
        <v>67</v>
      </c>
      <c r="D11" s="118">
        <f>SUMIF(Ahu_Ashrae_Generic[Zone],AHU_VAV_SCHEDULE[[#This Row],[ZONE]],Ahu_Ashrae_Generic[DESIGN VAV MIN SA(CFM)])</f>
        <v>0</v>
      </c>
      <c r="E11" s="117">
        <f>SUMIF(Ahu_Ashrae_Generic[Zone],AHU_VAV_SCHEDULE[[#This Row],[ZONE]],Ahu_Ashrae_Generic[DESIGN VAV MAX SA(CFM)])</f>
        <v>0</v>
      </c>
      <c r="F11" s="119" t="str">
        <f>IFERROR((VLOOKUP(AHU_VAV_SCHEDULE[[#This Row],[MAX VAV
(CFM)]],'DO NOT TOUCH'!$C$9:$D$14,2,TRUE)),"TBD")</f>
        <v>TBD</v>
      </c>
      <c r="G11" s="119">
        <v>0.5</v>
      </c>
      <c r="H11" s="119">
        <f>AHU_VAV_SCHEDULE[[#This Row],[MIN VAV
(CFM)]]</f>
        <v>0</v>
      </c>
      <c r="I11" s="119">
        <f>INPUT_OUTPUTS!$C$16</f>
        <v>140</v>
      </c>
      <c r="J11" s="119">
        <f>INPUT_OUTPUTS!$C$17</f>
        <v>110</v>
      </c>
      <c r="K11" s="119">
        <v>55</v>
      </c>
      <c r="L11" s="119">
        <v>80</v>
      </c>
      <c r="M11" s="119">
        <f>MROUND((1.08*(L11-K11)*AHU_VAV_SCHEDULE[[#This Row],[HEATING AIRFLOW 
(CFM)]])/1000,0.1)</f>
        <v>0</v>
      </c>
      <c r="N11" s="120">
        <f t="shared" si="0"/>
        <v>0</v>
      </c>
      <c r="O11" s="120">
        <f t="shared" si="1"/>
        <v>0.5</v>
      </c>
      <c r="P11" s="430">
        <f>IF($D$2 = "YES",(_xlfn.XLOOKUP(AHU_VAV_SCHEDULE[[#This Row],[GPM]],Hydronic_Pipe_Size[SOUND SENSITIVE],Hydronic_Pipe_Size[SIZE],"Not Found",1)),(_xlfn.XLOOKUP(AHU_VAV_SCHEDULE[[#This Row],[GPM]],Hydronic_Pipe_Size[GPM],Hydronic_Pipe_Size[SIZE],"Not Found",1)))</f>
        <v>0.75</v>
      </c>
      <c r="Q11" s="120">
        <v>5</v>
      </c>
      <c r="R11" s="120" t="str">
        <f>IFERROR((_xlfn.XLOOKUP(F11,'DO NOT TOUCH'!$D$9:$D$14,'DO NOT TOUCH'!$E$9:$E$14,)),"TBD")</f>
        <v>TBD</v>
      </c>
      <c r="S11" s="120">
        <f>INPUT_OUTPUTS!$C$19</f>
        <v>0</v>
      </c>
      <c r="T11" s="119" t="s">
        <v>68</v>
      </c>
    </row>
    <row r="12" spans="1:23" ht="15">
      <c r="A12" s="117" t="s">
        <v>1075</v>
      </c>
      <c r="B12" s="117" t="s">
        <v>66</v>
      </c>
      <c r="C12" s="117" t="s">
        <v>67</v>
      </c>
      <c r="D12" s="118">
        <f>SUMIF(Ahu_Ashrae_Generic[Zone],AHU_VAV_SCHEDULE[[#This Row],[ZONE]],Ahu_Ashrae_Generic[DESIGN VAV MIN SA(CFM)])</f>
        <v>0</v>
      </c>
      <c r="E12" s="117">
        <f>SUMIF(Ahu_Ashrae_Generic[Zone],AHU_VAV_SCHEDULE[[#This Row],[ZONE]],Ahu_Ashrae_Generic[DESIGN VAV MAX SA(CFM)])</f>
        <v>0</v>
      </c>
      <c r="F12" s="119" t="str">
        <f>IFERROR((VLOOKUP(AHU_VAV_SCHEDULE[[#This Row],[MAX VAV
(CFM)]],'DO NOT TOUCH'!$C$9:$D$14,2,TRUE)),"TBD")</f>
        <v>TBD</v>
      </c>
      <c r="G12" s="119">
        <v>0.5</v>
      </c>
      <c r="H12" s="119">
        <f>AHU_VAV_SCHEDULE[[#This Row],[MIN VAV
(CFM)]]</f>
        <v>0</v>
      </c>
      <c r="I12" s="119">
        <f>INPUT_OUTPUTS!$C$16</f>
        <v>140</v>
      </c>
      <c r="J12" s="119">
        <f>INPUT_OUTPUTS!$C$17</f>
        <v>110</v>
      </c>
      <c r="K12" s="119">
        <v>55</v>
      </c>
      <c r="L12" s="119">
        <v>80</v>
      </c>
      <c r="M12" s="119">
        <f>MROUND((1.08*(L12-K12)*AHU_VAV_SCHEDULE[[#This Row],[HEATING AIRFLOW 
(CFM)]])/1000,0.1)</f>
        <v>0</v>
      </c>
      <c r="N12" s="120">
        <f t="shared" si="0"/>
        <v>0</v>
      </c>
      <c r="O12" s="120">
        <f t="shared" si="1"/>
        <v>0.5</v>
      </c>
      <c r="P12" s="430">
        <f>IF($D$2 = "YES",(_xlfn.XLOOKUP(AHU_VAV_SCHEDULE[[#This Row],[GPM]],Hydronic_Pipe_Size[SOUND SENSITIVE],Hydronic_Pipe_Size[SIZE],"Not Found",1)),(_xlfn.XLOOKUP(AHU_VAV_SCHEDULE[[#This Row],[GPM]],Hydronic_Pipe_Size[GPM],Hydronic_Pipe_Size[SIZE],"Not Found",1)))</f>
        <v>0.75</v>
      </c>
      <c r="Q12" s="120">
        <v>5</v>
      </c>
      <c r="R12" s="120" t="str">
        <f>IFERROR((_xlfn.XLOOKUP(F12,'DO NOT TOUCH'!$D$9:$D$14,'DO NOT TOUCH'!$E$9:$E$14,)),"TBD")</f>
        <v>TBD</v>
      </c>
      <c r="S12" s="120">
        <f>INPUT_OUTPUTS!$C$19</f>
        <v>0</v>
      </c>
      <c r="T12" s="119" t="s">
        <v>68</v>
      </c>
    </row>
    <row r="13" spans="1:23" ht="15">
      <c r="A13" s="117" t="s">
        <v>1076</v>
      </c>
      <c r="B13" s="117" t="s">
        <v>66</v>
      </c>
      <c r="C13" s="117" t="s">
        <v>67</v>
      </c>
      <c r="D13" s="118">
        <f>SUMIF(Ahu_Ashrae_Generic[Zone],AHU_VAV_SCHEDULE[[#This Row],[ZONE]],Ahu_Ashrae_Generic[DESIGN VAV MIN SA(CFM)])</f>
        <v>0</v>
      </c>
      <c r="E13" s="117">
        <f>SUMIF(Ahu_Ashrae_Generic[Zone],AHU_VAV_SCHEDULE[[#This Row],[ZONE]],Ahu_Ashrae_Generic[DESIGN VAV MAX SA(CFM)])</f>
        <v>0</v>
      </c>
      <c r="F13" s="119" t="str">
        <f>IFERROR((VLOOKUP(AHU_VAV_SCHEDULE[[#This Row],[MAX VAV
(CFM)]],'DO NOT TOUCH'!$C$9:$D$14,2,TRUE)),"TBD")</f>
        <v>TBD</v>
      </c>
      <c r="G13" s="119">
        <v>0.5</v>
      </c>
      <c r="H13" s="119">
        <f>AHU_VAV_SCHEDULE[[#This Row],[MIN VAV
(CFM)]]</f>
        <v>0</v>
      </c>
      <c r="I13" s="119">
        <f>INPUT_OUTPUTS!$C$16</f>
        <v>140</v>
      </c>
      <c r="J13" s="119">
        <f>INPUT_OUTPUTS!$C$17</f>
        <v>110</v>
      </c>
      <c r="K13" s="119">
        <v>55</v>
      </c>
      <c r="L13" s="119">
        <v>80</v>
      </c>
      <c r="M13" s="119">
        <f>MROUND((1.08*(L13-K13)*AHU_VAV_SCHEDULE[[#This Row],[HEATING AIRFLOW 
(CFM)]])/1000,0.1)</f>
        <v>0</v>
      </c>
      <c r="N13" s="120">
        <f t="shared" si="0"/>
        <v>0</v>
      </c>
      <c r="O13" s="120">
        <f t="shared" si="1"/>
        <v>0.5</v>
      </c>
      <c r="P13" s="430">
        <f>IF($D$2 = "YES",(_xlfn.XLOOKUP(AHU_VAV_SCHEDULE[[#This Row],[GPM]],Hydronic_Pipe_Size[SOUND SENSITIVE],Hydronic_Pipe_Size[SIZE],"Not Found",1)),(_xlfn.XLOOKUP(AHU_VAV_SCHEDULE[[#This Row],[GPM]],Hydronic_Pipe_Size[GPM],Hydronic_Pipe_Size[SIZE],"Not Found",1)))</f>
        <v>0.75</v>
      </c>
      <c r="Q13" s="120">
        <v>5</v>
      </c>
      <c r="R13" s="120" t="str">
        <f>IFERROR((_xlfn.XLOOKUP(F13,'DO NOT TOUCH'!$D$9:$D$14,'DO NOT TOUCH'!$E$9:$E$14,)),"TBD")</f>
        <v>TBD</v>
      </c>
      <c r="S13" s="120">
        <f>INPUT_OUTPUTS!$C$19</f>
        <v>0</v>
      </c>
      <c r="T13" s="119" t="s">
        <v>68</v>
      </c>
    </row>
    <row r="14" spans="1:23" ht="15">
      <c r="A14" s="117" t="s">
        <v>1077</v>
      </c>
      <c r="B14" s="117" t="s">
        <v>66</v>
      </c>
      <c r="C14" s="117" t="s">
        <v>67</v>
      </c>
      <c r="D14" s="118">
        <f>SUMIF(Ahu_Ashrae_Generic[Zone],AHU_VAV_SCHEDULE[[#This Row],[ZONE]],Ahu_Ashrae_Generic[DESIGN VAV MIN SA(CFM)])</f>
        <v>0</v>
      </c>
      <c r="E14" s="117">
        <f>SUMIF(Ahu_Ashrae_Generic[Zone],AHU_VAV_SCHEDULE[[#This Row],[ZONE]],Ahu_Ashrae_Generic[DESIGN VAV MAX SA(CFM)])</f>
        <v>0</v>
      </c>
      <c r="F14" s="119" t="str">
        <f>IFERROR((VLOOKUP(AHU_VAV_SCHEDULE[[#This Row],[MAX VAV
(CFM)]],'DO NOT TOUCH'!$C$9:$D$14,2,TRUE)),"TBD")</f>
        <v>TBD</v>
      </c>
      <c r="G14" s="119">
        <v>0.5</v>
      </c>
      <c r="H14" s="119">
        <f>AHU_VAV_SCHEDULE[[#This Row],[MIN VAV
(CFM)]]</f>
        <v>0</v>
      </c>
      <c r="I14" s="119">
        <f>INPUT_OUTPUTS!$C$16</f>
        <v>140</v>
      </c>
      <c r="J14" s="119">
        <f>INPUT_OUTPUTS!$C$17</f>
        <v>110</v>
      </c>
      <c r="K14" s="119">
        <v>55</v>
      </c>
      <c r="L14" s="119">
        <v>80</v>
      </c>
      <c r="M14" s="119">
        <f>MROUND((1.08*(L14-K14)*AHU_VAV_SCHEDULE[[#This Row],[HEATING AIRFLOW 
(CFM)]])/1000,0.1)</f>
        <v>0</v>
      </c>
      <c r="N14" s="120">
        <f t="shared" si="0"/>
        <v>0</v>
      </c>
      <c r="O14" s="120">
        <f t="shared" si="1"/>
        <v>0.5</v>
      </c>
      <c r="P14" s="430">
        <f>IF($D$2 = "YES",(_xlfn.XLOOKUP(AHU_VAV_SCHEDULE[[#This Row],[GPM]],Hydronic_Pipe_Size[SOUND SENSITIVE],Hydronic_Pipe_Size[SIZE],"Not Found",1)),(_xlfn.XLOOKUP(AHU_VAV_SCHEDULE[[#This Row],[GPM]],Hydronic_Pipe_Size[GPM],Hydronic_Pipe_Size[SIZE],"Not Found",1)))</f>
        <v>0.75</v>
      </c>
      <c r="Q14" s="120">
        <v>5</v>
      </c>
      <c r="R14" s="120" t="str">
        <f>IFERROR((_xlfn.XLOOKUP(F14,'DO NOT TOUCH'!$D$9:$D$14,'DO NOT TOUCH'!$E$9:$E$14,)),"TBD")</f>
        <v>TBD</v>
      </c>
      <c r="S14" s="120">
        <f>INPUT_OUTPUTS!$C$19</f>
        <v>0</v>
      </c>
      <c r="T14" s="119" t="s">
        <v>68</v>
      </c>
    </row>
    <row r="15" spans="1:23" ht="15">
      <c r="A15" s="117" t="s">
        <v>1078</v>
      </c>
      <c r="B15" s="117" t="s">
        <v>66</v>
      </c>
      <c r="C15" s="117" t="s">
        <v>67</v>
      </c>
      <c r="D15" s="118">
        <f>SUMIF(Ahu_Ashrae_Generic[Zone],AHU_VAV_SCHEDULE[[#This Row],[ZONE]],Ahu_Ashrae_Generic[DESIGN VAV MIN SA(CFM)])</f>
        <v>0</v>
      </c>
      <c r="E15" s="117">
        <f>SUMIF(Ahu_Ashrae_Generic[Zone],AHU_VAV_SCHEDULE[[#This Row],[ZONE]],Ahu_Ashrae_Generic[DESIGN VAV MAX SA(CFM)])</f>
        <v>0</v>
      </c>
      <c r="F15" s="119" t="str">
        <f>IFERROR((VLOOKUP(AHU_VAV_SCHEDULE[[#This Row],[MAX VAV
(CFM)]],'DO NOT TOUCH'!$C$9:$D$14,2,TRUE)),"TBD")</f>
        <v>TBD</v>
      </c>
      <c r="G15" s="119">
        <v>0.5</v>
      </c>
      <c r="H15" s="119">
        <f>AHU_VAV_SCHEDULE[[#This Row],[MIN VAV
(CFM)]]</f>
        <v>0</v>
      </c>
      <c r="I15" s="119">
        <f>INPUT_OUTPUTS!$C$16</f>
        <v>140</v>
      </c>
      <c r="J15" s="119">
        <f>INPUT_OUTPUTS!$C$17</f>
        <v>110</v>
      </c>
      <c r="K15" s="119">
        <v>55</v>
      </c>
      <c r="L15" s="119">
        <v>80</v>
      </c>
      <c r="M15" s="119">
        <f>MROUND((1.08*(L15-K15)*AHU_VAV_SCHEDULE[[#This Row],[HEATING AIRFLOW 
(CFM)]])/1000,0.1)</f>
        <v>0</v>
      </c>
      <c r="N15" s="120">
        <f t="shared" si="0"/>
        <v>0</v>
      </c>
      <c r="O15" s="120">
        <f t="shared" si="1"/>
        <v>0.5</v>
      </c>
      <c r="P15" s="430">
        <f>IF($D$2 = "YES",(_xlfn.XLOOKUP(AHU_VAV_SCHEDULE[[#This Row],[GPM]],Hydronic_Pipe_Size[SOUND SENSITIVE],Hydronic_Pipe_Size[SIZE],"Not Found",1)),(_xlfn.XLOOKUP(AHU_VAV_SCHEDULE[[#This Row],[GPM]],Hydronic_Pipe_Size[GPM],Hydronic_Pipe_Size[SIZE],"Not Found",1)))</f>
        <v>0.75</v>
      </c>
      <c r="Q15" s="120">
        <v>5</v>
      </c>
      <c r="R15" s="120" t="str">
        <f>IFERROR((_xlfn.XLOOKUP(F15,'DO NOT TOUCH'!$D$9:$D$14,'DO NOT TOUCH'!$E$9:$E$14,)),"TBD")</f>
        <v>TBD</v>
      </c>
      <c r="S15" s="120">
        <f>INPUT_OUTPUTS!$C$19</f>
        <v>0</v>
      </c>
      <c r="T15" s="119" t="s">
        <v>68</v>
      </c>
    </row>
    <row r="16" spans="1:23" ht="15">
      <c r="A16" s="117" t="s">
        <v>1079</v>
      </c>
      <c r="B16" s="117" t="s">
        <v>66</v>
      </c>
      <c r="C16" s="117" t="s">
        <v>67</v>
      </c>
      <c r="D16" s="118">
        <f>SUMIF(Ahu_Ashrae_Generic[Zone],AHU_VAV_SCHEDULE[[#This Row],[ZONE]],Ahu_Ashrae_Generic[DESIGN VAV MIN SA(CFM)])</f>
        <v>0</v>
      </c>
      <c r="E16" s="117">
        <f>SUMIF(Ahu_Ashrae_Generic[Zone],AHU_VAV_SCHEDULE[[#This Row],[ZONE]],Ahu_Ashrae_Generic[DESIGN VAV MAX SA(CFM)])</f>
        <v>0</v>
      </c>
      <c r="F16" s="119" t="str">
        <f>IFERROR((VLOOKUP(AHU_VAV_SCHEDULE[[#This Row],[MAX VAV
(CFM)]],'DO NOT TOUCH'!$C$9:$D$14,2,TRUE)),"TBD")</f>
        <v>TBD</v>
      </c>
      <c r="G16" s="119">
        <v>0.5</v>
      </c>
      <c r="H16" s="119">
        <f>AHU_VAV_SCHEDULE[[#This Row],[MIN VAV
(CFM)]]</f>
        <v>0</v>
      </c>
      <c r="I16" s="119">
        <f>INPUT_OUTPUTS!$C$16</f>
        <v>140</v>
      </c>
      <c r="J16" s="119">
        <f>INPUT_OUTPUTS!$C$17</f>
        <v>110</v>
      </c>
      <c r="K16" s="119">
        <v>55</v>
      </c>
      <c r="L16" s="119">
        <v>80</v>
      </c>
      <c r="M16" s="119">
        <f>MROUND((1.08*(L16-K16)*AHU_VAV_SCHEDULE[[#This Row],[HEATING AIRFLOW 
(CFM)]])/1000,0.1)</f>
        <v>0</v>
      </c>
      <c r="N16" s="120">
        <f t="shared" si="0"/>
        <v>0</v>
      </c>
      <c r="O16" s="120">
        <f t="shared" si="1"/>
        <v>0.5</v>
      </c>
      <c r="P16" s="430">
        <f>IF($D$2 = "YES",(_xlfn.XLOOKUP(AHU_VAV_SCHEDULE[[#This Row],[GPM]],Hydronic_Pipe_Size[SOUND SENSITIVE],Hydronic_Pipe_Size[SIZE],"Not Found",1)),(_xlfn.XLOOKUP(AHU_VAV_SCHEDULE[[#This Row],[GPM]],Hydronic_Pipe_Size[GPM],Hydronic_Pipe_Size[SIZE],"Not Found",1)))</f>
        <v>0.75</v>
      </c>
      <c r="Q16" s="120">
        <v>5</v>
      </c>
      <c r="R16" s="120" t="str">
        <f>IFERROR((_xlfn.XLOOKUP(F16,'DO NOT TOUCH'!$D$9:$D$14,'DO NOT TOUCH'!$E$9:$E$14,)),"TBD")</f>
        <v>TBD</v>
      </c>
      <c r="S16" s="120">
        <f>INPUT_OUTPUTS!$C$19</f>
        <v>0</v>
      </c>
      <c r="T16" s="119" t="s">
        <v>68</v>
      </c>
    </row>
    <row r="17" spans="1:20" ht="15">
      <c r="A17" s="111" t="s">
        <v>77</v>
      </c>
      <c r="B17" s="112"/>
      <c r="C17" s="112"/>
      <c r="D17" s="112"/>
      <c r="E17" s="113"/>
      <c r="F17" s="113"/>
      <c r="G17" s="113"/>
      <c r="H17" s="113"/>
      <c r="I17" s="113"/>
      <c r="J17" s="113"/>
      <c r="K17" s="113"/>
      <c r="L17" s="113"/>
      <c r="M17" s="113">
        <f ca="1">SUBTOTAL(109,AHU_VAV_SCHEDULE[MIN MBH])</f>
        <v>81.400000000000006</v>
      </c>
      <c r="N17" s="113"/>
      <c r="O17" s="114">
        <f ca="1">SUBTOTAL(109,AHU_VAV_SCHEDULE[GPM])</f>
        <v>10.926666666666666</v>
      </c>
      <c r="P17" s="114"/>
      <c r="Q17" s="113"/>
      <c r="R17" s="113"/>
      <c r="S17" s="113"/>
      <c r="T17" s="115"/>
    </row>
  </sheetData>
  <phoneticPr fontId="12" type="noConversion"/>
  <dataValidations count="1">
    <dataValidation type="list" allowBlank="1" showInputMessage="1" showErrorMessage="1" sqref="D2" xr:uid="{6CA3CC69-BEA4-49CC-B087-4FACC2FF4B19}">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AddRowsToTableWithUserInput" altText="HUMIDIFICATION">
                <anchor moveWithCells="1" sizeWithCells="1">
                  <from>
                    <xdr:col>0</xdr:col>
                    <xdr:colOff>579120</xdr:colOff>
                    <xdr:row>0</xdr:row>
                    <xdr:rowOff>60960</xdr:rowOff>
                  </from>
                  <to>
                    <xdr:col>1</xdr:col>
                    <xdr:colOff>1074420</xdr:colOff>
                    <xdr:row>2</xdr:row>
                    <xdr:rowOff>91440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4628-583D-45FD-A14B-37602AA4B733}">
  <sheetPr codeName="Sheet13">
    <tabColor rgb="FFFFC000"/>
  </sheetPr>
  <dimension ref="B3:E33"/>
  <sheetViews>
    <sheetView topLeftCell="A5" zoomScale="79" workbookViewId="0">
      <selection activeCell="B20" sqref="B20"/>
    </sheetView>
  </sheetViews>
  <sheetFormatPr defaultRowHeight="13.2"/>
  <cols>
    <col min="1" max="1" width="15.77734375" bestFit="1" customWidth="1"/>
    <col min="2" max="2" width="94.33203125" bestFit="1" customWidth="1"/>
    <col min="3" max="3" width="28.88671875" customWidth="1"/>
    <col min="4" max="4" width="29.44140625" customWidth="1"/>
    <col min="5" max="5" width="26.109375" customWidth="1"/>
  </cols>
  <sheetData>
    <row r="3" spans="2:5" ht="19.2" thickBot="1">
      <c r="B3" s="277" t="s">
        <v>715</v>
      </c>
      <c r="C3" s="278" t="s">
        <v>718</v>
      </c>
      <c r="D3" s="278" t="s">
        <v>717</v>
      </c>
      <c r="E3" s="279" t="s">
        <v>716</v>
      </c>
    </row>
    <row r="4" spans="2:5" ht="18.600000000000001">
      <c r="B4" s="295"/>
      <c r="C4" s="295"/>
      <c r="D4" s="295"/>
      <c r="E4" s="295"/>
    </row>
    <row r="5" spans="2:5" ht="18.600000000000001">
      <c r="B5" s="295"/>
      <c r="C5" s="295"/>
      <c r="D5" s="295"/>
      <c r="E5" s="295"/>
    </row>
    <row r="6" spans="2:5" ht="18.600000000000001">
      <c r="B6" s="295" t="s">
        <v>103</v>
      </c>
      <c r="C6" s="295"/>
      <c r="D6" s="295"/>
      <c r="E6" s="295"/>
    </row>
    <row r="7" spans="2:5" ht="18.600000000000001">
      <c r="B7" s="295" t="s">
        <v>296</v>
      </c>
      <c r="C7" s="295"/>
      <c r="D7" s="295"/>
      <c r="E7" s="295"/>
    </row>
    <row r="8" spans="2:5" ht="18.600000000000001">
      <c r="B8" s="295" t="s">
        <v>309</v>
      </c>
      <c r="C8" s="295"/>
      <c r="D8" s="295"/>
      <c r="E8" s="295"/>
    </row>
    <row r="9" spans="2:5" ht="18.600000000000001">
      <c r="B9" s="295" t="s">
        <v>340</v>
      </c>
      <c r="C9" s="295"/>
      <c r="D9" s="295"/>
      <c r="E9" s="295"/>
    </row>
    <row r="10" spans="2:5" ht="18.600000000000001">
      <c r="B10" s="295" t="s">
        <v>289</v>
      </c>
      <c r="C10" s="295"/>
      <c r="D10" s="295"/>
      <c r="E10" s="295"/>
    </row>
    <row r="11" spans="2:5" ht="18.600000000000001">
      <c r="B11" s="295" t="s">
        <v>356</v>
      </c>
      <c r="C11" s="295"/>
      <c r="D11" s="295"/>
      <c r="E11" s="295"/>
    </row>
    <row r="12" spans="2:5" ht="18.600000000000001">
      <c r="B12" s="295" t="s">
        <v>342</v>
      </c>
      <c r="C12" s="295"/>
      <c r="D12" s="295"/>
      <c r="E12" s="295"/>
    </row>
    <row r="13" spans="2:5" ht="18.600000000000001">
      <c r="B13" s="295" t="s">
        <v>279</v>
      </c>
      <c r="C13" s="295"/>
      <c r="D13" s="295"/>
      <c r="E13" s="295"/>
    </row>
    <row r="14" spans="2:5" ht="18.600000000000001">
      <c r="B14" s="295" t="s">
        <v>265</v>
      </c>
      <c r="C14" s="295"/>
      <c r="D14" s="295"/>
      <c r="E14" s="295"/>
    </row>
    <row r="15" spans="2:5" ht="18.600000000000001">
      <c r="B15" s="295" t="s">
        <v>281</v>
      </c>
      <c r="C15" s="295"/>
      <c r="D15" s="295"/>
      <c r="E15" s="295"/>
    </row>
    <row r="16" spans="2:5" ht="18.600000000000001">
      <c r="B16" s="295" t="s">
        <v>75</v>
      </c>
      <c r="C16" s="295"/>
      <c r="D16" s="295"/>
      <c r="E16" s="295"/>
    </row>
    <row r="17" spans="2:5" ht="18.600000000000001">
      <c r="B17" s="295" t="s">
        <v>106</v>
      </c>
      <c r="C17" s="295"/>
      <c r="D17" s="295"/>
      <c r="E17" s="295"/>
    </row>
    <row r="18" spans="2:5" ht="18.600000000000001">
      <c r="B18" s="295" t="s">
        <v>514</v>
      </c>
      <c r="C18" s="295"/>
      <c r="D18" s="295"/>
      <c r="E18" s="295"/>
    </row>
    <row r="19" spans="2:5" ht="18.600000000000001">
      <c r="B19" s="295" t="s">
        <v>562</v>
      </c>
      <c r="C19" s="295"/>
      <c r="D19" s="295"/>
      <c r="E19" s="295"/>
    </row>
    <row r="20" spans="2:5" ht="18.600000000000001">
      <c r="B20" s="295" t="s">
        <v>103</v>
      </c>
      <c r="C20" s="295"/>
      <c r="D20" s="295"/>
      <c r="E20" s="295"/>
    </row>
    <row r="21" spans="2:5" ht="18.600000000000001">
      <c r="B21" s="295" t="s">
        <v>296</v>
      </c>
      <c r="C21" s="295"/>
      <c r="D21" s="295"/>
      <c r="E21" s="295"/>
    </row>
    <row r="22" spans="2:5" ht="18.600000000000001">
      <c r="B22" s="295" t="s">
        <v>309</v>
      </c>
      <c r="C22" s="295"/>
      <c r="D22" s="295"/>
      <c r="E22" s="295"/>
    </row>
    <row r="23" spans="2:5" ht="18.600000000000001">
      <c r="B23" s="295" t="s">
        <v>340</v>
      </c>
      <c r="C23" s="295"/>
      <c r="D23" s="295"/>
      <c r="E23" s="295"/>
    </row>
    <row r="24" spans="2:5" ht="18.600000000000001">
      <c r="B24" s="295" t="s">
        <v>289</v>
      </c>
      <c r="C24" s="295"/>
      <c r="D24" s="295"/>
      <c r="E24" s="295"/>
    </row>
    <row r="25" spans="2:5" ht="18.600000000000001">
      <c r="B25" s="295" t="s">
        <v>356</v>
      </c>
      <c r="C25" s="295"/>
      <c r="D25" s="295"/>
      <c r="E25" s="295"/>
    </row>
    <row r="26" spans="2:5" ht="18.600000000000001">
      <c r="B26" s="295" t="s">
        <v>342</v>
      </c>
      <c r="C26" s="295"/>
      <c r="D26" s="295"/>
      <c r="E26" s="295"/>
    </row>
    <row r="27" spans="2:5" ht="18.600000000000001">
      <c r="B27" s="295" t="s">
        <v>279</v>
      </c>
      <c r="C27" s="295"/>
      <c r="D27" s="295"/>
      <c r="E27" s="295"/>
    </row>
    <row r="28" spans="2:5" ht="18.600000000000001">
      <c r="B28" s="295" t="s">
        <v>265</v>
      </c>
      <c r="C28" s="295"/>
      <c r="D28" s="295"/>
      <c r="E28" s="295"/>
    </row>
    <row r="29" spans="2:5" ht="18.600000000000001">
      <c r="B29" s="295" t="s">
        <v>281</v>
      </c>
      <c r="C29" s="295"/>
      <c r="D29" s="295"/>
      <c r="E29" s="295"/>
    </row>
    <row r="30" spans="2:5" ht="18.600000000000001">
      <c r="B30" s="295" t="s">
        <v>75</v>
      </c>
      <c r="C30" s="295"/>
      <c r="D30" s="295"/>
      <c r="E30" s="295"/>
    </row>
    <row r="31" spans="2:5" ht="18.600000000000001">
      <c r="B31" s="295" t="s">
        <v>106</v>
      </c>
      <c r="C31" s="295"/>
      <c r="D31" s="295"/>
      <c r="E31" s="295"/>
    </row>
    <row r="32" spans="2:5" ht="18.600000000000001">
      <c r="B32" s="295" t="s">
        <v>514</v>
      </c>
      <c r="C32" s="295"/>
      <c r="D32" s="295"/>
      <c r="E32" s="295"/>
    </row>
    <row r="33" spans="2:5" ht="18.600000000000001">
      <c r="B33" s="295" t="s">
        <v>562</v>
      </c>
      <c r="C33" s="295"/>
      <c r="D33" s="295"/>
      <c r="E33" s="29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9025" r:id="rId3" name="Button 1">
              <controlPr defaultSize="0" print="0" autoFill="0" autoPict="0" macro="[0]!CopyUniqueValuesToRoomTemperature" altText="HUMIDIFICATION">
                <anchor moveWithCells="1" sizeWithCells="1">
                  <from>
                    <xdr:col>7</xdr:col>
                    <xdr:colOff>99060</xdr:colOff>
                    <xdr:row>2</xdr:row>
                    <xdr:rowOff>114300</xdr:rowOff>
                  </from>
                  <to>
                    <xdr:col>9</xdr:col>
                    <xdr:colOff>205740</xdr:colOff>
                    <xdr:row>4</xdr:row>
                    <xdr:rowOff>22860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F511E-EE03-4FD1-9828-650EB7C06B4E}">
  <sheetPr codeName="Sheet20">
    <tabColor rgb="FFFFFF00"/>
  </sheetPr>
  <dimension ref="A1:AD22"/>
  <sheetViews>
    <sheetView showGridLines="0" tabSelected="1" topLeftCell="O1" zoomScale="85" zoomScaleNormal="85" workbookViewId="0">
      <selection activeCell="AC15" sqref="AC15"/>
    </sheetView>
  </sheetViews>
  <sheetFormatPr defaultRowHeight="13.2"/>
  <cols>
    <col min="1" max="1" width="17.77734375" customWidth="1"/>
    <col min="2" max="2" width="20.77734375" customWidth="1"/>
    <col min="3" max="3" width="12.44140625" bestFit="1" customWidth="1"/>
    <col min="4" max="4" width="13.5546875" customWidth="1"/>
    <col min="5" max="5" width="14.21875" bestFit="1" customWidth="1"/>
    <col min="6" max="6" width="21" bestFit="1" customWidth="1"/>
    <col min="7" max="7" width="14.77734375" bestFit="1" customWidth="1"/>
    <col min="8" max="8" width="15.109375" bestFit="1" customWidth="1"/>
    <col min="9" max="11" width="25.109375" bestFit="1" customWidth="1"/>
    <col min="12" max="12" width="19" customWidth="1"/>
    <col min="13" max="13" width="50.6640625" bestFit="1" customWidth="1"/>
    <col min="14" max="14" width="13.6640625" customWidth="1"/>
    <col min="15" max="15" width="14.5546875" customWidth="1"/>
    <col min="16" max="16" width="11.33203125" bestFit="1" customWidth="1"/>
    <col min="17" max="17" width="18.44140625" customWidth="1"/>
    <col min="18" max="18" width="14.10937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24.5546875" bestFit="1" customWidth="1"/>
    <col min="28" max="28" width="15.5546875" bestFit="1" customWidth="1"/>
    <col min="29" max="29" width="15.44140625" bestFit="1" customWidth="1"/>
    <col min="30" max="30" width="14" customWidth="1"/>
  </cols>
  <sheetData>
    <row r="1" spans="1:30" ht="17.399999999999999">
      <c r="J1" s="298" t="s">
        <v>929</v>
      </c>
      <c r="K1" s="299" t="s">
        <v>111</v>
      </c>
      <c r="Q1" s="405" t="s">
        <v>885</v>
      </c>
      <c r="R1" s="405"/>
      <c r="S1" s="405"/>
      <c r="T1" s="299">
        <v>0</v>
      </c>
    </row>
    <row r="4" spans="1:30" s="360" customFormat="1" ht="20.399999999999999">
      <c r="A4" s="406" t="s">
        <v>753</v>
      </c>
      <c r="B4" s="406"/>
      <c r="C4" s="406"/>
      <c r="D4" s="406"/>
      <c r="E4" s="406"/>
      <c r="F4" s="406"/>
      <c r="G4" s="406"/>
      <c r="H4" s="406"/>
      <c r="I4" s="406"/>
      <c r="J4" s="407" t="s">
        <v>921</v>
      </c>
      <c r="K4" s="408"/>
      <c r="L4" s="408"/>
      <c r="M4" s="408"/>
      <c r="N4" s="408"/>
      <c r="O4" s="408"/>
      <c r="P4" s="408"/>
      <c r="Q4" s="408"/>
      <c r="R4" s="408"/>
      <c r="S4" s="408"/>
      <c r="T4" s="408"/>
      <c r="U4" s="408"/>
      <c r="V4" s="408"/>
      <c r="W4" s="408"/>
      <c r="X4" s="408"/>
      <c r="Y4" s="409"/>
      <c r="Z4" s="406" t="s">
        <v>256</v>
      </c>
      <c r="AA4" s="406"/>
      <c r="AB4" s="406"/>
      <c r="AC4" s="406"/>
    </row>
    <row r="5" spans="1:30" s="11" customFormat="1" ht="124.8">
      <c r="A5" s="287" t="s">
        <v>5</v>
      </c>
      <c r="B5" s="64" t="s">
        <v>81</v>
      </c>
      <c r="C5" s="63" t="s">
        <v>82</v>
      </c>
      <c r="D5" s="64" t="s">
        <v>257</v>
      </c>
      <c r="E5" s="287" t="s">
        <v>931</v>
      </c>
      <c r="F5" s="287" t="s">
        <v>737</v>
      </c>
      <c r="G5" s="64" t="s">
        <v>84</v>
      </c>
      <c r="H5" s="64" t="s">
        <v>85</v>
      </c>
      <c r="I5" s="302" t="s">
        <v>884</v>
      </c>
      <c r="J5" s="302" t="s">
        <v>883</v>
      </c>
      <c r="K5" s="65" t="s">
        <v>22</v>
      </c>
      <c r="L5" s="64" t="s">
        <v>744</v>
      </c>
      <c r="M5" s="64" t="s">
        <v>86</v>
      </c>
      <c r="N5" s="64" t="s">
        <v>923</v>
      </c>
      <c r="O5" s="64" t="s">
        <v>922</v>
      </c>
      <c r="P5" s="64" t="s">
        <v>920</v>
      </c>
      <c r="Q5" s="64" t="s">
        <v>925</v>
      </c>
      <c r="R5" s="64" t="s">
        <v>28</v>
      </c>
      <c r="S5" s="64" t="s">
        <v>930</v>
      </c>
      <c r="T5" s="66" t="s">
        <v>926</v>
      </c>
      <c r="U5" s="66" t="s">
        <v>927</v>
      </c>
      <c r="V5" s="361" t="s">
        <v>928</v>
      </c>
      <c r="W5" s="66" t="s">
        <v>739</v>
      </c>
      <c r="X5" s="66" t="s">
        <v>37</v>
      </c>
      <c r="Y5" s="66" t="s">
        <v>38</v>
      </c>
      <c r="Z5" s="64" t="s">
        <v>924</v>
      </c>
      <c r="AA5" s="66" t="s">
        <v>262</v>
      </c>
      <c r="AB5" s="66" t="s">
        <v>263</v>
      </c>
      <c r="AC5" s="64" t="s">
        <v>95</v>
      </c>
      <c r="AD5" s="67" t="s">
        <v>41</v>
      </c>
    </row>
    <row r="6" spans="1:30" ht="15.6">
      <c r="A6" s="309" t="s">
        <v>933</v>
      </c>
      <c r="B6" s="97">
        <v>123</v>
      </c>
      <c r="C6" s="97" t="s">
        <v>740</v>
      </c>
      <c r="D6" s="97">
        <v>250</v>
      </c>
      <c r="E6" s="97"/>
      <c r="F6" s="97">
        <v>-50</v>
      </c>
      <c r="G6" s="97">
        <v>0</v>
      </c>
      <c r="H6" s="116">
        <f>IF((VLOOKUP(AH1_T24_table[[#This Row],[Occupancy Category]],T24_VENT[#All],6,FALSE)) = "YES",MROUND(D6/2,5),MROUND(D6,5))</f>
        <v>250</v>
      </c>
      <c r="I6" s="97">
        <v>80</v>
      </c>
      <c r="J6" s="97">
        <v>2000</v>
      </c>
      <c r="K6" s="97" t="s">
        <v>48</v>
      </c>
      <c r="L6" s="144">
        <v>0</v>
      </c>
      <c r="M6" s="97" t="s">
        <v>814</v>
      </c>
      <c r="N6" s="97" t="s">
        <v>111</v>
      </c>
      <c r="O6" s="97">
        <v>150</v>
      </c>
      <c r="P6" s="99">
        <f>VLOOKUP(AH1_T24_table[[#This Row],[Occupancy Category]],T24_VENT[#All],2,FALSE)</f>
        <v>0.15</v>
      </c>
      <c r="Q6" s="99">
        <f>VLOOKUP(AH1_T24_table[[#This Row],[Occupancy Category]],T24_VENT[#All],3,FALSE)</f>
        <v>0</v>
      </c>
      <c r="R6" s="99">
        <f>VLOOKUP(AH1_T24_table[[#This Row],[Occupancy Category]],T24_VENT[#All],4,FALSE)</f>
        <v>2</v>
      </c>
      <c r="S6" s="99" t="str">
        <f>VLOOKUP(AH1_T24_table[[#This Row],[Occupancy Category]],T24_VENT[#All],5,FALSE)</f>
        <v>NO</v>
      </c>
      <c r="T6"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2250</v>
      </c>
      <c r="U6" s="100">
        <f>IF(AND(AH1_T24_table[[#This Row],[Occupancy Sensor Installed?]]="YES",AH1_T24_table[[#This Row],[Occupancy Stanby Permitted?]]="YES"),0,AH1_T24_table[[#This Row],[MIN VENT AIR FOR DCV (CFM/FT²)]]*AH1_T24_table[[#This Row],[AREA 
(FT²)]])</f>
        <v>0</v>
      </c>
      <c r="V6" s="100" t="str">
        <f>IF(AND(OR(($K$1 = "YES"),AH1_T24_table[[#Totals],[Vz (CFM)]]&gt;2900),( VLOOKUP(AH1_T24_table[[#This Row],[Occupancy Category]],T24_VENT[#All],7,FALSE))&gt;24),"YES","NO")</f>
        <v>NO</v>
      </c>
      <c r="W6" s="100" t="str">
        <f>IF(AH1_T24_table[[#This Row],[Exhaust Category]] = "NOT APPLICABLE","NR","YES")</f>
        <v>NR</v>
      </c>
      <c r="X6" s="100" t="str">
        <f>IF(AH1_T24_table[[#This Row],[Exhaust Category]]="NOT APPLICABLE","NA",VLOOKUP(AH1_T24_table[[#This Row],[Exhaust Category]],TITLE24_EXHAUST_TABLE[#All],2,FALSE))</f>
        <v>NA</v>
      </c>
      <c r="Y6" s="100" t="str">
        <f>IF(AH1_T24_table[[#This Row],[Exhaust Category]]="NOT APPLICABLE","NA",VLOOKUP(AH1_T24_table[[#This Row],[Exhaust Category]],TITLE24_EXHAUST_TABLE[#All],3,FALSE))</f>
        <v>NA</v>
      </c>
      <c r="Z6"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6" s="144" cm="1">
        <f t="array" aca="1" ref="AA6"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2250</v>
      </c>
      <c r="AB6" s="144" cm="1">
        <f t="array" aca="1" ref="AB6" ca="1">Returnair(AH1_T24_table[[#This Row],[DESIGN SA(CFM)]],AH1_T24_table[[#This Row],[Desired Room Balance]],AH1_T24_table[[#This Row],[Exhausted?]],AH1_T24_table[[#This Row],[Misc Exhaust From Room]])</f>
        <v>2300</v>
      </c>
      <c r="AC6" s="144" cm="1">
        <f t="array" aca="1" ref="AC6" ca="1">Exhaustair(AH1_T24_table[[#This Row],[DESIGN SA(CFM)]],AH1_T24_table[[#This Row],[Exhausted?]],AH1_T24_table[[#This Row],[MIN EA
(CFM)]],AH1_T24_table[[#This Row],[Desired Room Balance]],AH1_T24_table[[#This Row],[Misc Exhaust From Room]])</f>
        <v>0</v>
      </c>
      <c r="AD6" s="100">
        <f ca="1">AH1_T24_table[[#This Row],[DESIGN SA(CFM)]]-AH1_T24_table[[#This Row],[DESIGN RA(CFM)]]-AH1_T24_table[[#This Row],[DESIGN EA(CFM)]]</f>
        <v>-50</v>
      </c>
    </row>
    <row r="7" spans="1:30" ht="15.6">
      <c r="A7" s="144" t="s">
        <v>934</v>
      </c>
      <c r="B7" s="97">
        <v>344</v>
      </c>
      <c r="C7" s="97" t="s">
        <v>751</v>
      </c>
      <c r="D7" s="97">
        <v>1000</v>
      </c>
      <c r="E7" s="97"/>
      <c r="F7" s="97">
        <v>100</v>
      </c>
      <c r="G7" s="97">
        <v>0</v>
      </c>
      <c r="H7" s="116">
        <f>IF((VLOOKUP(AH1_T24_table[[#This Row],[Occupancy Category]],T24_VENT[#All],6,FALSE)) = "YES",MROUND(D7/2,5),MROUND(D7,5))</f>
        <v>1000</v>
      </c>
      <c r="I7" s="97">
        <v>90</v>
      </c>
      <c r="J7" s="97">
        <v>1800</v>
      </c>
      <c r="K7" s="97" t="s">
        <v>48</v>
      </c>
      <c r="L7" s="144">
        <v>0</v>
      </c>
      <c r="M7" s="97" t="s">
        <v>876</v>
      </c>
      <c r="N7" s="97" t="s">
        <v>49</v>
      </c>
      <c r="O7" s="97">
        <v>0</v>
      </c>
      <c r="P7" s="99">
        <f>VLOOKUP(AH1_T24_table[[#This Row],[Occupancy Category]],T24_VENT[#All],2,FALSE)</f>
        <v>0.38</v>
      </c>
      <c r="Q7" s="99">
        <f>VLOOKUP(AH1_T24_table[[#This Row],[Occupancy Category]],T24_VENT[#All],3,FALSE)</f>
        <v>0.15</v>
      </c>
      <c r="R7" s="99">
        <f>VLOOKUP(AH1_T24_table[[#This Row],[Occupancy Category]],T24_VENT[#All],4,FALSE)</f>
        <v>1</v>
      </c>
      <c r="S7" s="99" t="str">
        <f>VLOOKUP(AH1_T24_table[[#This Row],[Occupancy Category]],T24_VENT[#All],5,FALSE)</f>
        <v>NO</v>
      </c>
      <c r="T7"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380</v>
      </c>
      <c r="U7" s="100">
        <f>IF(AND(AH1_T24_table[[#This Row],[Occupancy Sensor Installed?]]="YES",AH1_T24_table[[#This Row],[Occupancy Stanby Permitted?]]="YES"),0,AH1_T24_table[[#This Row],[MIN VENT AIR FOR DCV (CFM/FT²)]]*AH1_T24_table[[#This Row],[AREA 
(FT²)]])</f>
        <v>150</v>
      </c>
      <c r="V7" s="100" t="str">
        <f>IF(AND(OR(($K$1 = "YES"),AH1_T24_table[[#Totals],[Vz (CFM)]]&gt;2900),( VLOOKUP(AH1_T24_table[[#This Row],[Occupancy Category]],T24_VENT[#All],7,FALSE))&gt;24),"YES","NO")</f>
        <v>YES</v>
      </c>
      <c r="W7" s="100" t="str">
        <f>IF(AH1_T24_table[[#This Row],[Exhaust Category]] = "NOT APPLICABLE","NR","YES")</f>
        <v>NR</v>
      </c>
      <c r="X7" s="100" t="str">
        <f>IF(AH1_T24_table[[#This Row],[Exhaust Category]]="NOT APPLICABLE","NA",VLOOKUP(AH1_T24_table[[#This Row],[Exhaust Category]],TITLE24_EXHAUST_TABLE[#All],2,FALSE))</f>
        <v>NA</v>
      </c>
      <c r="Y7" s="100" t="str">
        <f>IF(AH1_T24_table[[#This Row],[Exhaust Category]]="NOT APPLICABLE","NA",VLOOKUP(AH1_T24_table[[#This Row],[Exhaust Category]],TITLE24_EXHAUST_TABLE[#All],3,FALSE))</f>
        <v>NA</v>
      </c>
      <c r="Z7"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7" s="144" cm="1">
        <f t="array" aca="1" ref="AA7"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1800</v>
      </c>
      <c r="AB7" s="144" cm="1">
        <f t="array" aca="1" ref="AB7" ca="1">Returnair(AH1_T24_table[[#This Row],[DESIGN SA(CFM)]],AH1_T24_table[[#This Row],[Desired Room Balance]],AH1_T24_table[[#This Row],[Exhausted?]],AH1_T24_table[[#This Row],[Misc Exhaust From Room]])</f>
        <v>1700</v>
      </c>
      <c r="AC7" s="144" cm="1">
        <f t="array" aca="1" ref="AC7" ca="1">Exhaustair(AH1_T24_table[[#This Row],[DESIGN SA(CFM)]],AH1_T24_table[[#This Row],[Exhausted?]],AH1_T24_table[[#This Row],[MIN EA
(CFM)]],AH1_T24_table[[#This Row],[Desired Room Balance]],AH1_T24_table[[#This Row],[Misc Exhaust From Room]])</f>
        <v>0</v>
      </c>
      <c r="AD7" s="100">
        <f ca="1">AH1_T24_table[[#This Row],[DESIGN SA(CFM)]]-AH1_T24_table[[#This Row],[DESIGN RA(CFM)]]-AH1_T24_table[[#This Row],[DESIGN EA(CFM)]]</f>
        <v>100</v>
      </c>
    </row>
    <row r="8" spans="1:30" ht="15.6">
      <c r="A8" s="362" t="s">
        <v>935</v>
      </c>
      <c r="B8" s="97">
        <v>566</v>
      </c>
      <c r="C8" s="97" t="s">
        <v>752</v>
      </c>
      <c r="D8" s="97">
        <v>1000</v>
      </c>
      <c r="E8" s="97"/>
      <c r="F8" s="97">
        <v>-50</v>
      </c>
      <c r="G8" s="97">
        <v>0</v>
      </c>
      <c r="H8" s="116">
        <f>IF((VLOOKUP(AH1_T24_table[[#This Row],[Occupancy Category]],T24_VENT[#All],6,FALSE)) = "YES",MROUND(D8/2,5),MROUND(D8,5))</f>
        <v>1000</v>
      </c>
      <c r="I8" s="97">
        <v>100</v>
      </c>
      <c r="J8" s="97">
        <v>2000</v>
      </c>
      <c r="K8" s="97" t="s">
        <v>48</v>
      </c>
      <c r="L8" s="144">
        <v>0</v>
      </c>
      <c r="M8" s="97" t="s">
        <v>869</v>
      </c>
      <c r="N8" s="97" t="s">
        <v>49</v>
      </c>
      <c r="O8" s="97">
        <v>0</v>
      </c>
      <c r="P8" s="99">
        <f>VLOOKUP(AH1_T24_table[[#This Row],[Occupancy Category]],T24_VENT[#All],2,FALSE)</f>
        <v>0.15</v>
      </c>
      <c r="Q8" s="99">
        <f>VLOOKUP(AH1_T24_table[[#This Row],[Occupancy Category]],T24_VENT[#All],3,FALSE)</f>
        <v>0</v>
      </c>
      <c r="R8" s="99">
        <f>VLOOKUP(AH1_T24_table[[#This Row],[Occupancy Category]],T24_VENT[#All],4,FALSE)</f>
        <v>1</v>
      </c>
      <c r="S8" s="99" t="str">
        <f>VLOOKUP(AH1_T24_table[[#This Row],[Occupancy Category]],T24_VENT[#All],5,FALSE)</f>
        <v>NO</v>
      </c>
      <c r="T8"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150</v>
      </c>
      <c r="U8" s="100">
        <f>IF(AND(AH1_T24_table[[#This Row],[Occupancy Sensor Installed?]]="YES",AH1_T24_table[[#This Row],[Occupancy Stanby Permitted?]]="YES"),0,AH1_T24_table[[#This Row],[MIN VENT AIR FOR DCV (CFM/FT²)]]*AH1_T24_table[[#This Row],[AREA 
(FT²)]])</f>
        <v>0</v>
      </c>
      <c r="V8" s="100" t="str">
        <f>IF(AND(OR(($K$1 = "YES"),AH1_T24_table[[#Totals],[Vz (CFM)]]&gt;2900),( VLOOKUP(AH1_T24_table[[#This Row],[Occupancy Category]],T24_VENT[#All],7,FALSE))&gt;24),"YES","NO")</f>
        <v>YES</v>
      </c>
      <c r="W8" s="100" t="str">
        <f>IF(AH1_T24_table[[#This Row],[Exhaust Category]] = "NOT APPLICABLE","NR","YES")</f>
        <v>NR</v>
      </c>
      <c r="X8" s="100" t="str">
        <f>IF(AH1_T24_table[[#This Row],[Exhaust Category]]="NOT APPLICABLE","NA",VLOOKUP(AH1_T24_table[[#This Row],[Exhaust Category]],TITLE24_EXHAUST_TABLE[#All],2,FALSE))</f>
        <v>NA</v>
      </c>
      <c r="Y8" s="100" t="str">
        <f>IF(AH1_T24_table[[#This Row],[Exhaust Category]]="NOT APPLICABLE","NA",VLOOKUP(AH1_T24_table[[#This Row],[Exhaust Category]],TITLE24_EXHAUST_TABLE[#All],3,FALSE))</f>
        <v>NA</v>
      </c>
      <c r="Z8"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8" s="144" cm="1">
        <f t="array" aca="1" ref="AA8"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2000</v>
      </c>
      <c r="AB8" s="144" cm="1">
        <f t="array" aca="1" ref="AB8" ca="1">Returnair(AH1_T24_table[[#This Row],[DESIGN SA(CFM)]],AH1_T24_table[[#This Row],[Desired Room Balance]],AH1_T24_table[[#This Row],[Exhausted?]],AH1_T24_table[[#This Row],[Misc Exhaust From Room]])</f>
        <v>2050</v>
      </c>
      <c r="AC8" s="144" cm="1">
        <f t="array" aca="1" ref="AC8" ca="1">Exhaustair(AH1_T24_table[[#This Row],[DESIGN SA(CFM)]],AH1_T24_table[[#This Row],[Exhausted?]],AH1_T24_table[[#This Row],[MIN EA
(CFM)]],AH1_T24_table[[#This Row],[Desired Room Balance]],AH1_T24_table[[#This Row],[Misc Exhaust From Room]])</f>
        <v>0</v>
      </c>
      <c r="AD8" s="100">
        <f ca="1">AH1_T24_table[[#This Row],[DESIGN SA(CFM)]]-AH1_T24_table[[#This Row],[DESIGN RA(CFM)]]-AH1_T24_table[[#This Row],[DESIGN EA(CFM)]]</f>
        <v>-50</v>
      </c>
    </row>
    <row r="9" spans="1:30" ht="15.6">
      <c r="A9" s="309" t="s">
        <v>933</v>
      </c>
      <c r="B9" s="97">
        <v>123</v>
      </c>
      <c r="C9" s="97" t="s">
        <v>740</v>
      </c>
      <c r="D9" s="97">
        <v>250</v>
      </c>
      <c r="E9" s="97"/>
      <c r="F9" s="97">
        <v>-50</v>
      </c>
      <c r="G9" s="97">
        <v>0</v>
      </c>
      <c r="H9" s="116">
        <f>IF((VLOOKUP(AH1_T24_table[[#This Row],[Occupancy Category]],T24_VENT[#All],6,FALSE)) = "YES",MROUND(D9/2,5),MROUND(D9,5))</f>
        <v>250</v>
      </c>
      <c r="I9" s="97">
        <v>80</v>
      </c>
      <c r="J9" s="97">
        <v>2000</v>
      </c>
      <c r="K9" s="97" t="s">
        <v>48</v>
      </c>
      <c r="L9" s="144">
        <v>0</v>
      </c>
      <c r="M9" s="97" t="s">
        <v>814</v>
      </c>
      <c r="N9" s="97" t="s">
        <v>111</v>
      </c>
      <c r="O9" s="97">
        <v>150</v>
      </c>
      <c r="P9" s="99">
        <f>VLOOKUP(AH1_T24_table[[#This Row],[Occupancy Category]],T24_VENT[#All],2,FALSE)</f>
        <v>0.15</v>
      </c>
      <c r="Q9" s="99">
        <f>VLOOKUP(AH1_T24_table[[#This Row],[Occupancy Category]],T24_VENT[#All],3,FALSE)</f>
        <v>0</v>
      </c>
      <c r="R9" s="99">
        <f>VLOOKUP(AH1_T24_table[[#This Row],[Occupancy Category]],T24_VENT[#All],4,FALSE)</f>
        <v>2</v>
      </c>
      <c r="S9" s="99" t="str">
        <f>VLOOKUP(AH1_T24_table[[#This Row],[Occupancy Category]],T24_VENT[#All],5,FALSE)</f>
        <v>NO</v>
      </c>
      <c r="T9"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2250</v>
      </c>
      <c r="U9" s="100">
        <f>IF(AND(AH1_T24_table[[#This Row],[Occupancy Sensor Installed?]]="YES",AH1_T24_table[[#This Row],[Occupancy Stanby Permitted?]]="YES"),0,AH1_T24_table[[#This Row],[MIN VENT AIR FOR DCV (CFM/FT²)]]*AH1_T24_table[[#This Row],[AREA 
(FT²)]])</f>
        <v>0</v>
      </c>
      <c r="V9" s="100" t="str">
        <f>IF(AND(OR(($K$1 = "YES"),AH1_T24_table[[#Totals],[Vz (CFM)]]&gt;2900),( VLOOKUP(AH1_T24_table[[#This Row],[Occupancy Category]],T24_VENT[#All],7,FALSE))&gt;24),"YES","NO")</f>
        <v>NO</v>
      </c>
      <c r="W9" s="100" t="str">
        <f>IF(AH1_T24_table[[#This Row],[Exhaust Category]] = "NOT APPLICABLE","NR","YES")</f>
        <v>NR</v>
      </c>
      <c r="X9" s="100" t="str">
        <f>IF(AH1_T24_table[[#This Row],[Exhaust Category]]="NOT APPLICABLE","NA",VLOOKUP(AH1_T24_table[[#This Row],[Exhaust Category]],TITLE24_EXHAUST_TABLE[#All],2,FALSE))</f>
        <v>NA</v>
      </c>
      <c r="Y9" s="100" t="str">
        <f>IF(AH1_T24_table[[#This Row],[Exhaust Category]]="NOT APPLICABLE","NA",VLOOKUP(AH1_T24_table[[#This Row],[Exhaust Category]],TITLE24_EXHAUST_TABLE[#All],3,FALSE))</f>
        <v>NA</v>
      </c>
      <c r="Z9"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9" s="144" cm="1">
        <f t="array" aca="1" ref="AA9"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2250</v>
      </c>
      <c r="AB9" s="144" cm="1">
        <f t="array" aca="1" ref="AB9" ca="1">Returnair(AH1_T24_table[[#This Row],[DESIGN SA(CFM)]],AH1_T24_table[[#This Row],[Desired Room Balance]],AH1_T24_table[[#This Row],[Exhausted?]],AH1_T24_table[[#This Row],[Misc Exhaust From Room]])</f>
        <v>2300</v>
      </c>
      <c r="AC9" s="144" cm="1">
        <f t="array" aca="1" ref="AC9" ca="1">Exhaustair(AH1_T24_table[[#This Row],[DESIGN SA(CFM)]],AH1_T24_table[[#This Row],[Exhausted?]],AH1_T24_table[[#This Row],[MIN EA
(CFM)]],AH1_T24_table[[#This Row],[Desired Room Balance]],AH1_T24_table[[#This Row],[Misc Exhaust From Room]])</f>
        <v>0</v>
      </c>
      <c r="AD9" s="100">
        <f ca="1">AH1_T24_table[[#This Row],[DESIGN SA(CFM)]]-AH1_T24_table[[#This Row],[DESIGN RA(CFM)]]-AH1_T24_table[[#This Row],[DESIGN EA(CFM)]]</f>
        <v>-50</v>
      </c>
    </row>
    <row r="10" spans="1:30" ht="15.6">
      <c r="A10" s="309" t="s">
        <v>933</v>
      </c>
      <c r="B10" s="97">
        <v>123</v>
      </c>
      <c r="C10" s="97" t="s">
        <v>740</v>
      </c>
      <c r="D10" s="97">
        <v>250</v>
      </c>
      <c r="E10" s="97"/>
      <c r="F10" s="97">
        <v>-50</v>
      </c>
      <c r="G10" s="97">
        <v>0</v>
      </c>
      <c r="H10" s="116">
        <f>IF((VLOOKUP(AH1_T24_table[[#This Row],[Occupancy Category]],T24_VENT[#All],6,FALSE)) = "YES",MROUND(D10/2,5),MROUND(D10,5))</f>
        <v>250</v>
      </c>
      <c r="I10" s="97">
        <v>80</v>
      </c>
      <c r="J10" s="97">
        <v>2000</v>
      </c>
      <c r="K10" s="97" t="s">
        <v>48</v>
      </c>
      <c r="L10" s="144">
        <v>0</v>
      </c>
      <c r="M10" s="97" t="s">
        <v>814</v>
      </c>
      <c r="N10" s="97" t="s">
        <v>111</v>
      </c>
      <c r="O10" s="97">
        <v>150</v>
      </c>
      <c r="P10" s="99">
        <f>VLOOKUP(AH1_T24_table[[#This Row],[Occupancy Category]],T24_VENT[#All],2,FALSE)</f>
        <v>0.15</v>
      </c>
      <c r="Q10" s="99">
        <f>VLOOKUP(AH1_T24_table[[#This Row],[Occupancy Category]],T24_VENT[#All],3,FALSE)</f>
        <v>0</v>
      </c>
      <c r="R10" s="99">
        <f>VLOOKUP(AH1_T24_table[[#This Row],[Occupancy Category]],T24_VENT[#All],4,FALSE)</f>
        <v>2</v>
      </c>
      <c r="S10" s="99" t="str">
        <f>VLOOKUP(AH1_T24_table[[#This Row],[Occupancy Category]],T24_VENT[#All],5,FALSE)</f>
        <v>NO</v>
      </c>
      <c r="T10" s="100">
        <f>IF(AH1_T24_table[[#This Row],[FIXED SEATING OR SPACE DESIGNED WITH EXCEPTION TO 1004.5]]="YES",MAX(AH1_T24_table[[#This Row],[TOTAL OA RATE
(CFM/FT²)]]*AH1_T24_table[[#This Row],[AREA 
(FT²)]],15*AH1_T24_table[[#This Row],[NUMBER OF OCCUPANTS ]]),AH1_T24_table[[#This Row],[TOTAL OA RATE
(CFM/FT²)]]*AH1_T24_table[[#This Row],[AREA 
(FT²)]])</f>
        <v>2250</v>
      </c>
      <c r="U10" s="100">
        <f>IF(AND(AH1_T24_table[[#This Row],[Occupancy Sensor Installed?]]="YES",AH1_T24_table[[#This Row],[Occupancy Stanby Permitted?]]="YES"),0,AH1_T24_table[[#This Row],[MIN VENT AIR FOR DCV (CFM/FT²)]]*AH1_T24_table[[#This Row],[AREA 
(FT²)]])</f>
        <v>0</v>
      </c>
      <c r="V10" s="100" t="str">
        <f>IF(AND(OR(($K$1 = "YES"),AH1_T24_table[[#Totals],[Vz (CFM)]]&gt;2900),( VLOOKUP(AH1_T24_table[[#This Row],[Occupancy Category]],T24_VENT[#All],7,FALSE))&gt;24),"YES","NO")</f>
        <v>NO</v>
      </c>
      <c r="W10" s="100" t="str">
        <f>IF(AH1_T24_table[[#This Row],[Exhaust Category]] = "NOT APPLICABLE","NR","YES")</f>
        <v>NR</v>
      </c>
      <c r="X10" s="100" t="str">
        <f>IF(AH1_T24_table[[#This Row],[Exhaust Category]]="NOT APPLICABLE","NA",VLOOKUP(AH1_T24_table[[#This Row],[Exhaust Category]],TITLE24_EXHAUST_TABLE[#All],2,FALSE))</f>
        <v>NA</v>
      </c>
      <c r="Y10" s="100" t="str">
        <f>IF(AH1_T24_table[[#This Row],[Exhaust Category]]="NOT APPLICABLE","NA",VLOOKUP(AH1_T24_table[[#This Row],[Exhaust Category]],TITLE24_EXHAUST_TABLE[#All],3,FALSE))</f>
        <v>NA</v>
      </c>
      <c r="Z10" s="99">
        <f>AH1_T24_table[[#This Row],[Misc Exhaust From Room]]+(IFERROR(IF(AH1_T24_table[[#This Row],[EA RATE
(CFM/UNIT)]]=0&amp;AH1_T24_table[[#This Row],[EA RATE
(CFM/FT²)]]=0,0,IF(AH1_T24_table[[#This Row],[EA RATE
(CFM/UNIT)]]=0,AH1_T24_table[[#This Row],[EA RATE
(CFM/FT²)]]*AH1_T24_table[[#This Row],[AREA 
(FT²)]],AH1_T24_table[[#This Row],[Exhaust Units]]*AH1_T24_table[[#This Row],[EA RATE
(CFM/UNIT)]])),0))</f>
        <v>0</v>
      </c>
      <c r="AA10" s="144" cm="1">
        <f t="array" aca="1" ref="AA10" ca="1">supplyair(AH1_T24_table[[#This Row],[COOLING LOAD (CFM)]],AH1_T24_table[[#This Row],[OFFICE STANDARD 
(CFM)]],AH1_T24_table[[#This Row],[OFFICE STANDARD 
(CFM)]],AH1_T24_table[[#This Row],[Desired Room Balance]],AH1_T24_table[[#This Row],[Exhausted?]],AH1_T24_table[[#This Row],[MIN EA
(CFM)]],AH1_T24_table[[#This Row],[Misc Exhaust From Room]],AH1_T24_table[[#This Row],[Vz (CFM)]])</f>
        <v>2250</v>
      </c>
      <c r="AB10" s="144" cm="1">
        <f t="array" aca="1" ref="AB10" ca="1">Returnair(AH1_T24_table[[#This Row],[DESIGN SA(CFM)]],AH1_T24_table[[#This Row],[Desired Room Balance]],AH1_T24_table[[#This Row],[Exhausted?]],AH1_T24_table[[#This Row],[Misc Exhaust From Room]])</f>
        <v>2300</v>
      </c>
      <c r="AC10" s="144" cm="1">
        <f t="array" aca="1" ref="AC10" ca="1">Exhaustair(AH1_T24_table[[#This Row],[DESIGN SA(CFM)]],AH1_T24_table[[#This Row],[Exhausted?]],AH1_T24_table[[#This Row],[MIN EA
(CFM)]],AH1_T24_table[[#This Row],[Desired Room Balance]],AH1_T24_table[[#This Row],[Misc Exhaust From Room]])</f>
        <v>0</v>
      </c>
      <c r="AD10" s="100">
        <f ca="1">AH1_T24_table[[#This Row],[DESIGN SA(CFM)]]-AH1_T24_table[[#This Row],[DESIGN RA(CFM)]]-AH1_T24_table[[#This Row],[DESIGN EA(CFM)]]</f>
        <v>-50</v>
      </c>
    </row>
    <row r="11" spans="1:30" ht="15.6">
      <c r="A11" s="359"/>
      <c r="B11" s="352"/>
      <c r="C11" s="353">
        <f>SUBTOTAL(103,AH1_T24_table[Room])</f>
        <v>5</v>
      </c>
      <c r="D11" s="354">
        <f>SUBTOTAL(109,AH1_T24_table[AREA 
(FT²)])</f>
        <v>2750</v>
      </c>
      <c r="E11" s="354"/>
      <c r="F11" s="354"/>
      <c r="G11" s="355"/>
      <c r="H11" s="356"/>
      <c r="I11" s="356">
        <f>SUBTOTAL(109,AH1_T24_table[HEATING LOAD (CFM)])</f>
        <v>430</v>
      </c>
      <c r="J11" s="357">
        <f>SUBTOTAL(109,AH1_T24_table[COOLING LOAD (CFM)])</f>
        <v>9800</v>
      </c>
      <c r="K11" s="352"/>
      <c r="L11" s="358"/>
      <c r="M11" s="352"/>
      <c r="N11" s="352"/>
      <c r="O11" s="352"/>
      <c r="P11" s="359"/>
      <c r="Q11" s="359"/>
      <c r="R11" s="359"/>
      <c r="S11" s="359"/>
      <c r="T11" s="358">
        <f>SUBTOTAL(109,AH1_T24_table[Vz (CFM)])</f>
        <v>7280</v>
      </c>
      <c r="U11" s="358"/>
      <c r="V11" s="358"/>
      <c r="W11" s="358"/>
      <c r="X11" s="359"/>
      <c r="Y11" s="359"/>
      <c r="Z11" s="359"/>
      <c r="AA11" s="358">
        <f ca="1">SUBTOTAL(109,AH1_T24_table[DESIGN SA(CFM)])</f>
        <v>10550</v>
      </c>
      <c r="AB11" s="358">
        <f ca="1">SUBTOTAL(109,AH1_T24_table[DESIGN RA(CFM)])</f>
        <v>10650</v>
      </c>
      <c r="AC11" s="358">
        <f ca="1">SUBTOTAL(109,AH1_T24_table[DESIGN EA(CFM)])</f>
        <v>0</v>
      </c>
      <c r="AD11" s="359"/>
    </row>
    <row r="18" spans="23:27">
      <c r="AA18" s="23"/>
    </row>
    <row r="22" spans="23:27">
      <c r="W22" s="23"/>
    </row>
  </sheetData>
  <mergeCells count="4">
    <mergeCell ref="Q1:S1"/>
    <mergeCell ref="A4:I4"/>
    <mergeCell ref="J4:Y4"/>
    <mergeCell ref="Z4:AC4"/>
  </mergeCells>
  <conditionalFormatting sqref="AA6:AA11">
    <cfRule type="dataBar" priority="1">
      <dataBar>
        <cfvo type="min"/>
        <cfvo type="max"/>
        <color rgb="FF638EC6"/>
      </dataBar>
      <extLst>
        <ext xmlns:x14="http://schemas.microsoft.com/office/spreadsheetml/2009/9/main" uri="{B025F937-C7B1-47D3-B67F-A62EFF666E3E}">
          <x14:id>{5934A83A-0694-4969-98F5-C16219B35D8E}</x14:id>
        </ext>
      </extLst>
    </cfRule>
  </conditionalFormatting>
  <dataValidations disablePrompts="1" count="3">
    <dataValidation type="whole" allowBlank="1" showInputMessage="1" showErrorMessage="1" sqref="L6:L10" xr:uid="{FE07E83A-22AB-4A6C-B3C0-56E07D4D83F3}">
      <formula1>-1</formula1>
      <formula2>10000</formula2>
    </dataValidation>
    <dataValidation type="whole" allowBlank="1" showInputMessage="1" showErrorMessage="1" sqref="O6:O10" xr:uid="{5E7AF1AE-B91F-4544-8BB1-AACF9EAC173D}">
      <formula1>-1</formula1>
      <formula2>100000</formula2>
    </dataValidation>
    <dataValidation type="whole" allowBlank="1" showInputMessage="1" showErrorMessage="1" sqref="T1" xr:uid="{B4D2630A-84A2-43A4-9783-E225B6224134}">
      <formula1>-1</formula1>
      <formula2>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5934A83A-0694-4969-98F5-C16219B35D8E}">
            <x14:dataBar minLength="0" maxLength="100" border="1" negativeBarBorderColorSameAsPositive="0">
              <x14:cfvo type="autoMin"/>
              <x14:cfvo type="autoMax"/>
              <x14:borderColor rgb="FF638EC6"/>
              <x14:negativeFillColor rgb="FFFF0000"/>
              <x14:negativeBorderColor rgb="FFFF0000"/>
              <x14:axisColor rgb="FF000000"/>
            </x14:dataBar>
          </x14:cfRule>
          <xm:sqref>AA6:AA11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8BAFA48B-F8C1-4881-8E80-D4395042D78F}">
          <x14:formula1>
            <xm:f>CALIFORNIA_TABLE!$I$2:$I$27</xm:f>
          </x14:formula1>
          <xm:sqref>K6:K10</xm:sqref>
        </x14:dataValidation>
        <x14:dataValidation type="list" allowBlank="1" showInputMessage="1" showErrorMessage="1" xr:uid="{69C34DB9-2690-433F-9638-84E69B453444}">
          <x14:formula1>
            <xm:f>CALIFORNIA_TABLE!$O$4:$O$5</xm:f>
          </x14:formula1>
          <xm:sqref>N8:N10 N6 K1 E6:E10</xm:sqref>
        </x14:dataValidation>
        <x14:dataValidation type="list" allowBlank="1" showInputMessage="1" showErrorMessage="1" xr:uid="{3F32A003-0761-4A96-8B54-95A3B77D730B}">
          <x14:formula1>
            <xm:f>CALIFORNIA_TABLE!$A$2:$A$77</xm:f>
          </x14:formula1>
          <xm:sqref>M6:M10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D2872-F989-48A4-BE4F-6ED208FC3F6B}">
  <sheetPr codeName="Sheet21">
    <tabColor rgb="FFFFFF00"/>
  </sheetPr>
  <dimension ref="A1:AD22"/>
  <sheetViews>
    <sheetView showGridLines="0" topLeftCell="S1" zoomScale="85" zoomScaleNormal="85" workbookViewId="0">
      <selection activeCell="Y17" sqref="Y17"/>
    </sheetView>
  </sheetViews>
  <sheetFormatPr defaultRowHeight="13.2"/>
  <cols>
    <col min="1" max="1" width="17.77734375" customWidth="1"/>
    <col min="2" max="2" width="20.77734375" customWidth="1"/>
    <col min="3" max="3" width="12.44140625" bestFit="1" customWidth="1"/>
    <col min="4" max="4" width="13.5546875" customWidth="1"/>
    <col min="5" max="5" width="14.21875" bestFit="1" customWidth="1"/>
    <col min="6" max="6" width="21" bestFit="1" customWidth="1"/>
    <col min="7" max="7" width="14.77734375" bestFit="1" customWidth="1"/>
    <col min="8" max="8" width="15.109375" bestFit="1" customWidth="1"/>
    <col min="9" max="11" width="25.109375" bestFit="1" customWidth="1"/>
    <col min="12" max="13" width="50.6640625" bestFit="1" customWidth="1"/>
    <col min="14" max="14" width="13.6640625" customWidth="1"/>
    <col min="15" max="15" width="14.5546875" customWidth="1"/>
    <col min="16" max="16" width="11.33203125" bestFit="1" customWidth="1"/>
    <col min="17" max="17" width="18.44140625" customWidth="1"/>
    <col min="18" max="18" width="14.10937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24.5546875" bestFit="1" customWidth="1"/>
    <col min="28" max="28" width="15.5546875" bestFit="1" customWidth="1"/>
    <col min="29" max="29" width="15.44140625" bestFit="1" customWidth="1"/>
  </cols>
  <sheetData>
    <row r="1" spans="1:30" ht="17.399999999999999">
      <c r="J1" s="298" t="s">
        <v>929</v>
      </c>
      <c r="K1" s="299" t="s">
        <v>111</v>
      </c>
      <c r="Q1" s="405" t="s">
        <v>885</v>
      </c>
      <c r="R1" s="405"/>
      <c r="S1" s="405"/>
      <c r="T1" s="299">
        <v>0</v>
      </c>
    </row>
    <row r="4" spans="1:30" s="360" customFormat="1" ht="20.399999999999999">
      <c r="A4" s="406" t="s">
        <v>753</v>
      </c>
      <c r="B4" s="406"/>
      <c r="C4" s="406"/>
      <c r="D4" s="406"/>
      <c r="E4" s="406"/>
      <c r="F4" s="406"/>
      <c r="G4" s="406"/>
      <c r="H4" s="406"/>
      <c r="I4" s="406"/>
      <c r="J4" s="407" t="s">
        <v>921</v>
      </c>
      <c r="K4" s="408"/>
      <c r="L4" s="408"/>
      <c r="M4" s="408"/>
      <c r="N4" s="408"/>
      <c r="O4" s="408"/>
      <c r="P4" s="408"/>
      <c r="Q4" s="408"/>
      <c r="R4" s="408"/>
      <c r="S4" s="408"/>
      <c r="T4" s="408"/>
      <c r="U4" s="408"/>
      <c r="V4" s="408"/>
      <c r="W4" s="408"/>
      <c r="X4" s="408"/>
      <c r="Y4" s="409"/>
      <c r="Z4" s="406" t="s">
        <v>256</v>
      </c>
      <c r="AA4" s="406"/>
      <c r="AB4" s="406"/>
      <c r="AC4" s="406"/>
    </row>
    <row r="5" spans="1:30" s="11" customFormat="1" ht="124.8">
      <c r="A5" s="287" t="s">
        <v>5</v>
      </c>
      <c r="B5" s="64" t="s">
        <v>81</v>
      </c>
      <c r="C5" s="63" t="s">
        <v>82</v>
      </c>
      <c r="D5" s="64" t="s">
        <v>257</v>
      </c>
      <c r="E5" s="287" t="s">
        <v>931</v>
      </c>
      <c r="F5" s="287" t="s">
        <v>737</v>
      </c>
      <c r="G5" s="64" t="s">
        <v>84</v>
      </c>
      <c r="H5" s="64" t="s">
        <v>85</v>
      </c>
      <c r="I5" s="302" t="s">
        <v>884</v>
      </c>
      <c r="J5" s="302" t="s">
        <v>883</v>
      </c>
      <c r="K5" s="65" t="s">
        <v>22</v>
      </c>
      <c r="L5" s="64" t="s">
        <v>744</v>
      </c>
      <c r="M5" s="64" t="s">
        <v>86</v>
      </c>
      <c r="N5" s="64" t="s">
        <v>923</v>
      </c>
      <c r="O5" s="64" t="s">
        <v>922</v>
      </c>
      <c r="P5" s="64" t="s">
        <v>920</v>
      </c>
      <c r="Q5" s="64" t="s">
        <v>925</v>
      </c>
      <c r="R5" s="64" t="s">
        <v>28</v>
      </c>
      <c r="S5" s="64" t="s">
        <v>930</v>
      </c>
      <c r="T5" s="66" t="s">
        <v>926</v>
      </c>
      <c r="U5" s="66" t="s">
        <v>927</v>
      </c>
      <c r="V5" s="361" t="s">
        <v>928</v>
      </c>
      <c r="W5" s="66" t="s">
        <v>739</v>
      </c>
      <c r="X5" s="66" t="s">
        <v>37</v>
      </c>
      <c r="Y5" s="66" t="s">
        <v>38</v>
      </c>
      <c r="Z5" s="64" t="s">
        <v>924</v>
      </c>
      <c r="AA5" s="66" t="s">
        <v>262</v>
      </c>
      <c r="AB5" s="66" t="s">
        <v>263</v>
      </c>
      <c r="AC5" s="64" t="s">
        <v>95</v>
      </c>
      <c r="AD5" s="67" t="s">
        <v>41</v>
      </c>
    </row>
    <row r="6" spans="1:30" ht="15.6">
      <c r="A6" s="309" t="s">
        <v>933</v>
      </c>
      <c r="B6" s="97">
        <v>123</v>
      </c>
      <c r="C6" s="97" t="s">
        <v>740</v>
      </c>
      <c r="D6" s="97">
        <v>250</v>
      </c>
      <c r="E6" s="97"/>
      <c r="F6" s="97">
        <v>-50</v>
      </c>
      <c r="G6" s="97">
        <v>0</v>
      </c>
      <c r="H6" s="116">
        <f>IF((VLOOKUP(AH2_T24_table[[#This Row],[Occupancy Category]],T24_VENT[#All],6,FALSE)) = "YES",MROUND(D6/2,5),MROUND(D6,5))</f>
        <v>250</v>
      </c>
      <c r="I6" s="97">
        <v>80</v>
      </c>
      <c r="J6" s="97">
        <v>2000</v>
      </c>
      <c r="K6" s="97" t="s">
        <v>48</v>
      </c>
      <c r="L6" s="144">
        <v>0</v>
      </c>
      <c r="M6" s="97" t="s">
        <v>814</v>
      </c>
      <c r="N6" s="97" t="s">
        <v>111</v>
      </c>
      <c r="O6" s="97">
        <v>150</v>
      </c>
      <c r="P6" s="99">
        <f>VLOOKUP(AH2_T24_table[[#This Row],[Occupancy Category]],T24_VENT[#All],2,FALSE)</f>
        <v>0.15</v>
      </c>
      <c r="Q6" s="99">
        <f>VLOOKUP(AH2_T24_table[[#This Row],[Occupancy Category]],T24_VENT[#All],3,FALSE)</f>
        <v>0</v>
      </c>
      <c r="R6" s="99">
        <f>VLOOKUP(AH2_T24_table[[#This Row],[Occupancy Category]],T24_VENT[#All],4,FALSE)</f>
        <v>2</v>
      </c>
      <c r="S6" s="99" t="str">
        <f>VLOOKUP(AH2_T24_table[[#This Row],[Occupancy Category]],T24_VENT[#All],5,FALSE)</f>
        <v>NO</v>
      </c>
      <c r="T6" s="100">
        <f>IF(AH2_T24_table[[#This Row],[FIXED SEATING OR SPACE DESIGNED WITH EXCEPTION TO 1004.5]]="YES",MAX(AH2_T24_table[[#This Row],[TOTAL OA RATE
(CFM/FT²)]]*AH2_T24_table[[#This Row],[AREA 
(FT²)]],15*AH2_T24_table[[#This Row],[NUMBER OF OCCUPANTS ]]),AH2_T24_table[[#This Row],[TOTAL OA RATE
(CFM/FT²)]]*AH2_T24_table[[#This Row],[AREA 
(FT²)]])</f>
        <v>2250</v>
      </c>
      <c r="U6" s="100">
        <f>IF(AND(AH2_T24_table[[#This Row],[Occupancy Sensor Installed?]]="YES",AH2_T24_table[[#This Row],[Occupancy Stanby Permitted?]]="YES"),0,AH2_T24_table[[#This Row],[MIN VENT AIR FOR DCV (CFM/FT²)]]*AH2_T24_table[[#This Row],[AREA 
(FT²)]])</f>
        <v>0</v>
      </c>
      <c r="V6" s="100" t="str">
        <f>IF(AND(OR(($K$1 = "YES"),AH2_T24_table[[#Totals],[Vz (CFM)]]&gt;2900),( VLOOKUP(AH2_T24_table[[#This Row],[Occupancy Category]],T24_VENT[#All],7,FALSE))&gt;24),"YES","NO")</f>
        <v>NO</v>
      </c>
      <c r="W6" s="100" t="str">
        <f>IF(AH2_T24_table[[#This Row],[Exhaust Category]] = "NOT APPLICABLE","NR","YES")</f>
        <v>NR</v>
      </c>
      <c r="X6" s="100" t="str">
        <f>IF(AH2_T24_table[[#This Row],[Exhaust Category]]="NOT APPLICABLE","NA",VLOOKUP(AH2_T24_table[[#This Row],[Exhaust Category]],TITLE24_EXHAUST_TABLE[#All],2,FALSE))</f>
        <v>NA</v>
      </c>
      <c r="Y6" s="100" t="str">
        <f>IF(AH2_T24_table[[#This Row],[Exhaust Category]]="NOT APPLICABLE","NA",VLOOKUP(AH2_T24_table[[#This Row],[Exhaust Category]],TITLE24_EXHAUST_TABLE[#All],3,FALSE))</f>
        <v>NA</v>
      </c>
      <c r="Z6" s="99">
        <f>AH2_T24_table[[#This Row],[Misc Exhaust From Room]]+(IFERROR(IF(AH2_T24_table[[#This Row],[EA RATE
(CFM/UNIT)]]=0&amp;AH2_T24_table[[#This Row],[EA RATE
(CFM/FT²)]]=0,0,IF(AH2_T24_table[[#This Row],[EA RATE
(CFM/UNIT)]]=0,AH2_T24_table[[#This Row],[EA RATE
(CFM/FT²)]]*AH2_T24_table[[#This Row],[AREA 
(FT²)]],AH2_T24_table[[#This Row],[Exhaust Units]]*AH2_T24_table[[#This Row],[EA RATE
(CFM/UNIT)]])),0))</f>
        <v>0</v>
      </c>
      <c r="AA6" s="144" cm="1">
        <f t="array" aca="1" ref="AA6" ca="1">supplyair(AH2_T24_table[[#This Row],[COOLING LOAD (CFM)]],AH2_T24_table[[#This Row],[OFFICE STANDARD 
(CFM)]],AH2_T24_table[[#This Row],[OFFICE STANDARD 
(CFM)]],AH2_T24_table[[#This Row],[Desired Room Balance]],AH2_T24_table[[#This Row],[Exhausted?]],AH2_T24_table[[#This Row],[MIN EA
(CFM)]],AH2_T24_table[[#This Row],[Misc Exhaust From Room]],AH2_T24_table[[#This Row],[Vz (CFM)]])</f>
        <v>2250</v>
      </c>
      <c r="AB6" s="144" cm="1">
        <f t="array" aca="1" ref="AB6" ca="1">Returnair(AH2_T24_table[[#This Row],[DESIGN SA(CFM)]],AH2_T24_table[[#This Row],[Desired Room Balance]],AH2_T24_table[[#This Row],[Exhausted?]],AH2_T24_table[[#This Row],[Misc Exhaust From Room]])</f>
        <v>2300</v>
      </c>
      <c r="AC6" s="144" cm="1">
        <f t="array" aca="1" ref="AC6" ca="1">Exhaustair(AH2_T24_table[[#This Row],[DESIGN SA(CFM)]],AH2_T24_table[[#This Row],[Exhausted?]],AH2_T24_table[[#This Row],[MIN EA
(CFM)]],AH2_T24_table[[#This Row],[Desired Room Balance]],AH2_T24_table[[#This Row],[Misc Exhaust From Room]])</f>
        <v>0</v>
      </c>
      <c r="AD6" s="100">
        <f ca="1">AH2_T24_table[[#This Row],[DESIGN SA(CFM)]]-AH2_T24_table[[#This Row],[DESIGN RA(CFM)]]-AH2_T24_table[[#This Row],[DESIGN EA(CFM)]]</f>
        <v>-50</v>
      </c>
    </row>
    <row r="7" spans="1:30" ht="15.6">
      <c r="A7" s="144" t="s">
        <v>934</v>
      </c>
      <c r="B7" s="97">
        <v>344</v>
      </c>
      <c r="C7" s="97" t="s">
        <v>751</v>
      </c>
      <c r="D7" s="97">
        <v>1000</v>
      </c>
      <c r="E7" s="97"/>
      <c r="F7" s="97">
        <v>100</v>
      </c>
      <c r="G7" s="97">
        <v>0</v>
      </c>
      <c r="H7" s="116">
        <f>IF((VLOOKUP(AH2_T24_table[[#This Row],[Occupancy Category]],T24_VENT[#All],6,FALSE)) = "YES",MROUND(D7/2,5),MROUND(D7,5))</f>
        <v>1000</v>
      </c>
      <c r="I7" s="97">
        <v>90</v>
      </c>
      <c r="J7" s="97">
        <v>1800</v>
      </c>
      <c r="K7" s="97" t="s">
        <v>48</v>
      </c>
      <c r="L7" s="144">
        <v>0</v>
      </c>
      <c r="M7" s="97" t="s">
        <v>876</v>
      </c>
      <c r="N7" s="97" t="s">
        <v>49</v>
      </c>
      <c r="O7" s="97">
        <v>0</v>
      </c>
      <c r="P7" s="99">
        <f>VLOOKUP(AH2_T24_table[[#This Row],[Occupancy Category]],T24_VENT[#All],2,FALSE)</f>
        <v>0.38</v>
      </c>
      <c r="Q7" s="99">
        <f>VLOOKUP(AH2_T24_table[[#This Row],[Occupancy Category]],T24_VENT[#All],3,FALSE)</f>
        <v>0.15</v>
      </c>
      <c r="R7" s="99">
        <f>VLOOKUP(AH2_T24_table[[#This Row],[Occupancy Category]],T24_VENT[#All],4,FALSE)</f>
        <v>1</v>
      </c>
      <c r="S7" s="99" t="str">
        <f>VLOOKUP(AH2_T24_table[[#This Row],[Occupancy Category]],T24_VENT[#All],5,FALSE)</f>
        <v>NO</v>
      </c>
      <c r="T7" s="100">
        <f>IF(AH2_T24_table[[#This Row],[FIXED SEATING OR SPACE DESIGNED WITH EXCEPTION TO 1004.5]]="YES",MAX(AH2_T24_table[[#This Row],[TOTAL OA RATE
(CFM/FT²)]]*AH2_T24_table[[#This Row],[AREA 
(FT²)]],15*AH2_T24_table[[#This Row],[NUMBER OF OCCUPANTS ]]),AH2_T24_table[[#This Row],[TOTAL OA RATE
(CFM/FT²)]]*AH2_T24_table[[#This Row],[AREA 
(FT²)]])</f>
        <v>380</v>
      </c>
      <c r="U7" s="100">
        <f>IF(AND(AH2_T24_table[[#This Row],[Occupancy Sensor Installed?]]="YES",AH2_T24_table[[#This Row],[Occupancy Stanby Permitted?]]="YES"),0,AH2_T24_table[[#This Row],[MIN VENT AIR FOR DCV (CFM/FT²)]]*AH2_T24_table[[#This Row],[AREA 
(FT²)]])</f>
        <v>150</v>
      </c>
      <c r="V7" s="100" t="str">
        <f>IF(AND(OR(($K$1 = "YES"),AH2_T24_table[[#Totals],[Vz (CFM)]]&gt;2900),( VLOOKUP(AH2_T24_table[[#This Row],[Occupancy Category]],T24_VENT[#All],7,FALSE))&gt;24),"YES","NO")</f>
        <v>YES</v>
      </c>
      <c r="W7" s="100" t="str">
        <f>IF(AH2_T24_table[[#This Row],[Exhaust Category]] = "NOT APPLICABLE","NR","YES")</f>
        <v>NR</v>
      </c>
      <c r="X7" s="100" t="str">
        <f>IF(AH2_T24_table[[#This Row],[Exhaust Category]]="NOT APPLICABLE","NA",VLOOKUP(AH2_T24_table[[#This Row],[Exhaust Category]],TITLE24_EXHAUST_TABLE[#All],2,FALSE))</f>
        <v>NA</v>
      </c>
      <c r="Y7" s="100" t="str">
        <f>IF(AH2_T24_table[[#This Row],[Exhaust Category]]="NOT APPLICABLE","NA",VLOOKUP(AH2_T24_table[[#This Row],[Exhaust Category]],TITLE24_EXHAUST_TABLE[#All],3,FALSE))</f>
        <v>NA</v>
      </c>
      <c r="Z7" s="99">
        <f>AH2_T24_table[[#This Row],[Misc Exhaust From Room]]+(IFERROR(IF(AH2_T24_table[[#This Row],[EA RATE
(CFM/UNIT)]]=0&amp;AH2_T24_table[[#This Row],[EA RATE
(CFM/FT²)]]=0,0,IF(AH2_T24_table[[#This Row],[EA RATE
(CFM/UNIT)]]=0,AH2_T24_table[[#This Row],[EA RATE
(CFM/FT²)]]*AH2_T24_table[[#This Row],[AREA 
(FT²)]],AH2_T24_table[[#This Row],[Exhaust Units]]*AH2_T24_table[[#This Row],[EA RATE
(CFM/UNIT)]])),0))</f>
        <v>0</v>
      </c>
      <c r="AA7" s="144" cm="1">
        <f t="array" aca="1" ref="AA7" ca="1">supplyair(AH2_T24_table[[#This Row],[COOLING LOAD (CFM)]],AH2_T24_table[[#This Row],[OFFICE STANDARD 
(CFM)]],AH2_T24_table[[#This Row],[OFFICE STANDARD 
(CFM)]],AH2_T24_table[[#This Row],[Desired Room Balance]],AH2_T24_table[[#This Row],[Exhausted?]],AH2_T24_table[[#This Row],[MIN EA
(CFM)]],AH2_T24_table[[#This Row],[Misc Exhaust From Room]],AH2_T24_table[[#This Row],[Vz (CFM)]])</f>
        <v>1800</v>
      </c>
      <c r="AB7" s="144" cm="1">
        <f t="array" aca="1" ref="AB7" ca="1">Returnair(AH2_T24_table[[#This Row],[DESIGN SA(CFM)]],AH2_T24_table[[#This Row],[Desired Room Balance]],AH2_T24_table[[#This Row],[Exhausted?]],AH2_T24_table[[#This Row],[Misc Exhaust From Room]])</f>
        <v>1700</v>
      </c>
      <c r="AC7" s="144" cm="1">
        <f t="array" aca="1" ref="AC7" ca="1">Exhaustair(AH2_T24_table[[#This Row],[DESIGN SA(CFM)]],AH2_T24_table[[#This Row],[Exhausted?]],AH2_T24_table[[#This Row],[MIN EA
(CFM)]],AH2_T24_table[[#This Row],[Desired Room Balance]],AH2_T24_table[[#This Row],[Misc Exhaust From Room]])</f>
        <v>0</v>
      </c>
      <c r="AD7" s="100">
        <f ca="1">AH2_T24_table[[#This Row],[DESIGN SA(CFM)]]-AH2_T24_table[[#This Row],[DESIGN RA(CFM)]]-AH2_T24_table[[#This Row],[DESIGN EA(CFM)]]</f>
        <v>100</v>
      </c>
    </row>
    <row r="8" spans="1:30" ht="15.6">
      <c r="A8" s="362" t="s">
        <v>935</v>
      </c>
      <c r="B8" s="97">
        <v>566</v>
      </c>
      <c r="C8" s="97" t="s">
        <v>752</v>
      </c>
      <c r="D8" s="97">
        <v>1000</v>
      </c>
      <c r="E8" s="97"/>
      <c r="F8" s="97">
        <v>-50</v>
      </c>
      <c r="G8" s="97">
        <v>0</v>
      </c>
      <c r="H8" s="116">
        <f>IF((VLOOKUP(AH2_T24_table[[#This Row],[Occupancy Category]],T24_VENT[#All],6,FALSE)) = "YES",MROUND(D8/2,5),MROUND(D8,5))</f>
        <v>1000</v>
      </c>
      <c r="I8" s="97">
        <v>100</v>
      </c>
      <c r="J8" s="97">
        <v>2000</v>
      </c>
      <c r="K8" s="97" t="s">
        <v>48</v>
      </c>
      <c r="L8" s="144">
        <v>0</v>
      </c>
      <c r="M8" s="97" t="s">
        <v>869</v>
      </c>
      <c r="N8" s="97" t="s">
        <v>49</v>
      </c>
      <c r="O8" s="97">
        <v>0</v>
      </c>
      <c r="P8" s="99">
        <f>VLOOKUP(AH2_T24_table[[#This Row],[Occupancy Category]],T24_VENT[#All],2,FALSE)</f>
        <v>0.15</v>
      </c>
      <c r="Q8" s="99">
        <f>VLOOKUP(AH2_T24_table[[#This Row],[Occupancy Category]],T24_VENT[#All],3,FALSE)</f>
        <v>0</v>
      </c>
      <c r="R8" s="99">
        <f>VLOOKUP(AH2_T24_table[[#This Row],[Occupancy Category]],T24_VENT[#All],4,FALSE)</f>
        <v>1</v>
      </c>
      <c r="S8" s="99" t="str">
        <f>VLOOKUP(AH2_T24_table[[#This Row],[Occupancy Category]],T24_VENT[#All],5,FALSE)</f>
        <v>NO</v>
      </c>
      <c r="T8" s="100">
        <f>IF(AH2_T24_table[[#This Row],[FIXED SEATING OR SPACE DESIGNED WITH EXCEPTION TO 1004.5]]="YES",MAX(AH2_T24_table[[#This Row],[TOTAL OA RATE
(CFM/FT²)]]*AH2_T24_table[[#This Row],[AREA 
(FT²)]],15*AH2_T24_table[[#This Row],[NUMBER OF OCCUPANTS ]]),AH2_T24_table[[#This Row],[TOTAL OA RATE
(CFM/FT²)]]*AH2_T24_table[[#This Row],[AREA 
(FT²)]])</f>
        <v>150</v>
      </c>
      <c r="U8" s="100">
        <f>IF(AND(AH2_T24_table[[#This Row],[Occupancy Sensor Installed?]]="YES",AH2_T24_table[[#This Row],[Occupancy Stanby Permitted?]]="YES"),0,AH2_T24_table[[#This Row],[MIN VENT AIR FOR DCV (CFM/FT²)]]*AH2_T24_table[[#This Row],[AREA 
(FT²)]])</f>
        <v>0</v>
      </c>
      <c r="V8" s="100" t="str">
        <f>IF(AND(OR(($K$1 = "YES"),AH2_T24_table[[#Totals],[Vz (CFM)]]&gt;2900),( VLOOKUP(AH2_T24_table[[#This Row],[Occupancy Category]],T24_VENT[#All],7,FALSE))&gt;24),"YES","NO")</f>
        <v>YES</v>
      </c>
      <c r="W8" s="100" t="str">
        <f>IF(AH2_T24_table[[#This Row],[Exhaust Category]] = "NOT APPLICABLE","NR","YES")</f>
        <v>NR</v>
      </c>
      <c r="X8" s="100" t="str">
        <f>IF(AH2_T24_table[[#This Row],[Exhaust Category]]="NOT APPLICABLE","NA",VLOOKUP(AH2_T24_table[[#This Row],[Exhaust Category]],TITLE24_EXHAUST_TABLE[#All],2,FALSE))</f>
        <v>NA</v>
      </c>
      <c r="Y8" s="100" t="str">
        <f>IF(AH2_T24_table[[#This Row],[Exhaust Category]]="NOT APPLICABLE","NA",VLOOKUP(AH2_T24_table[[#This Row],[Exhaust Category]],TITLE24_EXHAUST_TABLE[#All],3,FALSE))</f>
        <v>NA</v>
      </c>
      <c r="Z8" s="99">
        <f>AH2_T24_table[[#This Row],[Misc Exhaust From Room]]+(IFERROR(IF(AH2_T24_table[[#This Row],[EA RATE
(CFM/UNIT)]]=0&amp;AH2_T24_table[[#This Row],[EA RATE
(CFM/FT²)]]=0,0,IF(AH2_T24_table[[#This Row],[EA RATE
(CFM/UNIT)]]=0,AH2_T24_table[[#This Row],[EA RATE
(CFM/FT²)]]*AH2_T24_table[[#This Row],[AREA 
(FT²)]],AH2_T24_table[[#This Row],[Exhaust Units]]*AH2_T24_table[[#This Row],[EA RATE
(CFM/UNIT)]])),0))</f>
        <v>0</v>
      </c>
      <c r="AA8" s="144" cm="1">
        <f t="array" aca="1" ref="AA8" ca="1">supplyair(AH2_T24_table[[#This Row],[COOLING LOAD (CFM)]],AH2_T24_table[[#This Row],[OFFICE STANDARD 
(CFM)]],AH2_T24_table[[#This Row],[OFFICE STANDARD 
(CFM)]],AH2_T24_table[[#This Row],[Desired Room Balance]],AH2_T24_table[[#This Row],[Exhausted?]],AH2_T24_table[[#This Row],[MIN EA
(CFM)]],AH2_T24_table[[#This Row],[Misc Exhaust From Room]],AH2_T24_table[[#This Row],[Vz (CFM)]])</f>
        <v>2000</v>
      </c>
      <c r="AB8" s="144" cm="1">
        <f t="array" aca="1" ref="AB8" ca="1">Returnair(AH2_T24_table[[#This Row],[DESIGN SA(CFM)]],AH2_T24_table[[#This Row],[Desired Room Balance]],AH2_T24_table[[#This Row],[Exhausted?]],AH2_T24_table[[#This Row],[Misc Exhaust From Room]])</f>
        <v>2050</v>
      </c>
      <c r="AC8" s="144" cm="1">
        <f t="array" aca="1" ref="AC8" ca="1">Exhaustair(AH2_T24_table[[#This Row],[DESIGN SA(CFM)]],AH2_T24_table[[#This Row],[Exhausted?]],AH2_T24_table[[#This Row],[MIN EA
(CFM)]],AH2_T24_table[[#This Row],[Desired Room Balance]],AH2_T24_table[[#This Row],[Misc Exhaust From Room]])</f>
        <v>0</v>
      </c>
      <c r="AD8" s="100">
        <f ca="1">AH2_T24_table[[#This Row],[DESIGN SA(CFM)]]-AH2_T24_table[[#This Row],[DESIGN RA(CFM)]]-AH2_T24_table[[#This Row],[DESIGN EA(CFM)]]</f>
        <v>-50</v>
      </c>
    </row>
    <row r="9" spans="1:30" ht="15.6">
      <c r="A9" s="309" t="s">
        <v>933</v>
      </c>
      <c r="B9" s="97">
        <v>123</v>
      </c>
      <c r="C9" s="97" t="s">
        <v>740</v>
      </c>
      <c r="D9" s="97">
        <v>250</v>
      </c>
      <c r="E9" s="97"/>
      <c r="F9" s="97">
        <v>-50</v>
      </c>
      <c r="G9" s="97">
        <v>0</v>
      </c>
      <c r="H9" s="116">
        <f>IF((VLOOKUP(AH2_T24_table[[#This Row],[Occupancy Category]],T24_VENT[#All],6,FALSE)) = "YES",MROUND(D9/2,5),MROUND(D9,5))</f>
        <v>250</v>
      </c>
      <c r="I9" s="97">
        <v>80</v>
      </c>
      <c r="J9" s="97">
        <v>2000</v>
      </c>
      <c r="K9" s="97" t="s">
        <v>48</v>
      </c>
      <c r="L9" s="144">
        <v>0</v>
      </c>
      <c r="M9" s="97" t="s">
        <v>814</v>
      </c>
      <c r="N9" s="97" t="s">
        <v>111</v>
      </c>
      <c r="O9" s="97">
        <v>150</v>
      </c>
      <c r="P9" s="99">
        <f>VLOOKUP(AH2_T24_table[[#This Row],[Occupancy Category]],T24_VENT[#All],2,FALSE)</f>
        <v>0.15</v>
      </c>
      <c r="Q9" s="99">
        <f>VLOOKUP(AH2_T24_table[[#This Row],[Occupancy Category]],T24_VENT[#All],3,FALSE)</f>
        <v>0</v>
      </c>
      <c r="R9" s="99">
        <f>VLOOKUP(AH2_T24_table[[#This Row],[Occupancy Category]],T24_VENT[#All],4,FALSE)</f>
        <v>2</v>
      </c>
      <c r="S9" s="99" t="str">
        <f>VLOOKUP(AH2_T24_table[[#This Row],[Occupancy Category]],T24_VENT[#All],5,FALSE)</f>
        <v>NO</v>
      </c>
      <c r="T9" s="100">
        <f>IF(AH2_T24_table[[#This Row],[FIXED SEATING OR SPACE DESIGNED WITH EXCEPTION TO 1004.5]]="YES",MAX(AH2_T24_table[[#This Row],[TOTAL OA RATE
(CFM/FT²)]]*AH2_T24_table[[#This Row],[AREA 
(FT²)]],15*AH2_T24_table[[#This Row],[NUMBER OF OCCUPANTS ]]),AH2_T24_table[[#This Row],[TOTAL OA RATE
(CFM/FT²)]]*AH2_T24_table[[#This Row],[AREA 
(FT²)]])</f>
        <v>2250</v>
      </c>
      <c r="U9" s="100">
        <f>IF(AND(AH2_T24_table[[#This Row],[Occupancy Sensor Installed?]]="YES",AH2_T24_table[[#This Row],[Occupancy Stanby Permitted?]]="YES"),0,AH2_T24_table[[#This Row],[MIN VENT AIR FOR DCV (CFM/FT²)]]*AH2_T24_table[[#This Row],[AREA 
(FT²)]])</f>
        <v>0</v>
      </c>
      <c r="V9" s="100" t="str">
        <f>IF(AND(OR(($K$1 = "YES"),AH2_T24_table[[#Totals],[Vz (CFM)]]&gt;2900),( VLOOKUP(AH2_T24_table[[#This Row],[Occupancy Category]],T24_VENT[#All],7,FALSE))&gt;24),"YES","NO")</f>
        <v>NO</v>
      </c>
      <c r="W9" s="100" t="str">
        <f>IF(AH2_T24_table[[#This Row],[Exhaust Category]] = "NOT APPLICABLE","NR","YES")</f>
        <v>NR</v>
      </c>
      <c r="X9" s="100" t="str">
        <f>IF(AH2_T24_table[[#This Row],[Exhaust Category]]="NOT APPLICABLE","NA",VLOOKUP(AH2_T24_table[[#This Row],[Exhaust Category]],TITLE24_EXHAUST_TABLE[#All],2,FALSE))</f>
        <v>NA</v>
      </c>
      <c r="Y9" s="100" t="str">
        <f>IF(AH2_T24_table[[#This Row],[Exhaust Category]]="NOT APPLICABLE","NA",VLOOKUP(AH2_T24_table[[#This Row],[Exhaust Category]],TITLE24_EXHAUST_TABLE[#All],3,FALSE))</f>
        <v>NA</v>
      </c>
      <c r="Z9" s="99">
        <f>AH2_T24_table[[#This Row],[Misc Exhaust From Room]]+(IFERROR(IF(AH2_T24_table[[#This Row],[EA RATE
(CFM/UNIT)]]=0&amp;AH2_T24_table[[#This Row],[EA RATE
(CFM/FT²)]]=0,0,IF(AH2_T24_table[[#This Row],[EA RATE
(CFM/UNIT)]]=0,AH2_T24_table[[#This Row],[EA RATE
(CFM/FT²)]]*AH2_T24_table[[#This Row],[AREA 
(FT²)]],AH2_T24_table[[#This Row],[Exhaust Units]]*AH2_T24_table[[#This Row],[EA RATE
(CFM/UNIT)]])),0))</f>
        <v>0</v>
      </c>
      <c r="AA9" s="144" cm="1">
        <f t="array" aca="1" ref="AA9" ca="1">supplyair(AH2_T24_table[[#This Row],[COOLING LOAD (CFM)]],AH2_T24_table[[#This Row],[OFFICE STANDARD 
(CFM)]],AH2_T24_table[[#This Row],[OFFICE STANDARD 
(CFM)]],AH2_T24_table[[#This Row],[Desired Room Balance]],AH2_T24_table[[#This Row],[Exhausted?]],AH2_T24_table[[#This Row],[MIN EA
(CFM)]],AH2_T24_table[[#This Row],[Misc Exhaust From Room]],AH2_T24_table[[#This Row],[Vz (CFM)]])</f>
        <v>2250</v>
      </c>
      <c r="AB9" s="144" cm="1">
        <f t="array" aca="1" ref="AB9" ca="1">Returnair(AH2_T24_table[[#This Row],[DESIGN SA(CFM)]],AH2_T24_table[[#This Row],[Desired Room Balance]],AH2_T24_table[[#This Row],[Exhausted?]],AH2_T24_table[[#This Row],[Misc Exhaust From Room]])</f>
        <v>2300</v>
      </c>
      <c r="AC9" s="144" cm="1">
        <f t="array" aca="1" ref="AC9" ca="1">Exhaustair(AH2_T24_table[[#This Row],[DESIGN SA(CFM)]],AH2_T24_table[[#This Row],[Exhausted?]],AH2_T24_table[[#This Row],[MIN EA
(CFM)]],AH2_T24_table[[#This Row],[Desired Room Balance]],AH2_T24_table[[#This Row],[Misc Exhaust From Room]])</f>
        <v>0</v>
      </c>
      <c r="AD9" s="100">
        <f ca="1">AH2_T24_table[[#This Row],[DESIGN SA(CFM)]]-AH2_T24_table[[#This Row],[DESIGN RA(CFM)]]-AH2_T24_table[[#This Row],[DESIGN EA(CFM)]]</f>
        <v>-50</v>
      </c>
    </row>
    <row r="10" spans="1:30" ht="15.6">
      <c r="A10" s="309" t="s">
        <v>933</v>
      </c>
      <c r="B10" s="97">
        <v>123</v>
      </c>
      <c r="C10" s="97" t="s">
        <v>740</v>
      </c>
      <c r="D10" s="97">
        <v>250</v>
      </c>
      <c r="E10" s="97"/>
      <c r="F10" s="97">
        <v>-50</v>
      </c>
      <c r="G10" s="97">
        <v>0</v>
      </c>
      <c r="H10" s="116">
        <f>IF((VLOOKUP(AH2_T24_table[[#This Row],[Occupancy Category]],T24_VENT[#All],6,FALSE)) = "YES",MROUND(D10/2,5),MROUND(D10,5))</f>
        <v>250</v>
      </c>
      <c r="I10" s="97">
        <v>80</v>
      </c>
      <c r="J10" s="97">
        <v>2000</v>
      </c>
      <c r="K10" s="97" t="s">
        <v>48</v>
      </c>
      <c r="L10" s="144">
        <v>0</v>
      </c>
      <c r="M10" s="97" t="s">
        <v>814</v>
      </c>
      <c r="N10" s="97" t="s">
        <v>111</v>
      </c>
      <c r="O10" s="97">
        <v>150</v>
      </c>
      <c r="P10" s="99">
        <f>VLOOKUP(AH2_T24_table[[#This Row],[Occupancy Category]],T24_VENT[#All],2,FALSE)</f>
        <v>0.15</v>
      </c>
      <c r="Q10" s="99">
        <f>VLOOKUP(AH2_T24_table[[#This Row],[Occupancy Category]],T24_VENT[#All],3,FALSE)</f>
        <v>0</v>
      </c>
      <c r="R10" s="99">
        <f>VLOOKUP(AH2_T24_table[[#This Row],[Occupancy Category]],T24_VENT[#All],4,FALSE)</f>
        <v>2</v>
      </c>
      <c r="S10" s="99" t="str">
        <f>VLOOKUP(AH2_T24_table[[#This Row],[Occupancy Category]],T24_VENT[#All],5,FALSE)</f>
        <v>NO</v>
      </c>
      <c r="T10" s="100">
        <f>IF(AH2_T24_table[[#This Row],[FIXED SEATING OR SPACE DESIGNED WITH EXCEPTION TO 1004.5]]="YES",MAX(AH2_T24_table[[#This Row],[TOTAL OA RATE
(CFM/FT²)]]*AH2_T24_table[[#This Row],[AREA 
(FT²)]],15*AH2_T24_table[[#This Row],[NUMBER OF OCCUPANTS ]]),AH2_T24_table[[#This Row],[TOTAL OA RATE
(CFM/FT²)]]*AH2_T24_table[[#This Row],[AREA 
(FT²)]])</f>
        <v>2250</v>
      </c>
      <c r="U10" s="100">
        <f>IF(AND(AH2_T24_table[[#This Row],[Occupancy Sensor Installed?]]="YES",AH2_T24_table[[#This Row],[Occupancy Stanby Permitted?]]="YES"),0,AH2_T24_table[[#This Row],[MIN VENT AIR FOR DCV (CFM/FT²)]]*AH2_T24_table[[#This Row],[AREA 
(FT²)]])</f>
        <v>0</v>
      </c>
      <c r="V10" s="100" t="str">
        <f>IF(AND(OR(($K$1 = "YES"),AH2_T24_table[[#Totals],[Vz (CFM)]]&gt;2900),( VLOOKUP(AH2_T24_table[[#This Row],[Occupancy Category]],T24_VENT[#All],7,FALSE))&gt;24),"YES","NO")</f>
        <v>NO</v>
      </c>
      <c r="W10" s="100" t="str">
        <f>IF(AH2_T24_table[[#This Row],[Exhaust Category]] = "NOT APPLICABLE","NR","YES")</f>
        <v>NR</v>
      </c>
      <c r="X10" s="100" t="str">
        <f>IF(AH2_T24_table[[#This Row],[Exhaust Category]]="NOT APPLICABLE","NA",VLOOKUP(AH2_T24_table[[#This Row],[Exhaust Category]],TITLE24_EXHAUST_TABLE[#All],2,FALSE))</f>
        <v>NA</v>
      </c>
      <c r="Y10" s="100" t="str">
        <f>IF(AH2_T24_table[[#This Row],[Exhaust Category]]="NOT APPLICABLE","NA",VLOOKUP(AH2_T24_table[[#This Row],[Exhaust Category]],TITLE24_EXHAUST_TABLE[#All],3,FALSE))</f>
        <v>NA</v>
      </c>
      <c r="Z10" s="99">
        <f>AH2_T24_table[[#This Row],[Misc Exhaust From Room]]+(IFERROR(IF(AH2_T24_table[[#This Row],[EA RATE
(CFM/UNIT)]]=0&amp;AH2_T24_table[[#This Row],[EA RATE
(CFM/FT²)]]=0,0,IF(AH2_T24_table[[#This Row],[EA RATE
(CFM/UNIT)]]=0,AH2_T24_table[[#This Row],[EA RATE
(CFM/FT²)]]*AH2_T24_table[[#This Row],[AREA 
(FT²)]],AH2_T24_table[[#This Row],[Exhaust Units]]*AH2_T24_table[[#This Row],[EA RATE
(CFM/UNIT)]])),0))</f>
        <v>0</v>
      </c>
      <c r="AA10" s="144" cm="1">
        <f t="array" aca="1" ref="AA10" ca="1">supplyair(AH2_T24_table[[#This Row],[COOLING LOAD (CFM)]],AH2_T24_table[[#This Row],[OFFICE STANDARD 
(CFM)]],AH2_T24_table[[#This Row],[OFFICE STANDARD 
(CFM)]],AH2_T24_table[[#This Row],[Desired Room Balance]],AH2_T24_table[[#This Row],[Exhausted?]],AH2_T24_table[[#This Row],[MIN EA
(CFM)]],AH2_T24_table[[#This Row],[Misc Exhaust From Room]],AH2_T24_table[[#This Row],[Vz (CFM)]])</f>
        <v>2250</v>
      </c>
      <c r="AB10" s="144" cm="1">
        <f t="array" aca="1" ref="AB10" ca="1">Returnair(AH2_T24_table[[#This Row],[DESIGN SA(CFM)]],AH2_T24_table[[#This Row],[Desired Room Balance]],AH2_T24_table[[#This Row],[Exhausted?]],AH2_T24_table[[#This Row],[Misc Exhaust From Room]])</f>
        <v>2300</v>
      </c>
      <c r="AC10" s="144" cm="1">
        <f t="array" aca="1" ref="AC10" ca="1">Exhaustair(AH2_T24_table[[#This Row],[DESIGN SA(CFM)]],AH2_T24_table[[#This Row],[Exhausted?]],AH2_T24_table[[#This Row],[MIN EA
(CFM)]],AH2_T24_table[[#This Row],[Desired Room Balance]],AH2_T24_table[[#This Row],[Misc Exhaust From Room]])</f>
        <v>0</v>
      </c>
      <c r="AD10" s="100">
        <f ca="1">AH2_T24_table[[#This Row],[DESIGN SA(CFM)]]-AH2_T24_table[[#This Row],[DESIGN RA(CFM)]]-AH2_T24_table[[#This Row],[DESIGN EA(CFM)]]</f>
        <v>-50</v>
      </c>
    </row>
    <row r="11" spans="1:30" ht="15.6">
      <c r="A11" s="359"/>
      <c r="B11" s="352"/>
      <c r="C11" s="353">
        <f>SUBTOTAL(103,AH2_T24_table[Room])</f>
        <v>5</v>
      </c>
      <c r="D11" s="354">
        <f>SUBTOTAL(109,AH2_T24_table[AREA 
(FT²)])</f>
        <v>2750</v>
      </c>
      <c r="E11" s="354"/>
      <c r="F11" s="354"/>
      <c r="G11" s="355"/>
      <c r="H11" s="356"/>
      <c r="I11" s="356">
        <f>SUBTOTAL(109,AH2_T24_table[HEATING LOAD (CFM)])</f>
        <v>430</v>
      </c>
      <c r="J11" s="357">
        <f>SUBTOTAL(109,AH2_T24_table[COOLING LOAD (CFM)])</f>
        <v>9800</v>
      </c>
      <c r="K11" s="352"/>
      <c r="L11" s="358"/>
      <c r="M11" s="352"/>
      <c r="N11" s="352"/>
      <c r="O11" s="352"/>
      <c r="P11" s="359"/>
      <c r="Q11" s="359"/>
      <c r="R11" s="359"/>
      <c r="S11" s="359"/>
      <c r="T11" s="358">
        <f>SUBTOTAL(109,AH2_T24_table[Vz (CFM)])</f>
        <v>7280</v>
      </c>
      <c r="U11" s="358"/>
      <c r="V11" s="358"/>
      <c r="W11" s="358"/>
      <c r="X11" s="359"/>
      <c r="Y11" s="359"/>
      <c r="Z11" s="359"/>
      <c r="AA11" s="358">
        <f ca="1">SUBTOTAL(109,AH2_T24_table[DESIGN SA(CFM)])</f>
        <v>10550</v>
      </c>
      <c r="AB11" s="358">
        <f ca="1">SUBTOTAL(109,AH2_T24_table[DESIGN RA(CFM)])</f>
        <v>10650</v>
      </c>
      <c r="AC11" s="358">
        <f ca="1">SUBTOTAL(109,AH2_T24_table[DESIGN EA(CFM)])</f>
        <v>0</v>
      </c>
      <c r="AD11" s="359"/>
    </row>
    <row r="18" spans="23:27">
      <c r="AA18" s="23"/>
    </row>
    <row r="22" spans="23:27">
      <c r="W22" s="23"/>
    </row>
  </sheetData>
  <mergeCells count="4">
    <mergeCell ref="Q1:S1"/>
    <mergeCell ref="A4:I4"/>
    <mergeCell ref="J4:Y4"/>
    <mergeCell ref="Z4:AC4"/>
  </mergeCells>
  <conditionalFormatting sqref="AA6:AA11">
    <cfRule type="dataBar" priority="1">
      <dataBar>
        <cfvo type="min"/>
        <cfvo type="max"/>
        <color rgb="FF638EC6"/>
      </dataBar>
      <extLst>
        <ext xmlns:x14="http://schemas.microsoft.com/office/spreadsheetml/2009/9/main" uri="{B025F937-C7B1-47D3-B67F-A62EFF666E3E}">
          <x14:id>{CC4D111B-E735-47ED-B142-7BD643BB0BAB}</x14:id>
        </ext>
      </extLst>
    </cfRule>
  </conditionalFormatting>
  <dataValidations count="3">
    <dataValidation type="whole" allowBlank="1" showInputMessage="1" showErrorMessage="1" sqref="L6:L10" xr:uid="{BE666946-EA19-4460-A645-2442CE1B9764}">
      <formula1>-1</formula1>
      <formula2>10000</formula2>
    </dataValidation>
    <dataValidation type="whole" allowBlank="1" showInputMessage="1" showErrorMessage="1" sqref="O6:O10" xr:uid="{82A269BC-6257-4E2E-990E-9FD21383689F}">
      <formula1>-1</formula1>
      <formula2>100000</formula2>
    </dataValidation>
    <dataValidation type="whole" allowBlank="1" showInputMessage="1" showErrorMessage="1" sqref="T1" xr:uid="{73FCF7A5-1ABC-4119-B9F8-6F0372EB7981}">
      <formula1>-1</formula1>
      <formula2>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CC4D111B-E735-47ED-B142-7BD643BB0BAB}">
            <x14:dataBar minLength="0" maxLength="100" border="1" negativeBarBorderColorSameAsPositive="0">
              <x14:cfvo type="autoMin"/>
              <x14:cfvo type="autoMax"/>
              <x14:borderColor rgb="FF638EC6"/>
              <x14:negativeFillColor rgb="FFFF0000"/>
              <x14:negativeBorderColor rgb="FFFF0000"/>
              <x14:axisColor rgb="FF000000"/>
            </x14:dataBar>
          </x14:cfRule>
          <xm:sqref>AA6:AA11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CA6BE673-3826-4170-8F0B-AA0EAFEBCFB2}">
          <x14:formula1>
            <xm:f>CALIFORNIA_TABLE!$I$2:$I$27</xm:f>
          </x14:formula1>
          <xm:sqref>K6:K10</xm:sqref>
        </x14:dataValidation>
        <x14:dataValidation type="list" allowBlank="1" showInputMessage="1" showErrorMessage="1" xr:uid="{23EBA2F4-89F9-4176-AEFB-F846263C36F4}">
          <x14:formula1>
            <xm:f>CALIFORNIA_TABLE!$O$4:$O$5</xm:f>
          </x14:formula1>
          <xm:sqref>N8:N10 N6 K1 E6:E10</xm:sqref>
        </x14:dataValidation>
        <x14:dataValidation type="list" allowBlank="1" showInputMessage="1" showErrorMessage="1" xr:uid="{02AE6B0C-A26E-4E1C-97F8-46430AC0614E}">
          <x14:formula1>
            <xm:f>CALIFORNIA_TABLE!$A$2:$A$77</xm:f>
          </x14:formula1>
          <xm:sqref>M6:M10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84745-E1CA-4EFA-B818-7E3852D7B112}">
  <sheetPr codeName="Sheet2">
    <tabColor rgb="FF0070C0"/>
    <pageSetUpPr fitToPage="1"/>
  </sheetPr>
  <dimension ref="A2:BF36"/>
  <sheetViews>
    <sheetView showGridLines="0" zoomScale="85" zoomScaleNormal="85" workbookViewId="0">
      <selection activeCell="J35" sqref="J35"/>
    </sheetView>
  </sheetViews>
  <sheetFormatPr defaultColWidth="8.88671875" defaultRowHeight="13.2"/>
  <cols>
    <col min="1" max="1" width="10.44140625" bestFit="1" customWidth="1"/>
    <col min="2" max="2" width="10.44140625" customWidth="1"/>
    <col min="3" max="3" width="14.88671875" bestFit="1" customWidth="1"/>
    <col min="4" max="4" width="18.44140625" bestFit="1" customWidth="1"/>
    <col min="5" max="5" width="19.109375" bestFit="1" customWidth="1"/>
    <col min="6" max="6" width="15.6640625" bestFit="1" customWidth="1"/>
    <col min="7" max="7" width="9.33203125" customWidth="1"/>
    <col min="8" max="9" width="9.109375" customWidth="1"/>
    <col min="10" max="10" width="10" customWidth="1"/>
    <col min="11" max="11" width="9.109375" customWidth="1"/>
    <col min="12" max="12" width="12.88671875" bestFit="1" customWidth="1"/>
    <col min="13" max="14" width="9.109375" customWidth="1"/>
    <col min="15" max="15" width="9.6640625" customWidth="1"/>
    <col min="16" max="16" width="13.44140625" bestFit="1" customWidth="1"/>
    <col min="17" max="17" width="16.88671875" bestFit="1" customWidth="1"/>
    <col min="18" max="18" width="10" bestFit="1" customWidth="1"/>
    <col min="19" max="19" width="9.33203125" customWidth="1"/>
    <col min="20" max="20" width="9.6640625" customWidth="1"/>
    <col min="21" max="21" width="10.109375" bestFit="1" customWidth="1"/>
    <col min="22" max="22" width="10" customWidth="1"/>
    <col min="23" max="23" width="15.109375" bestFit="1" customWidth="1"/>
    <col min="24" max="24" width="16.88671875" bestFit="1" customWidth="1"/>
    <col min="25" max="26" width="9.44140625" customWidth="1"/>
    <col min="27" max="27" width="10" bestFit="1" customWidth="1"/>
    <col min="28" max="28" width="9.33203125" customWidth="1"/>
    <col min="29" max="29" width="9.6640625" customWidth="1"/>
    <col min="30" max="30" width="9.109375" customWidth="1"/>
    <col min="31" max="31" width="9.33203125" customWidth="1"/>
    <col min="32" max="32" width="9.6640625" customWidth="1"/>
    <col min="33" max="33" width="9.109375" customWidth="1"/>
    <col min="34" max="34" width="10" customWidth="1"/>
    <col min="35" max="35" width="14.6640625" customWidth="1"/>
    <col min="36" max="36" width="16.88671875" bestFit="1" customWidth="1"/>
    <col min="37" max="38" width="9.44140625" customWidth="1"/>
    <col min="39" max="39" width="12" bestFit="1" customWidth="1"/>
    <col min="40" max="40" width="13.6640625" bestFit="1" customWidth="1"/>
    <col min="41" max="41" width="12.6640625" bestFit="1" customWidth="1"/>
    <col min="42" max="42" width="14.109375" customWidth="1"/>
    <col min="43" max="45" width="14.5546875" bestFit="1" customWidth="1"/>
    <col min="46" max="46" width="17" customWidth="1"/>
    <col min="47" max="48" width="14.6640625" bestFit="1" customWidth="1"/>
    <col min="49" max="49" width="13.88671875" customWidth="1" collapsed="1"/>
    <col min="50" max="50" width="8.33203125" customWidth="1"/>
    <col min="51" max="51" width="16.88671875" bestFit="1" customWidth="1"/>
    <col min="52" max="52" width="17.33203125" bestFit="1" customWidth="1"/>
    <col min="53" max="55" width="16.88671875" bestFit="1" customWidth="1"/>
    <col min="56" max="56" width="14.109375" bestFit="1" customWidth="1"/>
    <col min="57" max="57" width="20.21875" hidden="1" customWidth="1"/>
    <col min="58" max="58" width="0" hidden="1" customWidth="1"/>
  </cols>
  <sheetData>
    <row r="2" spans="1:58">
      <c r="C2" s="23"/>
      <c r="D2" s="23"/>
      <c r="E2" s="23"/>
    </row>
    <row r="8" spans="1:58" s="17" customFormat="1" ht="12.9" customHeight="1">
      <c r="A8" s="416"/>
      <c r="B8" s="126"/>
      <c r="C8" s="419" t="s">
        <v>180</v>
      </c>
      <c r="D8" s="419"/>
      <c r="E8" s="419"/>
      <c r="F8" s="419"/>
      <c r="G8" s="419"/>
      <c r="H8" s="419"/>
      <c r="I8" s="419"/>
      <c r="J8" s="419"/>
      <c r="K8" s="419"/>
      <c r="L8" s="419"/>
      <c r="M8" s="419"/>
      <c r="N8" s="419"/>
      <c r="O8" s="419"/>
      <c r="P8" s="419" t="s">
        <v>181</v>
      </c>
      <c r="Q8" s="419"/>
      <c r="R8" s="419"/>
      <c r="S8" s="419"/>
      <c r="T8" s="419"/>
      <c r="U8" s="419"/>
      <c r="V8" s="419"/>
      <c r="W8" s="419"/>
      <c r="X8" s="419"/>
      <c r="Y8" s="419"/>
      <c r="Z8" s="419"/>
      <c r="AA8" s="419"/>
      <c r="AB8" s="419" t="s">
        <v>182</v>
      </c>
      <c r="AC8" s="419"/>
      <c r="AD8" s="419"/>
      <c r="AE8" s="419"/>
      <c r="AF8" s="419"/>
      <c r="AG8" s="419"/>
      <c r="AH8" s="419"/>
      <c r="AI8" s="419"/>
      <c r="AJ8" s="419"/>
      <c r="AK8" s="419"/>
      <c r="AL8" s="419"/>
      <c r="AM8" s="419"/>
      <c r="AN8" s="419" t="s">
        <v>183</v>
      </c>
      <c r="AO8" s="419"/>
      <c r="AP8" s="419"/>
      <c r="AQ8" s="419" t="str">
        <f>IF(INPUT_OUTPUTS!F8&lt;32,"FREEZE PROTECTION COIL","FREEZE PROTECTION COIL(NOT NEEDED)")</f>
        <v>FREEZE PROTECTION COIL</v>
      </c>
      <c r="AR8" s="419"/>
      <c r="AS8" s="419"/>
      <c r="AT8" s="419"/>
      <c r="AU8" s="419"/>
      <c r="AV8" s="419"/>
      <c r="AW8" s="419"/>
      <c r="AX8" s="419" t="s">
        <v>680</v>
      </c>
      <c r="AY8" s="419"/>
      <c r="AZ8" s="419"/>
      <c r="BA8" s="419"/>
      <c r="BB8" s="419"/>
      <c r="BC8" s="419"/>
      <c r="BD8" s="419"/>
    </row>
    <row r="9" spans="1:58" s="11" customFormat="1" ht="32.25" customHeight="1">
      <c r="A9" s="416"/>
      <c r="B9" s="413" t="s">
        <v>184</v>
      </c>
      <c r="C9" s="414"/>
      <c r="D9" s="414"/>
      <c r="E9" s="414"/>
      <c r="F9" s="414"/>
      <c r="G9" s="414"/>
      <c r="H9" s="414"/>
      <c r="I9" s="414"/>
      <c r="J9" s="414"/>
      <c r="K9" s="414"/>
      <c r="L9" s="414"/>
      <c r="M9" s="414"/>
      <c r="N9" s="415"/>
      <c r="O9" s="416" t="s">
        <v>185</v>
      </c>
      <c r="P9" s="417" t="s">
        <v>186</v>
      </c>
      <c r="Q9" s="417"/>
      <c r="R9" s="417"/>
      <c r="S9" s="417"/>
      <c r="T9" s="417"/>
      <c r="U9" s="417"/>
      <c r="V9" s="418" t="s">
        <v>712</v>
      </c>
      <c r="W9" s="418"/>
      <c r="X9" s="420" t="s">
        <v>187</v>
      </c>
      <c r="Y9" s="416" t="s">
        <v>188</v>
      </c>
      <c r="Z9" s="416"/>
      <c r="AA9" s="416"/>
      <c r="AB9" s="417" t="s">
        <v>186</v>
      </c>
      <c r="AC9" s="417"/>
      <c r="AD9" s="417"/>
      <c r="AE9" s="417"/>
      <c r="AF9" s="417"/>
      <c r="AG9" s="417"/>
      <c r="AH9" s="418" t="s">
        <v>713</v>
      </c>
      <c r="AI9" s="418"/>
      <c r="AJ9" s="420" t="s">
        <v>187</v>
      </c>
      <c r="AK9" s="416" t="s">
        <v>189</v>
      </c>
      <c r="AL9" s="416"/>
      <c r="AM9" s="416"/>
      <c r="AN9" s="420" t="s">
        <v>190</v>
      </c>
      <c r="AO9" s="417" t="s">
        <v>191</v>
      </c>
      <c r="AP9" s="417" t="s">
        <v>192</v>
      </c>
      <c r="AQ9" s="127"/>
      <c r="AR9" s="417" t="s">
        <v>193</v>
      </c>
      <c r="AS9" s="417"/>
      <c r="AT9" s="127"/>
      <c r="AU9" s="416" t="s">
        <v>194</v>
      </c>
      <c r="AV9" s="416"/>
      <c r="AW9" s="416"/>
      <c r="AX9" s="126"/>
      <c r="AY9" s="127"/>
      <c r="AZ9" s="127"/>
      <c r="BA9" s="127"/>
      <c r="BB9" s="127"/>
      <c r="BC9" s="127"/>
      <c r="BD9" s="128"/>
    </row>
    <row r="10" spans="1:58" s="11" customFormat="1" ht="25.5" customHeight="1">
      <c r="A10" s="416"/>
      <c r="B10" s="410" t="s">
        <v>195</v>
      </c>
      <c r="C10" s="411"/>
      <c r="D10" s="410" t="s">
        <v>196</v>
      </c>
      <c r="E10" s="412"/>
      <c r="F10" s="412"/>
      <c r="G10" s="411"/>
      <c r="H10" s="410" t="s">
        <v>197</v>
      </c>
      <c r="I10" s="412"/>
      <c r="J10" s="411"/>
      <c r="K10" s="410" t="s">
        <v>198</v>
      </c>
      <c r="L10" s="412"/>
      <c r="M10" s="411"/>
      <c r="N10" s="126" t="s">
        <v>199</v>
      </c>
      <c r="O10" s="416"/>
      <c r="P10" s="416" t="s">
        <v>200</v>
      </c>
      <c r="Q10" s="416"/>
      <c r="R10" s="416"/>
      <c r="S10" s="416" t="s">
        <v>201</v>
      </c>
      <c r="T10" s="416"/>
      <c r="U10" s="416"/>
      <c r="V10" s="126" t="s">
        <v>202</v>
      </c>
      <c r="W10" s="126" t="s">
        <v>203</v>
      </c>
      <c r="X10" s="420"/>
      <c r="Y10" s="416"/>
      <c r="Z10" s="416"/>
      <c r="AA10" s="416"/>
      <c r="AB10" s="416" t="s">
        <v>200</v>
      </c>
      <c r="AC10" s="416"/>
      <c r="AD10" s="416"/>
      <c r="AE10" s="416" t="s">
        <v>201</v>
      </c>
      <c r="AF10" s="416"/>
      <c r="AG10" s="416"/>
      <c r="AH10" s="126" t="s">
        <v>202</v>
      </c>
      <c r="AI10" s="126" t="s">
        <v>203</v>
      </c>
      <c r="AJ10" s="420"/>
      <c r="AK10" s="129" t="s">
        <v>55</v>
      </c>
      <c r="AL10" s="129" t="s">
        <v>204</v>
      </c>
      <c r="AM10" s="126" t="s">
        <v>205</v>
      </c>
      <c r="AN10" s="420"/>
      <c r="AO10" s="417"/>
      <c r="AP10" s="417"/>
      <c r="AQ10" s="126" t="s">
        <v>206</v>
      </c>
      <c r="AR10" s="126" t="s">
        <v>200</v>
      </c>
      <c r="AS10" s="126" t="s">
        <v>207</v>
      </c>
      <c r="AT10" s="126" t="s">
        <v>202</v>
      </c>
      <c r="AU10" s="129" t="s">
        <v>55</v>
      </c>
      <c r="AV10" s="129" t="s">
        <v>204</v>
      </c>
      <c r="AW10" s="126" t="s">
        <v>205</v>
      </c>
      <c r="AX10" s="126" t="s">
        <v>206</v>
      </c>
      <c r="AY10" s="126" t="s">
        <v>200</v>
      </c>
      <c r="AZ10" s="126" t="s">
        <v>207</v>
      </c>
      <c r="BA10" s="126" t="s">
        <v>202</v>
      </c>
      <c r="BB10" s="129" t="s">
        <v>55</v>
      </c>
      <c r="BC10" s="129" t="s">
        <v>204</v>
      </c>
      <c r="BD10" s="126" t="s">
        <v>1</v>
      </c>
      <c r="BE10" s="368" t="s">
        <v>1061</v>
      </c>
    </row>
    <row r="11" spans="1:58" s="10" customFormat="1" ht="15" thickBot="1">
      <c r="A11" s="130" t="s">
        <v>208</v>
      </c>
      <c r="B11" s="130" t="s">
        <v>790</v>
      </c>
      <c r="C11" s="131" t="s">
        <v>791</v>
      </c>
      <c r="D11" s="131" t="s">
        <v>792</v>
      </c>
      <c r="E11" s="131" t="s">
        <v>793</v>
      </c>
      <c r="F11" s="131" t="s">
        <v>209</v>
      </c>
      <c r="G11" s="131" t="s">
        <v>210</v>
      </c>
      <c r="H11" s="131" t="s">
        <v>211</v>
      </c>
      <c r="I11" s="132" t="s">
        <v>212</v>
      </c>
      <c r="J11" s="132" t="s">
        <v>213</v>
      </c>
      <c r="K11" s="131" t="s">
        <v>214</v>
      </c>
      <c r="L11" s="132" t="s">
        <v>215</v>
      </c>
      <c r="M11" s="132" t="s">
        <v>216</v>
      </c>
      <c r="N11" s="132" t="s">
        <v>217</v>
      </c>
      <c r="O11" s="131" t="s">
        <v>218</v>
      </c>
      <c r="P11" s="132" t="s">
        <v>219</v>
      </c>
      <c r="Q11" s="132" t="s">
        <v>220</v>
      </c>
      <c r="R11" s="132" t="s">
        <v>221</v>
      </c>
      <c r="S11" s="132" t="s">
        <v>222</v>
      </c>
      <c r="T11" s="132" t="s">
        <v>223</v>
      </c>
      <c r="U11" s="132" t="s">
        <v>224</v>
      </c>
      <c r="V11" s="131" t="s">
        <v>225</v>
      </c>
      <c r="W11" s="131" t="s">
        <v>226</v>
      </c>
      <c r="X11" s="133" t="s">
        <v>227</v>
      </c>
      <c r="Y11" s="133" t="s">
        <v>228</v>
      </c>
      <c r="Z11" s="133" t="s">
        <v>229</v>
      </c>
      <c r="AA11" s="133" t="s">
        <v>1</v>
      </c>
      <c r="AB11" s="132" t="s">
        <v>230</v>
      </c>
      <c r="AC11" s="132" t="s">
        <v>231</v>
      </c>
      <c r="AD11" s="132" t="s">
        <v>232</v>
      </c>
      <c r="AE11" s="132" t="s">
        <v>233</v>
      </c>
      <c r="AF11" s="132" t="s">
        <v>234</v>
      </c>
      <c r="AG11" s="132" t="s">
        <v>235</v>
      </c>
      <c r="AH11" s="131" t="s">
        <v>236</v>
      </c>
      <c r="AI11" s="131" t="s">
        <v>237</v>
      </c>
      <c r="AJ11" s="131" t="s">
        <v>238</v>
      </c>
      <c r="AK11" s="133" t="s">
        <v>239</v>
      </c>
      <c r="AL11" s="133" t="s">
        <v>240</v>
      </c>
      <c r="AM11" s="133" t="s">
        <v>241</v>
      </c>
      <c r="AN11" s="131" t="s">
        <v>242</v>
      </c>
      <c r="AO11" s="134" t="s">
        <v>243</v>
      </c>
      <c r="AP11" s="134" t="s">
        <v>244</v>
      </c>
      <c r="AQ11" s="131" t="s">
        <v>245</v>
      </c>
      <c r="AR11" s="132" t="s">
        <v>246</v>
      </c>
      <c r="AS11" s="132" t="s">
        <v>247</v>
      </c>
      <c r="AT11" s="131" t="s">
        <v>248</v>
      </c>
      <c r="AU11" s="133" t="s">
        <v>249</v>
      </c>
      <c r="AV11" s="133" t="s">
        <v>250</v>
      </c>
      <c r="AW11" s="133" t="s">
        <v>251</v>
      </c>
      <c r="AX11" s="133" t="s">
        <v>52</v>
      </c>
      <c r="AY11" s="132" t="s">
        <v>252</v>
      </c>
      <c r="AZ11" s="132" t="s">
        <v>253</v>
      </c>
      <c r="BA11" s="131" t="s">
        <v>254</v>
      </c>
      <c r="BB11" s="133" t="s">
        <v>678</v>
      </c>
      <c r="BC11" s="133" t="s">
        <v>679</v>
      </c>
      <c r="BD11" s="132" t="s">
        <v>255</v>
      </c>
      <c r="BE11" s="370" t="s">
        <v>1063</v>
      </c>
      <c r="BF11" s="371" t="s">
        <v>1064</v>
      </c>
    </row>
    <row r="12" spans="1:58" s="11" customFormat="1" ht="13.8" hidden="1">
      <c r="A12" s="135"/>
      <c r="B12" s="135">
        <f ca="1">MROUND(MAX((AHU_Schedules[[#This Row],[MAX CFM]]*INPUT_OUTPUTS!$C$20),AHU_Schedules[[#This Row],[(CFM)3]]),5)</f>
        <v>8735</v>
      </c>
      <c r="C12" s="136">
        <f ca="1">SUM(AH2_T24_table[DESIGN SA(CFM)])*INPUT_OUTPUTS!$C$18</f>
        <v>12660</v>
      </c>
      <c r="D12" s="136">
        <f ca="1">AHU_Schedules[[#This Row],[MIN CFM]]-(AHU_Schedules[[#This Row],[MAX CFM]]-AHU_Schedules[[#This Row],[MAX RET CFM]])</f>
        <v>8855</v>
      </c>
      <c r="E12" s="136">
        <f ca="1">SUM(AH2_T24_table[DESIGN RA(CFM)])*INPUT_OUTPUTS!$C$18</f>
        <v>12780</v>
      </c>
      <c r="F12" s="137">
        <v>78</v>
      </c>
      <c r="G12" s="137">
        <v>60</v>
      </c>
      <c r="H12" s="136">
        <f>('AH2'!$T$1+SUM(AH2_T24_table[Vz (CFM)])*INPUT_OUTPUTS!$C$18)</f>
        <v>8736</v>
      </c>
      <c r="I12" s="128">
        <f>INPUT_OUTPUTS!$C$8</f>
        <v>90</v>
      </c>
      <c r="J12" s="128">
        <f>INPUT_OUTPUTS!$C$9</f>
        <v>65</v>
      </c>
      <c r="K12" s="136">
        <f>AHU_Schedules[[#This Row],[(CFM)3]]</f>
        <v>8736</v>
      </c>
      <c r="L12" s="128">
        <f>INPUT_OUTPUTS!$C$10</f>
        <v>80</v>
      </c>
      <c r="M12" s="128">
        <f>INPUT_OUTPUTS!$C$11</f>
        <v>75</v>
      </c>
      <c r="N12" s="128">
        <f>INPUT_OUTPUTS!$F$8</f>
        <v>26</v>
      </c>
      <c r="O12" s="136">
        <f ca="1">E12+H12-C12</f>
        <v>8856</v>
      </c>
      <c r="P12" s="128" cm="1">
        <f t="array" aca="1" ref="P12" ca="1">MixedAirTemp(AHU_Schedules[[#This Row],[(CFM)3]],AHU_Schedules[[#This Row],[(˚F db)4]],(AHU_Schedules[[#This Row],[MAX RET CFM]]-AHU_Schedules[[#This Row],[(CFM)10]]),AHU_Schedules[[#This Row],[(˚F db)]])</f>
        <v>86.280568720379151</v>
      </c>
      <c r="Q12" s="128" cm="1">
        <f t="array" aca="1" ref="Q12" ca="1">MixedAirTemp(AHU_Schedules[[#This Row],[(CFM)3]],AHU_Schedules[[#This Row],[(˚F wb)5]],(AHU_Schedules[[#This Row],[MAX RET CFM]]-AHU_Schedules[[#This Row],[(CFM)10]]),AHU_Schedules[[#This Row],[(˚F wb)]])</f>
        <v>63.450236966824647</v>
      </c>
      <c r="R12" s="128" cm="1">
        <f t="array" aca="1" ref="R12" ca="1">GetMoistAirEnthalpy(AHU_Schedules[[#This Row],[(˚F db)11]],(GetHumRatioFromTWetBulb(AHU_Schedules[[#This Row],[(˚F db)11]],AHU_Schedules[[#This Row],[(˚F wb)12]],GetStandardAtmPressure(INPUT_OUTPUTS!$G$6))))</f>
        <v>28.680498196668459</v>
      </c>
      <c r="S12" s="138">
        <v>55</v>
      </c>
      <c r="T12" s="138">
        <v>50</v>
      </c>
      <c r="U12" s="128" cm="1">
        <f t="array" ref="U12">GetMoistAirEnthalpy(AHU_Schedules[[#This Row],[(˚F db)13]],(GetHumRatioFromTWetBulb(AHU_Schedules[[#This Row],[(˚F db)13]],AHU_Schedules[[#This Row],[(˚F wb)14]],GetStandardAtmPressure(INPUT_OUTPUTS!$G$6))))</f>
        <v>20.244320334314459</v>
      </c>
      <c r="V12" s="136">
        <f ca="1">C12*1.085*(P12-S12)</f>
        <v>429673.02000000008</v>
      </c>
      <c r="W12" s="136">
        <f ca="1">4.5*C12*(R12-U12)</f>
        <v>480609.05281830742</v>
      </c>
      <c r="X12" s="129">
        <f ca="1">IF(W12&lt;V12,"INVALID POINT",W12/12000)</f>
        <v>40.050754401525616</v>
      </c>
      <c r="Y12" s="129">
        <f>INPUT_OUTPUTS!$C$14</f>
        <v>42</v>
      </c>
      <c r="Z12" s="129">
        <f>INPUT_OUTPUTS!$C$15</f>
        <v>56</v>
      </c>
      <c r="AA12" s="139">
        <f t="shared" ref="AA12" ca="1" si="0">W12/(500*(Z12-Y12))</f>
        <v>68.658436116901058</v>
      </c>
      <c r="AB12" s="128">
        <f ca="1">F12*((E12-O12)/C12) + L12*(H12/C12)</f>
        <v>79.380094786729856</v>
      </c>
      <c r="AC12" s="128">
        <f ca="1">TRUNC(G12*((E12-O12)/C12) + M12*(H12/C12),1)</f>
        <v>70.3</v>
      </c>
      <c r="AD12" s="128" cm="1">
        <f t="array" aca="1" ref="AD12" ca="1">GetMoistAirEnthalpy(AHU_Schedules[[#This Row],[(˚F db)19]],(GetHumRatioFromTWetBulb(AHU_Schedules[[#This Row],[(˚F db)19]],AHU_Schedules[[#This Row],[(˚F wb)20]],GetStandardAtmPressure(INPUT_OUTPUTS!$G$6))))</f>
        <v>34.189788023997352</v>
      </c>
      <c r="AE12" s="128">
        <f>AHU_Schedules[[#This Row],[(˚F db)13]]</f>
        <v>55</v>
      </c>
      <c r="AF12" s="128">
        <f>AHU_Schedules[[#This Row],[(˚F wb)14]]</f>
        <v>50</v>
      </c>
      <c r="AG12" s="128" cm="1">
        <f t="array" ref="AG12">GetMoistAirEnthalpy(AHU_Schedules[[#This Row],[(˚F db)22]],(GetHumRatioFromTWetBulb(AHU_Schedules[[#This Row],[(˚F db)22]],AHU_Schedules[[#This Row],[(˚F wb)23]],GetStandardAtmPressure(INPUT_OUTPUTS!$G$6))))</f>
        <v>20.244320334314459</v>
      </c>
      <c r="AH12" s="136">
        <f ca="1">C12*1.085*(AB12-AE12)</f>
        <v>334887.42</v>
      </c>
      <c r="AI12" s="136">
        <f ca="1">4.5*C12*(AD12-AG12)</f>
        <v>794473.29428123438</v>
      </c>
      <c r="AJ12" s="128">
        <f ca="1">IF(AI12&lt;AH12,"INVALID POINT",AI12/12000)</f>
        <v>66.206107856769535</v>
      </c>
      <c r="AK12" s="129">
        <f>INPUT_OUTPUTS!$C$14</f>
        <v>42</v>
      </c>
      <c r="AL12" s="129">
        <f>INPUT_OUTPUTS!$C$15</f>
        <v>56</v>
      </c>
      <c r="AM12" s="139">
        <f t="shared" ref="AM12" ca="1" si="1">AI12/(500*(AL12-AK12))</f>
        <v>113.4961848973192</v>
      </c>
      <c r="AN12" s="128">
        <f ca="1">MAX(AJ12,X12)</f>
        <v>66.206107856769535</v>
      </c>
      <c r="AO12" s="140">
        <f ca="1">C12/AJ12</f>
        <v>191.22102793580129</v>
      </c>
      <c r="AP12" s="140">
        <f ca="1">MAX(AHU_Schedules[[#This Row],[GPM33]],AHU_Schedules[[#This Row],[GPM]])</f>
        <v>113.4961848973192</v>
      </c>
      <c r="AQ12" s="136">
        <f ca="1">IF(AHU_Schedules[[#This Row],[(˚F db)9]]&lt;35,C12,"NOT NEEDED")</f>
        <v>12660</v>
      </c>
      <c r="AR12" s="128">
        <f>IF(AHU_Schedules[[#This Row],[(˚F db)9]]&lt;35,AHU_Schedules[[#This Row],[(˚F db)9]],"NOT NEEDED")</f>
        <v>26</v>
      </c>
      <c r="AS12" s="128">
        <f>IF(AHU_Schedules[[#This Row],[(˚F db)9]]&lt;35,38,"NOT NEEDED")</f>
        <v>38</v>
      </c>
      <c r="AT12" s="136">
        <f ca="1">IF(AHU_Schedules[[#This Row],[(˚F db)9]]&lt;35,AQ12*1.085*(AS12-AR12)/1000,"NOT NEEDED")</f>
        <v>164.83320000000001</v>
      </c>
      <c r="AU12" s="129">
        <f>IF(AHU_Schedules[[#This Row],[(˚F db)9]]&lt;35,INPUT_OUTPUTS!$C$16,"NOT NEEDED")</f>
        <v>140</v>
      </c>
      <c r="AV12" s="129">
        <f>IF(AHU_Schedules[[#This Row],[(˚F db)9]]&lt;35,INPUT_OUTPUTS!$C$17,"NOT NEEDED")</f>
        <v>110</v>
      </c>
      <c r="AW12" s="139">
        <f ca="1">IF(AHU_Schedules[[#This Row],[(˚F db)9]]&lt;35,(AT12*1000)/(500*(AU12-AV12)),"NOT NEEDED")</f>
        <v>10.98888</v>
      </c>
      <c r="AX12" s="141"/>
      <c r="AY12" s="128" t="e">
        <f>(AHU_Schedules[[#This Row],[(˚F db)9]]*AHU_Schedules[[#This Row],[(CFM)3]] + AHU_Schedules[[#This Row],[(˚F db)]]*(AHU_Schedules[[#This Row],[CFM]]-AHU_Schedules[[#This Row],[(CFM)3]]))/AHU_Schedules[[#This Row],[CFM]]</f>
        <v>#DIV/0!</v>
      </c>
      <c r="AZ12" s="128" t="e">
        <f>IF(AHU_Schedules[[#This Row],[(˚F db)43]]&lt;AHU_Schedules[[#This Row],[(˚F db)13]],AHU_Schedules[[#This Row],[(˚F db)13]],"NOT NEEDED")</f>
        <v>#DIV/0!</v>
      </c>
      <c r="BA12" s="142" t="e">
        <f>IF(AHU_Schedules[[#This Row],[(˚F db)43]]&lt;AHU_Schedules[[#This Row],[(˚F db)13]],(AHU_Schedules[[#This Row],[CFM]]*1.08*(AHU_Schedules[[#This Row],[(˚F db)45]]-AHU_Schedules[[#This Row],[(˚F db)43]]))/1000,"NOT NEEDED")</f>
        <v>#DIV/0!</v>
      </c>
      <c r="BB12" s="142" t="e">
        <f>IF(AHU_Schedules[[#This Row],[(˚F db)43]]&lt;AHU_Schedules[[#This Row],[(˚F db)13]],INPUT_OUTPUTS!$C$16,"NOT NEEDED")</f>
        <v>#DIV/0!</v>
      </c>
      <c r="BC12" s="142" t="e">
        <f>IF(AHU_Schedules[[#This Row],[(˚F db)43]]&lt;AHU_Schedules[[#This Row],[(˚F db)13]],INPUT_OUTPUTS!$C$17,"NOT NEEDED")</f>
        <v>#DIV/0!</v>
      </c>
      <c r="BD12" s="128" t="e">
        <f>IF(AHU_Schedules[[#This Row],[(˚F db)43]]&lt;AHU_Schedules[[#This Row],[(˚F db)13]],(AHU_Schedules[[#This Row],[(mbh)46]]*1000)/(500*(AHU_Schedules[[#This Row],[(˚F db)392]]-AHU_Schedules[[#This Row],[(˚F db)403]])),"NOT NEEDED")</f>
        <v>#DIV/0!</v>
      </c>
      <c r="BE12" s="369"/>
      <c r="BF12" s="369"/>
    </row>
    <row r="13" spans="1:58" ht="13.8">
      <c r="A13" s="374" t="s">
        <v>1080</v>
      </c>
      <c r="B13" s="135">
        <f ca="1">MROUND(MAX((AHU_Schedules[[#This Row],[MAX CFM]]*INPUT_OUTPUTS!$C$20),AHU_Schedules[[#This Row],[(CFM)3]]),5)</f>
        <v>8735</v>
      </c>
      <c r="C13" s="136">
        <f ca="1">SUM(AH2_T24_table[DESIGN SA(CFM)])*INPUT_OUTPUTS!$C$18</f>
        <v>12660</v>
      </c>
      <c r="D13" s="136">
        <f ca="1">AHU_Schedules[[#This Row],[MIN CFM]]-(AHU_Schedules[[#This Row],[MAX CFM]]-AHU_Schedules[[#This Row],[MAX RET CFM]])</f>
        <v>8855</v>
      </c>
      <c r="E13" s="136">
        <f ca="1">SUM(AH2_T24_table[DESIGN RA(CFM)])*INPUT_OUTPUTS!$C$18</f>
        <v>12780</v>
      </c>
      <c r="F13" s="375">
        <v>78</v>
      </c>
      <c r="G13" s="375">
        <v>60</v>
      </c>
      <c r="H13" s="136">
        <f>('AH2'!$T$1+SUM(AH2_T24_table[Vz (CFM)])*INPUT_OUTPUTS!$C$18)</f>
        <v>8736</v>
      </c>
      <c r="I13" s="128">
        <f>INPUT_OUTPUTS!$C$8</f>
        <v>90</v>
      </c>
      <c r="J13" s="128">
        <f>INPUT_OUTPUTS!$C$9</f>
        <v>65</v>
      </c>
      <c r="K13" s="136">
        <f>AHU_Schedules[[#This Row],[(CFM)3]]</f>
        <v>8736</v>
      </c>
      <c r="L13" s="128">
        <f>INPUT_OUTPUTS!$C$10</f>
        <v>80</v>
      </c>
      <c r="M13" s="128">
        <f>INPUT_OUTPUTS!$C$11</f>
        <v>75</v>
      </c>
      <c r="N13" s="128">
        <f>INPUT_OUTPUTS!$F$8</f>
        <v>26</v>
      </c>
      <c r="O13" s="136">
        <f ca="1">E13+H13-C13</f>
        <v>8856</v>
      </c>
      <c r="P13" s="128" cm="1">
        <f t="array" aca="1" ref="P13" ca="1">MixedAirTemp(AHU_Schedules[[#This Row],[(CFM)3]],AHU_Schedules[[#This Row],[(˚F db)4]],(AHU_Schedules[[#This Row],[MAX RET CFM]]-AHU_Schedules[[#This Row],[(CFM)10]]),AHU_Schedules[[#This Row],[(˚F db)]])</f>
        <v>86.280568720379151</v>
      </c>
      <c r="Q13" s="128" cm="1">
        <f t="array" aca="1" ref="Q13" ca="1">MixedAirTemp(AHU_Schedules[[#This Row],[(CFM)3]],AHU_Schedules[[#This Row],[(˚F wb)5]],(AHU_Schedules[[#This Row],[MAX RET CFM]]-AHU_Schedules[[#This Row],[(CFM)10]]),AHU_Schedules[[#This Row],[(˚F wb)]])</f>
        <v>63.450236966824647</v>
      </c>
      <c r="R13" s="128" cm="1">
        <f t="array" aca="1" ref="R13" ca="1">GetMoistAirEnthalpy(AHU_Schedules[[#This Row],[(˚F db)11]],(GetHumRatioFromTWetBulb(AHU_Schedules[[#This Row],[(˚F db)11]],AHU_Schedules[[#This Row],[(˚F wb)12]],GetStandardAtmPressure(INPUT_OUTPUTS!$G$6))))</f>
        <v>28.680498196668459</v>
      </c>
      <c r="S13" s="376">
        <v>55</v>
      </c>
      <c r="T13" s="376">
        <v>50</v>
      </c>
      <c r="U13" s="128" cm="1">
        <f t="array" ref="U13">GetMoistAirEnthalpy(AHU_Schedules[[#This Row],[(˚F db)13]],(GetHumRatioFromTWetBulb(AHU_Schedules[[#This Row],[(˚F db)13]],AHU_Schedules[[#This Row],[(˚F wb)14]],GetStandardAtmPressure(INPUT_OUTPUTS!$G$6))))</f>
        <v>20.244320334314459</v>
      </c>
      <c r="V13" s="136">
        <f ca="1">C13*1.085*(P13-S13)</f>
        <v>429673.02000000008</v>
      </c>
      <c r="W13" s="136">
        <f ca="1">4.5*C13*(R13-U13)</f>
        <v>480609.05281830742</v>
      </c>
      <c r="X13" s="129">
        <f ca="1">IF(W13&lt;V13,"INVALID POINT",W13/12000)</f>
        <v>40.050754401525616</v>
      </c>
      <c r="Y13" s="129">
        <f>INPUT_OUTPUTS!$C$14</f>
        <v>42</v>
      </c>
      <c r="Z13" s="129">
        <f>INPUT_OUTPUTS!$C$15</f>
        <v>56</v>
      </c>
      <c r="AA13" s="139">
        <f ca="1">W13/(500*(Z13-Y13))</f>
        <v>68.658436116901058</v>
      </c>
      <c r="AB13" s="128">
        <f ca="1">F13*((E13-O13)/C13) + L13*(H13/C13)</f>
        <v>79.380094786729856</v>
      </c>
      <c r="AC13" s="128">
        <f ca="1">TRUNC(G13*((E13-O13)/C13) + M13*(H13/C13),1)</f>
        <v>70.3</v>
      </c>
      <c r="AD13" s="128" cm="1">
        <f t="array" aca="1" ref="AD13" ca="1">GetMoistAirEnthalpy(AHU_Schedules[[#This Row],[(˚F db)19]],(GetHumRatioFromTWetBulb(AHU_Schedules[[#This Row],[(˚F db)19]],AHU_Schedules[[#This Row],[(˚F wb)20]],GetStandardAtmPressure(INPUT_OUTPUTS!$G$6))))</f>
        <v>34.189788023997352</v>
      </c>
      <c r="AE13" s="128">
        <f>AHU_Schedules[[#This Row],[(˚F db)13]]</f>
        <v>55</v>
      </c>
      <c r="AF13" s="128">
        <f>AHU_Schedules[[#This Row],[(˚F wb)14]]</f>
        <v>50</v>
      </c>
      <c r="AG13" s="128" cm="1">
        <f t="array" ref="AG13">GetMoistAirEnthalpy(AHU_Schedules[[#This Row],[(˚F db)22]],(GetHumRatioFromTWetBulb(AHU_Schedules[[#This Row],[(˚F db)22]],AHU_Schedules[[#This Row],[(˚F wb)23]],GetStandardAtmPressure(INPUT_OUTPUTS!$G$6))))</f>
        <v>20.244320334314459</v>
      </c>
      <c r="AH13" s="136">
        <f ca="1">C13*1.085*(AB13-AE13)</f>
        <v>334887.42</v>
      </c>
      <c r="AI13" s="136">
        <f ca="1">4.5*C13*(AD13-AG13)</f>
        <v>794473.29428123438</v>
      </c>
      <c r="AJ13" s="128">
        <f ca="1">IF(AI13&lt;AH13,"INVALID POINT",AI13/12000)</f>
        <v>66.206107856769535</v>
      </c>
      <c r="AK13" s="129">
        <f>INPUT_OUTPUTS!$C$14</f>
        <v>42</v>
      </c>
      <c r="AL13" s="129">
        <f>INPUT_OUTPUTS!$C$15</f>
        <v>56</v>
      </c>
      <c r="AM13" s="139">
        <f ca="1">AI13/(500*(AL13-AK13))</f>
        <v>113.4961848973192</v>
      </c>
      <c r="AN13" s="128">
        <f ca="1">MAX(AJ13,X13)</f>
        <v>66.206107856769535</v>
      </c>
      <c r="AO13" s="140">
        <f ca="1">C13/AJ13</f>
        <v>191.22102793580129</v>
      </c>
      <c r="AP13" s="140">
        <f ca="1">MAX(AHU_Schedules[[#This Row],[GPM33]],AHU_Schedules[[#This Row],[GPM]])</f>
        <v>113.4961848973192</v>
      </c>
      <c r="AQ13" s="136">
        <f ca="1">IF(AHU_Schedules[[#This Row],[(˚F db)9]]&lt;35,C13,"NOT NEEDED")</f>
        <v>12660</v>
      </c>
      <c r="AR13" s="128">
        <f>IF(AHU_Schedules[[#This Row],[(˚F db)9]]&lt;35,AHU_Schedules[[#This Row],[(˚F db)9]],"NOT NEEDED")</f>
        <v>26</v>
      </c>
      <c r="AS13" s="377">
        <f>IF(AHU_Schedules[[#This Row],[(˚F db)9]]&lt;35,38,"NOT NEEDED")</f>
        <v>38</v>
      </c>
      <c r="AT13" s="136">
        <f ca="1">IF(AHU_Schedules[[#This Row],[(˚F db)9]]&lt;35,AQ13*1.085*(AS13-AR13)/1000,"NOT NEEDED")</f>
        <v>164.83320000000001</v>
      </c>
      <c r="AU13" s="129">
        <f>IF(AHU_Schedules[[#This Row],[(˚F db)9]]&lt;35,INPUT_OUTPUTS!$C$16,"NOT NEEDED")</f>
        <v>140</v>
      </c>
      <c r="AV13" s="129">
        <f>IF(AHU_Schedules[[#This Row],[(˚F db)9]]&lt;35,INPUT_OUTPUTS!$C$17,"NOT NEEDED")</f>
        <v>110</v>
      </c>
      <c r="AW13" s="139">
        <f ca="1">IF(AHU_Schedules[[#This Row],[(˚F db)9]]&lt;35,(AT13*1000)/(500*(AU13-AV13)),"NOT NEEDED")</f>
        <v>10.98888</v>
      </c>
      <c r="AX13" s="141" t="s">
        <v>407</v>
      </c>
      <c r="AY13" s="377" t="s">
        <v>407</v>
      </c>
      <c r="AZ13" s="141" t="s">
        <v>407</v>
      </c>
      <c r="BA13" s="142" t="s">
        <v>407</v>
      </c>
      <c r="BB13" s="142" t="s">
        <v>407</v>
      </c>
      <c r="BC13" s="142" t="s">
        <v>407</v>
      </c>
      <c r="BD13" s="128" t="s">
        <v>407</v>
      </c>
      <c r="BE13" s="142"/>
      <c r="BF13" s="142"/>
    </row>
    <row r="14" spans="1:58" ht="13.8">
      <c r="A14" s="374" t="s">
        <v>1082</v>
      </c>
      <c r="B14" s="135">
        <f ca="1">MROUND(MAX((AHU_Schedules[[#This Row],[MAX CFM]]*INPUT_OUTPUTS!$C$20),AHU_Schedules[[#This Row],[(CFM)3]]),5)</f>
        <v>8735</v>
      </c>
      <c r="C14" s="136">
        <f ca="1">SUM(AH2_T24_table[DESIGN SA(CFM)])*INPUT_OUTPUTS!$C$18</f>
        <v>12660</v>
      </c>
      <c r="D14" s="136">
        <f ca="1">AHU_Schedules[[#This Row],[MIN CFM]]-(AHU_Schedules[[#This Row],[MAX CFM]]-AHU_Schedules[[#This Row],[MAX RET CFM]])</f>
        <v>8855</v>
      </c>
      <c r="E14" s="136">
        <f ca="1">SUM(AH2_T24_table[DESIGN RA(CFM)])*INPUT_OUTPUTS!$C$18</f>
        <v>12780</v>
      </c>
      <c r="F14" s="375">
        <v>78</v>
      </c>
      <c r="G14" s="375">
        <v>60</v>
      </c>
      <c r="H14" s="136">
        <f>('AH2'!$T$1+SUM(AH2_T24_table[Vz (CFM)])*INPUT_OUTPUTS!$C$18)</f>
        <v>8736</v>
      </c>
      <c r="I14" s="128">
        <f>INPUT_OUTPUTS!$C$8</f>
        <v>90</v>
      </c>
      <c r="J14" s="128">
        <f>INPUT_OUTPUTS!$C$9</f>
        <v>65</v>
      </c>
      <c r="K14" s="136">
        <f>AHU_Schedules[[#This Row],[(CFM)3]]</f>
        <v>8736</v>
      </c>
      <c r="L14" s="128">
        <f>INPUT_OUTPUTS!$C$10</f>
        <v>80</v>
      </c>
      <c r="M14" s="128">
        <f>INPUT_OUTPUTS!$C$11</f>
        <v>75</v>
      </c>
      <c r="N14" s="128">
        <f>INPUT_OUTPUTS!$F$8</f>
        <v>26</v>
      </c>
      <c r="O14" s="136">
        <f ca="1">E14+H14-C14</f>
        <v>8856</v>
      </c>
      <c r="P14" s="128" cm="1">
        <f t="array" aca="1" ref="P14" ca="1">MixedAirTemp(AHU_Schedules[[#This Row],[(CFM)3]],AHU_Schedules[[#This Row],[(˚F db)4]],(AHU_Schedules[[#This Row],[MAX RET CFM]]-AHU_Schedules[[#This Row],[(CFM)10]]),AHU_Schedules[[#This Row],[(˚F db)]])</f>
        <v>86.280568720379151</v>
      </c>
      <c r="Q14" s="128" cm="1">
        <f t="array" aca="1" ref="Q14" ca="1">MixedAirTemp(AHU_Schedules[[#This Row],[(CFM)3]],AHU_Schedules[[#This Row],[(˚F wb)5]],(AHU_Schedules[[#This Row],[MAX RET CFM]]-AHU_Schedules[[#This Row],[(CFM)10]]),AHU_Schedules[[#This Row],[(˚F wb)]])</f>
        <v>63.450236966824647</v>
      </c>
      <c r="R14" s="128" cm="1">
        <f t="array" aca="1" ref="R14" ca="1">GetMoistAirEnthalpy(AHU_Schedules[[#This Row],[(˚F db)11]],(GetHumRatioFromTWetBulb(AHU_Schedules[[#This Row],[(˚F db)11]],AHU_Schedules[[#This Row],[(˚F wb)12]],GetStandardAtmPressure(INPUT_OUTPUTS!$G$6))))</f>
        <v>28.680498196668459</v>
      </c>
      <c r="S14" s="376">
        <v>55</v>
      </c>
      <c r="T14" s="376">
        <v>50</v>
      </c>
      <c r="U14" s="128" cm="1">
        <f t="array" ref="U14">GetMoistAirEnthalpy(AHU_Schedules[[#This Row],[(˚F db)13]],(GetHumRatioFromTWetBulb(AHU_Schedules[[#This Row],[(˚F db)13]],AHU_Schedules[[#This Row],[(˚F wb)14]],GetStandardAtmPressure(INPUT_OUTPUTS!$G$6))))</f>
        <v>20.244320334314459</v>
      </c>
      <c r="V14" s="136">
        <f ca="1">C14*1.085*(P14-S14)</f>
        <v>429673.02000000008</v>
      </c>
      <c r="W14" s="136">
        <f ca="1">4.5*C14*(R14-U14)</f>
        <v>480609.05281830742</v>
      </c>
      <c r="X14" s="129">
        <f ca="1">IF(W14&lt;V14,"INVALID POINT",W14/12000)</f>
        <v>40.050754401525616</v>
      </c>
      <c r="Y14" s="129">
        <f>INPUT_OUTPUTS!$C$14</f>
        <v>42</v>
      </c>
      <c r="Z14" s="129">
        <f>INPUT_OUTPUTS!$C$15</f>
        <v>56</v>
      </c>
      <c r="AA14" s="139">
        <f ca="1">W14/(500*(Z14-Y14))</f>
        <v>68.658436116901058</v>
      </c>
      <c r="AB14" s="128">
        <f ca="1">F14*((E14-O14)/C14) + L14*(H14/C14)</f>
        <v>79.380094786729856</v>
      </c>
      <c r="AC14" s="128">
        <f ca="1">TRUNC(G14*((E14-O14)/C14) + M14*(H14/C14),1)</f>
        <v>70.3</v>
      </c>
      <c r="AD14" s="128" cm="1">
        <f t="array" aca="1" ref="AD14" ca="1">GetMoistAirEnthalpy(AHU_Schedules[[#This Row],[(˚F db)19]],(GetHumRatioFromTWetBulb(AHU_Schedules[[#This Row],[(˚F db)19]],AHU_Schedules[[#This Row],[(˚F wb)20]],GetStandardAtmPressure(INPUT_OUTPUTS!$G$6))))</f>
        <v>34.189788023997352</v>
      </c>
      <c r="AE14" s="128">
        <f>AHU_Schedules[[#This Row],[(˚F db)13]]</f>
        <v>55</v>
      </c>
      <c r="AF14" s="128">
        <f>AHU_Schedules[[#This Row],[(˚F wb)14]]</f>
        <v>50</v>
      </c>
      <c r="AG14" s="128" cm="1">
        <f t="array" ref="AG14">GetMoistAirEnthalpy(AHU_Schedules[[#This Row],[(˚F db)22]],(GetHumRatioFromTWetBulb(AHU_Schedules[[#This Row],[(˚F db)22]],AHU_Schedules[[#This Row],[(˚F wb)23]],GetStandardAtmPressure(INPUT_OUTPUTS!$G$6))))</f>
        <v>20.244320334314459</v>
      </c>
      <c r="AH14" s="136">
        <f ca="1">C14*1.085*(AB14-AE14)</f>
        <v>334887.42</v>
      </c>
      <c r="AI14" s="136">
        <f ca="1">4.5*C14*(AD14-AG14)</f>
        <v>794473.29428123438</v>
      </c>
      <c r="AJ14" s="128">
        <f ca="1">IF(AI14&lt;AH14,"INVALID POINT",AI14/12000)</f>
        <v>66.206107856769535</v>
      </c>
      <c r="AK14" s="129">
        <f>INPUT_OUTPUTS!$C$14</f>
        <v>42</v>
      </c>
      <c r="AL14" s="129">
        <f>INPUT_OUTPUTS!$C$15</f>
        <v>56</v>
      </c>
      <c r="AM14" s="139">
        <f ca="1">AI14/(500*(AL14-AK14))</f>
        <v>113.4961848973192</v>
      </c>
      <c r="AN14" s="128">
        <f ca="1">MAX(AJ14,X14)</f>
        <v>66.206107856769535</v>
      </c>
      <c r="AO14" s="140">
        <f ca="1">C14/AJ14</f>
        <v>191.22102793580129</v>
      </c>
      <c r="AP14" s="140">
        <f ca="1">MAX(AHU_Schedules[[#This Row],[GPM33]],AHU_Schedules[[#This Row],[GPM]])</f>
        <v>113.4961848973192</v>
      </c>
      <c r="AQ14" s="136">
        <f ca="1">IF(AHU_Schedules[[#This Row],[(˚F db)9]]&lt;35,C14,"NOT NEEDED")</f>
        <v>12660</v>
      </c>
      <c r="AR14" s="128">
        <f>IF(AHU_Schedules[[#This Row],[(˚F db)9]]&lt;35,AHU_Schedules[[#This Row],[(˚F db)9]],"NOT NEEDED")</f>
        <v>26</v>
      </c>
      <c r="AS14" s="377">
        <f>IF(AHU_Schedules[[#This Row],[(˚F db)9]]&lt;35,38,"NOT NEEDED")</f>
        <v>38</v>
      </c>
      <c r="AT14" s="136">
        <f ca="1">IF(AHU_Schedules[[#This Row],[(˚F db)9]]&lt;35,AQ14*1.085*(AS14-AR14)/1000,"NOT NEEDED")</f>
        <v>164.83320000000001</v>
      </c>
      <c r="AU14" s="129">
        <f>IF(AHU_Schedules[[#This Row],[(˚F db)9]]&lt;35,INPUT_OUTPUTS!$C$16,"NOT NEEDED")</f>
        <v>140</v>
      </c>
      <c r="AV14" s="129">
        <f>IF(AHU_Schedules[[#This Row],[(˚F db)9]]&lt;35,INPUT_OUTPUTS!$C$17,"NOT NEEDED")</f>
        <v>110</v>
      </c>
      <c r="AW14" s="139">
        <f ca="1">IF(AHU_Schedules[[#This Row],[(˚F db)9]]&lt;35,(AT14*1000)/(500*(AU14-AV14)),"NOT NEEDED")</f>
        <v>10.98888</v>
      </c>
      <c r="AX14" s="141" t="s">
        <v>407</v>
      </c>
      <c r="AY14" s="377" t="s">
        <v>407</v>
      </c>
      <c r="AZ14" s="141" t="s">
        <v>407</v>
      </c>
      <c r="BA14" s="142" t="s">
        <v>407</v>
      </c>
      <c r="BB14" s="142" t="s">
        <v>407</v>
      </c>
      <c r="BC14" s="142" t="s">
        <v>407</v>
      </c>
      <c r="BD14" s="128" t="s">
        <v>407</v>
      </c>
      <c r="BE14" s="142"/>
      <c r="BF14" s="142"/>
    </row>
    <row r="15" spans="1:58" ht="15.6" thickBot="1">
      <c r="A15" s="18" t="s">
        <v>77</v>
      </c>
      <c r="B15" s="18"/>
      <c r="C15" s="19">
        <f ca="1">SUBTOTAL(109,AHU_Schedules[MAX CFM])</f>
        <v>25320</v>
      </c>
      <c r="D15" s="19"/>
      <c r="E15" s="18"/>
      <c r="F15" s="20"/>
      <c r="G15" s="20"/>
      <c r="H15" s="18"/>
      <c r="I15" s="18"/>
      <c r="J15" s="18"/>
      <c r="K15" s="18"/>
      <c r="L15" s="18"/>
      <c r="M15" s="18"/>
      <c r="N15" s="18"/>
      <c r="O15" s="18"/>
      <c r="P15" s="18"/>
      <c r="Q15" s="18"/>
      <c r="R15" s="18"/>
      <c r="S15" s="18"/>
      <c r="T15" s="18"/>
      <c r="U15" s="18"/>
      <c r="V15" s="18"/>
      <c r="W15" s="18"/>
      <c r="X15" s="18"/>
      <c r="Y15" s="18"/>
      <c r="Z15" s="18"/>
      <c r="AA15" s="21">
        <f ca="1">SUBTOTAL(109,AHU_Schedules[GPM])</f>
        <v>137.31687223380212</v>
      </c>
      <c r="AB15" s="18"/>
      <c r="AC15" s="18"/>
      <c r="AD15" s="18"/>
      <c r="AE15" s="20"/>
      <c r="AF15" s="20"/>
      <c r="AG15" s="18"/>
      <c r="AH15" s="18"/>
      <c r="AI15" s="18"/>
      <c r="AJ15" s="18"/>
      <c r="AK15" s="18"/>
      <c r="AL15" s="18"/>
      <c r="AM15" s="29">
        <f ca="1">SUBTOTAL(109,AHU_Schedules[GPM33])</f>
        <v>226.99236979463839</v>
      </c>
      <c r="AN15" s="21">
        <f ca="1">SUBTOTAL(109,AHU_Schedules[(Tons)34])</f>
        <v>132.41221571353907</v>
      </c>
      <c r="AO15" s="18"/>
      <c r="AP15" s="22">
        <f ca="1">SUBTOTAL(109,AHU_Schedules[GPM MAX])</f>
        <v>226.99236979463839</v>
      </c>
      <c r="AQ15" s="18"/>
      <c r="AR15" s="18"/>
      <c r="AS15" s="18"/>
      <c r="AT15" s="22">
        <f ca="1">SUBTOTAL(109,AHU_Schedules[(MBH)])</f>
        <v>329.66640000000001</v>
      </c>
      <c r="AU15" s="18"/>
      <c r="AV15" s="18"/>
      <c r="AW15" s="21">
        <f ca="1">SUBTOTAL(109,AHU_Schedules[GPM41])</f>
        <v>21.97776</v>
      </c>
      <c r="AX15" s="21"/>
      <c r="AY15" s="18"/>
      <c r="AZ15" s="18"/>
      <c r="BA15" s="21">
        <f>SUBTOTAL(109,AHU_Schedules[(mbh)46])</f>
        <v>0</v>
      </c>
      <c r="BB15" s="21"/>
      <c r="BC15" s="21"/>
      <c r="BD15" s="21">
        <f>SUBTOTAL(109,AHU_Schedules[(˚F db)46])</f>
        <v>0</v>
      </c>
      <c r="BE15" s="18"/>
      <c r="BF15" s="18"/>
    </row>
    <row r="16" spans="1:58" ht="13.8" thickTop="1">
      <c r="A16" s="70"/>
      <c r="B16" s="70"/>
      <c r="C16" s="70"/>
      <c r="D16" s="70"/>
      <c r="E16" s="70"/>
      <c r="F16" s="70"/>
      <c r="G16" s="70"/>
      <c r="H16" s="70"/>
      <c r="I16" s="70"/>
      <c r="J16" s="70"/>
      <c r="K16" s="70"/>
      <c r="L16" s="70"/>
      <c r="M16" s="70"/>
      <c r="N16" s="70"/>
      <c r="O16" s="70"/>
      <c r="P16" s="70"/>
      <c r="Q16" s="70"/>
      <c r="R16" s="70"/>
      <c r="S16" s="70"/>
      <c r="T16" s="70"/>
      <c r="U16" s="70"/>
      <c r="V16" s="70"/>
      <c r="W16" s="70"/>
      <c r="X16" s="70"/>
      <c r="Y16" s="70"/>
      <c r="Z16" s="70"/>
      <c r="AA16" s="70"/>
      <c r="AB16" s="70"/>
      <c r="AC16" s="70"/>
      <c r="AD16" s="70"/>
      <c r="AE16" s="70"/>
      <c r="AF16" s="70"/>
      <c r="AG16" s="70"/>
      <c r="AH16" s="70"/>
      <c r="AI16" s="70"/>
      <c r="AJ16" s="70"/>
      <c r="AK16" s="70"/>
      <c r="AL16" s="70"/>
      <c r="AM16" s="70"/>
      <c r="AN16" s="70"/>
      <c r="AO16" s="70"/>
      <c r="AP16" s="70"/>
      <c r="AQ16" s="70"/>
      <c r="AR16" s="70"/>
      <c r="AS16" s="70"/>
      <c r="AT16" s="70"/>
      <c r="AU16" s="70"/>
      <c r="AV16" s="70"/>
      <c r="AW16" s="70"/>
      <c r="AX16" s="70"/>
      <c r="AY16" s="70"/>
      <c r="AZ16" s="70"/>
      <c r="BA16" s="70"/>
      <c r="BB16" s="70"/>
      <c r="BC16" s="70"/>
      <c r="BD16" s="70"/>
    </row>
    <row r="17" spans="1:56" ht="13.8">
      <c r="T17" s="13"/>
      <c r="U17" s="13"/>
      <c r="AA17" s="14"/>
      <c r="AF17" s="13"/>
      <c r="AG17" s="13"/>
      <c r="AJ17" s="14"/>
      <c r="AM17" s="14"/>
      <c r="AN17" s="14"/>
      <c r="AW17" s="14"/>
      <c r="AX17" s="14"/>
    </row>
    <row r="18" spans="1:56" ht="13.8">
      <c r="T18" s="13"/>
      <c r="U18" s="13"/>
      <c r="AA18" s="14"/>
      <c r="AF18" s="13"/>
      <c r="AG18" s="13"/>
      <c r="AJ18" s="14"/>
      <c r="AM18" s="14"/>
      <c r="AN18" s="14"/>
      <c r="AW18" s="14"/>
      <c r="AX18" s="14"/>
    </row>
    <row r="19" spans="1:56">
      <c r="C19" s="11"/>
      <c r="D19" s="11"/>
    </row>
    <row r="22" spans="1:56">
      <c r="O22" s="14"/>
    </row>
    <row r="23" spans="1:56">
      <c r="L23" s="340"/>
    </row>
    <row r="24" spans="1:56">
      <c r="H24" s="11" t="s">
        <v>681</v>
      </c>
    </row>
    <row r="25" spans="1:56">
      <c r="G25" s="86"/>
    </row>
    <row r="29" spans="1:56">
      <c r="G29" s="23"/>
    </row>
    <row r="32" spans="1:56">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row>
    <row r="33" spans="1:17">
      <c r="A33" s="15"/>
      <c r="B33" s="15"/>
      <c r="C33" s="15"/>
      <c r="D33" s="15"/>
    </row>
    <row r="34" spans="1:17">
      <c r="A34" s="15"/>
      <c r="B34" s="15"/>
      <c r="C34" s="14"/>
      <c r="D34" s="14"/>
      <c r="Q34" s="11"/>
    </row>
    <row r="35" spans="1:17">
      <c r="A35" s="15"/>
      <c r="B35" s="15"/>
    </row>
    <row r="36" spans="1:17">
      <c r="Q36" s="11"/>
    </row>
  </sheetData>
  <mergeCells count="30">
    <mergeCell ref="AX8:BD8"/>
    <mergeCell ref="A8:A10"/>
    <mergeCell ref="AP9:AP10"/>
    <mergeCell ref="AN8:AP8"/>
    <mergeCell ref="C8:O8"/>
    <mergeCell ref="P8:AA8"/>
    <mergeCell ref="AK9:AM9"/>
    <mergeCell ref="AJ9:AJ10"/>
    <mergeCell ref="AE10:AG10"/>
    <mergeCell ref="H10:J10"/>
    <mergeCell ref="K10:M10"/>
    <mergeCell ref="X9:X10"/>
    <mergeCell ref="AB8:AM8"/>
    <mergeCell ref="AN9:AN10"/>
    <mergeCell ref="AO9:AO10"/>
    <mergeCell ref="AQ8:AW8"/>
    <mergeCell ref="B10:C10"/>
    <mergeCell ref="D10:G10"/>
    <mergeCell ref="B9:N9"/>
    <mergeCell ref="AU9:AW9"/>
    <mergeCell ref="AB9:AG9"/>
    <mergeCell ref="AB10:AD10"/>
    <mergeCell ref="Y9:AA10"/>
    <mergeCell ref="P10:R10"/>
    <mergeCell ref="S10:U10"/>
    <mergeCell ref="AR9:AS9"/>
    <mergeCell ref="V9:W9"/>
    <mergeCell ref="O9:O10"/>
    <mergeCell ref="P9:U9"/>
    <mergeCell ref="AH9:AI9"/>
  </mergeCells>
  <phoneticPr fontId="15" type="noConversion"/>
  <dataValidations disablePrompts="1" count="1">
    <dataValidation type="decimal" operator="greaterThan" allowBlank="1" showInputMessage="1" showErrorMessage="1" sqref="F12:G14 S12:T14" xr:uid="{E55AABDB-8177-CF49-90BF-0581F35F9A38}">
      <formula1>1</formula1>
    </dataValidation>
  </dataValidations>
  <pageMargins left="0.25" right="0.25" top="0.75" bottom="0.75" header="0.3" footer="0.3"/>
  <pageSetup paperSize="119" scale="31" fitToHeight="0" orientation="landscape"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17F4-9E76-4A3E-9F5B-C0E8FC049AC7}">
  <sheetPr codeName="Sheet19"/>
  <dimension ref="A1:H29"/>
  <sheetViews>
    <sheetView topLeftCell="D3" zoomScale="85" zoomScaleNormal="85" workbookViewId="0">
      <selection activeCell="G4" sqref="G4"/>
    </sheetView>
  </sheetViews>
  <sheetFormatPr defaultRowHeight="13.8"/>
  <cols>
    <col min="1" max="1" width="17.33203125" style="363" hidden="1" customWidth="1"/>
    <col min="2" max="3" width="22.44140625" style="363" hidden="1" customWidth="1"/>
    <col min="4" max="4" width="28.5546875" style="364" customWidth="1"/>
    <col min="5" max="5" width="29.21875" style="364" customWidth="1"/>
    <col min="6" max="6" width="27.109375" style="364" hidden="1" customWidth="1"/>
    <col min="7" max="7" width="160.6640625" style="364" customWidth="1"/>
    <col min="8" max="16384" width="8.88671875" style="363"/>
  </cols>
  <sheetData>
    <row r="1" spans="1:8" ht="20.399999999999999">
      <c r="A1" s="421" t="s">
        <v>936</v>
      </c>
      <c r="B1" s="421"/>
      <c r="C1" s="421"/>
      <c r="D1" s="421"/>
      <c r="E1" s="421"/>
      <c r="F1" s="421"/>
      <c r="G1" s="421"/>
      <c r="H1" s="421"/>
    </row>
    <row r="2" spans="1:8">
      <c r="A2" s="363" t="s">
        <v>937</v>
      </c>
      <c r="B2" s="363" t="s">
        <v>938</v>
      </c>
      <c r="C2" s="363" t="s">
        <v>939</v>
      </c>
      <c r="D2" s="364" t="s">
        <v>940</v>
      </c>
      <c r="E2" s="364" t="s">
        <v>941</v>
      </c>
      <c r="F2" s="364" t="s">
        <v>942</v>
      </c>
      <c r="G2" s="364" t="s">
        <v>943</v>
      </c>
    </row>
    <row r="3" spans="1:8" ht="158.4">
      <c r="A3" s="365" t="s">
        <v>944</v>
      </c>
      <c r="B3" s="365" t="s">
        <v>945</v>
      </c>
      <c r="C3" s="365" t="s">
        <v>946</v>
      </c>
      <c r="D3" s="366" t="s">
        <v>947</v>
      </c>
      <c r="E3" s="366" t="s">
        <v>948</v>
      </c>
      <c r="F3" s="366" t="s">
        <v>949</v>
      </c>
      <c r="G3" s="366" t="s">
        <v>950</v>
      </c>
    </row>
    <row r="4" spans="1:8" ht="244.8">
      <c r="A4" s="365" t="s">
        <v>944</v>
      </c>
      <c r="B4" s="365" t="s">
        <v>945</v>
      </c>
      <c r="C4" s="365" t="s">
        <v>195</v>
      </c>
      <c r="D4" s="366" t="s">
        <v>951</v>
      </c>
      <c r="E4" s="366" t="s">
        <v>952</v>
      </c>
      <c r="F4" s="366" t="s">
        <v>949</v>
      </c>
      <c r="G4" s="366" t="s">
        <v>953</v>
      </c>
    </row>
    <row r="5" spans="1:8" ht="28.8">
      <c r="A5" s="365" t="s">
        <v>944</v>
      </c>
      <c r="B5" s="365"/>
      <c r="C5" s="365"/>
      <c r="D5" s="366" t="s">
        <v>951</v>
      </c>
      <c r="E5" s="366" t="s">
        <v>954</v>
      </c>
      <c r="F5" s="366" t="s">
        <v>949</v>
      </c>
      <c r="G5" s="366" t="s">
        <v>955</v>
      </c>
    </row>
    <row r="6" spans="1:8" ht="43.2">
      <c r="A6" s="365" t="s">
        <v>944</v>
      </c>
      <c r="B6" s="365"/>
      <c r="C6" s="365"/>
      <c r="D6" s="366" t="s">
        <v>951</v>
      </c>
      <c r="E6" s="366" t="s">
        <v>956</v>
      </c>
      <c r="F6" s="366" t="s">
        <v>949</v>
      </c>
      <c r="G6" s="366" t="s">
        <v>957</v>
      </c>
    </row>
    <row r="7" spans="1:8" ht="28.8">
      <c r="A7" s="365"/>
      <c r="B7" s="365"/>
      <c r="C7" s="365"/>
      <c r="D7" s="366" t="s">
        <v>951</v>
      </c>
      <c r="E7" s="366" t="s">
        <v>958</v>
      </c>
      <c r="F7" s="366" t="s">
        <v>949</v>
      </c>
      <c r="G7" s="366" t="s">
        <v>959</v>
      </c>
    </row>
    <row r="8" spans="1:8" ht="43.2">
      <c r="A8" s="365"/>
      <c r="B8" s="365"/>
      <c r="C8" s="365"/>
      <c r="D8" s="366" t="s">
        <v>951</v>
      </c>
      <c r="E8" s="366" t="s">
        <v>960</v>
      </c>
      <c r="F8" s="366" t="s">
        <v>949</v>
      </c>
      <c r="G8" s="366" t="s">
        <v>961</v>
      </c>
    </row>
    <row r="9" spans="1:8" ht="86.4">
      <c r="A9" s="365" t="s">
        <v>962</v>
      </c>
      <c r="B9" s="365"/>
      <c r="C9" s="365"/>
      <c r="D9" s="366" t="s">
        <v>963</v>
      </c>
      <c r="E9" s="366" t="s">
        <v>964</v>
      </c>
      <c r="F9" s="366" t="s">
        <v>965</v>
      </c>
      <c r="G9" s="366" t="s">
        <v>966</v>
      </c>
    </row>
    <row r="10" spans="1:8" ht="259.2">
      <c r="A10" s="365" t="s">
        <v>962</v>
      </c>
      <c r="B10" s="365"/>
      <c r="C10" s="365"/>
      <c r="D10" s="366" t="s">
        <v>963</v>
      </c>
      <c r="E10" s="366" t="s">
        <v>967</v>
      </c>
      <c r="F10" s="366" t="s">
        <v>968</v>
      </c>
      <c r="G10" s="366" t="s">
        <v>969</v>
      </c>
    </row>
    <row r="11" spans="1:8" ht="57.6">
      <c r="A11" s="365" t="s">
        <v>962</v>
      </c>
      <c r="B11" s="365"/>
      <c r="C11" s="365"/>
      <c r="D11" s="366" t="s">
        <v>970</v>
      </c>
      <c r="E11" s="366" t="s">
        <v>971</v>
      </c>
      <c r="F11" s="366" t="s">
        <v>972</v>
      </c>
      <c r="G11" s="366" t="s">
        <v>973</v>
      </c>
    </row>
    <row r="12" spans="1:8" ht="86.4">
      <c r="A12" s="365" t="s">
        <v>962</v>
      </c>
      <c r="B12" s="365"/>
      <c r="C12" s="365"/>
      <c r="D12" s="366" t="s">
        <v>970</v>
      </c>
      <c r="E12" s="366" t="s">
        <v>974</v>
      </c>
      <c r="F12" s="366" t="s">
        <v>965</v>
      </c>
      <c r="G12" s="366" t="s">
        <v>975</v>
      </c>
    </row>
    <row r="13" spans="1:8" ht="259.2">
      <c r="A13" s="365" t="s">
        <v>976</v>
      </c>
      <c r="B13" s="365"/>
      <c r="C13" s="365"/>
      <c r="D13" s="366" t="s">
        <v>977</v>
      </c>
      <c r="E13" s="366" t="s">
        <v>978</v>
      </c>
      <c r="F13" s="366"/>
      <c r="G13" s="366" t="s">
        <v>979</v>
      </c>
    </row>
    <row r="14" spans="1:8" ht="273.60000000000002">
      <c r="A14" s="365" t="s">
        <v>976</v>
      </c>
      <c r="B14" s="365"/>
      <c r="C14" s="365"/>
      <c r="D14" s="366" t="s">
        <v>977</v>
      </c>
      <c r="E14" s="366" t="s">
        <v>980</v>
      </c>
      <c r="F14" s="366"/>
      <c r="G14" s="366" t="s">
        <v>981</v>
      </c>
    </row>
    <row r="15" spans="1:8" ht="57.6">
      <c r="A15" s="365" t="s">
        <v>962</v>
      </c>
      <c r="B15" s="365"/>
      <c r="C15" s="365"/>
      <c r="D15" s="366" t="s">
        <v>982</v>
      </c>
      <c r="E15" s="366" t="s">
        <v>983</v>
      </c>
      <c r="F15" s="366" t="s">
        <v>972</v>
      </c>
      <c r="G15" s="366" t="s">
        <v>984</v>
      </c>
    </row>
    <row r="16" spans="1:8" ht="86.4">
      <c r="A16" s="365" t="s">
        <v>962</v>
      </c>
      <c r="B16" s="365"/>
      <c r="C16" s="365"/>
      <c r="D16" s="366" t="s">
        <v>982</v>
      </c>
      <c r="E16" s="366" t="s">
        <v>985</v>
      </c>
      <c r="F16" s="366" t="s">
        <v>965</v>
      </c>
      <c r="G16" s="366" t="s">
        <v>986</v>
      </c>
    </row>
    <row r="17" spans="1:7" ht="115.2">
      <c r="A17" s="365" t="s">
        <v>976</v>
      </c>
      <c r="B17" s="365"/>
      <c r="C17" s="365"/>
      <c r="D17" s="366" t="s">
        <v>977</v>
      </c>
      <c r="E17" s="366" t="s">
        <v>987</v>
      </c>
      <c r="F17" s="366"/>
      <c r="G17" s="366" t="s">
        <v>988</v>
      </c>
    </row>
    <row r="18" spans="1:7" ht="144">
      <c r="A18" s="365" t="s">
        <v>976</v>
      </c>
      <c r="B18" s="365"/>
      <c r="C18" s="365"/>
      <c r="D18" s="366" t="s">
        <v>977</v>
      </c>
      <c r="E18" s="366" t="s">
        <v>989</v>
      </c>
      <c r="F18" s="366"/>
      <c r="G18" s="366" t="s">
        <v>990</v>
      </c>
    </row>
    <row r="19" spans="1:7" ht="43.2">
      <c r="A19" s="365" t="s">
        <v>991</v>
      </c>
      <c r="B19" s="365"/>
      <c r="C19" s="365"/>
      <c r="D19" s="366" t="s">
        <v>992</v>
      </c>
      <c r="E19" s="366" t="s">
        <v>993</v>
      </c>
      <c r="F19" s="366"/>
      <c r="G19" s="366" t="s">
        <v>994</v>
      </c>
    </row>
    <row r="20" spans="1:7" ht="316.8">
      <c r="A20" s="365" t="s">
        <v>995</v>
      </c>
      <c r="B20" s="365"/>
      <c r="C20" s="365"/>
      <c r="D20" s="366" t="s">
        <v>996</v>
      </c>
      <c r="E20" s="366" t="s">
        <v>997</v>
      </c>
      <c r="F20" s="366"/>
      <c r="G20" s="366" t="s">
        <v>998</v>
      </c>
    </row>
    <row r="21" spans="1:7" ht="201.6">
      <c r="A21" s="365" t="s">
        <v>999</v>
      </c>
      <c r="B21" s="365"/>
      <c r="C21" s="365"/>
      <c r="D21" s="366" t="s">
        <v>1000</v>
      </c>
      <c r="E21" s="366" t="s">
        <v>1001</v>
      </c>
      <c r="F21" s="366"/>
      <c r="G21" s="366" t="s">
        <v>1002</v>
      </c>
    </row>
    <row r="22" spans="1:7" ht="129.6">
      <c r="A22" s="365" t="s">
        <v>999</v>
      </c>
      <c r="B22" s="365"/>
      <c r="C22" s="365"/>
      <c r="D22" s="366" t="s">
        <v>1003</v>
      </c>
      <c r="E22" s="366" t="s">
        <v>1004</v>
      </c>
      <c r="F22" s="366"/>
      <c r="G22" s="366" t="s">
        <v>1005</v>
      </c>
    </row>
    <row r="23" spans="1:7" ht="14.4">
      <c r="A23" s="365" t="s">
        <v>999</v>
      </c>
      <c r="B23" s="365"/>
      <c r="C23" s="365"/>
      <c r="D23" s="366" t="s">
        <v>1003</v>
      </c>
      <c r="E23" s="366" t="s">
        <v>1006</v>
      </c>
      <c r="F23" s="366"/>
      <c r="G23" s="366" t="s">
        <v>1007</v>
      </c>
    </row>
    <row r="24" spans="1:7" ht="14.4">
      <c r="A24" s="365" t="s">
        <v>999</v>
      </c>
      <c r="B24" s="365"/>
      <c r="C24" s="365"/>
      <c r="D24" s="366" t="s">
        <v>1003</v>
      </c>
      <c r="E24" s="366" t="s">
        <v>1008</v>
      </c>
      <c r="F24" s="366"/>
      <c r="G24" s="366" t="s">
        <v>1009</v>
      </c>
    </row>
    <row r="25" spans="1:7" ht="172.8">
      <c r="A25" s="365" t="s">
        <v>1010</v>
      </c>
      <c r="B25" s="365"/>
      <c r="C25" s="365"/>
      <c r="D25" s="366"/>
      <c r="E25" s="366" t="s">
        <v>1011</v>
      </c>
      <c r="F25" s="366"/>
      <c r="G25" s="366" t="s">
        <v>1012</v>
      </c>
    </row>
    <row r="26" spans="1:7" ht="158.4">
      <c r="A26" s="365" t="s">
        <v>1013</v>
      </c>
      <c r="B26" s="365"/>
      <c r="C26" s="365"/>
      <c r="D26" s="366"/>
      <c r="E26" s="366" t="s">
        <v>1014</v>
      </c>
      <c r="F26" s="366"/>
      <c r="G26" s="366" t="s">
        <v>1015</v>
      </c>
    </row>
    <row r="27" spans="1:7" ht="28.8">
      <c r="A27" s="365" t="s">
        <v>944</v>
      </c>
      <c r="B27" s="365"/>
      <c r="C27" s="365"/>
      <c r="D27" s="366" t="s">
        <v>1016</v>
      </c>
      <c r="E27" s="366" t="s">
        <v>1017</v>
      </c>
      <c r="F27" s="366"/>
      <c r="G27" s="366"/>
    </row>
    <row r="28" spans="1:7" ht="72">
      <c r="A28" s="365" t="s">
        <v>944</v>
      </c>
      <c r="B28" s="365"/>
      <c r="C28" s="365"/>
      <c r="D28" s="366" t="s">
        <v>1018</v>
      </c>
      <c r="E28" s="366" t="s">
        <v>1019</v>
      </c>
      <c r="F28" s="366"/>
      <c r="G28" s="366" t="s">
        <v>1020</v>
      </c>
    </row>
    <row r="29" spans="1:7" ht="230.4">
      <c r="A29" s="365" t="s">
        <v>944</v>
      </c>
      <c r="B29" s="365"/>
      <c r="C29" s="365"/>
      <c r="D29" s="366" t="s">
        <v>1021</v>
      </c>
      <c r="E29" s="366" t="s">
        <v>1022</v>
      </c>
      <c r="F29" s="366"/>
      <c r="G29" s="366" t="s">
        <v>1023</v>
      </c>
    </row>
  </sheetData>
  <mergeCells count="1">
    <mergeCell ref="A1:H1"/>
  </mergeCell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28042-962F-4797-870E-F4D0B58FB803}">
  <sheetPr codeName="Sheet18"/>
  <dimension ref="B1:F40"/>
  <sheetViews>
    <sheetView workbookViewId="0">
      <selection activeCell="B8" sqref="B8:B9"/>
    </sheetView>
  </sheetViews>
  <sheetFormatPr defaultRowHeight="13.2"/>
  <cols>
    <col min="2" max="2" width="12.21875" bestFit="1" customWidth="1"/>
    <col min="3" max="3" width="67.88671875" customWidth="1"/>
    <col min="4" max="4" width="15.109375" bestFit="1" customWidth="1"/>
    <col min="6" max="6" width="28.44140625" bestFit="1" customWidth="1"/>
  </cols>
  <sheetData>
    <row r="1" spans="2:6">
      <c r="B1" s="11"/>
    </row>
    <row r="2" spans="2:6">
      <c r="B2" s="11" t="s">
        <v>1062</v>
      </c>
    </row>
    <row r="4" spans="2:6">
      <c r="C4" s="11" t="s">
        <v>1059</v>
      </c>
      <c r="D4" s="11" t="s">
        <v>1058</v>
      </c>
      <c r="E4" s="11" t="s">
        <v>52</v>
      </c>
      <c r="F4" s="11" t="s">
        <v>1060</v>
      </c>
    </row>
    <row r="5" spans="2:6">
      <c r="C5" t="s">
        <v>1025</v>
      </c>
      <c r="D5" t="s">
        <v>111</v>
      </c>
    </row>
    <row r="20" spans="2:6">
      <c r="C20" t="s">
        <v>77</v>
      </c>
      <c r="F20">
        <f>SUBTOTAL(109,HCAI_SUPPLY_FAN_POWER[ALLOWANCE (WATTS/CFM)])</f>
        <v>0</v>
      </c>
    </row>
    <row r="22" spans="2:6">
      <c r="B22" s="11" t="s">
        <v>164</v>
      </c>
    </row>
    <row r="24" spans="2:6">
      <c r="C24" s="11" t="s">
        <v>1059</v>
      </c>
      <c r="D24" s="11" t="s">
        <v>1058</v>
      </c>
      <c r="E24" s="11" t="s">
        <v>52</v>
      </c>
      <c r="F24" s="11" t="s">
        <v>1060</v>
      </c>
    </row>
    <row r="25" spans="2:6">
      <c r="C25" t="s">
        <v>1025</v>
      </c>
      <c r="D25" t="s">
        <v>111</v>
      </c>
    </row>
    <row r="40" spans="3:6">
      <c r="C40" t="s">
        <v>77</v>
      </c>
      <c r="F40">
        <f>SUBTOTAL(109,HCAI_FAN_POWER30[ALLOWANCE (WATTS/CFM)])</f>
        <v>0</v>
      </c>
    </row>
  </sheetData>
  <phoneticPr fontId="1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C1E2B90-4C2B-4BB5-A1F2-2039FD45E15D}">
          <x14:formula1>
            <xm:f>'UMC Table 4-A'!$M$2:$M$28</xm:f>
          </x14:formula1>
          <xm:sqref>C5:C19 C25:C39</xm:sqref>
        </x14:dataValidation>
        <x14:dataValidation type="list" allowBlank="1" showInputMessage="1" showErrorMessage="1" xr:uid="{72007740-DD67-45AB-9279-5D312B4124BC}">
          <x14:formula1>
            <xm:f>'UMC Table 4-A'!$U$2:$U$3</xm:f>
          </x14:formula1>
          <xm:sqref>D5:D19 D25:D39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067A3-ADCA-4DFC-9972-0D76EACE510E}">
  <sheetPr codeName="Sheet1"/>
  <dimension ref="A1:AC20"/>
  <sheetViews>
    <sheetView showGridLines="0" zoomScale="85" zoomScaleNormal="85" workbookViewId="0">
      <selection activeCell="I22" sqref="I22"/>
    </sheetView>
  </sheetViews>
  <sheetFormatPr defaultRowHeight="13.2"/>
  <cols>
    <col min="1" max="1" width="13.88671875" customWidth="1"/>
    <col min="2" max="2" width="20.77734375" customWidth="1"/>
    <col min="3" max="3" width="11.109375" bestFit="1" customWidth="1"/>
    <col min="4" max="4" width="16.33203125" bestFit="1" customWidth="1"/>
    <col min="5" max="5" width="15.6640625" customWidth="1"/>
    <col min="6" max="7" width="16.6640625" customWidth="1"/>
    <col min="8" max="8" width="13.5546875" bestFit="1" customWidth="1"/>
    <col min="9" max="9" width="45.6640625" customWidth="1"/>
    <col min="10" max="10" width="71" customWidth="1"/>
    <col min="11" max="11" width="19.21875" customWidth="1"/>
    <col min="12" max="12" width="18.44140625" customWidth="1"/>
    <col min="13" max="13" width="16.44140625" bestFit="1" customWidth="1"/>
    <col min="14" max="14" width="11.6640625" customWidth="1"/>
    <col min="15" max="15" width="14.5546875" customWidth="1"/>
    <col min="16" max="16" width="10.33203125" bestFit="1" customWidth="1"/>
    <col min="17" max="17" width="9" bestFit="1" customWidth="1"/>
    <col min="18" max="18" width="10.3320312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15.44140625" customWidth="1"/>
    <col min="28" max="28" width="14.21875" customWidth="1"/>
    <col min="29" max="29" width="21.44140625" customWidth="1"/>
    <col min="30" max="30" width="15.109375" customWidth="1"/>
  </cols>
  <sheetData>
    <row r="1" spans="1:29" ht="17.399999999999999">
      <c r="Q1" s="405" t="s">
        <v>885</v>
      </c>
      <c r="R1" s="405"/>
      <c r="S1" s="405"/>
      <c r="T1" s="299">
        <v>0</v>
      </c>
    </row>
    <row r="4" spans="1:29">
      <c r="A4" s="422" t="s">
        <v>753</v>
      </c>
      <c r="B4" s="423"/>
      <c r="C4" s="423"/>
      <c r="D4" s="423"/>
      <c r="E4" s="423"/>
      <c r="F4" s="423"/>
      <c r="G4" s="423"/>
      <c r="H4" s="423"/>
      <c r="I4" s="422" t="s">
        <v>79</v>
      </c>
      <c r="J4" s="422"/>
      <c r="K4" s="422"/>
      <c r="L4" s="422"/>
      <c r="M4" s="422"/>
      <c r="N4" s="422"/>
      <c r="O4" s="422"/>
      <c r="P4" s="422"/>
      <c r="Q4" s="422"/>
      <c r="R4" s="422"/>
      <c r="S4" s="422"/>
      <c r="T4" s="422"/>
      <c r="U4" s="422"/>
      <c r="V4" s="422"/>
      <c r="W4" s="422"/>
      <c r="X4" s="422"/>
      <c r="Y4" s="422" t="s">
        <v>256</v>
      </c>
      <c r="Z4" s="422"/>
      <c r="AA4" s="422"/>
      <c r="AB4" s="422"/>
    </row>
    <row r="5" spans="1:29" s="11" customFormat="1" ht="46.8">
      <c r="A5" s="64" t="s">
        <v>81</v>
      </c>
      <c r="B5" s="63" t="s">
        <v>82</v>
      </c>
      <c r="C5" s="64" t="s">
        <v>257</v>
      </c>
      <c r="D5" s="287" t="s">
        <v>737</v>
      </c>
      <c r="E5" s="64" t="s">
        <v>84</v>
      </c>
      <c r="F5" s="64" t="s">
        <v>85</v>
      </c>
      <c r="G5" s="302" t="s">
        <v>884</v>
      </c>
      <c r="H5" s="302" t="s">
        <v>883</v>
      </c>
      <c r="I5" s="65" t="s">
        <v>22</v>
      </c>
      <c r="J5" s="64" t="s">
        <v>86</v>
      </c>
      <c r="K5" s="64" t="s">
        <v>25</v>
      </c>
      <c r="L5" s="64" t="s">
        <v>26</v>
      </c>
      <c r="M5" s="64" t="s">
        <v>27</v>
      </c>
      <c r="N5" s="64" t="s">
        <v>28</v>
      </c>
      <c r="O5" s="65" t="s">
        <v>258</v>
      </c>
      <c r="P5" s="66" t="s">
        <v>259</v>
      </c>
      <c r="Q5" s="66" t="s">
        <v>260</v>
      </c>
      <c r="R5" s="66" t="s">
        <v>261</v>
      </c>
      <c r="S5" s="66" t="s">
        <v>34</v>
      </c>
      <c r="T5" s="76" t="s">
        <v>744</v>
      </c>
      <c r="U5" s="76" t="s">
        <v>739</v>
      </c>
      <c r="V5" s="65" t="s">
        <v>37</v>
      </c>
      <c r="W5" s="65" t="s">
        <v>38</v>
      </c>
      <c r="X5" s="64" t="s">
        <v>39</v>
      </c>
      <c r="Y5" s="66" t="s">
        <v>262</v>
      </c>
      <c r="Z5" s="66" t="s">
        <v>263</v>
      </c>
      <c r="AA5" s="64" t="s">
        <v>95</v>
      </c>
      <c r="AB5" s="67" t="s">
        <v>41</v>
      </c>
      <c r="AC5" s="68" t="s">
        <v>96</v>
      </c>
    </row>
    <row r="6" spans="1:29" ht="15.6">
      <c r="A6" s="97">
        <v>123</v>
      </c>
      <c r="B6" s="97" t="s">
        <v>740</v>
      </c>
      <c r="C6" s="97">
        <v>250</v>
      </c>
      <c r="D6" s="97">
        <v>-50</v>
      </c>
      <c r="E6" s="97">
        <v>2</v>
      </c>
      <c r="F6" s="116">
        <f>IF((VLOOKUP(Ahu_Ashrae_sheet[[#This Row],[Occupancy Category]],Ashrae90.1Vent[#All],7,FALSE)) = "YES",MROUND(C6/2,5),MROUND(C6,5))</f>
        <v>125</v>
      </c>
      <c r="G6" s="97"/>
      <c r="H6" s="97">
        <v>200</v>
      </c>
      <c r="I6" s="97" t="s">
        <v>72</v>
      </c>
      <c r="J6" s="97" t="s">
        <v>103</v>
      </c>
      <c r="K6" s="99">
        <f>VLOOKUP(Ahu_Ashrae_sheet[[#This Row],[Occupancy Category]],Ashrae90.1Vent[#All],2,FALSE)</f>
        <v>0</v>
      </c>
      <c r="L6" s="99">
        <f>VLOOKUP(Ahu_Ashrae_sheet[[#This Row],[Occupancy Category]],Ashrae90.1Vent[#All],3,FALSE)</f>
        <v>0</v>
      </c>
      <c r="M6" s="99">
        <f>VLOOKUP(Ahu_Ashrae_sheet[[#This Row],[Occupancy Category]],Ashrae90.1Vent[#All],4,FALSE)</f>
        <v>0</v>
      </c>
      <c r="N6" s="99">
        <f>VLOOKUP(Ahu_Ashrae_sheet[[#This Row],[Occupancy Category]],Ashrae90.1Vent[#All],5,FALSE)</f>
        <v>2</v>
      </c>
      <c r="O6" s="99">
        <f>CEILING((M6/1000)*C6,1)</f>
        <v>0</v>
      </c>
      <c r="P6" s="100">
        <f>(Ahu_Ashrae_sheet[[#This Row],[RP
(CFM/PER PERSON)]]*Ahu_Ashrae_sheet[[#This Row],[Occupants]])+(Ahu_Ashrae_sheet[[#This Row],[RA
(CFM/FT²)]]*Ahu_Ashrae_sheet[[#This Row],[AREA 
(FT²)]])</f>
        <v>0</v>
      </c>
      <c r="Q6" s="143">
        <v>0.8</v>
      </c>
      <c r="R6" s="100">
        <f>P6/Q6</f>
        <v>0</v>
      </c>
      <c r="S6" s="100">
        <f>Ahu_Ashrae_sheet[[#This Row],[Voz]]</f>
        <v>0</v>
      </c>
      <c r="T6" s="144">
        <v>0</v>
      </c>
      <c r="U6" s="100" t="str">
        <f>IF(Ahu_Ashrae_sheet[[#This Row],[Exhaust Category]] = "NOT APPLICABLE","NR","YES")</f>
        <v>YES</v>
      </c>
      <c r="V6" s="100">
        <f>IF(Ahu_Ashrae_sheet[[#This Row],[Exhaust Category]]="NOT APPLICABLE","NA",VLOOKUP(Ahu_Ashrae_sheet[[#This Row],[Exhaust Category]],ASHRAE_EA_Table[#All],2,FALSE))</f>
        <v>50</v>
      </c>
      <c r="W6" s="100">
        <f>IF(Ahu_Ashrae_sheet[[#This Row],[Exhaust Category]]="NOT APPLICABLE","NA",VLOOKUP(Ahu_Ashrae_sheet[[#This Row],[Exhaust Category]],ASHRAE_EA_Table[#All],3,FALSE))</f>
        <v>0</v>
      </c>
      <c r="X6" s="99">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100</v>
      </c>
      <c r="Y6" s="144" cm="1">
        <f t="array" aca="1" ref="Y6"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200</v>
      </c>
      <c r="Z6" s="144" cm="1">
        <f t="array" aca="1" ref="Z6" ca="1">Returnair(Ahu_Ashrae_sheet[[#This Row],[DESIGN SA(CFM)]],Ahu_Ashrae_sheet[[#This Row],[Desired Room Balance]],Ahu_Ashrae_sheet[[#This Row],[Exhausted?]],Ahu_Ashrae_sheet[[#This Row],[Misc Exhaust From Room]])</f>
        <v>0</v>
      </c>
      <c r="AA6" s="144" cm="1">
        <f t="array" aca="1" ref="AA6" ca="1">Exhaustair(Ahu_Ashrae_sheet[[#This Row],[DESIGN SA(CFM)]],Ahu_Ashrae_sheet[[#This Row],[Exhausted?]],Ahu_Ashrae_sheet[[#This Row],[MIN ASHRAE EA
(CFM)]],Ahu_Ashrae_sheet[[#This Row],[Desired Room Balance]],Ahu_Ashrae_sheet[[#This Row],[Misc Exhaust From Room]])</f>
        <v>250</v>
      </c>
      <c r="AB6" s="100">
        <f ca="1">Ahu_Ashrae_sheet[[#This Row],[DESIGN SA(CFM)]]-Ahu_Ashrae_sheet[[#This Row],[DESIGN RA(CFM)]]-Ahu_Ashrae_sheet[[#This Row],[DESIGN EA(CFM)]]</f>
        <v>-50</v>
      </c>
      <c r="AC6" s="69">
        <f ca="1">Ahu_Ashrae_sheet[[#This Row],[OUTSIDE AIRFLOW (CFM) (Vot)]]/Ahu_Ashrae_sheet[[#This Row],[DESIGN SA(CFM)]]</f>
        <v>0</v>
      </c>
    </row>
    <row r="7" spans="1:29" ht="15.6">
      <c r="A7" s="97">
        <v>344</v>
      </c>
      <c r="B7" s="97" t="s">
        <v>751</v>
      </c>
      <c r="C7" s="97">
        <v>1000</v>
      </c>
      <c r="D7" s="97">
        <v>50</v>
      </c>
      <c r="E7" s="97">
        <v>5</v>
      </c>
      <c r="F7" s="116">
        <f>IF((VLOOKUP(Ahu_Ashrae_sheet[[#This Row],[Occupancy Category]],Ashrae90.1Vent[#All],7,FALSE)) = "YES",MROUND(C7/2,5),MROUND(C7,5))</f>
        <v>1000</v>
      </c>
      <c r="G7" s="97"/>
      <c r="H7" s="97">
        <v>280</v>
      </c>
      <c r="I7" s="97" t="s">
        <v>48</v>
      </c>
      <c r="J7" s="97" t="s">
        <v>264</v>
      </c>
      <c r="K7" s="99">
        <f>VLOOKUP(Ahu_Ashrae_sheet[[#This Row],[Occupancy Category]],Ashrae90.1Vent[#All],2,FALSE)</f>
        <v>5</v>
      </c>
      <c r="L7" s="99">
        <f>VLOOKUP(Ahu_Ashrae_sheet[[#This Row],[Occupancy Category]],Ashrae90.1Vent[#All],3,FALSE)</f>
        <v>0.12</v>
      </c>
      <c r="M7" s="99">
        <f>VLOOKUP(Ahu_Ashrae_sheet[[#This Row],[Occupancy Category]],Ashrae90.1Vent[#All],4,FALSE)</f>
        <v>10</v>
      </c>
      <c r="N7" s="99">
        <f>VLOOKUP(Ahu_Ashrae_sheet[[#This Row],[Occupancy Category]],Ashrae90.1Vent[#All],5,FALSE)</f>
        <v>1</v>
      </c>
      <c r="O7" s="99">
        <f>CEILING((M7/1000)*C7,1)</f>
        <v>10</v>
      </c>
      <c r="P7" s="100">
        <f>(Ahu_Ashrae_sheet[[#This Row],[RP
(CFM/PER PERSON)]]*Ahu_Ashrae_sheet[[#This Row],[Occupants]])+(Ahu_Ashrae_sheet[[#This Row],[RA
(CFM/FT²)]]*Ahu_Ashrae_sheet[[#This Row],[AREA 
(FT²)]])</f>
        <v>170</v>
      </c>
      <c r="Q7" s="143">
        <v>0.8</v>
      </c>
      <c r="R7" s="100">
        <f>P7/Q7</f>
        <v>212.5</v>
      </c>
      <c r="S7" s="100">
        <f>Ahu_Ashrae_sheet[[#This Row],[Voz]]</f>
        <v>212.5</v>
      </c>
      <c r="T7" s="144">
        <v>0</v>
      </c>
      <c r="U7" s="100" t="str">
        <f>IF(Ahu_Ashrae_sheet[[#This Row],[Exhaust Category]] = "NOT APPLICABLE","NR","YES")</f>
        <v>NR</v>
      </c>
      <c r="V7" s="100" t="str">
        <f>IF(Ahu_Ashrae_sheet[[#This Row],[Exhaust Category]]="NOT APPLICABLE","NA",VLOOKUP(Ahu_Ashrae_sheet[[#This Row],[Exhaust Category]],ASHRAE_EA_Table[#All],2,FALSE))</f>
        <v>NA</v>
      </c>
      <c r="W7" s="100" t="str">
        <f>IF(Ahu_Ashrae_sheet[[#This Row],[Exhaust Category]]="NOT APPLICABLE","NA",VLOOKUP(Ahu_Ashrae_sheet[[#This Row],[Exhaust Category]],ASHRAE_EA_Table[#All],3,FALSE))</f>
        <v>NA</v>
      </c>
      <c r="X7" s="99">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0</v>
      </c>
      <c r="Y7" s="144" cm="1">
        <f t="array" aca="1" ref="Y7"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1000</v>
      </c>
      <c r="Z7" s="144" cm="1">
        <f t="array" aca="1" ref="Z7" ca="1">Returnair(Ahu_Ashrae_sheet[[#This Row],[DESIGN SA(CFM)]],Ahu_Ashrae_sheet[[#This Row],[Desired Room Balance]],Ahu_Ashrae_sheet[[#This Row],[Exhausted?]],Ahu_Ashrae_sheet[[#This Row],[Misc Exhaust From Room]])</f>
        <v>950</v>
      </c>
      <c r="AA7" s="144" cm="1">
        <f t="array" aca="1" ref="AA7" ca="1">Exhaustair(Ahu_Ashrae_sheet[[#This Row],[DESIGN SA(CFM)]],Ahu_Ashrae_sheet[[#This Row],[Exhausted?]],Ahu_Ashrae_sheet[[#This Row],[MIN ASHRAE EA
(CFM)]],Ahu_Ashrae_sheet[[#This Row],[Desired Room Balance]],Ahu_Ashrae_sheet[[#This Row],[Misc Exhaust From Room]])</f>
        <v>0</v>
      </c>
      <c r="AB7" s="100">
        <f ca="1">Ahu_Ashrae_sheet[[#This Row],[DESIGN SA(CFM)]]-Ahu_Ashrae_sheet[[#This Row],[DESIGN RA(CFM)]]-Ahu_Ashrae_sheet[[#This Row],[DESIGN EA(CFM)]]</f>
        <v>50</v>
      </c>
      <c r="AC7" s="69">
        <f ca="1">Ahu_Ashrae_sheet[[#This Row],[OUTSIDE AIRFLOW (CFM) (Vot)]]/Ahu_Ashrae_sheet[[#This Row],[DESIGN SA(CFM)]]</f>
        <v>0.21249999999999999</v>
      </c>
    </row>
    <row r="8" spans="1:29" ht="15.6">
      <c r="A8" s="97">
        <v>566</v>
      </c>
      <c r="B8" s="97" t="s">
        <v>752</v>
      </c>
      <c r="C8" s="97">
        <v>1000</v>
      </c>
      <c r="D8" s="97">
        <v>50</v>
      </c>
      <c r="E8" s="97">
        <v>5</v>
      </c>
      <c r="F8" s="116">
        <f>IF((VLOOKUP(Ahu_Ashrae_sheet[[#This Row],[Occupancy Category]],Ashrae90.1Vent[#All],7,FALSE)) = "YES",MROUND(C8/2,5),MROUND(C8,5))</f>
        <v>1000</v>
      </c>
      <c r="G8" s="97"/>
      <c r="H8" s="97">
        <v>150</v>
      </c>
      <c r="I8" s="97" t="s">
        <v>48</v>
      </c>
      <c r="J8" s="97" t="s">
        <v>265</v>
      </c>
      <c r="K8" s="99">
        <f>VLOOKUP(Ahu_Ashrae_sheet[[#This Row],[Occupancy Category]],Ashrae90.1Vent[#All],2,FALSE)</f>
        <v>10</v>
      </c>
      <c r="L8" s="99">
        <f>VLOOKUP(Ahu_Ashrae_sheet[[#This Row],[Occupancy Category]],Ashrae90.1Vent[#All],3,FALSE)</f>
        <v>0.18</v>
      </c>
      <c r="M8" s="99">
        <f>VLOOKUP(Ahu_Ashrae_sheet[[#This Row],[Occupancy Category]],Ashrae90.1Vent[#All],4,FALSE)</f>
        <v>20</v>
      </c>
      <c r="N8" s="99">
        <f>VLOOKUP(Ahu_Ashrae_sheet[[#This Row],[Occupancy Category]],Ashrae90.1Vent[#All],5,FALSE)</f>
        <v>3</v>
      </c>
      <c r="O8" s="99">
        <f>CEILING((M8/1000)*C8,1)</f>
        <v>20</v>
      </c>
      <c r="P8" s="100">
        <f>(Ahu_Ashrae_sheet[[#This Row],[RP
(CFM/PER PERSON)]]*Ahu_Ashrae_sheet[[#This Row],[Occupants]])+(Ahu_Ashrae_sheet[[#This Row],[RA
(CFM/FT²)]]*Ahu_Ashrae_sheet[[#This Row],[AREA 
(FT²)]])</f>
        <v>380</v>
      </c>
      <c r="Q8" s="143">
        <v>0.8</v>
      </c>
      <c r="R8" s="100">
        <f>P8/Q8</f>
        <v>475</v>
      </c>
      <c r="S8" s="100">
        <f>Ahu_Ashrae_sheet[[#This Row],[Voz]]</f>
        <v>475</v>
      </c>
      <c r="T8" s="144">
        <v>0</v>
      </c>
      <c r="U8" s="100" t="str">
        <f>IF(Ahu_Ashrae_sheet[[#This Row],[Exhaust Category]] = "NOT APPLICABLE","NR","YES")</f>
        <v>NR</v>
      </c>
      <c r="V8" s="100" t="str">
        <f>IF(Ahu_Ashrae_sheet[[#This Row],[Exhaust Category]]="NOT APPLICABLE","NA",VLOOKUP(Ahu_Ashrae_sheet[[#This Row],[Exhaust Category]],ASHRAE_EA_Table[#All],2,FALSE))</f>
        <v>NA</v>
      </c>
      <c r="W8" s="100" t="str">
        <f>IF(Ahu_Ashrae_sheet[[#This Row],[Exhaust Category]]="NOT APPLICABLE","NA",VLOOKUP(Ahu_Ashrae_sheet[[#This Row],[Exhaust Category]],ASHRAE_EA_Table[#All],3,FALSE))</f>
        <v>NA</v>
      </c>
      <c r="X8" s="99">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0</v>
      </c>
      <c r="Y8" s="144" cm="1">
        <f t="array" aca="1" ref="Y8"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1000</v>
      </c>
      <c r="Z8" s="144" cm="1">
        <f t="array" aca="1" ref="Z8" ca="1">Returnair(Ahu_Ashrae_sheet[[#This Row],[DESIGN SA(CFM)]],Ahu_Ashrae_sheet[[#This Row],[Desired Room Balance]],Ahu_Ashrae_sheet[[#This Row],[Exhausted?]],Ahu_Ashrae_sheet[[#This Row],[Misc Exhaust From Room]])</f>
        <v>950</v>
      </c>
      <c r="AA8" s="144" cm="1">
        <f t="array" aca="1" ref="AA8" ca="1">Exhaustair(Ahu_Ashrae_sheet[[#This Row],[DESIGN SA(CFM)]],Ahu_Ashrae_sheet[[#This Row],[Exhausted?]],Ahu_Ashrae_sheet[[#This Row],[MIN ASHRAE EA
(CFM)]],Ahu_Ashrae_sheet[[#This Row],[Desired Room Balance]],Ahu_Ashrae_sheet[[#This Row],[Misc Exhaust From Room]])</f>
        <v>0</v>
      </c>
      <c r="AB8" s="100">
        <f ca="1">Ahu_Ashrae_sheet[[#This Row],[DESIGN SA(CFM)]]-Ahu_Ashrae_sheet[[#This Row],[DESIGN RA(CFM)]]-Ahu_Ashrae_sheet[[#This Row],[DESIGN EA(CFM)]]</f>
        <v>50</v>
      </c>
      <c r="AC8" s="69">
        <f ca="1">Ahu_Ashrae_sheet[[#This Row],[OUTSIDE AIRFLOW (CFM) (Vot)]]/Ahu_Ashrae_sheet[[#This Row],[DESIGN SA(CFM)]]</f>
        <v>0.47499999999999998</v>
      </c>
    </row>
    <row r="9" spans="1:29" ht="15.6">
      <c r="A9" s="63"/>
      <c r="B9" s="344">
        <f>SUBTOTAL(103,Ahu_Ashrae_sheet[Room])</f>
        <v>3</v>
      </c>
      <c r="C9" s="345">
        <f>SUBTOTAL(109,Ahu_Ashrae_sheet[AREA 
(FT²)])</f>
        <v>2250</v>
      </c>
      <c r="D9" s="345"/>
      <c r="E9" s="346"/>
      <c r="F9" s="347"/>
      <c r="G9" s="347">
        <f>SUBTOTAL(109,Ahu_Ashrae_sheet[HEATING LOAD (CFM)])</f>
        <v>0</v>
      </c>
      <c r="H9" s="348">
        <f>SUBTOTAL(109,Ahu_Ashrae_sheet[COOLING LOAD (CFM)])</f>
        <v>630</v>
      </c>
      <c r="I9" s="63"/>
      <c r="J9" s="63"/>
      <c r="K9" s="349"/>
      <c r="L9" s="349"/>
      <c r="M9" s="349"/>
      <c r="N9" s="349"/>
      <c r="O9" s="351">
        <f>SUBTOTAL(109,Ahu_Ashrae_sheet[Occupants])</f>
        <v>30</v>
      </c>
      <c r="P9" s="349"/>
      <c r="Q9" s="349"/>
      <c r="R9" s="349"/>
      <c r="S9" s="350">
        <f>SUBTOTAL(109,Ahu_Ashrae_sheet[OUTSIDE AIRFLOW (CFM) (Vot)])</f>
        <v>687.5</v>
      </c>
      <c r="T9" s="350"/>
      <c r="U9" s="350"/>
      <c r="V9" s="349"/>
      <c r="W9" s="349"/>
      <c r="X9" s="349"/>
      <c r="Y9" s="350">
        <f ca="1">SUBTOTAL(109,Ahu_Ashrae_sheet[DESIGN SA(CFM)])</f>
        <v>2200</v>
      </c>
      <c r="Z9" s="350">
        <f ca="1">SUBTOTAL(109,Ahu_Ashrae_sheet[DESIGN RA(CFM)])</f>
        <v>1900</v>
      </c>
      <c r="AA9" s="350">
        <f ca="1">SUBTOTAL(109,Ahu_Ashrae_sheet[DESIGN EA(CFM)])</f>
        <v>250</v>
      </c>
      <c r="AB9" s="349"/>
      <c r="AC9" s="75"/>
    </row>
    <row r="20" spans="23:23">
      <c r="W20" s="23"/>
    </row>
  </sheetData>
  <mergeCells count="4">
    <mergeCell ref="A4:H4"/>
    <mergeCell ref="Y4:AB4"/>
    <mergeCell ref="I4:X4"/>
    <mergeCell ref="Q1:S1"/>
  </mergeCells>
  <phoneticPr fontId="12" type="noConversion"/>
  <conditionalFormatting sqref="Y6:Y9">
    <cfRule type="dataBar" priority="16">
      <dataBar>
        <cfvo type="min"/>
        <cfvo type="max"/>
        <color rgb="FF638EC6"/>
      </dataBar>
      <extLst>
        <ext xmlns:x14="http://schemas.microsoft.com/office/spreadsheetml/2009/9/main" uri="{B025F937-C7B1-47D3-B67F-A62EFF666E3E}">
          <x14:id>{CDE7D3AC-6ACE-4480-AF63-3CEA9CC185CA}</x14:id>
        </ext>
      </extLst>
    </cfRule>
  </conditionalFormatting>
  <dataValidations disablePrompts="1" count="1">
    <dataValidation type="whole" allowBlank="1" showInputMessage="1" showErrorMessage="1" sqref="T1" xr:uid="{0FF2DACB-E873-4686-816C-C9844AD71ACA}">
      <formula1>-1</formula1>
      <formula2>99999</formula2>
    </dataValidation>
  </dataValidations>
  <pageMargins left="0.7" right="0.7" top="0.75" bottom="0.75" header="0.3" footer="0.3"/>
  <ignoredErrors>
    <ignoredError sqref="V6:X6"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66567" r:id="rId3" name="Button 7">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CDE7D3AC-6ACE-4480-AF63-3CEA9CC185CA}">
            <x14:dataBar minLength="0" maxLength="100" border="1" negativeBarBorderColorSameAsPositive="0">
              <x14:cfvo type="autoMin"/>
              <x14:cfvo type="autoMax"/>
              <x14:borderColor rgb="FF638EC6"/>
              <x14:negativeFillColor rgb="FFFF0000"/>
              <x14:negativeBorderColor rgb="FFFF0000"/>
              <x14:axisColor rgb="FF000000"/>
            </x14:dataBar>
          </x14:cfRule>
          <xm:sqref>Y6:Y9</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459E1751-F435-4792-AED9-8F254AC74D34}">
          <x14:formula1>
            <xm:f>'ASHRAE Table'!$Q$3:$Q$13</xm:f>
          </x14:formula1>
          <xm:sqref>Q6:Q8</xm:sqref>
        </x14:dataValidation>
        <x14:dataValidation type="list" allowBlank="1" showInputMessage="1" showErrorMessage="1" xr:uid="{24E0B1E6-5BE9-44A1-B116-13515694B900}">
          <x14:formula1>
            <xm:f>'ASHRAE Table'!$J$2:$J$37</xm:f>
          </x14:formula1>
          <xm:sqref>I6:I8</xm:sqref>
        </x14:dataValidation>
        <x14:dataValidation type="list" allowBlank="1" showInputMessage="1" showErrorMessage="1" xr:uid="{86BBE610-6A86-453B-AA60-63DE32ACEFAB}">
          <x14:formula1>
            <xm:f>'ASHRAE Table'!$A$2:$A$93</xm:f>
          </x14:formula1>
          <xm:sqref>J6:J8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3147E-0D8F-4266-8282-75E0A49D7AAC}">
  <sheetPr codeName="Sheet17"/>
  <dimension ref="A1:AD22"/>
  <sheetViews>
    <sheetView showGridLines="0" topLeftCell="S1" zoomScale="85" zoomScaleNormal="85" workbookViewId="0">
      <selection activeCell="Y17" sqref="Y17"/>
    </sheetView>
  </sheetViews>
  <sheetFormatPr defaultRowHeight="13.2"/>
  <cols>
    <col min="1" max="1" width="17.77734375" customWidth="1"/>
    <col min="2" max="2" width="20.77734375" customWidth="1"/>
    <col min="3" max="3" width="12.44140625" bestFit="1" customWidth="1"/>
    <col min="4" max="4" width="13.5546875" customWidth="1"/>
    <col min="5" max="5" width="14.21875" bestFit="1" customWidth="1"/>
    <col min="6" max="6" width="21" bestFit="1" customWidth="1"/>
    <col min="7" max="7" width="14.77734375" bestFit="1" customWidth="1"/>
    <col min="8" max="8" width="15.109375" bestFit="1" customWidth="1"/>
    <col min="9" max="11" width="25.109375" bestFit="1" customWidth="1"/>
    <col min="12" max="13" width="50.6640625" bestFit="1" customWidth="1"/>
    <col min="14" max="14" width="13.6640625" customWidth="1"/>
    <col min="15" max="15" width="14.5546875" customWidth="1"/>
    <col min="16" max="16" width="11.33203125" bestFit="1" customWidth="1"/>
    <col min="17" max="17" width="18.44140625" customWidth="1"/>
    <col min="18" max="18" width="14.10937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24.5546875" bestFit="1" customWidth="1"/>
    <col min="28" max="28" width="15.5546875" bestFit="1" customWidth="1"/>
    <col min="29" max="29" width="15.44140625" bestFit="1" customWidth="1"/>
  </cols>
  <sheetData>
    <row r="1" spans="1:30" ht="17.399999999999999">
      <c r="J1" s="298" t="s">
        <v>929</v>
      </c>
      <c r="K1" s="299" t="s">
        <v>111</v>
      </c>
      <c r="Q1" s="405" t="s">
        <v>885</v>
      </c>
      <c r="R1" s="405"/>
      <c r="S1" s="405"/>
      <c r="T1" s="299">
        <v>0</v>
      </c>
    </row>
    <row r="4" spans="1:30" s="360" customFormat="1" ht="20.399999999999999">
      <c r="A4" s="406" t="s">
        <v>753</v>
      </c>
      <c r="B4" s="406"/>
      <c r="C4" s="406"/>
      <c r="D4" s="406"/>
      <c r="E4" s="406"/>
      <c r="F4" s="406"/>
      <c r="G4" s="406"/>
      <c r="H4" s="406"/>
      <c r="I4" s="406"/>
      <c r="J4" s="407" t="s">
        <v>921</v>
      </c>
      <c r="K4" s="408"/>
      <c r="L4" s="408"/>
      <c r="M4" s="408"/>
      <c r="N4" s="408"/>
      <c r="O4" s="408"/>
      <c r="P4" s="408"/>
      <c r="Q4" s="408"/>
      <c r="R4" s="408"/>
      <c r="S4" s="408"/>
      <c r="T4" s="408"/>
      <c r="U4" s="408"/>
      <c r="V4" s="408"/>
      <c r="W4" s="408"/>
      <c r="X4" s="408"/>
      <c r="Y4" s="409"/>
      <c r="Z4" s="406" t="s">
        <v>256</v>
      </c>
      <c r="AA4" s="406"/>
      <c r="AB4" s="406"/>
      <c r="AC4" s="406"/>
    </row>
    <row r="5" spans="1:30" s="11" customFormat="1" ht="124.8">
      <c r="A5" s="287" t="s">
        <v>5</v>
      </c>
      <c r="B5" s="64" t="s">
        <v>81</v>
      </c>
      <c r="C5" s="63" t="s">
        <v>82</v>
      </c>
      <c r="D5" s="64" t="s">
        <v>257</v>
      </c>
      <c r="E5" s="287" t="s">
        <v>931</v>
      </c>
      <c r="F5" s="287" t="s">
        <v>737</v>
      </c>
      <c r="G5" s="64" t="s">
        <v>84</v>
      </c>
      <c r="H5" s="64" t="s">
        <v>85</v>
      </c>
      <c r="I5" s="302" t="s">
        <v>884</v>
      </c>
      <c r="J5" s="302" t="s">
        <v>883</v>
      </c>
      <c r="K5" s="65" t="s">
        <v>22</v>
      </c>
      <c r="L5" s="64" t="s">
        <v>744</v>
      </c>
      <c r="M5" s="64" t="s">
        <v>86</v>
      </c>
      <c r="N5" s="64" t="s">
        <v>923</v>
      </c>
      <c r="O5" s="64" t="s">
        <v>922</v>
      </c>
      <c r="P5" s="64" t="s">
        <v>920</v>
      </c>
      <c r="Q5" s="64" t="s">
        <v>925</v>
      </c>
      <c r="R5" s="64" t="s">
        <v>28</v>
      </c>
      <c r="S5" s="64" t="s">
        <v>930</v>
      </c>
      <c r="T5" s="66" t="s">
        <v>926</v>
      </c>
      <c r="U5" s="66" t="s">
        <v>927</v>
      </c>
      <c r="V5" s="361" t="s">
        <v>928</v>
      </c>
      <c r="W5" s="66" t="s">
        <v>739</v>
      </c>
      <c r="X5" s="66" t="s">
        <v>37</v>
      </c>
      <c r="Y5" s="66" t="s">
        <v>38</v>
      </c>
      <c r="Z5" s="64" t="s">
        <v>924</v>
      </c>
      <c r="AA5" s="66" t="s">
        <v>262</v>
      </c>
      <c r="AB5" s="66" t="s">
        <v>263</v>
      </c>
      <c r="AC5" s="64" t="s">
        <v>95</v>
      </c>
      <c r="AD5" s="67" t="s">
        <v>41</v>
      </c>
    </row>
    <row r="6" spans="1:30" ht="15.6">
      <c r="A6" s="309" t="s">
        <v>933</v>
      </c>
      <c r="B6" s="97">
        <v>123</v>
      </c>
      <c r="C6" s="97" t="s">
        <v>740</v>
      </c>
      <c r="D6" s="97">
        <v>250</v>
      </c>
      <c r="E6" s="97"/>
      <c r="F6" s="97">
        <v>-50</v>
      </c>
      <c r="G6" s="97">
        <v>0</v>
      </c>
      <c r="H6" s="116">
        <f>IF((VLOOKUP(Ahu_t24_sheet[[#This Row],[Occupancy Category]],T24_VENT[#All],6,FALSE)) = "YES",MROUND(D6/2,5),MROUND(D6,5))</f>
        <v>250</v>
      </c>
      <c r="I6" s="97">
        <v>80</v>
      </c>
      <c r="J6" s="97">
        <v>2000</v>
      </c>
      <c r="K6" s="97" t="s">
        <v>48</v>
      </c>
      <c r="L6" s="144">
        <v>0</v>
      </c>
      <c r="M6" s="97" t="s">
        <v>814</v>
      </c>
      <c r="N6" s="97" t="s">
        <v>111</v>
      </c>
      <c r="O6" s="97">
        <v>150</v>
      </c>
      <c r="P6" s="99">
        <f>VLOOKUP(Ahu_t24_sheet[[#This Row],[Occupancy Category]],T24_VENT[#All],2,FALSE)</f>
        <v>0.15</v>
      </c>
      <c r="Q6" s="99">
        <f>VLOOKUP(Ahu_t24_sheet[[#This Row],[Occupancy Category]],T24_VENT[#All],3,FALSE)</f>
        <v>0</v>
      </c>
      <c r="R6" s="99">
        <f>VLOOKUP(Ahu_t24_sheet[[#This Row],[Occupancy Category]],T24_VENT[#All],4,FALSE)</f>
        <v>2</v>
      </c>
      <c r="S6" s="99" t="str">
        <f>VLOOKUP(Ahu_t24_sheet[[#This Row],[Occupancy Category]],T24_VENT[#All],5,FALSE)</f>
        <v>NO</v>
      </c>
      <c r="T6"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6" s="100">
        <f>IF(AND(Ahu_t24_sheet[[#This Row],[Occupancy Sensor Installed?]]="YES",Ahu_t24_sheet[[#This Row],[Occupancy Stanby Permitted?]]="YES"),0,Ahu_t24_sheet[[#This Row],[MIN VENT AIR FOR DCV (CFM/FT²)]]*Ahu_t24_sheet[[#This Row],[AREA 
(FT²)]])</f>
        <v>0</v>
      </c>
      <c r="V6" s="100" t="str">
        <f>IF(AND(OR(($K$1 = "YES"),Ahu_t24_sheet[[#Totals],[Vz (CFM)]]&gt;2900),( VLOOKUP(Ahu_t24_sheet[[#This Row],[Occupancy Category]],T24_VENT[#All],7,FALSE))&gt;24),"YES","NO")</f>
        <v>NO</v>
      </c>
      <c r="W6" s="100" t="str">
        <f>IF(Ahu_t24_sheet[[#This Row],[Exhaust Category]] = "NOT APPLICABLE","NR","YES")</f>
        <v>NR</v>
      </c>
      <c r="X6" s="100" t="str">
        <f>IF(Ahu_t24_sheet[[#This Row],[Exhaust Category]]="NOT APPLICABLE","NA",VLOOKUP(Ahu_t24_sheet[[#This Row],[Exhaust Category]],TITLE24_EXHAUST_TABLE[#All],2,FALSE))</f>
        <v>NA</v>
      </c>
      <c r="Y6" s="100" t="str">
        <f>IF(Ahu_t24_sheet[[#This Row],[Exhaust Category]]="NOT APPLICABLE","NA",VLOOKUP(Ahu_t24_sheet[[#This Row],[Exhaust Category]],TITLE24_EXHAUST_TABLE[#All],3,FALSE))</f>
        <v>NA</v>
      </c>
      <c r="Z6"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6" s="144" cm="1">
        <f t="array" aca="1" ref="AA6"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6" s="144" cm="1">
        <f t="array" aca="1" ref="AB6" ca="1">Returnair(Ahu_t24_sheet[[#This Row],[DESIGN SA(CFM)]],Ahu_t24_sheet[[#This Row],[Desired Room Balance]],Ahu_t24_sheet[[#This Row],[Exhausted?]],Ahu_t24_sheet[[#This Row],[Misc Exhaust From Room]])</f>
        <v>2300</v>
      </c>
      <c r="AC6" s="144" cm="1">
        <f t="array" aca="1" ref="AC6" ca="1">Exhaustair(Ahu_t24_sheet[[#This Row],[DESIGN SA(CFM)]],Ahu_t24_sheet[[#This Row],[Exhausted?]],Ahu_t24_sheet[[#This Row],[MIN EA
(CFM)]],Ahu_t24_sheet[[#This Row],[Desired Room Balance]],Ahu_t24_sheet[[#This Row],[Misc Exhaust From Room]])</f>
        <v>0</v>
      </c>
      <c r="AD6" s="100">
        <f ca="1">Ahu_t24_sheet[[#This Row],[DESIGN SA(CFM)]]-Ahu_t24_sheet[[#This Row],[DESIGN RA(CFM)]]-Ahu_t24_sheet[[#This Row],[DESIGN EA(CFM)]]</f>
        <v>-50</v>
      </c>
    </row>
    <row r="7" spans="1:30" ht="15.6">
      <c r="A7" s="144" t="s">
        <v>934</v>
      </c>
      <c r="B7" s="97">
        <v>344</v>
      </c>
      <c r="C7" s="97" t="s">
        <v>751</v>
      </c>
      <c r="D7" s="97">
        <v>1000</v>
      </c>
      <c r="E7" s="97"/>
      <c r="F7" s="97">
        <v>100</v>
      </c>
      <c r="G7" s="97">
        <v>0</v>
      </c>
      <c r="H7" s="116">
        <f>IF((VLOOKUP(Ahu_t24_sheet[[#This Row],[Occupancy Category]],T24_VENT[#All],6,FALSE)) = "YES",MROUND(D7/2,5),MROUND(D7,5))</f>
        <v>1000</v>
      </c>
      <c r="I7" s="97">
        <v>90</v>
      </c>
      <c r="J7" s="97">
        <v>1800</v>
      </c>
      <c r="K7" s="97" t="s">
        <v>48</v>
      </c>
      <c r="L7" s="144">
        <v>0</v>
      </c>
      <c r="M7" s="97" t="s">
        <v>876</v>
      </c>
      <c r="N7" s="97" t="s">
        <v>49</v>
      </c>
      <c r="O7" s="97">
        <v>0</v>
      </c>
      <c r="P7" s="99">
        <f>VLOOKUP(Ahu_t24_sheet[[#This Row],[Occupancy Category]],T24_VENT[#All],2,FALSE)</f>
        <v>0.38</v>
      </c>
      <c r="Q7" s="99">
        <f>VLOOKUP(Ahu_t24_sheet[[#This Row],[Occupancy Category]],T24_VENT[#All],3,FALSE)</f>
        <v>0.15</v>
      </c>
      <c r="R7" s="99">
        <f>VLOOKUP(Ahu_t24_sheet[[#This Row],[Occupancy Category]],T24_VENT[#All],4,FALSE)</f>
        <v>1</v>
      </c>
      <c r="S7" s="99" t="str">
        <f>VLOOKUP(Ahu_t24_sheet[[#This Row],[Occupancy Category]],T24_VENT[#All],5,FALSE)</f>
        <v>NO</v>
      </c>
      <c r="T7"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380</v>
      </c>
      <c r="U7" s="100">
        <f>IF(AND(Ahu_t24_sheet[[#This Row],[Occupancy Sensor Installed?]]="YES",Ahu_t24_sheet[[#This Row],[Occupancy Stanby Permitted?]]="YES"),0,Ahu_t24_sheet[[#This Row],[MIN VENT AIR FOR DCV (CFM/FT²)]]*Ahu_t24_sheet[[#This Row],[AREA 
(FT²)]])</f>
        <v>150</v>
      </c>
      <c r="V7" s="100" t="str">
        <f>IF(AND(OR(($K$1 = "YES"),Ahu_t24_sheet[[#Totals],[Vz (CFM)]]&gt;2900),( VLOOKUP(Ahu_t24_sheet[[#This Row],[Occupancy Category]],T24_VENT[#All],7,FALSE))&gt;24),"YES","NO")</f>
        <v>YES</v>
      </c>
      <c r="W7" s="100" t="str">
        <f>IF(Ahu_t24_sheet[[#This Row],[Exhaust Category]] = "NOT APPLICABLE","NR","YES")</f>
        <v>NR</v>
      </c>
      <c r="X7" s="100" t="str">
        <f>IF(Ahu_t24_sheet[[#This Row],[Exhaust Category]]="NOT APPLICABLE","NA",VLOOKUP(Ahu_t24_sheet[[#This Row],[Exhaust Category]],TITLE24_EXHAUST_TABLE[#All],2,FALSE))</f>
        <v>NA</v>
      </c>
      <c r="Y7" s="100" t="str">
        <f>IF(Ahu_t24_sheet[[#This Row],[Exhaust Category]]="NOT APPLICABLE","NA",VLOOKUP(Ahu_t24_sheet[[#This Row],[Exhaust Category]],TITLE24_EXHAUST_TABLE[#All],3,FALSE))</f>
        <v>NA</v>
      </c>
      <c r="Z7"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7" s="144" cm="1">
        <f t="array" aca="1" ref="AA7"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1800</v>
      </c>
      <c r="AB7" s="144" cm="1">
        <f t="array" aca="1" ref="AB7" ca="1">Returnair(Ahu_t24_sheet[[#This Row],[DESIGN SA(CFM)]],Ahu_t24_sheet[[#This Row],[Desired Room Balance]],Ahu_t24_sheet[[#This Row],[Exhausted?]],Ahu_t24_sheet[[#This Row],[Misc Exhaust From Room]])</f>
        <v>1700</v>
      </c>
      <c r="AC7" s="144" cm="1">
        <f t="array" aca="1" ref="AC7" ca="1">Exhaustair(Ahu_t24_sheet[[#This Row],[DESIGN SA(CFM)]],Ahu_t24_sheet[[#This Row],[Exhausted?]],Ahu_t24_sheet[[#This Row],[MIN EA
(CFM)]],Ahu_t24_sheet[[#This Row],[Desired Room Balance]],Ahu_t24_sheet[[#This Row],[Misc Exhaust From Room]])</f>
        <v>0</v>
      </c>
      <c r="AD7" s="100">
        <f ca="1">Ahu_t24_sheet[[#This Row],[DESIGN SA(CFM)]]-Ahu_t24_sheet[[#This Row],[DESIGN RA(CFM)]]-Ahu_t24_sheet[[#This Row],[DESIGN EA(CFM)]]</f>
        <v>100</v>
      </c>
    </row>
    <row r="8" spans="1:30" ht="15.6">
      <c r="A8" s="362" t="s">
        <v>935</v>
      </c>
      <c r="B8" s="97">
        <v>566</v>
      </c>
      <c r="C8" s="97" t="s">
        <v>752</v>
      </c>
      <c r="D8" s="97">
        <v>1000</v>
      </c>
      <c r="E8" s="97"/>
      <c r="F8" s="97">
        <v>-50</v>
      </c>
      <c r="G8" s="97">
        <v>0</v>
      </c>
      <c r="H8" s="116">
        <f>IF((VLOOKUP(Ahu_t24_sheet[[#This Row],[Occupancy Category]],T24_VENT[#All],6,FALSE)) = "YES",MROUND(D8/2,5),MROUND(D8,5))</f>
        <v>1000</v>
      </c>
      <c r="I8" s="97">
        <v>100</v>
      </c>
      <c r="J8" s="97">
        <v>2000</v>
      </c>
      <c r="K8" s="97" t="s">
        <v>48</v>
      </c>
      <c r="L8" s="144">
        <v>0</v>
      </c>
      <c r="M8" s="97" t="s">
        <v>869</v>
      </c>
      <c r="N8" s="97" t="s">
        <v>49</v>
      </c>
      <c r="O8" s="97">
        <v>0</v>
      </c>
      <c r="P8" s="99">
        <f>VLOOKUP(Ahu_t24_sheet[[#This Row],[Occupancy Category]],T24_VENT[#All],2,FALSE)</f>
        <v>0.15</v>
      </c>
      <c r="Q8" s="99">
        <f>VLOOKUP(Ahu_t24_sheet[[#This Row],[Occupancy Category]],T24_VENT[#All],3,FALSE)</f>
        <v>0</v>
      </c>
      <c r="R8" s="99">
        <f>VLOOKUP(Ahu_t24_sheet[[#This Row],[Occupancy Category]],T24_VENT[#All],4,FALSE)</f>
        <v>1</v>
      </c>
      <c r="S8" s="99" t="str">
        <f>VLOOKUP(Ahu_t24_sheet[[#This Row],[Occupancy Category]],T24_VENT[#All],5,FALSE)</f>
        <v>NO</v>
      </c>
      <c r="T8"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150</v>
      </c>
      <c r="U8" s="100">
        <f>IF(AND(Ahu_t24_sheet[[#This Row],[Occupancy Sensor Installed?]]="YES",Ahu_t24_sheet[[#This Row],[Occupancy Stanby Permitted?]]="YES"),0,Ahu_t24_sheet[[#This Row],[MIN VENT AIR FOR DCV (CFM/FT²)]]*Ahu_t24_sheet[[#This Row],[AREA 
(FT²)]])</f>
        <v>0</v>
      </c>
      <c r="V8" s="100" t="str">
        <f>IF(AND(OR(($K$1 = "YES"),Ahu_t24_sheet[[#Totals],[Vz (CFM)]]&gt;2900),( VLOOKUP(Ahu_t24_sheet[[#This Row],[Occupancy Category]],T24_VENT[#All],7,FALSE))&gt;24),"YES","NO")</f>
        <v>YES</v>
      </c>
      <c r="W8" s="100" t="str">
        <f>IF(Ahu_t24_sheet[[#This Row],[Exhaust Category]] = "NOT APPLICABLE","NR","YES")</f>
        <v>NR</v>
      </c>
      <c r="X8" s="100" t="str">
        <f>IF(Ahu_t24_sheet[[#This Row],[Exhaust Category]]="NOT APPLICABLE","NA",VLOOKUP(Ahu_t24_sheet[[#This Row],[Exhaust Category]],TITLE24_EXHAUST_TABLE[#All],2,FALSE))</f>
        <v>NA</v>
      </c>
      <c r="Y8" s="100" t="str">
        <f>IF(Ahu_t24_sheet[[#This Row],[Exhaust Category]]="NOT APPLICABLE","NA",VLOOKUP(Ahu_t24_sheet[[#This Row],[Exhaust Category]],TITLE24_EXHAUST_TABLE[#All],3,FALSE))</f>
        <v>NA</v>
      </c>
      <c r="Z8"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8" s="144" cm="1">
        <f t="array" aca="1" ref="AA8"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2000</v>
      </c>
      <c r="AB8" s="144" cm="1">
        <f t="array" aca="1" ref="AB8" ca="1">Returnair(Ahu_t24_sheet[[#This Row],[DESIGN SA(CFM)]],Ahu_t24_sheet[[#This Row],[Desired Room Balance]],Ahu_t24_sheet[[#This Row],[Exhausted?]],Ahu_t24_sheet[[#This Row],[Misc Exhaust From Room]])</f>
        <v>2050</v>
      </c>
      <c r="AC8" s="144" cm="1">
        <f t="array" aca="1" ref="AC8" ca="1">Exhaustair(Ahu_t24_sheet[[#This Row],[DESIGN SA(CFM)]],Ahu_t24_sheet[[#This Row],[Exhausted?]],Ahu_t24_sheet[[#This Row],[MIN EA
(CFM)]],Ahu_t24_sheet[[#This Row],[Desired Room Balance]],Ahu_t24_sheet[[#This Row],[Misc Exhaust From Room]])</f>
        <v>0</v>
      </c>
      <c r="AD8" s="100">
        <f ca="1">Ahu_t24_sheet[[#This Row],[DESIGN SA(CFM)]]-Ahu_t24_sheet[[#This Row],[DESIGN RA(CFM)]]-Ahu_t24_sheet[[#This Row],[DESIGN EA(CFM)]]</f>
        <v>-50</v>
      </c>
    </row>
    <row r="9" spans="1:30" ht="15.6">
      <c r="A9" s="309" t="s">
        <v>933</v>
      </c>
      <c r="B9" s="97">
        <v>123</v>
      </c>
      <c r="C9" s="97" t="s">
        <v>740</v>
      </c>
      <c r="D9" s="97">
        <v>250</v>
      </c>
      <c r="E9" s="97"/>
      <c r="F9" s="97">
        <v>-50</v>
      </c>
      <c r="G9" s="97">
        <v>0</v>
      </c>
      <c r="H9" s="116">
        <f>IF((VLOOKUP(Ahu_t24_sheet[[#This Row],[Occupancy Category]],T24_VENT[#All],6,FALSE)) = "YES",MROUND(D9/2,5),MROUND(D9,5))</f>
        <v>250</v>
      </c>
      <c r="I9" s="97">
        <v>80</v>
      </c>
      <c r="J9" s="97">
        <v>2000</v>
      </c>
      <c r="K9" s="97" t="s">
        <v>48</v>
      </c>
      <c r="L9" s="144">
        <v>0</v>
      </c>
      <c r="M9" s="97" t="s">
        <v>814</v>
      </c>
      <c r="N9" s="97" t="s">
        <v>111</v>
      </c>
      <c r="O9" s="97">
        <v>150</v>
      </c>
      <c r="P9" s="99">
        <f>VLOOKUP(Ahu_t24_sheet[[#This Row],[Occupancy Category]],T24_VENT[#All],2,FALSE)</f>
        <v>0.15</v>
      </c>
      <c r="Q9" s="99">
        <f>VLOOKUP(Ahu_t24_sheet[[#This Row],[Occupancy Category]],T24_VENT[#All],3,FALSE)</f>
        <v>0</v>
      </c>
      <c r="R9" s="99">
        <f>VLOOKUP(Ahu_t24_sheet[[#This Row],[Occupancy Category]],T24_VENT[#All],4,FALSE)</f>
        <v>2</v>
      </c>
      <c r="S9" s="99" t="str">
        <f>VLOOKUP(Ahu_t24_sheet[[#This Row],[Occupancy Category]],T24_VENT[#All],5,FALSE)</f>
        <v>NO</v>
      </c>
      <c r="T9"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9" s="100">
        <f>IF(AND(Ahu_t24_sheet[[#This Row],[Occupancy Sensor Installed?]]="YES",Ahu_t24_sheet[[#This Row],[Occupancy Stanby Permitted?]]="YES"),0,Ahu_t24_sheet[[#This Row],[MIN VENT AIR FOR DCV (CFM/FT²)]]*Ahu_t24_sheet[[#This Row],[AREA 
(FT²)]])</f>
        <v>0</v>
      </c>
      <c r="V9" s="100" t="str">
        <f>IF(AND(OR(($K$1 = "YES"),Ahu_t24_sheet[[#Totals],[Vz (CFM)]]&gt;2900),( VLOOKUP(Ahu_t24_sheet[[#This Row],[Occupancy Category]],T24_VENT[#All],7,FALSE))&gt;24),"YES","NO")</f>
        <v>NO</v>
      </c>
      <c r="W9" s="100" t="str">
        <f>IF(Ahu_t24_sheet[[#This Row],[Exhaust Category]] = "NOT APPLICABLE","NR","YES")</f>
        <v>NR</v>
      </c>
      <c r="X9" s="100" t="str">
        <f>IF(Ahu_t24_sheet[[#This Row],[Exhaust Category]]="NOT APPLICABLE","NA",VLOOKUP(Ahu_t24_sheet[[#This Row],[Exhaust Category]],TITLE24_EXHAUST_TABLE[#All],2,FALSE))</f>
        <v>NA</v>
      </c>
      <c r="Y9" s="100" t="str">
        <f>IF(Ahu_t24_sheet[[#This Row],[Exhaust Category]]="NOT APPLICABLE","NA",VLOOKUP(Ahu_t24_sheet[[#This Row],[Exhaust Category]],TITLE24_EXHAUST_TABLE[#All],3,FALSE))</f>
        <v>NA</v>
      </c>
      <c r="Z9"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9" s="144" cm="1">
        <f t="array" aca="1" ref="AA9"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9" s="144" cm="1">
        <f t="array" aca="1" ref="AB9" ca="1">Returnair(Ahu_t24_sheet[[#This Row],[DESIGN SA(CFM)]],Ahu_t24_sheet[[#This Row],[Desired Room Balance]],Ahu_t24_sheet[[#This Row],[Exhausted?]],Ahu_t24_sheet[[#This Row],[Misc Exhaust From Room]])</f>
        <v>2300</v>
      </c>
      <c r="AC9" s="144" cm="1">
        <f t="array" aca="1" ref="AC9" ca="1">Exhaustair(Ahu_t24_sheet[[#This Row],[DESIGN SA(CFM)]],Ahu_t24_sheet[[#This Row],[Exhausted?]],Ahu_t24_sheet[[#This Row],[MIN EA
(CFM)]],Ahu_t24_sheet[[#This Row],[Desired Room Balance]],Ahu_t24_sheet[[#This Row],[Misc Exhaust From Room]])</f>
        <v>0</v>
      </c>
      <c r="AD9" s="100">
        <f ca="1">Ahu_t24_sheet[[#This Row],[DESIGN SA(CFM)]]-Ahu_t24_sheet[[#This Row],[DESIGN RA(CFM)]]-Ahu_t24_sheet[[#This Row],[DESIGN EA(CFM)]]</f>
        <v>-50</v>
      </c>
    </row>
    <row r="10" spans="1:30" ht="15.6">
      <c r="A10" s="309" t="s">
        <v>933</v>
      </c>
      <c r="B10" s="97">
        <v>123</v>
      </c>
      <c r="C10" s="97" t="s">
        <v>740</v>
      </c>
      <c r="D10" s="97">
        <v>250</v>
      </c>
      <c r="E10" s="97"/>
      <c r="F10" s="97">
        <v>-50</v>
      </c>
      <c r="G10" s="97">
        <v>0</v>
      </c>
      <c r="H10" s="116">
        <f>IF((VLOOKUP(Ahu_t24_sheet[[#This Row],[Occupancy Category]],T24_VENT[#All],6,FALSE)) = "YES",MROUND(D10/2,5),MROUND(D10,5))</f>
        <v>250</v>
      </c>
      <c r="I10" s="97">
        <v>80</v>
      </c>
      <c r="J10" s="97">
        <v>2000</v>
      </c>
      <c r="K10" s="97" t="s">
        <v>48</v>
      </c>
      <c r="L10" s="144">
        <v>0</v>
      </c>
      <c r="M10" s="97" t="s">
        <v>814</v>
      </c>
      <c r="N10" s="97" t="s">
        <v>111</v>
      </c>
      <c r="O10" s="97">
        <v>150</v>
      </c>
      <c r="P10" s="99">
        <f>VLOOKUP(Ahu_t24_sheet[[#This Row],[Occupancy Category]],T24_VENT[#All],2,FALSE)</f>
        <v>0.15</v>
      </c>
      <c r="Q10" s="99">
        <f>VLOOKUP(Ahu_t24_sheet[[#This Row],[Occupancy Category]],T24_VENT[#All],3,FALSE)</f>
        <v>0</v>
      </c>
      <c r="R10" s="99">
        <f>VLOOKUP(Ahu_t24_sheet[[#This Row],[Occupancy Category]],T24_VENT[#All],4,FALSE)</f>
        <v>2</v>
      </c>
      <c r="S10" s="99" t="str">
        <f>VLOOKUP(Ahu_t24_sheet[[#This Row],[Occupancy Category]],T24_VENT[#All],5,FALSE)</f>
        <v>NO</v>
      </c>
      <c r="T10" s="100">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10" s="100">
        <f>IF(AND(Ahu_t24_sheet[[#This Row],[Occupancy Sensor Installed?]]="YES",Ahu_t24_sheet[[#This Row],[Occupancy Stanby Permitted?]]="YES"),0,Ahu_t24_sheet[[#This Row],[MIN VENT AIR FOR DCV (CFM/FT²)]]*Ahu_t24_sheet[[#This Row],[AREA 
(FT²)]])</f>
        <v>0</v>
      </c>
      <c r="V10" s="100" t="str">
        <f>IF(AND(OR(($K$1 = "YES"),Ahu_t24_sheet[[#Totals],[Vz (CFM)]]&gt;2900),( VLOOKUP(Ahu_t24_sheet[[#This Row],[Occupancy Category]],T24_VENT[#All],7,FALSE))&gt;24),"YES","NO")</f>
        <v>NO</v>
      </c>
      <c r="W10" s="100" t="str">
        <f>IF(Ahu_t24_sheet[[#This Row],[Exhaust Category]] = "NOT APPLICABLE","NR","YES")</f>
        <v>NR</v>
      </c>
      <c r="X10" s="100" t="str">
        <f>IF(Ahu_t24_sheet[[#This Row],[Exhaust Category]]="NOT APPLICABLE","NA",VLOOKUP(Ahu_t24_sheet[[#This Row],[Exhaust Category]],TITLE24_EXHAUST_TABLE[#All],2,FALSE))</f>
        <v>NA</v>
      </c>
      <c r="Y10" s="100" t="str">
        <f>IF(Ahu_t24_sheet[[#This Row],[Exhaust Category]]="NOT APPLICABLE","NA",VLOOKUP(Ahu_t24_sheet[[#This Row],[Exhaust Category]],TITLE24_EXHAUST_TABLE[#All],3,FALSE))</f>
        <v>NA</v>
      </c>
      <c r="Z10" s="99">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10" s="144" cm="1">
        <f t="array" aca="1" ref="AA10"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10" s="144" cm="1">
        <f t="array" aca="1" ref="AB10" ca="1">Returnair(Ahu_t24_sheet[[#This Row],[DESIGN SA(CFM)]],Ahu_t24_sheet[[#This Row],[Desired Room Balance]],Ahu_t24_sheet[[#This Row],[Exhausted?]],Ahu_t24_sheet[[#This Row],[Misc Exhaust From Room]])</f>
        <v>2300</v>
      </c>
      <c r="AC10" s="144" cm="1">
        <f t="array" aca="1" ref="AC10" ca="1">Exhaustair(Ahu_t24_sheet[[#This Row],[DESIGN SA(CFM)]],Ahu_t24_sheet[[#This Row],[Exhausted?]],Ahu_t24_sheet[[#This Row],[MIN EA
(CFM)]],Ahu_t24_sheet[[#This Row],[Desired Room Balance]],Ahu_t24_sheet[[#This Row],[Misc Exhaust From Room]])</f>
        <v>0</v>
      </c>
      <c r="AD10" s="100">
        <f ca="1">Ahu_t24_sheet[[#This Row],[DESIGN SA(CFM)]]-Ahu_t24_sheet[[#This Row],[DESIGN RA(CFM)]]-Ahu_t24_sheet[[#This Row],[DESIGN EA(CFM)]]</f>
        <v>-50</v>
      </c>
    </row>
    <row r="11" spans="1:30" ht="15.6">
      <c r="A11" s="359"/>
      <c r="B11" s="352"/>
      <c r="C11" s="353">
        <f>SUBTOTAL(103,Ahu_t24_sheet[Room])</f>
        <v>5</v>
      </c>
      <c r="D11" s="354">
        <f>SUBTOTAL(109,Ahu_t24_sheet[AREA 
(FT²)])</f>
        <v>2750</v>
      </c>
      <c r="E11" s="354"/>
      <c r="F11" s="354"/>
      <c r="G11" s="355"/>
      <c r="H11" s="356"/>
      <c r="I11" s="356">
        <f>SUBTOTAL(109,Ahu_t24_sheet[HEATING LOAD (CFM)])</f>
        <v>430</v>
      </c>
      <c r="J11" s="357">
        <f>SUBTOTAL(109,Ahu_t24_sheet[COOLING LOAD (CFM)])</f>
        <v>9800</v>
      </c>
      <c r="K11" s="352"/>
      <c r="L11" s="358"/>
      <c r="M11" s="352"/>
      <c r="N11" s="352"/>
      <c r="O11" s="352"/>
      <c r="P11" s="359"/>
      <c r="Q11" s="359"/>
      <c r="R11" s="359"/>
      <c r="S11" s="359"/>
      <c r="T11" s="358">
        <f>SUBTOTAL(109,Ahu_t24_sheet[Vz (CFM)])</f>
        <v>7280</v>
      </c>
      <c r="U11" s="358"/>
      <c r="V11" s="358"/>
      <c r="W11" s="358"/>
      <c r="X11" s="359"/>
      <c r="Y11" s="359"/>
      <c r="Z11" s="359"/>
      <c r="AA11" s="358">
        <f ca="1">SUBTOTAL(109,Ahu_t24_sheet[DESIGN SA(CFM)])</f>
        <v>10550</v>
      </c>
      <c r="AB11" s="358">
        <f ca="1">SUBTOTAL(109,Ahu_t24_sheet[DESIGN RA(CFM)])</f>
        <v>10650</v>
      </c>
      <c r="AC11" s="358">
        <f ca="1">SUBTOTAL(109,Ahu_t24_sheet[DESIGN EA(CFM)])</f>
        <v>0</v>
      </c>
      <c r="AD11" s="359"/>
    </row>
    <row r="18" spans="23:27">
      <c r="AA18" s="23"/>
    </row>
    <row r="22" spans="23:27">
      <c r="W22" s="23"/>
    </row>
  </sheetData>
  <mergeCells count="4">
    <mergeCell ref="Q1:S1"/>
    <mergeCell ref="Z4:AC4"/>
    <mergeCell ref="A4:I4"/>
    <mergeCell ref="J4:Y4"/>
  </mergeCells>
  <phoneticPr fontId="12" type="noConversion"/>
  <conditionalFormatting sqref="AA6:AA11">
    <cfRule type="dataBar" priority="57">
      <dataBar>
        <cfvo type="min"/>
        <cfvo type="max"/>
        <color rgb="FF638EC6"/>
      </dataBar>
      <extLst>
        <ext xmlns:x14="http://schemas.microsoft.com/office/spreadsheetml/2009/9/main" uri="{B025F937-C7B1-47D3-B67F-A62EFF666E3E}">
          <x14:id>{800C0DD7-8325-4E4B-AA3E-F31FD530CC7A}</x14:id>
        </ext>
      </extLst>
    </cfRule>
  </conditionalFormatting>
  <dataValidations disablePrompts="1" count="3">
    <dataValidation type="whole" allowBlank="1" showInputMessage="1" showErrorMessage="1" sqref="T1" xr:uid="{F6326728-F215-473E-A50A-297231EF34F1}">
      <formula1>-1</formula1>
      <formula2>99999</formula2>
    </dataValidation>
    <dataValidation type="whole" allowBlank="1" showInputMessage="1" showErrorMessage="1" sqref="O6:O10" xr:uid="{73819BAC-3559-4BB3-A08E-42689E427C9D}">
      <formula1>-1</formula1>
      <formula2>100000</formula2>
    </dataValidation>
    <dataValidation type="whole" allowBlank="1" showInputMessage="1" showErrorMessage="1" sqref="L6:L10" xr:uid="{44451214-6102-4326-9581-06F51B74554A}">
      <formula1>-1</formula1>
      <formula2>10000</formula2>
    </dataValidation>
  </dataValidations>
  <pageMargins left="0.7" right="0.7" top="0.75" bottom="0.75" header="0.3" footer="0.3"/>
  <pageSetup orientation="portrait" r:id="rId1"/>
  <ignoredErrors>
    <ignoredError sqref="T6:U6 H6 X6:Y6 P6:R6 AA6:AA8"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00C0DD7-8325-4E4B-AA3E-F31FD530CC7A}">
            <x14:dataBar minLength="0" maxLength="100" border="1" negativeBarBorderColorSameAsPositive="0">
              <x14:cfvo type="autoMin"/>
              <x14:cfvo type="autoMax"/>
              <x14:borderColor rgb="FF638EC6"/>
              <x14:negativeFillColor rgb="FFFF0000"/>
              <x14:negativeBorderColor rgb="FFFF0000"/>
              <x14:axisColor rgb="FF000000"/>
            </x14:dataBar>
          </x14:cfRule>
          <xm:sqref>AA6:AA11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EC3E4FB5-80AC-447F-8340-73BBEE55BD36}">
          <x14:formula1>
            <xm:f>CALIFORNIA_TABLE!$A$2:$A$77</xm:f>
          </x14:formula1>
          <xm:sqref>M6:M10</xm:sqref>
        </x14:dataValidation>
        <x14:dataValidation type="list" allowBlank="1" showInputMessage="1" showErrorMessage="1" xr:uid="{20BDC766-88E0-434C-BC82-6F32CB269DCC}">
          <x14:formula1>
            <xm:f>CALIFORNIA_TABLE!$O$4:$O$5</xm:f>
          </x14:formula1>
          <xm:sqref>N8:N10 N6 K1 E6:E10</xm:sqref>
        </x14:dataValidation>
        <x14:dataValidation type="list" allowBlank="1" showInputMessage="1" showErrorMessage="1" xr:uid="{0322B58E-C623-4957-93D4-DEC81C06832F}">
          <x14:formula1>
            <xm:f>CALIFORNIA_TABLE!$I$2:$I$27</xm:f>
          </x14:formula1>
          <xm:sqref>K6:K10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58DF5-4A53-4078-96E3-1E1752E50D71}">
  <sheetPr codeName="Sheet15">
    <tabColor rgb="FF0070C0"/>
  </sheetPr>
  <dimension ref="A3:M11"/>
  <sheetViews>
    <sheetView workbookViewId="0">
      <selection activeCell="I13" sqref="I13"/>
    </sheetView>
  </sheetViews>
  <sheetFormatPr defaultRowHeight="13.2"/>
  <cols>
    <col min="1" max="1" width="18" style="52" bestFit="1" customWidth="1"/>
    <col min="2" max="2" width="15.33203125" style="52" bestFit="1" customWidth="1"/>
    <col min="3" max="3" width="30.6640625" style="52" bestFit="1" customWidth="1"/>
    <col min="4" max="4" width="9.88671875" style="52" bestFit="1" customWidth="1"/>
    <col min="5" max="6" width="11.33203125" style="52" bestFit="1" customWidth="1"/>
    <col min="7" max="7" width="40.88671875" style="52" bestFit="1" customWidth="1"/>
    <col min="8" max="9" width="29.44140625" style="52" bestFit="1" customWidth="1"/>
    <col min="10" max="10" width="29.5546875" style="52" bestFit="1" customWidth="1"/>
    <col min="11" max="13" width="9.109375" style="52"/>
  </cols>
  <sheetData>
    <row r="3" spans="1:10">
      <c r="A3" s="51" t="s">
        <v>722</v>
      </c>
      <c r="B3" s="51" t="s">
        <v>723</v>
      </c>
      <c r="C3" s="51" t="s">
        <v>732</v>
      </c>
      <c r="D3" s="51" t="s">
        <v>1</v>
      </c>
      <c r="E3" s="51" t="s">
        <v>149</v>
      </c>
      <c r="F3" s="51" t="s">
        <v>151</v>
      </c>
      <c r="G3" s="51" t="s">
        <v>733</v>
      </c>
      <c r="H3" s="51" t="s">
        <v>726</v>
      </c>
      <c r="I3" s="51" t="s">
        <v>725</v>
      </c>
      <c r="J3" s="51" t="s">
        <v>724</v>
      </c>
    </row>
    <row r="4" spans="1:10" ht="13.8">
      <c r="A4" s="281"/>
      <c r="B4" s="280"/>
      <c r="C4" s="280"/>
      <c r="D4" s="280"/>
      <c r="E4" s="280">
        <f>INPUT_OUTPUTS!$C$14</f>
        <v>42</v>
      </c>
      <c r="F4" s="280">
        <f>INPUT_OUTPUTS!$C$15</f>
        <v>56</v>
      </c>
      <c r="G4" s="280">
        <f>Table25[[#This Row],[CHILLER CAPACITY (TONS)]]*1.25*12000</f>
        <v>0</v>
      </c>
      <c r="H4" s="280"/>
      <c r="I4" s="280"/>
      <c r="J4" s="280"/>
    </row>
    <row r="5" spans="1:10" ht="21" customHeight="1"/>
    <row r="10" spans="1:10">
      <c r="A10" s="51" t="s">
        <v>727</v>
      </c>
      <c r="B10" s="51" t="s">
        <v>723</v>
      </c>
      <c r="C10" s="51" t="s">
        <v>731</v>
      </c>
      <c r="D10" s="51" t="s">
        <v>1</v>
      </c>
      <c r="E10" s="51" t="s">
        <v>152</v>
      </c>
      <c r="F10" s="51" t="s">
        <v>153</v>
      </c>
      <c r="G10" s="51" t="s">
        <v>728</v>
      </c>
      <c r="H10" s="51" t="s">
        <v>729</v>
      </c>
      <c r="I10" s="51" t="s">
        <v>730</v>
      </c>
    </row>
    <row r="11" spans="1:10" ht="13.8">
      <c r="A11" s="281"/>
      <c r="B11" s="280"/>
      <c r="C11" s="280"/>
      <c r="D11" s="280"/>
      <c r="E11" s="280">
        <f>INPUT_OUTPUTS!$C$16</f>
        <v>140</v>
      </c>
      <c r="F11" s="280">
        <f>INPUT_OUTPUTS!$C$17</f>
        <v>110</v>
      </c>
      <c r="G11" s="280"/>
      <c r="H11" s="280"/>
      <c r="I11" s="280"/>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F07B-C762-48BB-980B-AC18ECA888C5}">
  <sheetPr codeName="Sheet6">
    <pageSetUpPr fitToPage="1"/>
  </sheetPr>
  <dimension ref="A3:M13"/>
  <sheetViews>
    <sheetView zoomScale="87" zoomScaleNormal="87" workbookViewId="0">
      <selection activeCell="J18" sqref="J18"/>
    </sheetView>
  </sheetViews>
  <sheetFormatPr defaultColWidth="9.109375" defaultRowHeight="13.2"/>
  <cols>
    <col min="1" max="1" width="18.77734375" style="322" bestFit="1" customWidth="1"/>
    <col min="2" max="2" width="17.88671875" style="322" customWidth="1"/>
    <col min="3" max="3" width="13.5546875" style="322" customWidth="1"/>
    <col min="4" max="4" width="12.88671875" style="322" customWidth="1"/>
    <col min="5" max="5" width="13.6640625" style="322" customWidth="1"/>
    <col min="6" max="6" width="22.44140625" style="322" customWidth="1"/>
    <col min="7" max="7" width="24.21875" style="322" customWidth="1"/>
    <col min="8" max="8" width="18.5546875" style="322" customWidth="1"/>
    <col min="9" max="9" width="16.5546875" style="322" customWidth="1"/>
    <col min="10" max="10" width="18.33203125" style="322" customWidth="1"/>
    <col min="11" max="11" width="19.44140625" style="322" bestFit="1" customWidth="1"/>
    <col min="12" max="12" width="22.77734375" style="322" bestFit="1" customWidth="1"/>
    <col min="13" max="13" width="20.88671875" style="322" bestFit="1" customWidth="1"/>
    <col min="14" max="16384" width="9.109375" style="322"/>
  </cols>
  <sheetData>
    <row r="3" spans="1:13" ht="26.4">
      <c r="A3" s="320" t="s">
        <v>707</v>
      </c>
      <c r="B3" s="320" t="s">
        <v>706</v>
      </c>
      <c r="C3" s="320" t="s">
        <v>786</v>
      </c>
      <c r="D3" s="320" t="s">
        <v>787</v>
      </c>
      <c r="E3" s="320" t="s">
        <v>705</v>
      </c>
      <c r="F3" s="321" t="s">
        <v>704</v>
      </c>
      <c r="G3" s="320" t="s">
        <v>783</v>
      </c>
      <c r="H3" s="320" t="s">
        <v>788</v>
      </c>
      <c r="I3" s="320" t="s">
        <v>785</v>
      </c>
      <c r="J3" s="320" t="s">
        <v>703</v>
      </c>
      <c r="K3" s="320" t="s">
        <v>795</v>
      </c>
      <c r="L3" s="320" t="s">
        <v>784</v>
      </c>
    </row>
    <row r="4" spans="1:13" ht="13.8">
      <c r="A4" s="271" t="s">
        <v>702</v>
      </c>
      <c r="B4" s="272">
        <v>101</v>
      </c>
      <c r="C4" s="272">
        <v>75</v>
      </c>
      <c r="D4" s="272">
        <v>60</v>
      </c>
      <c r="E4" s="318">
        <v>500</v>
      </c>
      <c r="F4" s="318">
        <v>10</v>
      </c>
      <c r="G4" s="318">
        <v>3500</v>
      </c>
      <c r="H4" s="275">
        <v>3000</v>
      </c>
      <c r="I4" s="275">
        <v>400</v>
      </c>
      <c r="J4" s="323">
        <f>(FCU_Heat_Generating_Equipment[[#Totals],[Total 
BTUs]]*0.29307107)/FCU_Base_Data[[#This Row],[Area
(ft2)]]</f>
        <v>0</v>
      </c>
      <c r="K4" s="324">
        <f>FCU_Base_Data[[#This Row],[Envelope Sensible Load 
(BTU/HR)]]+FCU_Heat_Generating_Equipment[[#Totals],[Total 
BTUs]]+(1.1*FCU_Base_Data[[#This Row],[Make up Air or OA required (CFM)]]*(INPUT_OUTPUTS!C8-FCU_Base_Data[[#This Row],[Room Temp DB]]))</f>
        <v>10100</v>
      </c>
      <c r="L4" s="325" cm="1">
        <f t="array" ref="L4">totalLatentLoad(FCU_Base_Data[[#This Row],[Envelope Latent Load 
(BTU/HR)]],FCU_Base_Data[[#This Row],[Room Temp DB]],FCU_Base_Data[[#This Row],[Room Temp WB]],INPUT_OUTPUTS!G6,FCU_Base_Data[[#This Row],[Make up Air or OA required (CFM)]],INPUT_OUTPUTS!C8,INPUT_OUTPUTS!C9,INPUT_OUTPUTS!C10,INPUT_OUTPUTS!C11)</f>
        <v>22311.71197740201</v>
      </c>
    </row>
    <row r="5" spans="1:13">
      <c r="A5" s="326"/>
      <c r="B5" s="326"/>
      <c r="C5" s="326"/>
      <c r="D5" s="326"/>
      <c r="E5" s="326"/>
      <c r="F5" s="326"/>
      <c r="G5" s="326"/>
      <c r="H5" s="326"/>
      <c r="I5" s="326"/>
      <c r="J5" s="326"/>
      <c r="K5" s="326"/>
      <c r="L5" s="324"/>
      <c r="M5" s="325"/>
    </row>
    <row r="7" spans="1:13" ht="22.8">
      <c r="A7" s="424" t="s">
        <v>701</v>
      </c>
      <c r="B7" s="424"/>
      <c r="C7" s="424"/>
      <c r="D7" s="424"/>
      <c r="E7" s="424"/>
      <c r="F7" s="424"/>
      <c r="G7" s="424"/>
      <c r="H7" s="424"/>
      <c r="I7" s="424"/>
      <c r="J7" s="424"/>
      <c r="K7" s="424"/>
      <c r="L7" s="424"/>
    </row>
    <row r="8" spans="1:13">
      <c r="A8" s="327"/>
      <c r="B8" s="425" t="s">
        <v>700</v>
      </c>
      <c r="C8" s="425"/>
      <c r="D8" s="425" t="s">
        <v>686</v>
      </c>
      <c r="E8" s="425"/>
      <c r="F8" s="425" t="s">
        <v>699</v>
      </c>
      <c r="G8" s="425"/>
      <c r="H8" s="425"/>
      <c r="I8" s="327"/>
      <c r="J8" s="327"/>
      <c r="K8" s="327"/>
      <c r="L8" s="327"/>
    </row>
    <row r="9" spans="1:13" ht="39.6">
      <c r="A9" s="328" t="s">
        <v>698</v>
      </c>
      <c r="B9" s="329" t="s">
        <v>697</v>
      </c>
      <c r="C9" s="329" t="s">
        <v>696</v>
      </c>
      <c r="D9" s="329" t="s">
        <v>695</v>
      </c>
      <c r="E9" s="329" t="s">
        <v>694</v>
      </c>
      <c r="F9" s="329" t="s">
        <v>693</v>
      </c>
      <c r="G9" s="329" t="s">
        <v>692</v>
      </c>
      <c r="H9" s="329" t="s">
        <v>691</v>
      </c>
      <c r="I9" s="329" t="s">
        <v>690</v>
      </c>
      <c r="J9" s="329" t="s">
        <v>689</v>
      </c>
      <c r="K9" s="329" t="s">
        <v>688</v>
      </c>
      <c r="L9" s="329" t="s">
        <v>687</v>
      </c>
    </row>
    <row r="10" spans="1:13" ht="13.8">
      <c r="A10" s="271" t="s">
        <v>686</v>
      </c>
      <c r="B10" s="319">
        <v>0</v>
      </c>
      <c r="C10" s="319">
        <v>0</v>
      </c>
      <c r="D10" s="319">
        <v>0</v>
      </c>
      <c r="E10" s="274">
        <v>0</v>
      </c>
      <c r="F10" s="319">
        <v>0</v>
      </c>
      <c r="G10" s="319">
        <v>0</v>
      </c>
      <c r="H10" s="319">
        <v>0</v>
      </c>
      <c r="I10" s="330">
        <f t="shared" ref="I10:I12" si="0">D10*(1-E10)*3412.14</f>
        <v>0</v>
      </c>
      <c r="J10" s="331">
        <f t="shared" ref="J10:J12" si="1">C10*3.41</f>
        <v>0</v>
      </c>
      <c r="K10" s="330">
        <f>FCU_Heat_Generating_Equipment[[#This Row],[Server Load 
(Watts)]]*FCU_Heat_Generating_Equipment[[#This Row],[Server Diversity]]*3.41*FCU_Heat_Generating_Equipment[[#This Row],[Number of Servers]]</f>
        <v>0</v>
      </c>
      <c r="L10" s="332">
        <f>MROUND(SUM(FCU_Heat_Generating_Equipment[[#This Row],[General Equipment 
(BTU/HR)]],FCU_Heat_Generating_Equipment[[#This Row],[Watts 
to BTUs]],FCU_Heat_Generating_Equipment[[#This Row],[Transformer 
BTUs]],FCU_Heat_Generating_Equipment[[#This Row],[Server Load 
(BTUs)]]),5)</f>
        <v>0</v>
      </c>
    </row>
    <row r="11" spans="1:13" ht="13.8">
      <c r="A11" s="271" t="s">
        <v>685</v>
      </c>
      <c r="B11" s="319">
        <v>0</v>
      </c>
      <c r="C11" s="319">
        <v>0</v>
      </c>
      <c r="D11" s="319">
        <v>0</v>
      </c>
      <c r="E11" s="273">
        <v>0</v>
      </c>
      <c r="F11" s="319">
        <v>0</v>
      </c>
      <c r="G11" s="319">
        <v>0</v>
      </c>
      <c r="H11" s="319">
        <v>0</v>
      </c>
      <c r="I11" s="330">
        <f t="shared" si="0"/>
        <v>0</v>
      </c>
      <c r="J11" s="331">
        <f t="shared" si="1"/>
        <v>0</v>
      </c>
      <c r="K11" s="330">
        <f>FCU_Heat_Generating_Equipment[[#This Row],[Server Load 
(Watts)]]*FCU_Heat_Generating_Equipment[[#This Row],[Server Diversity]]*3.41*FCU_Heat_Generating_Equipment[[#This Row],[Number of Servers]]</f>
        <v>0</v>
      </c>
      <c r="L11" s="332">
        <f>MROUND(SUM(FCU_Heat_Generating_Equipment[[#This Row],[General Equipment 
(BTU/HR)]],FCU_Heat_Generating_Equipment[[#This Row],[Watts 
to BTUs]],FCU_Heat_Generating_Equipment[[#This Row],[Transformer 
BTUs]],FCU_Heat_Generating_Equipment[[#This Row],[Server Load 
(BTUs)]]),5)</f>
        <v>0</v>
      </c>
    </row>
    <row r="12" spans="1:13" ht="13.8">
      <c r="A12" s="271" t="s">
        <v>684</v>
      </c>
      <c r="B12" s="319">
        <v>0</v>
      </c>
      <c r="C12" s="319">
        <v>0</v>
      </c>
      <c r="D12" s="319">
        <v>0</v>
      </c>
      <c r="E12" s="273">
        <v>0</v>
      </c>
      <c r="F12" s="319">
        <v>0</v>
      </c>
      <c r="G12" s="319">
        <v>0</v>
      </c>
      <c r="H12" s="319">
        <v>0</v>
      </c>
      <c r="I12" s="330">
        <f t="shared" si="0"/>
        <v>0</v>
      </c>
      <c r="J12" s="331">
        <f t="shared" si="1"/>
        <v>0</v>
      </c>
      <c r="K12" s="330">
        <f>FCU_Heat_Generating_Equipment[[#This Row],[Server Load 
(Watts)]]*FCU_Heat_Generating_Equipment[[#This Row],[Server Diversity]]*3.41*FCU_Heat_Generating_Equipment[[#This Row],[Number of Servers]]</f>
        <v>0</v>
      </c>
      <c r="L12" s="332">
        <f>MROUND(SUM(FCU_Heat_Generating_Equipment[[#This Row],[General Equipment 
(BTU/HR)]],FCU_Heat_Generating_Equipment[[#This Row],[Watts 
to BTUs]],FCU_Heat_Generating_Equipment[[#This Row],[Transformer 
BTUs]],FCU_Heat_Generating_Equipment[[#This Row],[Server Load 
(BTUs)]]),5)</f>
        <v>0</v>
      </c>
    </row>
    <row r="13" spans="1:13" ht="15.6">
      <c r="A13" s="333" t="s">
        <v>683</v>
      </c>
      <c r="B13" s="334"/>
      <c r="C13" s="334"/>
      <c r="D13" s="334"/>
      <c r="E13" s="334"/>
      <c r="F13" s="334"/>
      <c r="G13" s="334"/>
      <c r="H13" s="334"/>
      <c r="I13" s="334"/>
      <c r="J13" s="334"/>
      <c r="K13" s="334"/>
      <c r="L13" s="333">
        <f>SUBTOTAL(109,FCU_Heat_Generating_Equipment[Total 
BTUs])</f>
        <v>0</v>
      </c>
    </row>
  </sheetData>
  <mergeCells count="4">
    <mergeCell ref="A7:L7"/>
    <mergeCell ref="D8:E8"/>
    <mergeCell ref="B8:C8"/>
    <mergeCell ref="F8:H8"/>
  </mergeCells>
  <conditionalFormatting sqref="B10:H12">
    <cfRule type="cellIs" dxfId="177" priority="1" operator="equal">
      <formula>0</formula>
    </cfRule>
  </conditionalFormatting>
  <pageMargins left="0.7" right="0.7" top="0.75" bottom="0.75" header="0.3" footer="0.3"/>
  <pageSetup scale="8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152" r:id="rId4" name="Button 8">
              <controlPr defaultSize="0" print="0" autoFill="0" autoPict="0" macro="[0]!AddRowsToTableFCU" altText="HUMIDIFICATION">
                <anchor moveWithCells="1" sizeWithCells="1">
                  <from>
                    <xdr:col>0</xdr:col>
                    <xdr:colOff>45720</xdr:colOff>
                    <xdr:row>5</xdr:row>
                    <xdr:rowOff>83820</xdr:rowOff>
                  </from>
                  <to>
                    <xdr:col>1</xdr:col>
                    <xdr:colOff>205740</xdr:colOff>
                    <xdr:row>6</xdr:row>
                    <xdr:rowOff>281940</xdr:rowOff>
                  </to>
                </anchor>
              </controlPr>
            </control>
          </mc:Choice>
        </mc:AlternateContent>
      </controls>
    </mc:Choice>
  </mc:AlternateContent>
  <tableParts count="2">
    <tablePart r:id="rId5"/>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7FE8B-6C2C-46AF-9E1D-2C4B7D142C33}">
  <sheetPr codeName="Sheet7">
    <tabColor rgb="FF0070C0"/>
    <pageSetUpPr fitToPage="1"/>
  </sheetPr>
  <dimension ref="A2:AC33"/>
  <sheetViews>
    <sheetView showGridLines="0" zoomScale="85" zoomScaleNormal="85" workbookViewId="0">
      <pane xSplit="1" ySplit="6" topLeftCell="B7" activePane="bottomRight" state="frozen"/>
      <selection pane="topRight" activeCell="B1" sqref="B1"/>
      <selection pane="bottomLeft" activeCell="A7" sqref="A7"/>
      <selection pane="bottomRight" activeCell="A18" sqref="A18"/>
    </sheetView>
  </sheetViews>
  <sheetFormatPr defaultColWidth="8.88671875" defaultRowHeight="13.2"/>
  <cols>
    <col min="1" max="1" width="10.44140625" bestFit="1" customWidth="1"/>
    <col min="2" max="2" width="11.33203125" customWidth="1"/>
    <col min="3" max="3" width="10.44140625" customWidth="1"/>
    <col min="4" max="4" width="12.21875" customWidth="1"/>
    <col min="5" max="5" width="13.77734375" customWidth="1"/>
    <col min="6" max="6" width="15.21875" customWidth="1"/>
    <col min="7" max="7" width="12.77734375" customWidth="1"/>
    <col min="8" max="8" width="10" customWidth="1"/>
    <col min="9" max="9" width="11.33203125" customWidth="1"/>
    <col min="10" max="10" width="14.109375" customWidth="1"/>
    <col min="11" max="11" width="14.44140625" bestFit="1" customWidth="1"/>
    <col min="12" max="12" width="12.109375" customWidth="1"/>
    <col min="13" max="13" width="10" bestFit="1" customWidth="1"/>
    <col min="14" max="14" width="9.33203125" customWidth="1"/>
    <col min="15" max="15" width="9.6640625" customWidth="1"/>
    <col min="16" max="16" width="12.88671875" customWidth="1"/>
    <col min="17" max="17" width="14.109375" bestFit="1" customWidth="1"/>
    <col min="18" max="18" width="10.5546875" bestFit="1" customWidth="1"/>
    <col min="19" max="19" width="16.88671875" bestFit="1" customWidth="1"/>
    <col min="20" max="21" width="9.44140625" customWidth="1"/>
    <col min="22" max="22" width="10" bestFit="1" customWidth="1"/>
    <col min="23" max="23" width="11.5546875" customWidth="1"/>
    <col min="24" max="24" width="10.5546875" customWidth="1"/>
    <col min="25" max="25" width="13.44140625" bestFit="1" customWidth="1"/>
    <col min="26" max="26" width="16.77734375" customWidth="1"/>
    <col min="27" max="28" width="14.5546875" customWidth="1"/>
    <col min="29" max="29" width="13.44140625" bestFit="1" customWidth="1"/>
  </cols>
  <sheetData>
    <row r="2" spans="1:29">
      <c r="B2" s="23"/>
      <c r="C2" s="23"/>
    </row>
    <row r="8" spans="1:29" s="17" customFormat="1" ht="12.9" customHeight="1">
      <c r="A8" s="416"/>
      <c r="B8" s="419" t="s">
        <v>180</v>
      </c>
      <c r="C8" s="419"/>
      <c r="D8" s="419"/>
      <c r="E8" s="419"/>
      <c r="F8" s="419"/>
      <c r="G8" s="419"/>
      <c r="H8" s="419"/>
      <c r="I8" s="419"/>
      <c r="J8" s="419"/>
      <c r="K8" s="419" t="s">
        <v>709</v>
      </c>
      <c r="L8" s="419"/>
      <c r="M8" s="419"/>
      <c r="N8" s="419"/>
      <c r="O8" s="419"/>
      <c r="P8" s="419"/>
      <c r="Q8" s="419"/>
      <c r="R8" s="419"/>
      <c r="S8" s="419"/>
      <c r="T8" s="419"/>
      <c r="U8" s="419"/>
      <c r="V8" s="419"/>
      <c r="W8" s="419" t="s">
        <v>710</v>
      </c>
      <c r="X8" s="419"/>
      <c r="Y8" s="419"/>
      <c r="Z8" s="419"/>
      <c r="AA8" s="419"/>
      <c r="AB8" s="419"/>
      <c r="AC8" s="419"/>
    </row>
    <row r="9" spans="1:29" s="11" customFormat="1" ht="32.25" customHeight="1">
      <c r="A9" s="416"/>
      <c r="B9" s="417" t="s">
        <v>708</v>
      </c>
      <c r="C9" s="417"/>
      <c r="D9" s="417"/>
      <c r="E9" s="417"/>
      <c r="F9" s="417"/>
      <c r="G9" s="417"/>
      <c r="H9" s="417"/>
      <c r="I9" s="417"/>
      <c r="J9" s="416" t="s">
        <v>185</v>
      </c>
      <c r="K9" s="417" t="s">
        <v>186</v>
      </c>
      <c r="L9" s="417"/>
      <c r="M9" s="417"/>
      <c r="N9" s="417"/>
      <c r="O9" s="417"/>
      <c r="P9" s="417"/>
      <c r="Q9" s="418" t="s">
        <v>711</v>
      </c>
      <c r="R9" s="418"/>
      <c r="S9" s="420" t="s">
        <v>187</v>
      </c>
      <c r="T9" s="416" t="s">
        <v>188</v>
      </c>
      <c r="U9" s="416"/>
      <c r="V9" s="416"/>
      <c r="W9" s="126"/>
      <c r="X9" s="127"/>
      <c r="Y9" s="127"/>
      <c r="Z9" s="127"/>
      <c r="AA9" s="127"/>
      <c r="AB9" s="127"/>
      <c r="AC9" s="128"/>
    </row>
    <row r="10" spans="1:29" s="11" customFormat="1" ht="26.4">
      <c r="A10" s="416"/>
      <c r="B10" s="126" t="s">
        <v>195</v>
      </c>
      <c r="C10" s="412" t="s">
        <v>196</v>
      </c>
      <c r="D10" s="412"/>
      <c r="E10" s="411"/>
      <c r="F10" s="410" t="s">
        <v>714</v>
      </c>
      <c r="G10" s="412"/>
      <c r="H10" s="411"/>
      <c r="I10" s="126" t="s">
        <v>199</v>
      </c>
      <c r="J10" s="416"/>
      <c r="K10" s="416" t="s">
        <v>200</v>
      </c>
      <c r="L10" s="416"/>
      <c r="M10" s="416"/>
      <c r="N10" s="416" t="s">
        <v>201</v>
      </c>
      <c r="O10" s="416"/>
      <c r="P10" s="416"/>
      <c r="Q10" s="126" t="s">
        <v>202</v>
      </c>
      <c r="R10" s="126" t="s">
        <v>203</v>
      </c>
      <c r="S10" s="420"/>
      <c r="T10" s="416"/>
      <c r="U10" s="416"/>
      <c r="V10" s="416"/>
      <c r="W10" s="126" t="s">
        <v>206</v>
      </c>
      <c r="X10" s="126" t="s">
        <v>200</v>
      </c>
      <c r="Y10" s="126" t="s">
        <v>207</v>
      </c>
      <c r="Z10" s="126" t="s">
        <v>202</v>
      </c>
      <c r="AA10" s="129" t="s">
        <v>55</v>
      </c>
      <c r="AB10" s="129" t="s">
        <v>204</v>
      </c>
      <c r="AC10" s="126" t="s">
        <v>1</v>
      </c>
    </row>
    <row r="11" spans="1:29" s="316" customFormat="1" ht="28.8">
      <c r="A11" s="130" t="s">
        <v>208</v>
      </c>
      <c r="B11" s="313" t="s">
        <v>759</v>
      </c>
      <c r="C11" s="313" t="s">
        <v>760</v>
      </c>
      <c r="D11" s="313" t="s">
        <v>761</v>
      </c>
      <c r="E11" s="313" t="s">
        <v>762</v>
      </c>
      <c r="F11" s="313" t="s">
        <v>763</v>
      </c>
      <c r="G11" s="314" t="s">
        <v>764</v>
      </c>
      <c r="H11" s="314" t="s">
        <v>765</v>
      </c>
      <c r="I11" s="314" t="s">
        <v>766</v>
      </c>
      <c r="J11" s="313" t="s">
        <v>767</v>
      </c>
      <c r="K11" s="314" t="s">
        <v>768</v>
      </c>
      <c r="L11" s="314" t="s">
        <v>769</v>
      </c>
      <c r="M11" s="314" t="s">
        <v>770</v>
      </c>
      <c r="N11" s="314" t="s">
        <v>771</v>
      </c>
      <c r="O11" s="314" t="s">
        <v>772</v>
      </c>
      <c r="P11" s="314" t="s">
        <v>773</v>
      </c>
      <c r="Q11" s="313" t="s">
        <v>774</v>
      </c>
      <c r="R11" s="313" t="s">
        <v>683</v>
      </c>
      <c r="S11" s="317" t="s">
        <v>775</v>
      </c>
      <c r="T11" s="317" t="s">
        <v>55</v>
      </c>
      <c r="U11" s="317" t="s">
        <v>204</v>
      </c>
      <c r="V11" s="315" t="s">
        <v>1</v>
      </c>
      <c r="W11" s="317" t="s">
        <v>776</v>
      </c>
      <c r="X11" s="314" t="s">
        <v>777</v>
      </c>
      <c r="Y11" s="314" t="s">
        <v>778</v>
      </c>
      <c r="Z11" s="313" t="s">
        <v>779</v>
      </c>
      <c r="AA11" s="317" t="s">
        <v>780</v>
      </c>
      <c r="AB11" s="317" t="s">
        <v>781</v>
      </c>
      <c r="AC11" s="314" t="s">
        <v>782</v>
      </c>
    </row>
    <row r="12" spans="1:29" s="11" customFormat="1" ht="13.8" hidden="1">
      <c r="A12" s="135"/>
      <c r="B12" s="136">
        <f>MROUND(FCU_Schedules[[#This Row],[Total Load]]/(4.5*(FCU_Schedules[[#This Row],[Mixed Air Enthalpy]]-FCU_Schedules[[#This Row],[Leaving air Enthalpy]])),5)</f>
        <v>0</v>
      </c>
      <c r="C12" s="136">
        <f>FCU_Schedules[[#This Row],[Supply CFM]]-FCU_Schedules[[#This Row],[Outside Air CFM]]</f>
        <v>0</v>
      </c>
      <c r="D12" s="136">
        <v>78</v>
      </c>
      <c r="E12" s="136">
        <v>60</v>
      </c>
      <c r="F12" s="136"/>
      <c r="G12" s="128">
        <f>INPUT_OUTPUTS!$C$8</f>
        <v>90</v>
      </c>
      <c r="H12" s="128">
        <f>INPUT_OUTPUTS!$C$9</f>
        <v>65</v>
      </c>
      <c r="I12" s="128">
        <f>INPUT_OUTPUTS!$F$8</f>
        <v>26</v>
      </c>
      <c r="J12" s="136">
        <f>C12+F12-B12</f>
        <v>0</v>
      </c>
      <c r="K12" s="128">
        <f>FCU_Schedules[[#This Row],[Return Drybulb]]</f>
        <v>78</v>
      </c>
      <c r="L12" s="128">
        <f>FCU_Schedules[[#This Row],[Return Wetbulb]]</f>
        <v>60</v>
      </c>
      <c r="M12" s="128" cm="1">
        <f t="array" ref="M12">GetMoistAirEnthalpy(FCU_Schedules[[#This Row],[Mixed air DB]],(GetHumRatioFromTWetBulb(FCU_Schedules[[#This Row],[Mixed air DB]],FCU_Schedules[[#This Row],[Mixed air WB]],GetStandardAtmPressure(INPUT_OUTPUTS!$G$6))))</f>
        <v>26.293324798730914</v>
      </c>
      <c r="N12" s="138">
        <v>55</v>
      </c>
      <c r="O12" s="138">
        <v>55</v>
      </c>
      <c r="P12" s="128" cm="1">
        <f t="array" ref="P12">GetMoistAirEnthalpy(FCU_Schedules[[#This Row],[Leaving Air DB]],(GetHumRatioFromTWetBulb(FCU_Schedules[[#This Row],[Leaving Air DB]],FCU_Schedules[[#This Row],[Leaving Air WB]],GetStandardAtmPressure(INPUT_OUTPUTS!$G$6))))</f>
        <v>23.180274232555988</v>
      </c>
      <c r="Q12" s="136"/>
      <c r="R12" s="136"/>
      <c r="S12" s="276">
        <f>IF(R12&lt;Q12,"INVALID POINT",R12/12000)</f>
        <v>0</v>
      </c>
      <c r="T12" s="129">
        <f>INPUT_OUTPUTS!$C$14</f>
        <v>42</v>
      </c>
      <c r="U12" s="129">
        <f>INPUT_OUTPUTS!$C$15</f>
        <v>56</v>
      </c>
      <c r="V12" s="139">
        <f>FCU_Schedules[[#This Row],[Total Load]]/(500*(FCU_Schedules[[#This Row],[LWT]]-FCU_Schedules[[#This Row],[EWT]]))</f>
        <v>0</v>
      </c>
      <c r="W12" s="138">
        <v>100</v>
      </c>
      <c r="X12" s="128">
        <f>(FCU_Schedules[[#This Row],[Winter Temp]]*FCU_Schedules[[#This Row],[Outside Air CFM]] + FCU_Schedules[[#This Row],[Return Drybulb]]*(FCU_Schedules[[#This Row],[Heating CFM]]-FCU_Schedules[[#This Row],[Outside Air CFM]]))/FCU_Schedules[[#This Row],[Heating CFM]]</f>
        <v>78</v>
      </c>
      <c r="Y12" s="138">
        <v>85</v>
      </c>
      <c r="Z12" s="142">
        <f>(FCU_Schedules[[#This Row],[Heating CFM]]*1.08*(FCU_Schedules[[#This Row],[Heating LAT]]-FCU_Schedules[[#This Row],[Mixed Air Heating ]]))/1000</f>
        <v>0.75600000000000001</v>
      </c>
      <c r="AA12" s="142">
        <f>INPUT_OUTPUTS!$C$16</f>
        <v>140</v>
      </c>
      <c r="AB12" s="142">
        <f>INPUT_OUTPUTS!$C$17</f>
        <v>110</v>
      </c>
      <c r="AC12" s="128">
        <f>(FCU_Schedules[[#This Row],[Heating Sensible Load]]*1000)/(500*(FCU_Schedules[[#This Row],[HWEWT]]-FCU_Schedules[[#This Row],[HWLWT]]))</f>
        <v>5.04E-2</v>
      </c>
    </row>
    <row r="13" spans="1:29" ht="15.6" thickBot="1">
      <c r="A13" s="18" t="s">
        <v>77</v>
      </c>
      <c r="B13" s="19">
        <f>SUBTOTAL(109,FCU_Schedules[Supply CFM])</f>
        <v>0</v>
      </c>
      <c r="C13" s="18"/>
      <c r="D13" s="20"/>
      <c r="E13" s="20"/>
      <c r="F13" s="18"/>
      <c r="G13" s="18"/>
      <c r="H13" s="18"/>
      <c r="I13" s="18"/>
      <c r="J13" s="18"/>
      <c r="K13" s="18"/>
      <c r="L13" s="18"/>
      <c r="M13" s="18"/>
      <c r="N13" s="18"/>
      <c r="O13" s="18"/>
      <c r="P13" s="18"/>
      <c r="Q13" s="18"/>
      <c r="R13" s="18"/>
      <c r="S13" s="18"/>
      <c r="T13" s="18"/>
      <c r="U13" s="18"/>
      <c r="V13" s="21">
        <f>SUBTOTAL(109,FCU_Schedules[GPM])</f>
        <v>0</v>
      </c>
      <c r="W13" s="21"/>
      <c r="X13" s="18"/>
      <c r="Y13" s="18"/>
      <c r="Z13" s="21">
        <f>SUBTOTAL(109,FCU_Schedules[Heating Sensible Load])</f>
        <v>0</v>
      </c>
      <c r="AA13" s="21"/>
      <c r="AB13" s="21"/>
      <c r="AC13" s="21">
        <f>SUBTOTAL(109,FCU_Schedules[HW GPM])</f>
        <v>0</v>
      </c>
    </row>
    <row r="14" spans="1:29" ht="13.8" thickTop="1">
      <c r="A14" s="70"/>
      <c r="B14" s="70"/>
      <c r="C14" s="70"/>
      <c r="D14" s="70"/>
      <c r="E14" s="70"/>
      <c r="F14" s="70"/>
      <c r="G14" s="70"/>
      <c r="H14" s="70"/>
      <c r="I14" s="70"/>
      <c r="J14" s="70"/>
      <c r="K14" s="70"/>
      <c r="L14" s="70"/>
      <c r="M14" s="70"/>
      <c r="N14" s="70"/>
      <c r="O14" s="70"/>
      <c r="P14" s="70"/>
      <c r="Q14" s="70"/>
      <c r="R14" s="70"/>
      <c r="S14" s="70"/>
      <c r="T14" s="70"/>
      <c r="U14" s="70"/>
      <c r="V14" s="70"/>
      <c r="W14" s="70"/>
      <c r="X14" s="70"/>
      <c r="Y14" s="70"/>
      <c r="Z14" s="70"/>
      <c r="AA14" s="70"/>
      <c r="AB14" s="70"/>
      <c r="AC14" s="70"/>
    </row>
    <row r="15" spans="1:29" ht="13.8">
      <c r="O15" s="13"/>
      <c r="P15" s="13"/>
      <c r="V15" s="14"/>
      <c r="W15" s="14"/>
    </row>
    <row r="16" spans="1:29" ht="13.8">
      <c r="O16" s="13"/>
      <c r="P16" s="13"/>
      <c r="V16" s="14"/>
      <c r="W16" s="14"/>
    </row>
    <row r="17" spans="1:29">
      <c r="B17" s="11"/>
    </row>
    <row r="20" spans="1:29">
      <c r="J20" s="14"/>
    </row>
    <row r="22" spans="1:29">
      <c r="F22" s="11" t="s">
        <v>681</v>
      </c>
    </row>
    <row r="23" spans="1:29">
      <c r="E23" s="86"/>
      <c r="F23" s="14"/>
    </row>
    <row r="30" spans="1:29">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row>
    <row r="31" spans="1:29">
      <c r="A31" s="15"/>
      <c r="B31" s="15"/>
    </row>
    <row r="32" spans="1:29">
      <c r="A32" s="15"/>
      <c r="B32" s="14"/>
    </row>
    <row r="33" spans="1:1">
      <c r="A33" s="15"/>
    </row>
  </sheetData>
  <mergeCells count="14">
    <mergeCell ref="A8:A10"/>
    <mergeCell ref="B8:J8"/>
    <mergeCell ref="K8:V8"/>
    <mergeCell ref="C10:E10"/>
    <mergeCell ref="F10:H10"/>
    <mergeCell ref="K10:M10"/>
    <mergeCell ref="N10:P10"/>
    <mergeCell ref="W8:AC8"/>
    <mergeCell ref="B9:I9"/>
    <mergeCell ref="J9:J10"/>
    <mergeCell ref="K9:P9"/>
    <mergeCell ref="Q9:R9"/>
    <mergeCell ref="S9:S10"/>
    <mergeCell ref="T9:V10"/>
  </mergeCells>
  <dataValidations count="1">
    <dataValidation type="decimal" operator="greaterThan" allowBlank="1" showInputMessage="1" showErrorMessage="1" sqref="D12:E12 N12:O12" xr:uid="{36B62E85-565F-4FA5-984C-03E737B00EF1}">
      <formula1>1</formula1>
    </dataValidation>
  </dataValidations>
  <pageMargins left="0.25" right="0.25" top="0.75" bottom="0.75" header="0.3" footer="0.3"/>
  <pageSetup paperSize="119" scale="27" fitToHeight="0" orientation="landscape" r:id="rId1"/>
  <ignoredErrors>
    <ignoredError sqref="B12" calculatedColumn="1"/>
  </ignoredErrors>
  <legacy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076C1-8F95-4E79-A731-8DE42DAC76AE}">
  <sheetPr codeName="Sheet16"/>
  <dimension ref="A1:O77"/>
  <sheetViews>
    <sheetView zoomScale="115" zoomScaleNormal="115" workbookViewId="0">
      <selection activeCell="H5" sqref="H5"/>
    </sheetView>
  </sheetViews>
  <sheetFormatPr defaultRowHeight="13.8"/>
  <cols>
    <col min="1" max="1" width="47.21875" style="336" bestFit="1" customWidth="1"/>
    <col min="2" max="2" width="14.88671875" style="336" customWidth="1"/>
    <col min="3" max="3" width="18.6640625" style="336" customWidth="1"/>
    <col min="4" max="4" width="12" style="336" bestFit="1" customWidth="1"/>
    <col min="5" max="6" width="8.88671875" style="335"/>
    <col min="7" max="7" width="10.88671875" style="335" customWidth="1"/>
    <col min="8" max="8" width="14.77734375" style="335" customWidth="1"/>
    <col min="9" max="9" width="15.88671875" style="335" customWidth="1"/>
    <col min="10" max="10" width="10.77734375" style="335" customWidth="1"/>
    <col min="11" max="16384" width="8.88671875" style="335"/>
  </cols>
  <sheetData>
    <row r="1" spans="1:15" s="338" customFormat="1" ht="43.2">
      <c r="A1" s="339" t="s">
        <v>882</v>
      </c>
      <c r="B1" s="339" t="s">
        <v>881</v>
      </c>
      <c r="C1" s="339" t="s">
        <v>880</v>
      </c>
      <c r="D1" s="339" t="s">
        <v>28</v>
      </c>
      <c r="E1" s="339" t="s">
        <v>36</v>
      </c>
      <c r="F1" s="339" t="s">
        <v>269</v>
      </c>
      <c r="G1" s="339" t="s">
        <v>932</v>
      </c>
      <c r="I1" s="343" t="s">
        <v>882</v>
      </c>
      <c r="J1" s="343" t="s">
        <v>890</v>
      </c>
      <c r="K1" s="343" t="s">
        <v>919</v>
      </c>
      <c r="L1" s="343" t="s">
        <v>268</v>
      </c>
      <c r="M1" s="343" t="s">
        <v>272</v>
      </c>
      <c r="N1" s="335"/>
    </row>
    <row r="2" spans="1:15">
      <c r="A2" s="337" t="s">
        <v>879</v>
      </c>
      <c r="B2" s="337">
        <v>0.21</v>
      </c>
      <c r="C2" s="337">
        <v>0.15</v>
      </c>
      <c r="D2" s="337">
        <v>2</v>
      </c>
      <c r="E2" s="337" t="s">
        <v>49</v>
      </c>
      <c r="F2" s="337" t="s">
        <v>49</v>
      </c>
      <c r="G2" s="337">
        <v>14</v>
      </c>
      <c r="I2" s="342" t="s">
        <v>891</v>
      </c>
      <c r="J2" s="342" t="s">
        <v>157</v>
      </c>
      <c r="K2" s="342">
        <v>0.5</v>
      </c>
      <c r="L2" s="342">
        <v>1</v>
      </c>
      <c r="M2" s="342" t="s">
        <v>294</v>
      </c>
    </row>
    <row r="3" spans="1:15">
      <c r="A3" s="337" t="s">
        <v>878</v>
      </c>
      <c r="B3" s="337">
        <v>0.15</v>
      </c>
      <c r="C3" s="337"/>
      <c r="D3" s="337">
        <v>3</v>
      </c>
      <c r="E3" s="337" t="s">
        <v>49</v>
      </c>
      <c r="F3" s="337" t="s">
        <v>49</v>
      </c>
      <c r="G3" s="337">
        <v>5</v>
      </c>
      <c r="I3" s="342" t="s">
        <v>893</v>
      </c>
      <c r="J3" s="342" t="s">
        <v>892</v>
      </c>
      <c r="K3" s="342">
        <v>0.7</v>
      </c>
      <c r="L3" s="342">
        <v>2</v>
      </c>
      <c r="M3" s="342"/>
    </row>
    <row r="4" spans="1:15" ht="15.6">
      <c r="A4" s="337" t="s">
        <v>877</v>
      </c>
      <c r="B4" s="337">
        <v>0.38</v>
      </c>
      <c r="C4" s="337">
        <v>0.15</v>
      </c>
      <c r="D4" s="337">
        <v>1</v>
      </c>
      <c r="E4" s="337" t="s">
        <v>49</v>
      </c>
      <c r="F4" s="337" t="s">
        <v>49</v>
      </c>
      <c r="G4" s="337">
        <v>25</v>
      </c>
      <c r="I4" s="342" t="s">
        <v>894</v>
      </c>
      <c r="J4" s="342" t="s">
        <v>892</v>
      </c>
      <c r="K4" s="342">
        <v>1.5</v>
      </c>
      <c r="L4" s="342">
        <v>2</v>
      </c>
      <c r="M4" s="342" t="s">
        <v>301</v>
      </c>
      <c r="O4" s="97" t="s">
        <v>111</v>
      </c>
    </row>
    <row r="5" spans="1:15" ht="15.6">
      <c r="A5" s="337" t="s">
        <v>876</v>
      </c>
      <c r="B5" s="337">
        <v>0.38</v>
      </c>
      <c r="C5" s="337">
        <v>0.15</v>
      </c>
      <c r="D5" s="337">
        <v>1</v>
      </c>
      <c r="E5" s="337" t="s">
        <v>49</v>
      </c>
      <c r="F5" s="337" t="s">
        <v>49</v>
      </c>
      <c r="G5" s="337">
        <v>25</v>
      </c>
      <c r="I5" s="342" t="s">
        <v>895</v>
      </c>
      <c r="J5" s="342" t="s">
        <v>892</v>
      </c>
      <c r="K5" s="342">
        <v>0.5</v>
      </c>
      <c r="L5" s="342">
        <v>2</v>
      </c>
      <c r="M5" s="342"/>
      <c r="O5" s="97" t="s">
        <v>49</v>
      </c>
    </row>
    <row r="6" spans="1:15">
      <c r="A6" s="337" t="s">
        <v>875</v>
      </c>
      <c r="B6" s="337">
        <v>0.38</v>
      </c>
      <c r="C6" s="337">
        <v>0.15</v>
      </c>
      <c r="D6" s="337">
        <v>1</v>
      </c>
      <c r="E6" s="337" t="s">
        <v>111</v>
      </c>
      <c r="F6" s="337" t="s">
        <v>49</v>
      </c>
      <c r="G6" s="337">
        <v>25</v>
      </c>
      <c r="I6" s="342" t="s">
        <v>896</v>
      </c>
      <c r="J6" s="342" t="s">
        <v>892</v>
      </c>
      <c r="K6" s="342">
        <v>0.6</v>
      </c>
      <c r="L6" s="342">
        <v>2</v>
      </c>
      <c r="M6" s="342"/>
    </row>
    <row r="7" spans="1:15">
      <c r="A7" s="337" t="s">
        <v>874</v>
      </c>
      <c r="B7" s="337">
        <v>0</v>
      </c>
      <c r="C7" s="337">
        <v>0.15</v>
      </c>
      <c r="D7" s="337">
        <v>1</v>
      </c>
      <c r="E7" s="337" t="s">
        <v>111</v>
      </c>
      <c r="F7" s="337" t="s">
        <v>49</v>
      </c>
      <c r="G7" s="337">
        <v>71</v>
      </c>
      <c r="I7" s="342" t="s">
        <v>897</v>
      </c>
      <c r="J7" s="342" t="s">
        <v>892</v>
      </c>
      <c r="K7" s="342">
        <v>1</v>
      </c>
      <c r="L7" s="342">
        <v>2</v>
      </c>
      <c r="M7" s="342"/>
    </row>
    <row r="8" spans="1:15">
      <c r="A8" s="337" t="s">
        <v>873</v>
      </c>
      <c r="B8" s="337">
        <v>0.15</v>
      </c>
      <c r="C8" s="337"/>
      <c r="D8" s="337">
        <v>2</v>
      </c>
      <c r="E8" s="337" t="s">
        <v>49</v>
      </c>
      <c r="F8" s="337" t="s">
        <v>49</v>
      </c>
      <c r="G8" s="337">
        <v>25</v>
      </c>
      <c r="I8" s="342" t="s">
        <v>898</v>
      </c>
      <c r="J8" s="342" t="s">
        <v>892</v>
      </c>
      <c r="K8" s="342">
        <v>0.5</v>
      </c>
      <c r="L8" s="342">
        <v>2</v>
      </c>
      <c r="M8" s="342"/>
    </row>
    <row r="9" spans="1:15">
      <c r="A9" s="337" t="s">
        <v>872</v>
      </c>
      <c r="B9" s="337">
        <v>0.15</v>
      </c>
      <c r="C9" s="337"/>
      <c r="D9" s="337">
        <v>2</v>
      </c>
      <c r="E9" s="337" t="s">
        <v>49</v>
      </c>
      <c r="F9" s="337" t="s">
        <v>49</v>
      </c>
      <c r="G9" s="337">
        <v>25</v>
      </c>
      <c r="I9" s="342" t="s">
        <v>899</v>
      </c>
      <c r="J9" s="342" t="s">
        <v>892</v>
      </c>
      <c r="K9" s="342">
        <v>1</v>
      </c>
      <c r="L9" s="342">
        <v>2</v>
      </c>
      <c r="M9" s="342"/>
    </row>
    <row r="10" spans="1:15">
      <c r="A10" s="337" t="s">
        <v>871</v>
      </c>
      <c r="B10" s="337">
        <v>0.15</v>
      </c>
      <c r="C10" s="337"/>
      <c r="D10" s="337">
        <v>2</v>
      </c>
      <c r="E10" s="337" t="s">
        <v>49</v>
      </c>
      <c r="F10" s="337" t="s">
        <v>49</v>
      </c>
      <c r="G10" s="337">
        <v>25</v>
      </c>
      <c r="I10" s="342" t="s">
        <v>900</v>
      </c>
      <c r="J10" s="342" t="s">
        <v>892</v>
      </c>
      <c r="K10" s="342">
        <v>1</v>
      </c>
      <c r="L10" s="342">
        <v>2</v>
      </c>
      <c r="M10" s="342"/>
    </row>
    <row r="11" spans="1:15">
      <c r="A11" s="337" t="s">
        <v>871</v>
      </c>
      <c r="B11" s="337">
        <v>0.15</v>
      </c>
      <c r="C11" s="337"/>
      <c r="D11" s="337">
        <v>2</v>
      </c>
      <c r="E11" s="337" t="s">
        <v>49</v>
      </c>
      <c r="F11" s="337" t="s">
        <v>49</v>
      </c>
      <c r="G11" s="337">
        <v>10</v>
      </c>
      <c r="I11" s="342" t="s">
        <v>901</v>
      </c>
      <c r="J11" s="342" t="s">
        <v>892</v>
      </c>
      <c r="K11" s="342">
        <v>1</v>
      </c>
      <c r="L11" s="342">
        <v>3</v>
      </c>
      <c r="M11" s="342"/>
    </row>
    <row r="12" spans="1:15">
      <c r="A12" s="337" t="s">
        <v>870</v>
      </c>
      <c r="B12" s="337">
        <v>0.15</v>
      </c>
      <c r="C12" s="337"/>
      <c r="D12" s="337">
        <v>1</v>
      </c>
      <c r="E12" s="337" t="s">
        <v>49</v>
      </c>
      <c r="F12" s="337" t="s">
        <v>49</v>
      </c>
      <c r="G12" s="337">
        <v>25</v>
      </c>
      <c r="I12" s="342" t="s">
        <v>902</v>
      </c>
      <c r="J12" s="342" t="s">
        <v>892</v>
      </c>
      <c r="K12" s="342">
        <v>0.3</v>
      </c>
      <c r="L12" s="342">
        <v>2</v>
      </c>
      <c r="M12" s="342"/>
    </row>
    <row r="13" spans="1:15">
      <c r="A13" s="337" t="s">
        <v>869</v>
      </c>
      <c r="B13" s="337">
        <v>0.15</v>
      </c>
      <c r="C13" s="337"/>
      <c r="D13" s="337">
        <v>1</v>
      </c>
      <c r="E13" s="337" t="s">
        <v>49</v>
      </c>
      <c r="F13" s="337" t="s">
        <v>49</v>
      </c>
      <c r="G13" s="337">
        <v>25</v>
      </c>
      <c r="I13" s="342" t="s">
        <v>903</v>
      </c>
      <c r="J13" s="342" t="s">
        <v>892</v>
      </c>
      <c r="K13" s="342">
        <v>0.7</v>
      </c>
      <c r="L13" s="342">
        <v>2</v>
      </c>
      <c r="M13" s="342"/>
    </row>
    <row r="14" spans="1:15">
      <c r="A14" s="337" t="s">
        <v>868</v>
      </c>
      <c r="B14" s="337">
        <v>1.07</v>
      </c>
      <c r="C14" s="337">
        <v>0.15</v>
      </c>
      <c r="D14" s="337">
        <v>1</v>
      </c>
      <c r="E14" s="337" t="s">
        <v>111</v>
      </c>
      <c r="F14" s="337" t="s">
        <v>49</v>
      </c>
      <c r="G14" s="337">
        <v>33</v>
      </c>
      <c r="I14" s="342" t="s">
        <v>904</v>
      </c>
      <c r="J14" s="342" t="s">
        <v>892</v>
      </c>
      <c r="K14" s="342">
        <v>0.5</v>
      </c>
      <c r="L14" s="342">
        <v>2</v>
      </c>
      <c r="M14" s="342"/>
    </row>
    <row r="15" spans="1:15">
      <c r="A15" s="337" t="s">
        <v>867</v>
      </c>
      <c r="B15" s="337">
        <v>0.5</v>
      </c>
      <c r="C15" s="337">
        <v>0.15</v>
      </c>
      <c r="D15" s="337">
        <v>1</v>
      </c>
      <c r="E15" s="337" t="s">
        <v>111</v>
      </c>
      <c r="F15" s="337" t="s">
        <v>49</v>
      </c>
      <c r="G15" s="337">
        <v>33</v>
      </c>
      <c r="I15" s="342" t="s">
        <v>905</v>
      </c>
      <c r="J15" s="342" t="s">
        <v>892</v>
      </c>
      <c r="K15" s="342">
        <v>0.25</v>
      </c>
      <c r="L15" s="342">
        <v>2</v>
      </c>
      <c r="M15" s="342"/>
    </row>
    <row r="16" spans="1:15">
      <c r="A16" s="337" t="s">
        <v>866</v>
      </c>
      <c r="B16" s="337">
        <v>0.5</v>
      </c>
      <c r="C16" s="337">
        <v>0.15</v>
      </c>
      <c r="D16" s="337">
        <v>2</v>
      </c>
      <c r="E16" s="337" t="s">
        <v>49</v>
      </c>
      <c r="F16" s="337" t="s">
        <v>49</v>
      </c>
      <c r="G16" s="337">
        <v>33</v>
      </c>
      <c r="I16" s="342" t="s">
        <v>906</v>
      </c>
      <c r="J16" s="342">
        <v>50</v>
      </c>
      <c r="K16" s="342" t="s">
        <v>892</v>
      </c>
      <c r="L16" s="342">
        <v>2</v>
      </c>
      <c r="M16" s="342" t="s">
        <v>907</v>
      </c>
    </row>
    <row r="17" spans="1:13">
      <c r="A17" s="337" t="s">
        <v>865</v>
      </c>
      <c r="B17" s="337">
        <v>0.5</v>
      </c>
      <c r="C17" s="337">
        <v>0.15</v>
      </c>
      <c r="D17" s="337">
        <v>2</v>
      </c>
      <c r="E17" s="337" t="s">
        <v>49</v>
      </c>
      <c r="F17" s="337" t="s">
        <v>49</v>
      </c>
      <c r="G17" s="337">
        <v>33</v>
      </c>
      <c r="I17" s="342" t="s">
        <v>908</v>
      </c>
      <c r="J17" s="342" t="s">
        <v>892</v>
      </c>
      <c r="K17" s="342" t="s">
        <v>892</v>
      </c>
      <c r="L17" s="342">
        <v>4</v>
      </c>
      <c r="M17" s="342" t="s">
        <v>150</v>
      </c>
    </row>
    <row r="18" spans="1:13">
      <c r="A18" s="337" t="s">
        <v>864</v>
      </c>
      <c r="B18" s="337">
        <v>0.5</v>
      </c>
      <c r="C18" s="337">
        <v>0.2</v>
      </c>
      <c r="D18" s="337">
        <v>2</v>
      </c>
      <c r="E18" s="337" t="s">
        <v>49</v>
      </c>
      <c r="F18" s="337" t="s">
        <v>49</v>
      </c>
      <c r="G18" s="337">
        <v>33</v>
      </c>
      <c r="I18" s="342" t="s">
        <v>909</v>
      </c>
      <c r="J18" s="342" t="s">
        <v>892</v>
      </c>
      <c r="K18" s="342">
        <v>0.75</v>
      </c>
      <c r="L18" s="342">
        <v>2</v>
      </c>
      <c r="M18" s="342" t="s">
        <v>337</v>
      </c>
    </row>
    <row r="19" spans="1:13">
      <c r="A19" s="337" t="s">
        <v>863</v>
      </c>
      <c r="B19" s="337">
        <v>0.15</v>
      </c>
      <c r="C19" s="337"/>
      <c r="D19" s="337">
        <v>2</v>
      </c>
      <c r="E19" s="337" t="s">
        <v>49</v>
      </c>
      <c r="F19" s="337" t="s">
        <v>49</v>
      </c>
      <c r="G19" s="337">
        <v>3</v>
      </c>
      <c r="I19" s="342" t="s">
        <v>910</v>
      </c>
      <c r="J19" s="342" t="s">
        <v>892</v>
      </c>
      <c r="K19" s="342">
        <v>0.9</v>
      </c>
      <c r="L19" s="342">
        <v>2</v>
      </c>
      <c r="M19" s="342"/>
    </row>
    <row r="20" spans="1:13">
      <c r="A20" s="337" t="s">
        <v>862</v>
      </c>
      <c r="B20" s="337">
        <v>0.5</v>
      </c>
      <c r="C20" s="337">
        <v>0.15</v>
      </c>
      <c r="D20" s="337">
        <v>1</v>
      </c>
      <c r="E20" s="337" t="s">
        <v>111</v>
      </c>
      <c r="F20" s="337" t="s">
        <v>49</v>
      </c>
      <c r="G20" s="337">
        <v>33</v>
      </c>
      <c r="I20" s="342" t="s">
        <v>911</v>
      </c>
      <c r="J20" s="342" t="s">
        <v>892</v>
      </c>
      <c r="K20" s="342" t="s">
        <v>157</v>
      </c>
      <c r="L20" s="342">
        <v>3</v>
      </c>
      <c r="M20" s="342" t="s">
        <v>150</v>
      </c>
    </row>
    <row r="21" spans="1:13">
      <c r="A21" s="337" t="s">
        <v>861</v>
      </c>
      <c r="B21" s="337">
        <v>0.5</v>
      </c>
      <c r="C21" s="337">
        <v>0.15</v>
      </c>
      <c r="D21" s="337">
        <v>1</v>
      </c>
      <c r="E21" s="337" t="s">
        <v>111</v>
      </c>
      <c r="F21" s="337" t="s">
        <v>49</v>
      </c>
      <c r="G21" s="337">
        <v>33</v>
      </c>
      <c r="I21" s="342" t="s">
        <v>912</v>
      </c>
      <c r="J21" s="342" t="s">
        <v>892</v>
      </c>
      <c r="K21" s="342">
        <v>1</v>
      </c>
      <c r="L21" s="342">
        <v>3</v>
      </c>
      <c r="M21" s="342" t="s">
        <v>150</v>
      </c>
    </row>
    <row r="22" spans="1:13">
      <c r="A22" s="337" t="s">
        <v>860</v>
      </c>
      <c r="B22" s="337">
        <v>0.5</v>
      </c>
      <c r="C22" s="337">
        <v>0.15</v>
      </c>
      <c r="D22" s="337">
        <v>1</v>
      </c>
      <c r="E22" s="337" t="s">
        <v>111</v>
      </c>
      <c r="F22" s="337" t="s">
        <v>49</v>
      </c>
      <c r="G22" s="337">
        <v>33</v>
      </c>
      <c r="I22" s="342" t="s">
        <v>913</v>
      </c>
      <c r="J22" s="342" t="s">
        <v>892</v>
      </c>
      <c r="K22" s="342">
        <v>1.5</v>
      </c>
      <c r="L22" s="342">
        <v>4</v>
      </c>
      <c r="M22" s="342" t="s">
        <v>150</v>
      </c>
    </row>
    <row r="23" spans="1:13" hidden="1">
      <c r="A23" s="337" t="s">
        <v>859</v>
      </c>
      <c r="B23" s="337">
        <v>0.15</v>
      </c>
      <c r="C23" s="337"/>
      <c r="D23" s="337">
        <v>1</v>
      </c>
      <c r="E23" s="337" t="s">
        <v>111</v>
      </c>
      <c r="F23" s="337" t="s">
        <v>111</v>
      </c>
      <c r="G23" s="337"/>
      <c r="I23" s="342" t="s">
        <v>914</v>
      </c>
      <c r="J23" s="342" t="s">
        <v>915</v>
      </c>
      <c r="K23" s="342" t="s">
        <v>892</v>
      </c>
      <c r="L23" s="342">
        <v>2</v>
      </c>
      <c r="M23" s="342" t="s">
        <v>420</v>
      </c>
    </row>
    <row r="24" spans="1:13">
      <c r="A24" s="337" t="s">
        <v>858</v>
      </c>
      <c r="B24" s="337">
        <v>0.15</v>
      </c>
      <c r="C24" s="337"/>
      <c r="D24" s="337">
        <v>2</v>
      </c>
      <c r="E24" s="337" t="s">
        <v>111</v>
      </c>
      <c r="F24" s="337" t="s">
        <v>49</v>
      </c>
      <c r="G24" s="337">
        <v>2</v>
      </c>
      <c r="I24" s="342" t="s">
        <v>916</v>
      </c>
      <c r="J24" s="342">
        <v>70</v>
      </c>
      <c r="K24" s="342" t="s">
        <v>892</v>
      </c>
      <c r="L24" s="342">
        <v>2</v>
      </c>
      <c r="M24" s="342" t="s">
        <v>917</v>
      </c>
    </row>
    <row r="25" spans="1:13">
      <c r="A25" s="337" t="s">
        <v>857</v>
      </c>
      <c r="B25" s="337">
        <v>0.15</v>
      </c>
      <c r="C25" s="337"/>
      <c r="D25" s="337">
        <v>1</v>
      </c>
      <c r="E25" s="337" t="s">
        <v>111</v>
      </c>
      <c r="F25" s="337" t="s">
        <v>49</v>
      </c>
      <c r="G25" s="337">
        <v>3</v>
      </c>
      <c r="I25" s="342" t="s">
        <v>914</v>
      </c>
      <c r="J25" s="342">
        <v>50</v>
      </c>
      <c r="K25" s="342"/>
      <c r="L25" s="342"/>
      <c r="M25" s="342"/>
    </row>
    <row r="26" spans="1:13">
      <c r="A26" s="337" t="s">
        <v>856</v>
      </c>
      <c r="B26" s="337">
        <v>0.15</v>
      </c>
      <c r="C26" s="337"/>
      <c r="D26" s="337">
        <v>1</v>
      </c>
      <c r="E26" s="337" t="s">
        <v>111</v>
      </c>
      <c r="F26" s="337" t="s">
        <v>49</v>
      </c>
      <c r="G26" s="337">
        <v>5</v>
      </c>
      <c r="I26" s="342" t="s">
        <v>48</v>
      </c>
      <c r="J26" s="342">
        <v>0</v>
      </c>
      <c r="K26" s="342">
        <v>0</v>
      </c>
      <c r="L26" s="342">
        <v>0</v>
      </c>
      <c r="M26" s="342"/>
    </row>
    <row r="27" spans="1:13">
      <c r="A27" s="337" t="s">
        <v>855</v>
      </c>
      <c r="B27" s="337">
        <v>0.15</v>
      </c>
      <c r="C27" s="337"/>
      <c r="D27" s="337">
        <v>2</v>
      </c>
      <c r="E27" s="337" t="s">
        <v>49</v>
      </c>
      <c r="F27" s="337" t="s">
        <v>49</v>
      </c>
      <c r="G27" s="337">
        <v>5</v>
      </c>
      <c r="I27" s="342" t="s">
        <v>918</v>
      </c>
      <c r="J27" s="342" t="s">
        <v>892</v>
      </c>
      <c r="K27" s="342">
        <v>0.5</v>
      </c>
      <c r="L27" s="342">
        <v>2</v>
      </c>
      <c r="M27" s="342"/>
    </row>
    <row r="28" spans="1:13">
      <c r="A28" s="337" t="s">
        <v>854</v>
      </c>
      <c r="B28" s="337">
        <v>0.15</v>
      </c>
      <c r="C28" s="337"/>
      <c r="D28" s="337">
        <v>1</v>
      </c>
      <c r="E28" s="337" t="s">
        <v>49</v>
      </c>
      <c r="F28" s="337" t="s">
        <v>49</v>
      </c>
      <c r="G28" s="337">
        <v>5</v>
      </c>
    </row>
    <row r="29" spans="1:13">
      <c r="A29" s="337" t="s">
        <v>853</v>
      </c>
      <c r="B29" s="337">
        <v>0.5</v>
      </c>
      <c r="C29" s="337">
        <v>0.15</v>
      </c>
      <c r="D29" s="337">
        <v>1</v>
      </c>
      <c r="E29" s="337" t="s">
        <v>111</v>
      </c>
      <c r="F29" s="337" t="s">
        <v>49</v>
      </c>
      <c r="G29" s="337">
        <v>33</v>
      </c>
    </row>
    <row r="30" spans="1:13">
      <c r="A30" s="337" t="s">
        <v>852</v>
      </c>
      <c r="B30" s="337">
        <v>0.5</v>
      </c>
      <c r="C30" s="337"/>
      <c r="D30" s="337">
        <v>1</v>
      </c>
      <c r="E30" s="337" t="s">
        <v>111</v>
      </c>
      <c r="F30" s="337" t="s">
        <v>49</v>
      </c>
      <c r="G30" s="337">
        <v>33</v>
      </c>
    </row>
    <row r="31" spans="1:13">
      <c r="A31" s="337" t="s">
        <v>851</v>
      </c>
      <c r="B31" s="337">
        <v>0.5</v>
      </c>
      <c r="C31" s="337">
        <v>0.15</v>
      </c>
      <c r="D31" s="337">
        <v>1</v>
      </c>
      <c r="E31" s="337" t="s">
        <v>49</v>
      </c>
      <c r="F31" s="337" t="s">
        <v>49</v>
      </c>
      <c r="G31" s="337">
        <v>33</v>
      </c>
    </row>
    <row r="32" spans="1:13" ht="14.4">
      <c r="A32" s="337" t="s">
        <v>850</v>
      </c>
      <c r="B32" s="337">
        <v>0.5</v>
      </c>
      <c r="C32" s="337">
        <v>0.15</v>
      </c>
      <c r="D32" s="337">
        <v>1</v>
      </c>
      <c r="E32" s="337" t="s">
        <v>111</v>
      </c>
      <c r="F32" s="337" t="s">
        <v>49</v>
      </c>
      <c r="G32" s="337">
        <v>33</v>
      </c>
      <c r="I32" s="343"/>
      <c r="J32" s="343"/>
      <c r="K32" s="343"/>
      <c r="L32" s="343"/>
      <c r="M32" s="343"/>
    </row>
    <row r="33" spans="1:7">
      <c r="A33" s="337" t="s">
        <v>849</v>
      </c>
      <c r="B33" s="337">
        <v>0.15</v>
      </c>
      <c r="C33" s="337"/>
      <c r="D33" s="337">
        <v>1</v>
      </c>
      <c r="E33" s="337" t="s">
        <v>49</v>
      </c>
      <c r="F33" s="337" t="s">
        <v>49</v>
      </c>
      <c r="G33" s="337">
        <v>2</v>
      </c>
    </row>
    <row r="34" spans="1:7">
      <c r="A34" s="337" t="s">
        <v>848</v>
      </c>
      <c r="B34" s="337">
        <v>0.15</v>
      </c>
      <c r="C34" s="337"/>
      <c r="D34" s="337">
        <v>1</v>
      </c>
      <c r="E34" s="337" t="s">
        <v>111</v>
      </c>
      <c r="F34" s="337" t="s">
        <v>49</v>
      </c>
      <c r="G34" s="337">
        <v>5</v>
      </c>
    </row>
    <row r="35" spans="1:7">
      <c r="A35" s="337" t="s">
        <v>847</v>
      </c>
      <c r="B35" s="337">
        <v>0.15</v>
      </c>
      <c r="C35" s="337"/>
      <c r="D35" s="337">
        <v>1</v>
      </c>
      <c r="E35" s="337" t="s">
        <v>111</v>
      </c>
      <c r="F35" s="337" t="s">
        <v>49</v>
      </c>
      <c r="G35" s="337">
        <v>5</v>
      </c>
    </row>
    <row r="36" spans="1:7">
      <c r="A36" s="337" t="s">
        <v>846</v>
      </c>
      <c r="B36" s="337">
        <v>0.15</v>
      </c>
      <c r="C36" s="337"/>
      <c r="D36" s="337">
        <v>1</v>
      </c>
      <c r="E36" s="337" t="s">
        <v>111</v>
      </c>
      <c r="F36" s="337" t="s">
        <v>49</v>
      </c>
      <c r="G36" s="337">
        <v>33</v>
      </c>
    </row>
    <row r="37" spans="1:7">
      <c r="A37" s="337" t="s">
        <v>845</v>
      </c>
      <c r="B37" s="337">
        <v>0.15</v>
      </c>
      <c r="C37" s="337"/>
      <c r="D37" s="337">
        <v>2</v>
      </c>
      <c r="E37" s="337" t="s">
        <v>111</v>
      </c>
      <c r="F37" s="337" t="s">
        <v>49</v>
      </c>
      <c r="G37" s="337">
        <v>5</v>
      </c>
    </row>
    <row r="38" spans="1:7">
      <c r="A38" s="337" t="s">
        <v>844</v>
      </c>
      <c r="B38" s="337">
        <v>0.15</v>
      </c>
      <c r="C38" s="337"/>
      <c r="D38" s="337">
        <v>1</v>
      </c>
      <c r="E38" s="337" t="s">
        <v>111</v>
      </c>
      <c r="F38" s="337" t="s">
        <v>49</v>
      </c>
      <c r="G38" s="337">
        <v>5</v>
      </c>
    </row>
    <row r="39" spans="1:7">
      <c r="A39" s="337" t="s">
        <v>843</v>
      </c>
      <c r="B39" s="337">
        <v>0.15</v>
      </c>
      <c r="C39" s="337"/>
      <c r="D39" s="337">
        <v>1</v>
      </c>
      <c r="E39" s="337" t="s">
        <v>111</v>
      </c>
      <c r="F39" s="337" t="s">
        <v>49</v>
      </c>
      <c r="G39" s="337">
        <v>5</v>
      </c>
    </row>
    <row r="40" spans="1:7">
      <c r="A40" s="337" t="s">
        <v>842</v>
      </c>
      <c r="B40" s="337" t="s">
        <v>157</v>
      </c>
      <c r="C40" s="337"/>
      <c r="D40" s="337">
        <v>2</v>
      </c>
      <c r="E40" s="337" t="s">
        <v>49</v>
      </c>
      <c r="F40" s="337" t="s">
        <v>49</v>
      </c>
      <c r="G40" s="337">
        <v>0</v>
      </c>
    </row>
    <row r="41" spans="1:7" ht="20.399999999999999">
      <c r="A41" s="337" t="s">
        <v>841</v>
      </c>
      <c r="B41" s="337">
        <v>0.15</v>
      </c>
      <c r="C41" s="337"/>
      <c r="D41" s="337">
        <v>3</v>
      </c>
      <c r="E41" s="337" t="s">
        <v>49</v>
      </c>
      <c r="F41" s="337" t="s">
        <v>49</v>
      </c>
      <c r="G41" s="337">
        <v>5</v>
      </c>
    </row>
    <row r="42" spans="1:7">
      <c r="A42" s="337" t="s">
        <v>840</v>
      </c>
      <c r="B42" s="337">
        <v>0.15</v>
      </c>
      <c r="C42" s="337"/>
      <c r="D42" s="337">
        <v>2</v>
      </c>
      <c r="E42" s="337" t="s">
        <v>49</v>
      </c>
      <c r="F42" s="337" t="s">
        <v>49</v>
      </c>
      <c r="G42" s="337">
        <v>5</v>
      </c>
    </row>
    <row r="43" spans="1:7">
      <c r="A43" s="337" t="s">
        <v>839</v>
      </c>
      <c r="B43" s="337">
        <v>0.15</v>
      </c>
      <c r="C43" s="337"/>
      <c r="D43" s="337">
        <v>1</v>
      </c>
      <c r="E43" s="337" t="s">
        <v>49</v>
      </c>
      <c r="F43" s="337" t="s">
        <v>49</v>
      </c>
      <c r="G43" s="337">
        <v>5</v>
      </c>
    </row>
    <row r="44" spans="1:7">
      <c r="A44" s="337" t="s">
        <v>838</v>
      </c>
      <c r="B44" s="337">
        <v>0.15</v>
      </c>
      <c r="C44" s="337"/>
      <c r="D44" s="337">
        <v>2</v>
      </c>
      <c r="E44" s="337" t="s">
        <v>49</v>
      </c>
      <c r="F44" s="337" t="s">
        <v>49</v>
      </c>
      <c r="G44" s="337">
        <v>5</v>
      </c>
    </row>
    <row r="45" spans="1:7">
      <c r="A45" s="337" t="s">
        <v>837</v>
      </c>
      <c r="B45" s="337">
        <v>0.15</v>
      </c>
      <c r="C45" s="337"/>
      <c r="D45" s="337">
        <v>2</v>
      </c>
      <c r="E45" s="337" t="s">
        <v>49</v>
      </c>
      <c r="F45" s="337" t="s">
        <v>49</v>
      </c>
      <c r="G45" s="337">
        <v>5</v>
      </c>
    </row>
    <row r="46" spans="1:7">
      <c r="A46" s="337" t="s">
        <v>836</v>
      </c>
      <c r="B46" s="337">
        <v>0.15</v>
      </c>
      <c r="C46" s="337"/>
      <c r="D46" s="337">
        <v>1</v>
      </c>
      <c r="E46" s="337" t="s">
        <v>49</v>
      </c>
      <c r="F46" s="337" t="s">
        <v>49</v>
      </c>
      <c r="G46" s="337">
        <v>5</v>
      </c>
    </row>
    <row r="47" spans="1:7">
      <c r="A47" s="337" t="s">
        <v>835</v>
      </c>
      <c r="B47" s="337">
        <v>0.5</v>
      </c>
      <c r="C47" s="337">
        <v>0.15</v>
      </c>
      <c r="D47" s="337">
        <v>1</v>
      </c>
      <c r="E47" s="337" t="s">
        <v>111</v>
      </c>
      <c r="F47" s="337" t="s">
        <v>49</v>
      </c>
      <c r="G47" s="337">
        <v>33</v>
      </c>
    </row>
    <row r="48" spans="1:7">
      <c r="A48" s="337" t="s">
        <v>834</v>
      </c>
      <c r="B48" s="337">
        <v>0.15</v>
      </c>
      <c r="C48" s="337"/>
      <c r="D48" s="337">
        <v>2</v>
      </c>
      <c r="E48" s="337" t="s">
        <v>49</v>
      </c>
      <c r="F48" s="337" t="s">
        <v>49</v>
      </c>
      <c r="G48" s="337">
        <v>1</v>
      </c>
    </row>
    <row r="49" spans="1:7">
      <c r="A49" s="337" t="s">
        <v>833</v>
      </c>
      <c r="B49" s="337">
        <v>0.15</v>
      </c>
      <c r="C49" s="337"/>
      <c r="D49" s="337">
        <v>2</v>
      </c>
      <c r="E49" s="337" t="s">
        <v>49</v>
      </c>
      <c r="F49" s="337" t="s">
        <v>49</v>
      </c>
      <c r="G49" s="337">
        <v>5</v>
      </c>
    </row>
    <row r="50" spans="1:7">
      <c r="A50" s="337" t="s">
        <v>832</v>
      </c>
      <c r="B50" s="337">
        <v>1.07</v>
      </c>
      <c r="C50" s="337">
        <v>0.15</v>
      </c>
      <c r="D50" s="337">
        <v>1</v>
      </c>
      <c r="E50" s="337" t="s">
        <v>111</v>
      </c>
      <c r="F50" s="337" t="s">
        <v>49</v>
      </c>
      <c r="G50" s="337">
        <v>7</v>
      </c>
    </row>
    <row r="51" spans="1:7">
      <c r="A51" s="337" t="s">
        <v>831</v>
      </c>
      <c r="B51" s="337">
        <v>1.07</v>
      </c>
      <c r="C51" s="337">
        <v>0.15</v>
      </c>
      <c r="D51" s="337">
        <v>1</v>
      </c>
      <c r="E51" s="337" t="s">
        <v>111</v>
      </c>
      <c r="F51" s="337" t="s">
        <v>49</v>
      </c>
      <c r="G51" s="337">
        <v>7</v>
      </c>
    </row>
    <row r="52" spans="1:7">
      <c r="A52" s="337" t="s">
        <v>830</v>
      </c>
      <c r="B52" s="337">
        <v>0.19</v>
      </c>
      <c r="C52" s="337">
        <v>0.15</v>
      </c>
      <c r="D52" s="337">
        <v>1</v>
      </c>
      <c r="E52" s="337" t="s">
        <v>111</v>
      </c>
      <c r="F52" s="337" t="s">
        <v>49</v>
      </c>
      <c r="G52" s="337">
        <v>13</v>
      </c>
    </row>
    <row r="53" spans="1:7">
      <c r="A53" s="337" t="s">
        <v>829</v>
      </c>
      <c r="B53" s="337">
        <v>0.19</v>
      </c>
      <c r="C53" s="337">
        <v>0.15</v>
      </c>
      <c r="D53" s="337">
        <v>1</v>
      </c>
      <c r="E53" s="337" t="s">
        <v>111</v>
      </c>
      <c r="F53" s="337" t="s">
        <v>49</v>
      </c>
      <c r="G53" s="337">
        <v>13</v>
      </c>
    </row>
    <row r="54" spans="1:7">
      <c r="A54" s="337" t="s">
        <v>828</v>
      </c>
      <c r="B54" s="337">
        <v>0.15</v>
      </c>
      <c r="C54" s="337"/>
      <c r="D54" s="337">
        <v>1</v>
      </c>
      <c r="E54" s="337" t="s">
        <v>49</v>
      </c>
      <c r="F54" s="337" t="s">
        <v>49</v>
      </c>
      <c r="G54" s="337">
        <v>10</v>
      </c>
    </row>
    <row r="55" spans="1:7">
      <c r="A55" s="337" t="s">
        <v>827</v>
      </c>
      <c r="B55" s="337">
        <v>0.5</v>
      </c>
      <c r="C55" s="337">
        <v>0.15</v>
      </c>
      <c r="D55" s="337">
        <v>1</v>
      </c>
      <c r="E55" s="337" t="s">
        <v>111</v>
      </c>
      <c r="F55" s="337" t="s">
        <v>49</v>
      </c>
      <c r="G55" s="337">
        <v>33</v>
      </c>
    </row>
    <row r="56" spans="1:7">
      <c r="A56" s="337" t="s">
        <v>826</v>
      </c>
      <c r="B56" s="337">
        <v>0.25</v>
      </c>
      <c r="C56" s="337">
        <v>0.15</v>
      </c>
      <c r="D56" s="337">
        <v>1</v>
      </c>
      <c r="E56" s="337" t="s">
        <v>49</v>
      </c>
      <c r="F56" s="337" t="s">
        <v>49</v>
      </c>
      <c r="G56" s="337">
        <v>17</v>
      </c>
    </row>
    <row r="57" spans="1:7">
      <c r="A57" s="337" t="s">
        <v>825</v>
      </c>
      <c r="B57" s="337">
        <v>0.25</v>
      </c>
      <c r="C57" s="337">
        <v>0.15</v>
      </c>
      <c r="D57" s="337">
        <v>11</v>
      </c>
      <c r="E57" s="337" t="s">
        <v>111</v>
      </c>
      <c r="F57" s="337" t="s">
        <v>49</v>
      </c>
      <c r="G57" s="337">
        <v>17</v>
      </c>
    </row>
    <row r="58" spans="1:7" hidden="1">
      <c r="A58" s="337" t="s">
        <v>824</v>
      </c>
      <c r="B58" s="337">
        <v>0</v>
      </c>
      <c r="C58" s="337">
        <v>0</v>
      </c>
      <c r="D58" s="337"/>
      <c r="E58" s="337" t="s">
        <v>49</v>
      </c>
      <c r="F58" s="337" t="s">
        <v>111</v>
      </c>
      <c r="G58" s="337"/>
    </row>
    <row r="59" spans="1:7">
      <c r="A59" s="337" t="s">
        <v>823</v>
      </c>
      <c r="B59" s="337">
        <v>0.25</v>
      </c>
      <c r="C59" s="337">
        <v>0.2</v>
      </c>
      <c r="D59" s="337">
        <v>2</v>
      </c>
      <c r="E59" s="337" t="s">
        <v>49</v>
      </c>
      <c r="F59" s="337" t="s">
        <v>49</v>
      </c>
      <c r="G59" s="337">
        <v>17</v>
      </c>
    </row>
    <row r="60" spans="1:7">
      <c r="A60" s="337" t="s">
        <v>822</v>
      </c>
      <c r="B60" s="337">
        <v>0.25</v>
      </c>
      <c r="C60" s="337">
        <v>0.15</v>
      </c>
      <c r="D60" s="337">
        <v>1</v>
      </c>
      <c r="E60" s="337" t="s">
        <v>111</v>
      </c>
      <c r="F60" s="337" t="s">
        <v>49</v>
      </c>
      <c r="G60" s="337">
        <v>17</v>
      </c>
    </row>
    <row r="61" spans="1:7">
      <c r="A61" s="337" t="s">
        <v>821</v>
      </c>
      <c r="B61" s="337">
        <v>0.4</v>
      </c>
      <c r="C61" s="337"/>
      <c r="D61" s="337">
        <v>2</v>
      </c>
      <c r="E61" s="337" t="s">
        <v>49</v>
      </c>
      <c r="F61" s="337" t="s">
        <v>49</v>
      </c>
      <c r="G61" s="337">
        <v>17</v>
      </c>
    </row>
    <row r="62" spans="1:7">
      <c r="A62" s="337" t="s">
        <v>820</v>
      </c>
      <c r="B62" s="337">
        <v>0.4</v>
      </c>
      <c r="C62" s="337"/>
      <c r="D62" s="337">
        <v>2</v>
      </c>
      <c r="E62" s="337" t="s">
        <v>49</v>
      </c>
      <c r="F62" s="337" t="s">
        <v>49</v>
      </c>
      <c r="G62" s="337">
        <v>17</v>
      </c>
    </row>
    <row r="63" spans="1:7">
      <c r="A63" s="337" t="s">
        <v>819</v>
      </c>
      <c r="B63" s="337">
        <v>0.25</v>
      </c>
      <c r="C63" s="337">
        <v>0.15</v>
      </c>
      <c r="D63" s="337">
        <v>2</v>
      </c>
      <c r="E63" s="337" t="s">
        <v>49</v>
      </c>
      <c r="F63" s="337" t="s">
        <v>49</v>
      </c>
      <c r="G63" s="337">
        <v>17</v>
      </c>
    </row>
    <row r="64" spans="1:7">
      <c r="A64" s="337" t="s">
        <v>818</v>
      </c>
      <c r="B64" s="337">
        <v>0.25</v>
      </c>
      <c r="C64" s="337">
        <v>0.2</v>
      </c>
      <c r="D64" s="337">
        <v>1</v>
      </c>
      <c r="E64" s="337" t="s">
        <v>111</v>
      </c>
      <c r="F64" s="337" t="s">
        <v>49</v>
      </c>
      <c r="G64" s="337">
        <v>17</v>
      </c>
    </row>
    <row r="65" spans="1:7">
      <c r="A65" s="337" t="s">
        <v>817</v>
      </c>
      <c r="B65" s="337">
        <v>0.3</v>
      </c>
      <c r="C65" s="337"/>
      <c r="D65" s="337">
        <v>2</v>
      </c>
      <c r="E65" s="337" t="s">
        <v>49</v>
      </c>
      <c r="F65" s="337" t="s">
        <v>49</v>
      </c>
      <c r="G65" s="337">
        <v>17</v>
      </c>
    </row>
    <row r="66" spans="1:7">
      <c r="A66" s="337" t="s">
        <v>816</v>
      </c>
      <c r="B66" s="337">
        <v>0.5</v>
      </c>
      <c r="C66" s="337">
        <v>0.15</v>
      </c>
      <c r="D66" s="337">
        <v>2</v>
      </c>
      <c r="E66" s="337" t="s">
        <v>49</v>
      </c>
      <c r="F66" s="337" t="s">
        <v>49</v>
      </c>
      <c r="G66" s="337">
        <v>10</v>
      </c>
    </row>
    <row r="67" spans="1:7">
      <c r="A67" s="337" t="s">
        <v>815</v>
      </c>
      <c r="B67" s="337">
        <v>0.5</v>
      </c>
      <c r="C67" s="337">
        <v>0.15</v>
      </c>
      <c r="D67" s="337">
        <v>1</v>
      </c>
      <c r="E67" s="337" t="s">
        <v>111</v>
      </c>
      <c r="F67" s="337" t="s">
        <v>49</v>
      </c>
      <c r="G67" s="337">
        <v>33</v>
      </c>
    </row>
    <row r="68" spans="1:7">
      <c r="A68" s="337" t="s">
        <v>814</v>
      </c>
      <c r="B68" s="337">
        <v>0.15</v>
      </c>
      <c r="C68" s="337"/>
      <c r="D68" s="337">
        <v>2</v>
      </c>
      <c r="E68" s="337" t="s">
        <v>49</v>
      </c>
      <c r="F68" s="337" t="s">
        <v>49</v>
      </c>
      <c r="G68" s="337">
        <v>10</v>
      </c>
    </row>
    <row r="69" spans="1:7">
      <c r="A69" s="337" t="s">
        <v>813</v>
      </c>
      <c r="B69" s="337">
        <v>0.5</v>
      </c>
      <c r="C69" s="337">
        <v>0.15</v>
      </c>
      <c r="D69" s="337">
        <v>2</v>
      </c>
      <c r="E69" s="337" t="s">
        <v>49</v>
      </c>
      <c r="F69" s="337" t="s">
        <v>49</v>
      </c>
      <c r="G69" s="337">
        <v>33</v>
      </c>
    </row>
    <row r="70" spans="1:7">
      <c r="A70" s="337" t="s">
        <v>812</v>
      </c>
      <c r="B70" s="337">
        <v>1.5</v>
      </c>
      <c r="C70" s="337">
        <v>0.15</v>
      </c>
      <c r="D70" s="337">
        <v>2</v>
      </c>
      <c r="E70" s="337" t="s">
        <v>111</v>
      </c>
      <c r="F70" s="337" t="s">
        <v>49</v>
      </c>
      <c r="G70" s="337">
        <v>100</v>
      </c>
    </row>
    <row r="71" spans="1:7">
      <c r="A71" s="337" t="s">
        <v>811</v>
      </c>
      <c r="B71" s="337">
        <v>0.15</v>
      </c>
      <c r="C71" s="337"/>
      <c r="D71" s="337">
        <v>2</v>
      </c>
      <c r="E71" s="337" t="s">
        <v>49</v>
      </c>
      <c r="F71" s="337" t="s">
        <v>49</v>
      </c>
      <c r="G71" s="337">
        <v>10</v>
      </c>
    </row>
    <row r="72" spans="1:7">
      <c r="A72" s="337" t="s">
        <v>810</v>
      </c>
      <c r="B72" s="337">
        <v>0.15</v>
      </c>
      <c r="C72" s="337"/>
      <c r="D72" s="337">
        <v>2</v>
      </c>
      <c r="E72" s="337" t="s">
        <v>49</v>
      </c>
      <c r="F72" s="337" t="s">
        <v>49</v>
      </c>
      <c r="G72" s="337">
        <v>10</v>
      </c>
    </row>
    <row r="73" spans="1:7">
      <c r="A73" s="337" t="s">
        <v>809</v>
      </c>
      <c r="B73" s="337">
        <v>1.07</v>
      </c>
      <c r="C73" s="337">
        <v>0.15</v>
      </c>
      <c r="D73" s="337">
        <v>1</v>
      </c>
      <c r="E73" s="337" t="s">
        <v>49</v>
      </c>
      <c r="F73" s="337" t="s">
        <v>49</v>
      </c>
      <c r="G73" s="337">
        <v>7</v>
      </c>
    </row>
    <row r="74" spans="1:7">
      <c r="A74" s="337" t="s">
        <v>808</v>
      </c>
      <c r="B74" s="337">
        <v>0.68</v>
      </c>
      <c r="C74" s="337">
        <v>0.15</v>
      </c>
      <c r="D74" s="337">
        <v>1</v>
      </c>
      <c r="E74" s="337" t="s">
        <v>49</v>
      </c>
      <c r="F74" s="337" t="s">
        <v>49</v>
      </c>
      <c r="G74" s="337">
        <v>45</v>
      </c>
    </row>
    <row r="75" spans="1:7">
      <c r="A75" s="337" t="s">
        <v>807</v>
      </c>
      <c r="B75" s="337">
        <v>0.68</v>
      </c>
      <c r="C75" s="337">
        <v>0.15</v>
      </c>
      <c r="D75" s="337">
        <v>1</v>
      </c>
      <c r="E75" s="337" t="s">
        <v>49</v>
      </c>
      <c r="F75" s="337" t="s">
        <v>49</v>
      </c>
      <c r="G75" s="337">
        <v>45</v>
      </c>
    </row>
    <row r="76" spans="1:7">
      <c r="A76" s="337" t="s">
        <v>48</v>
      </c>
      <c r="B76" s="337">
        <v>0</v>
      </c>
      <c r="C76" s="337">
        <v>0</v>
      </c>
      <c r="D76" s="337">
        <v>1</v>
      </c>
      <c r="E76" s="337" t="s">
        <v>49</v>
      </c>
      <c r="F76" s="337" t="s">
        <v>49</v>
      </c>
      <c r="G76" s="337">
        <v>0</v>
      </c>
    </row>
    <row r="77" spans="1:7">
      <c r="A77" s="337" t="s">
        <v>806</v>
      </c>
      <c r="B77" s="337">
        <v>0.5</v>
      </c>
      <c r="C77" s="337">
        <v>0.15</v>
      </c>
      <c r="D77" s="337">
        <v>1</v>
      </c>
      <c r="E77" s="337" t="s">
        <v>111</v>
      </c>
      <c r="F77" s="337" t="s">
        <v>49</v>
      </c>
      <c r="G77" s="337">
        <v>33</v>
      </c>
    </row>
  </sheetData>
  <pageMargins left="0.7" right="0.7" top="0.75" bottom="0.75" header="0.3" footer="0.3"/>
  <tableParts count="2">
    <tablePart r:id="rId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01E0D-981E-493D-8622-CA9DFB18E1D4}">
  <sheetPr codeName="Sheet9">
    <pageSetUpPr fitToPage="1"/>
  </sheetPr>
  <dimension ref="A1:AB93"/>
  <sheetViews>
    <sheetView zoomScale="85" zoomScaleNormal="85" workbookViewId="0">
      <selection activeCell="I6" sqref="I6"/>
    </sheetView>
  </sheetViews>
  <sheetFormatPr defaultRowHeight="13.2"/>
  <cols>
    <col min="1" max="1" width="76.109375" customWidth="1"/>
    <col min="2" max="2" width="6.109375" bestFit="1" customWidth="1"/>
    <col min="3" max="3" width="6.44140625" bestFit="1" customWidth="1"/>
    <col min="4" max="4" width="22.33203125" bestFit="1" customWidth="1"/>
    <col min="5" max="5" width="13.5546875" bestFit="1" customWidth="1"/>
    <col min="6" max="6" width="9" bestFit="1" customWidth="1"/>
    <col min="7" max="7" width="9" customWidth="1"/>
    <col min="8" max="8" width="9" style="70" bestFit="1" customWidth="1"/>
    <col min="10" max="10" width="77.44140625" customWidth="1"/>
    <col min="11" max="11" width="27" bestFit="1" customWidth="1"/>
    <col min="12" max="12" width="27.88671875" bestFit="1" customWidth="1"/>
    <col min="13" max="13" width="9.6640625" bestFit="1" customWidth="1"/>
    <col min="14" max="14" width="14.109375" bestFit="1" customWidth="1"/>
    <col min="15" max="16" width="13.44140625" customWidth="1"/>
    <col min="17" max="17" width="12.88671875" bestFit="1" customWidth="1"/>
    <col min="20" max="20" width="15.5546875" customWidth="1"/>
    <col min="24" max="24" width="15.5546875" customWidth="1"/>
    <col min="28" max="28" width="8.88671875" bestFit="1" customWidth="1"/>
  </cols>
  <sheetData>
    <row r="1" spans="1:28">
      <c r="A1" s="11" t="s">
        <v>86</v>
      </c>
      <c r="B1" s="11" t="s">
        <v>266</v>
      </c>
      <c r="C1" s="11" t="s">
        <v>0</v>
      </c>
      <c r="D1" s="11" t="s">
        <v>267</v>
      </c>
      <c r="E1" s="11" t="s">
        <v>268</v>
      </c>
      <c r="F1" s="72" t="s">
        <v>36</v>
      </c>
      <c r="G1" s="72" t="s">
        <v>269</v>
      </c>
      <c r="H1"/>
      <c r="J1" s="11" t="s">
        <v>86</v>
      </c>
      <c r="K1" s="11" t="s">
        <v>270</v>
      </c>
      <c r="L1" s="11" t="s">
        <v>271</v>
      </c>
      <c r="M1" s="11" t="s">
        <v>272</v>
      </c>
      <c r="N1" s="11" t="s">
        <v>273</v>
      </c>
      <c r="O1" s="11"/>
      <c r="P1" s="11"/>
      <c r="Q1" s="11"/>
    </row>
    <row r="2" spans="1:28">
      <c r="A2" s="84" t="s">
        <v>274</v>
      </c>
      <c r="B2" s="71">
        <v>10</v>
      </c>
      <c r="C2" s="71">
        <v>0.12</v>
      </c>
      <c r="D2" s="71">
        <v>20</v>
      </c>
      <c r="E2" s="71">
        <v>2</v>
      </c>
      <c r="F2" s="71" t="s">
        <v>49</v>
      </c>
      <c r="G2" s="71" t="s">
        <v>49</v>
      </c>
      <c r="H2"/>
      <c r="J2" s="85" t="s">
        <v>275</v>
      </c>
      <c r="K2" s="74">
        <v>0</v>
      </c>
      <c r="L2" s="71">
        <v>0.9</v>
      </c>
      <c r="M2" s="71"/>
      <c r="N2" s="71">
        <v>3</v>
      </c>
      <c r="Q2" s="11" t="s">
        <v>276</v>
      </c>
      <c r="T2" s="11" t="s">
        <v>277</v>
      </c>
      <c r="U2" t="s">
        <v>719</v>
      </c>
      <c r="V2" t="s">
        <v>720</v>
      </c>
      <c r="W2" t="s">
        <v>721</v>
      </c>
      <c r="Y2" s="11" t="s">
        <v>277</v>
      </c>
      <c r="Z2" t="s">
        <v>719</v>
      </c>
      <c r="AA2" t="s">
        <v>720</v>
      </c>
      <c r="AB2" t="s">
        <v>721</v>
      </c>
    </row>
    <row r="3" spans="1:28">
      <c r="A3" s="84" t="s">
        <v>275</v>
      </c>
      <c r="B3" s="71">
        <v>10</v>
      </c>
      <c r="C3" s="71">
        <v>0.18</v>
      </c>
      <c r="D3" s="71">
        <v>20</v>
      </c>
      <c r="E3" s="71">
        <v>3</v>
      </c>
      <c r="F3" s="71" t="s">
        <v>49</v>
      </c>
      <c r="G3" s="71" t="s">
        <v>49</v>
      </c>
      <c r="H3"/>
      <c r="J3" s="85" t="s">
        <v>278</v>
      </c>
      <c r="K3" s="71">
        <v>0</v>
      </c>
      <c r="L3" s="71">
        <v>3</v>
      </c>
      <c r="M3" s="71"/>
      <c r="N3" s="71">
        <v>3</v>
      </c>
      <c r="Q3">
        <v>1</v>
      </c>
      <c r="T3" s="289">
        <v>7</v>
      </c>
      <c r="U3">
        <v>400</v>
      </c>
      <c r="V3">
        <v>200</v>
      </c>
      <c r="W3">
        <v>150</v>
      </c>
      <c r="Y3" s="289">
        <v>7</v>
      </c>
      <c r="Z3">
        <v>800</v>
      </c>
      <c r="AA3">
        <v>400</v>
      </c>
      <c r="AB3">
        <v>250</v>
      </c>
    </row>
    <row r="4" spans="1:28">
      <c r="A4" s="84" t="s">
        <v>278</v>
      </c>
      <c r="B4" s="71">
        <v>10</v>
      </c>
      <c r="C4" s="71">
        <v>0.18</v>
      </c>
      <c r="D4" s="71">
        <v>20</v>
      </c>
      <c r="E4" s="71">
        <v>3</v>
      </c>
      <c r="F4" s="71" t="s">
        <v>49</v>
      </c>
      <c r="G4" s="71" t="s">
        <v>49</v>
      </c>
      <c r="H4"/>
      <c r="J4" s="85" t="s">
        <v>279</v>
      </c>
      <c r="K4" s="71">
        <v>0</v>
      </c>
      <c r="L4" s="71">
        <v>1.5</v>
      </c>
      <c r="M4" s="71"/>
      <c r="N4" s="71">
        <v>3</v>
      </c>
      <c r="Q4">
        <v>0.8</v>
      </c>
      <c r="T4" s="289">
        <v>8</v>
      </c>
      <c r="U4">
        <v>400</v>
      </c>
      <c r="V4">
        <v>200</v>
      </c>
      <c r="W4">
        <v>150</v>
      </c>
      <c r="Y4" s="289">
        <v>8</v>
      </c>
      <c r="Z4">
        <v>800</v>
      </c>
      <c r="AA4">
        <v>400</v>
      </c>
      <c r="AB4">
        <v>250</v>
      </c>
    </row>
    <row r="5" spans="1:28">
      <c r="A5" s="84" t="s">
        <v>279</v>
      </c>
      <c r="B5" s="71">
        <v>10</v>
      </c>
      <c r="C5" s="71">
        <v>0.18</v>
      </c>
      <c r="D5" s="71">
        <v>20</v>
      </c>
      <c r="E5" s="71">
        <v>3</v>
      </c>
      <c r="F5" s="71" t="s">
        <v>49</v>
      </c>
      <c r="G5" s="71" t="s">
        <v>49</v>
      </c>
      <c r="H5"/>
      <c r="J5" s="85" t="s">
        <v>265</v>
      </c>
      <c r="K5" s="71">
        <v>0</v>
      </c>
      <c r="L5" s="71">
        <v>1.5</v>
      </c>
      <c r="M5" s="71"/>
      <c r="N5" s="71">
        <v>3</v>
      </c>
      <c r="Q5">
        <v>0.7</v>
      </c>
      <c r="T5" s="290" t="s">
        <v>286</v>
      </c>
      <c r="U5">
        <v>800</v>
      </c>
      <c r="V5">
        <v>400</v>
      </c>
      <c r="W5">
        <v>250</v>
      </c>
      <c r="Y5" s="290" t="s">
        <v>280</v>
      </c>
      <c r="Z5">
        <v>1400</v>
      </c>
      <c r="AA5">
        <v>900</v>
      </c>
      <c r="AB5">
        <v>400</v>
      </c>
    </row>
    <row r="6" spans="1:28">
      <c r="A6" s="84" t="s">
        <v>265</v>
      </c>
      <c r="B6" s="71">
        <v>10</v>
      </c>
      <c r="C6" s="71">
        <v>0.18</v>
      </c>
      <c r="D6" s="71">
        <v>20</v>
      </c>
      <c r="E6" s="71">
        <v>3</v>
      </c>
      <c r="F6" s="71" t="s">
        <v>49</v>
      </c>
      <c r="G6" s="71" t="s">
        <v>49</v>
      </c>
      <c r="H6"/>
      <c r="J6" s="85" t="s">
        <v>281</v>
      </c>
      <c r="K6" s="71">
        <v>0</v>
      </c>
      <c r="L6" s="71">
        <v>2.25</v>
      </c>
      <c r="M6" s="71"/>
      <c r="N6" s="71">
        <v>3</v>
      </c>
      <c r="Q6">
        <v>0.5</v>
      </c>
      <c r="T6" s="290" t="s">
        <v>288</v>
      </c>
      <c r="U6">
        <v>800</v>
      </c>
      <c r="V6">
        <v>400</v>
      </c>
      <c r="W6">
        <v>250</v>
      </c>
      <c r="Y6" s="290" t="s">
        <v>282</v>
      </c>
      <c r="Z6">
        <v>1400</v>
      </c>
      <c r="AA6">
        <v>900</v>
      </c>
      <c r="AB6">
        <v>400</v>
      </c>
    </row>
    <row r="7" spans="1:28">
      <c r="A7" s="84" t="s">
        <v>281</v>
      </c>
      <c r="B7" s="71">
        <v>10</v>
      </c>
      <c r="C7" s="71">
        <v>0.18</v>
      </c>
      <c r="D7" s="71">
        <v>20</v>
      </c>
      <c r="E7" s="71">
        <v>3</v>
      </c>
      <c r="F7" s="71" t="s">
        <v>49</v>
      </c>
      <c r="G7" s="71" t="s">
        <v>49</v>
      </c>
      <c r="H7"/>
      <c r="J7" s="85" t="s">
        <v>283</v>
      </c>
      <c r="K7" s="71">
        <v>0</v>
      </c>
      <c r="L7" s="71">
        <v>1.5</v>
      </c>
      <c r="M7" s="71"/>
      <c r="N7" s="71">
        <v>3</v>
      </c>
      <c r="Q7">
        <v>1.05</v>
      </c>
      <c r="T7" s="290" t="s">
        <v>319</v>
      </c>
      <c r="U7">
        <v>2400</v>
      </c>
      <c r="V7">
        <v>1100</v>
      </c>
      <c r="W7">
        <v>600</v>
      </c>
      <c r="Y7" s="290" t="s">
        <v>284</v>
      </c>
      <c r="Z7">
        <v>1400</v>
      </c>
      <c r="AA7">
        <v>900</v>
      </c>
      <c r="AB7">
        <v>400</v>
      </c>
    </row>
    <row r="8" spans="1:28">
      <c r="A8" s="84" t="s">
        <v>283</v>
      </c>
      <c r="B8" s="71">
        <v>10</v>
      </c>
      <c r="C8" s="71">
        <v>0.18</v>
      </c>
      <c r="D8" s="71">
        <v>20</v>
      </c>
      <c r="E8" s="71">
        <v>3</v>
      </c>
      <c r="F8" s="71" t="s">
        <v>49</v>
      </c>
      <c r="G8" s="71" t="s">
        <v>49</v>
      </c>
      <c r="H8"/>
      <c r="J8" s="85" t="s">
        <v>285</v>
      </c>
      <c r="K8" s="71">
        <v>0</v>
      </c>
      <c r="L8" s="71">
        <v>2.25</v>
      </c>
      <c r="M8" s="71"/>
      <c r="N8" s="71">
        <v>3</v>
      </c>
      <c r="Q8">
        <v>1.2</v>
      </c>
      <c r="T8" s="290" t="s">
        <v>290</v>
      </c>
      <c r="U8">
        <v>800</v>
      </c>
      <c r="V8">
        <v>400</v>
      </c>
      <c r="W8">
        <v>250</v>
      </c>
      <c r="Y8" s="290" t="s">
        <v>286</v>
      </c>
      <c r="Z8">
        <v>2000</v>
      </c>
      <c r="AA8">
        <v>1000</v>
      </c>
      <c r="AB8">
        <v>500</v>
      </c>
    </row>
    <row r="9" spans="1:28">
      <c r="A9" s="84" t="s">
        <v>287</v>
      </c>
      <c r="B9" s="71">
        <v>10</v>
      </c>
      <c r="C9" s="71">
        <v>0.18</v>
      </c>
      <c r="D9" s="71">
        <v>20</v>
      </c>
      <c r="E9" s="71">
        <v>3</v>
      </c>
      <c r="F9" s="71" t="s">
        <v>49</v>
      </c>
      <c r="G9" s="71" t="s">
        <v>49</v>
      </c>
      <c r="H9"/>
      <c r="J9" s="85" t="s">
        <v>104</v>
      </c>
      <c r="K9" s="71">
        <v>0</v>
      </c>
      <c r="L9" s="71">
        <v>2.25</v>
      </c>
      <c r="M9" s="71"/>
      <c r="N9" s="71">
        <v>3</v>
      </c>
      <c r="Q9">
        <v>1.5</v>
      </c>
      <c r="T9" s="290" t="s">
        <v>305</v>
      </c>
      <c r="U9">
        <v>1100</v>
      </c>
      <c r="V9">
        <v>600</v>
      </c>
      <c r="W9">
        <v>300</v>
      </c>
      <c r="Y9" s="290" t="s">
        <v>288</v>
      </c>
      <c r="Z9">
        <v>2000</v>
      </c>
      <c r="AA9">
        <v>1000</v>
      </c>
      <c r="AB9">
        <v>500</v>
      </c>
    </row>
    <row r="10" spans="1:28">
      <c r="A10" s="84" t="s">
        <v>104</v>
      </c>
      <c r="B10" s="71">
        <v>10</v>
      </c>
      <c r="C10" s="71">
        <v>0.18</v>
      </c>
      <c r="D10" s="71">
        <v>20</v>
      </c>
      <c r="E10" s="71">
        <v>3</v>
      </c>
      <c r="F10" s="71" t="s">
        <v>49</v>
      </c>
      <c r="G10" s="71" t="s">
        <v>49</v>
      </c>
      <c r="H10"/>
      <c r="J10" s="85" t="s">
        <v>289</v>
      </c>
      <c r="K10" s="71">
        <v>0</v>
      </c>
      <c r="L10" s="71">
        <v>2.25</v>
      </c>
      <c r="M10" s="71"/>
      <c r="N10" s="71">
        <v>3</v>
      </c>
      <c r="Q10">
        <v>1.4</v>
      </c>
      <c r="T10" s="290" t="s">
        <v>308</v>
      </c>
      <c r="U10">
        <v>1100</v>
      </c>
      <c r="V10">
        <v>600</v>
      </c>
      <c r="W10">
        <v>300</v>
      </c>
      <c r="Y10" s="290" t="s">
        <v>290</v>
      </c>
      <c r="Z10">
        <v>2000</v>
      </c>
      <c r="AA10">
        <v>1000</v>
      </c>
      <c r="AB10">
        <v>500</v>
      </c>
    </row>
    <row r="11" spans="1:28">
      <c r="A11" s="84" t="s">
        <v>289</v>
      </c>
      <c r="B11" s="71">
        <v>10</v>
      </c>
      <c r="C11" s="71">
        <v>0.18</v>
      </c>
      <c r="D11" s="71">
        <v>20</v>
      </c>
      <c r="E11" s="71">
        <v>3</v>
      </c>
      <c r="F11" s="71" t="s">
        <v>49</v>
      </c>
      <c r="G11" s="71" t="s">
        <v>49</v>
      </c>
      <c r="H11"/>
      <c r="J11" s="85" t="s">
        <v>291</v>
      </c>
      <c r="K11" s="71">
        <v>0</v>
      </c>
      <c r="L11" s="71">
        <v>1.5</v>
      </c>
      <c r="M11" s="71"/>
      <c r="N11" s="71">
        <v>3</v>
      </c>
      <c r="Q11">
        <v>1.4</v>
      </c>
      <c r="T11" s="290" t="s">
        <v>292</v>
      </c>
      <c r="U11">
        <v>800</v>
      </c>
      <c r="V11">
        <v>400</v>
      </c>
      <c r="W11">
        <v>250</v>
      </c>
      <c r="Y11" s="290" t="s">
        <v>292</v>
      </c>
      <c r="Z11">
        <v>2000</v>
      </c>
      <c r="AA11">
        <v>1000</v>
      </c>
      <c r="AB11">
        <v>500</v>
      </c>
    </row>
    <row r="12" spans="1:28">
      <c r="A12" s="84" t="s">
        <v>291</v>
      </c>
      <c r="B12" s="71">
        <v>10</v>
      </c>
      <c r="C12" s="71">
        <v>0.18</v>
      </c>
      <c r="D12" s="71">
        <v>20</v>
      </c>
      <c r="E12" s="71">
        <v>3</v>
      </c>
      <c r="F12" s="71" t="s">
        <v>49</v>
      </c>
      <c r="G12" s="71" t="s">
        <v>49</v>
      </c>
      <c r="H12"/>
      <c r="J12" s="85" t="s">
        <v>293</v>
      </c>
      <c r="K12" s="71">
        <v>0</v>
      </c>
      <c r="L12" s="71">
        <v>0.5</v>
      </c>
      <c r="M12" s="71" t="s">
        <v>294</v>
      </c>
      <c r="N12" s="71">
        <v>1</v>
      </c>
      <c r="Q12">
        <v>1.2</v>
      </c>
      <c r="T12" s="290" t="s">
        <v>124</v>
      </c>
      <c r="U12">
        <v>1500</v>
      </c>
      <c r="V12">
        <v>700</v>
      </c>
      <c r="W12">
        <v>400</v>
      </c>
      <c r="Y12" s="290" t="s">
        <v>295</v>
      </c>
      <c r="Z12">
        <v>2000</v>
      </c>
      <c r="AA12">
        <v>1000</v>
      </c>
      <c r="AB12">
        <v>500</v>
      </c>
    </row>
    <row r="13" spans="1:28">
      <c r="A13" s="84" t="s">
        <v>296</v>
      </c>
      <c r="B13" s="71">
        <v>7.5</v>
      </c>
      <c r="C13" s="71">
        <v>0.06</v>
      </c>
      <c r="D13" s="71">
        <v>50</v>
      </c>
      <c r="E13" s="71">
        <v>2</v>
      </c>
      <c r="F13" s="71" t="s">
        <v>49</v>
      </c>
      <c r="G13" s="71" t="s">
        <v>49</v>
      </c>
      <c r="H13"/>
      <c r="J13" s="85" t="s">
        <v>297</v>
      </c>
      <c r="K13" s="71">
        <v>0</v>
      </c>
      <c r="L13" s="71">
        <v>0.7</v>
      </c>
      <c r="M13" s="71"/>
      <c r="N13" s="71">
        <v>2</v>
      </c>
      <c r="Q13">
        <v>1.5</v>
      </c>
      <c r="T13" s="290" t="s">
        <v>322</v>
      </c>
      <c r="U13">
        <v>7000</v>
      </c>
      <c r="V13">
        <v>3000</v>
      </c>
      <c r="W13">
        <v>1700</v>
      </c>
      <c r="Y13" s="290" t="s">
        <v>298</v>
      </c>
      <c r="Z13">
        <v>2000</v>
      </c>
      <c r="AA13">
        <v>1000</v>
      </c>
      <c r="AB13">
        <v>500</v>
      </c>
    </row>
    <row r="14" spans="1:28">
      <c r="A14" s="84" t="s">
        <v>299</v>
      </c>
      <c r="B14" s="71">
        <v>5</v>
      </c>
      <c r="C14" s="71">
        <v>0.12</v>
      </c>
      <c r="D14" s="71">
        <v>25</v>
      </c>
      <c r="E14" s="71">
        <v>2</v>
      </c>
      <c r="F14" s="71" t="s">
        <v>49</v>
      </c>
      <c r="G14" s="71" t="s">
        <v>49</v>
      </c>
      <c r="H14"/>
      <c r="J14" s="85" t="s">
        <v>300</v>
      </c>
      <c r="K14" s="71">
        <v>0</v>
      </c>
      <c r="L14" s="71">
        <v>1.5</v>
      </c>
      <c r="M14" s="71" t="s">
        <v>301</v>
      </c>
      <c r="N14" s="71">
        <v>2</v>
      </c>
      <c r="T14" s="290" t="s">
        <v>295</v>
      </c>
      <c r="U14">
        <v>800</v>
      </c>
      <c r="V14">
        <v>400</v>
      </c>
      <c r="W14">
        <v>250</v>
      </c>
      <c r="Y14" s="290" t="s">
        <v>302</v>
      </c>
      <c r="Z14">
        <v>2000</v>
      </c>
      <c r="AA14">
        <v>1000</v>
      </c>
      <c r="AB14">
        <v>500</v>
      </c>
    </row>
    <row r="15" spans="1:28">
      <c r="A15" s="84" t="s">
        <v>303</v>
      </c>
      <c r="B15" s="71">
        <v>5</v>
      </c>
      <c r="C15" s="71">
        <v>0.06</v>
      </c>
      <c r="D15" s="71">
        <v>30</v>
      </c>
      <c r="E15" s="71">
        <v>1</v>
      </c>
      <c r="F15" s="71" t="s">
        <v>49</v>
      </c>
      <c r="G15" s="71" t="s">
        <v>49</v>
      </c>
      <c r="H15"/>
      <c r="J15" s="85" t="s">
        <v>304</v>
      </c>
      <c r="K15" s="71">
        <v>0</v>
      </c>
      <c r="L15" s="71">
        <v>0.5</v>
      </c>
      <c r="M15" s="71"/>
      <c r="N15" s="71">
        <v>2</v>
      </c>
      <c r="T15" s="290" t="s">
        <v>316</v>
      </c>
      <c r="U15">
        <v>1500</v>
      </c>
      <c r="V15">
        <v>700</v>
      </c>
      <c r="W15">
        <v>400</v>
      </c>
      <c r="Y15" s="290" t="s">
        <v>305</v>
      </c>
      <c r="Z15">
        <v>2300</v>
      </c>
      <c r="AA15">
        <v>1100</v>
      </c>
      <c r="AB15">
        <v>600</v>
      </c>
    </row>
    <row r="16" spans="1:28">
      <c r="A16" s="84" t="s">
        <v>306</v>
      </c>
      <c r="B16" s="71">
        <v>5</v>
      </c>
      <c r="C16" s="71">
        <v>0.06</v>
      </c>
      <c r="D16" s="71">
        <v>15</v>
      </c>
      <c r="E16" s="71">
        <v>1</v>
      </c>
      <c r="F16" s="71" t="s">
        <v>49</v>
      </c>
      <c r="G16" s="71" t="s">
        <v>49</v>
      </c>
      <c r="H16"/>
      <c r="J16" s="85" t="s">
        <v>307</v>
      </c>
      <c r="K16" s="71">
        <v>0</v>
      </c>
      <c r="L16" s="71">
        <v>0.6</v>
      </c>
      <c r="M16" s="71"/>
      <c r="N16" s="71">
        <v>2</v>
      </c>
      <c r="T16" s="290" t="s">
        <v>311</v>
      </c>
      <c r="U16">
        <v>1100</v>
      </c>
      <c r="V16">
        <v>600</v>
      </c>
      <c r="W16">
        <v>300</v>
      </c>
      <c r="Y16" s="290" t="s">
        <v>308</v>
      </c>
      <c r="Z16">
        <v>2300</v>
      </c>
      <c r="AA16">
        <v>1100</v>
      </c>
      <c r="AB16">
        <v>600</v>
      </c>
    </row>
    <row r="17" spans="1:28">
      <c r="A17" s="84" t="s">
        <v>309</v>
      </c>
      <c r="B17" s="71">
        <v>10</v>
      </c>
      <c r="C17" s="71">
        <v>0.18</v>
      </c>
      <c r="D17" s="71">
        <v>20</v>
      </c>
      <c r="E17" s="71">
        <v>2</v>
      </c>
      <c r="F17" s="71" t="s">
        <v>49</v>
      </c>
      <c r="G17" s="71" t="s">
        <v>49</v>
      </c>
      <c r="H17"/>
      <c r="J17" s="85" t="s">
        <v>310</v>
      </c>
      <c r="K17" s="71">
        <v>0</v>
      </c>
      <c r="L17" s="71">
        <v>1</v>
      </c>
      <c r="M17" s="71"/>
      <c r="N17" s="71">
        <v>2</v>
      </c>
      <c r="T17" s="290" t="s">
        <v>280</v>
      </c>
      <c r="U17">
        <v>600</v>
      </c>
      <c r="V17">
        <v>250</v>
      </c>
      <c r="W17">
        <v>150</v>
      </c>
      <c r="Y17" s="290" t="s">
        <v>311</v>
      </c>
      <c r="Z17">
        <v>2300</v>
      </c>
      <c r="AA17">
        <v>1100</v>
      </c>
      <c r="AB17">
        <v>600</v>
      </c>
    </row>
    <row r="18" spans="1:28">
      <c r="A18" s="84" t="s">
        <v>312</v>
      </c>
      <c r="B18" s="71">
        <v>10</v>
      </c>
      <c r="C18" s="71">
        <v>0.12</v>
      </c>
      <c r="D18" s="71">
        <v>25</v>
      </c>
      <c r="E18" s="71">
        <v>1</v>
      </c>
      <c r="F18" s="71" t="s">
        <v>49</v>
      </c>
      <c r="G18" s="71" t="s">
        <v>49</v>
      </c>
      <c r="H18"/>
      <c r="J18" s="85" t="s">
        <v>313</v>
      </c>
      <c r="K18" s="71">
        <v>0</v>
      </c>
      <c r="L18" s="71">
        <v>0.5</v>
      </c>
      <c r="M18" s="71"/>
      <c r="N18" s="71">
        <v>2</v>
      </c>
      <c r="T18" s="290" t="s">
        <v>298</v>
      </c>
      <c r="U18">
        <v>800</v>
      </c>
      <c r="V18">
        <v>400</v>
      </c>
      <c r="W18">
        <v>250</v>
      </c>
      <c r="Y18" s="290" t="s">
        <v>124</v>
      </c>
      <c r="Z18">
        <v>5200</v>
      </c>
      <c r="AA18">
        <v>2350</v>
      </c>
      <c r="AB18">
        <v>1250</v>
      </c>
    </row>
    <row r="19" spans="1:28">
      <c r="A19" s="84" t="s">
        <v>314</v>
      </c>
      <c r="B19" s="71">
        <v>10</v>
      </c>
      <c r="C19" s="71">
        <v>0.12</v>
      </c>
      <c r="D19" s="71">
        <v>35</v>
      </c>
      <c r="E19" s="71">
        <v>1</v>
      </c>
      <c r="F19" s="71" t="s">
        <v>49</v>
      </c>
      <c r="G19" s="71" t="s">
        <v>49</v>
      </c>
      <c r="H19"/>
      <c r="J19" s="85" t="s">
        <v>315</v>
      </c>
      <c r="K19" s="71">
        <v>0</v>
      </c>
      <c r="L19" s="71">
        <v>1</v>
      </c>
      <c r="M19" s="71"/>
      <c r="N19" s="71">
        <v>2</v>
      </c>
      <c r="Q19" t="s">
        <v>111</v>
      </c>
      <c r="T19" s="290" t="s">
        <v>302</v>
      </c>
      <c r="U19">
        <v>800</v>
      </c>
      <c r="V19">
        <v>400</v>
      </c>
      <c r="W19">
        <v>250</v>
      </c>
      <c r="Y19" s="290" t="s">
        <v>316</v>
      </c>
      <c r="Z19">
        <v>5200</v>
      </c>
      <c r="AA19">
        <v>2350</v>
      </c>
      <c r="AB19">
        <v>1250</v>
      </c>
    </row>
    <row r="20" spans="1:28">
      <c r="A20" s="84" t="s">
        <v>317</v>
      </c>
      <c r="B20" s="71">
        <v>10</v>
      </c>
      <c r="C20" s="71">
        <v>0.12</v>
      </c>
      <c r="D20" s="71">
        <v>25</v>
      </c>
      <c r="E20" s="71">
        <v>1</v>
      </c>
      <c r="F20" s="71" t="s">
        <v>49</v>
      </c>
      <c r="G20" s="71" t="s">
        <v>49</v>
      </c>
      <c r="H20"/>
      <c r="J20" s="85" t="s">
        <v>318</v>
      </c>
      <c r="K20" s="71">
        <v>0</v>
      </c>
      <c r="L20" s="71">
        <v>1</v>
      </c>
      <c r="M20" s="71"/>
      <c r="N20" s="71">
        <v>2</v>
      </c>
      <c r="Q20" t="s">
        <v>49</v>
      </c>
      <c r="T20" s="290" t="s">
        <v>282</v>
      </c>
      <c r="U20">
        <v>600</v>
      </c>
      <c r="V20">
        <v>250</v>
      </c>
      <c r="W20">
        <v>150</v>
      </c>
      <c r="Y20" s="290" t="s">
        <v>319</v>
      </c>
      <c r="Z20">
        <v>5800</v>
      </c>
      <c r="AA20">
        <v>2600</v>
      </c>
      <c r="AB20">
        <v>1400</v>
      </c>
    </row>
    <row r="21" spans="1:28">
      <c r="A21" s="84" t="s">
        <v>320</v>
      </c>
      <c r="B21" s="71">
        <v>10</v>
      </c>
      <c r="C21" s="71">
        <v>0.18</v>
      </c>
      <c r="D21" s="71">
        <v>25</v>
      </c>
      <c r="E21" s="71">
        <v>2</v>
      </c>
      <c r="F21" s="71" t="s">
        <v>49</v>
      </c>
      <c r="G21" s="71" t="s">
        <v>49</v>
      </c>
      <c r="H21"/>
      <c r="J21" s="85" t="s">
        <v>321</v>
      </c>
      <c r="K21" s="71">
        <v>0</v>
      </c>
      <c r="L21" s="71">
        <v>1</v>
      </c>
      <c r="M21" s="71"/>
      <c r="N21" s="71">
        <v>3</v>
      </c>
      <c r="T21" s="290" t="s">
        <v>284</v>
      </c>
      <c r="U21">
        <v>600</v>
      </c>
      <c r="V21">
        <v>250</v>
      </c>
      <c r="W21">
        <v>150</v>
      </c>
      <c r="Y21" s="290" t="s">
        <v>322</v>
      </c>
      <c r="Z21">
        <v>12000</v>
      </c>
      <c r="AA21">
        <v>6000</v>
      </c>
      <c r="AB21">
        <v>3000</v>
      </c>
    </row>
    <row r="22" spans="1:28">
      <c r="A22" s="84" t="s">
        <v>323</v>
      </c>
      <c r="B22" s="71">
        <v>10</v>
      </c>
      <c r="C22" s="71">
        <v>0.18</v>
      </c>
      <c r="D22" s="71">
        <v>25</v>
      </c>
      <c r="E22" s="71">
        <v>3</v>
      </c>
      <c r="F22" s="71" t="s">
        <v>49</v>
      </c>
      <c r="G22" s="71" t="s">
        <v>49</v>
      </c>
      <c r="H22"/>
      <c r="J22" s="85" t="s">
        <v>324</v>
      </c>
      <c r="K22" s="71">
        <v>0</v>
      </c>
      <c r="L22" s="71">
        <v>0.3</v>
      </c>
      <c r="M22" s="71"/>
      <c r="N22" s="71">
        <v>2</v>
      </c>
    </row>
    <row r="23" spans="1:28">
      <c r="A23" s="84" t="s">
        <v>325</v>
      </c>
      <c r="B23" s="71">
        <v>7.5</v>
      </c>
      <c r="C23" s="71">
        <v>0.06</v>
      </c>
      <c r="D23" s="71">
        <v>65</v>
      </c>
      <c r="E23" s="71">
        <v>1</v>
      </c>
      <c r="F23" s="73" t="s">
        <v>111</v>
      </c>
      <c r="G23" s="71" t="s">
        <v>49</v>
      </c>
      <c r="H23"/>
      <c r="J23" s="85" t="s">
        <v>326</v>
      </c>
      <c r="K23" s="71">
        <v>0</v>
      </c>
      <c r="L23" s="71">
        <v>0.7</v>
      </c>
      <c r="M23" s="71"/>
      <c r="N23" s="71">
        <v>2</v>
      </c>
    </row>
    <row r="24" spans="1:28">
      <c r="A24" s="84" t="s">
        <v>327</v>
      </c>
      <c r="B24" s="71">
        <v>7.5</v>
      </c>
      <c r="C24" s="71">
        <v>0.06</v>
      </c>
      <c r="D24" s="71">
        <v>150</v>
      </c>
      <c r="E24" s="71">
        <v>1</v>
      </c>
      <c r="F24" s="73" t="s">
        <v>111</v>
      </c>
      <c r="G24" s="71" t="s">
        <v>49</v>
      </c>
      <c r="H24"/>
      <c r="J24" s="85" t="s">
        <v>328</v>
      </c>
      <c r="K24" s="71">
        <v>0</v>
      </c>
      <c r="L24" s="71">
        <v>0.5</v>
      </c>
      <c r="M24" s="71"/>
      <c r="N24" s="71">
        <v>2</v>
      </c>
    </row>
    <row r="25" spans="1:28">
      <c r="A25" s="84" t="s">
        <v>106</v>
      </c>
      <c r="B25" s="71">
        <v>5</v>
      </c>
      <c r="C25" s="71">
        <v>0.12</v>
      </c>
      <c r="D25" s="71">
        <v>10</v>
      </c>
      <c r="E25" s="71">
        <v>0</v>
      </c>
      <c r="F25" s="71" t="s">
        <v>49</v>
      </c>
      <c r="G25" s="71" t="s">
        <v>49</v>
      </c>
      <c r="H25"/>
      <c r="J25" s="85" t="s">
        <v>329</v>
      </c>
      <c r="K25" s="71">
        <v>0</v>
      </c>
      <c r="L25" s="71">
        <v>0.25</v>
      </c>
      <c r="M25" s="71"/>
      <c r="N25" s="71">
        <v>2</v>
      </c>
    </row>
    <row r="26" spans="1:28">
      <c r="A26" s="84" t="s">
        <v>330</v>
      </c>
      <c r="B26" s="71">
        <v>10</v>
      </c>
      <c r="C26" s="71">
        <v>0.12</v>
      </c>
      <c r="D26" s="71">
        <v>25</v>
      </c>
      <c r="E26" s="71">
        <v>1</v>
      </c>
      <c r="F26" s="71" t="s">
        <v>49</v>
      </c>
      <c r="G26" s="71" t="s">
        <v>49</v>
      </c>
      <c r="H26"/>
      <c r="J26" s="85" t="s">
        <v>331</v>
      </c>
      <c r="K26" s="71">
        <v>50</v>
      </c>
      <c r="L26" s="71"/>
      <c r="M26" s="71" t="s">
        <v>332</v>
      </c>
      <c r="N26" s="71">
        <v>2</v>
      </c>
      <c r="S26">
        <f>VLOOKUP(INPUT_OUTPUTS!C6,DCV_noEArecovery[#All],2)</f>
        <v>400</v>
      </c>
    </row>
    <row r="27" spans="1:28">
      <c r="A27" s="84" t="s">
        <v>333</v>
      </c>
      <c r="B27" s="71">
        <v>7.5</v>
      </c>
      <c r="C27" s="71">
        <v>0.06</v>
      </c>
      <c r="D27" s="71">
        <v>100</v>
      </c>
      <c r="E27" s="71">
        <v>1</v>
      </c>
      <c r="F27" s="73" t="s">
        <v>111</v>
      </c>
      <c r="G27" s="71" t="s">
        <v>49</v>
      </c>
      <c r="H27"/>
      <c r="J27" s="85" t="s">
        <v>334</v>
      </c>
      <c r="K27" s="71">
        <v>0</v>
      </c>
      <c r="L27" s="71">
        <v>0</v>
      </c>
      <c r="M27" s="71" t="s">
        <v>150</v>
      </c>
      <c r="N27" s="71">
        <v>4</v>
      </c>
    </row>
    <row r="28" spans="1:28">
      <c r="A28" s="84" t="s">
        <v>335</v>
      </c>
      <c r="B28" s="71">
        <v>10</v>
      </c>
      <c r="C28" s="71">
        <v>0.06</v>
      </c>
      <c r="D28" s="71">
        <v>35</v>
      </c>
      <c r="E28" s="71">
        <v>1</v>
      </c>
      <c r="F28" s="73" t="s">
        <v>111</v>
      </c>
      <c r="G28" s="71" t="s">
        <v>49</v>
      </c>
      <c r="H28"/>
      <c r="J28" s="85" t="s">
        <v>336</v>
      </c>
      <c r="K28" s="71">
        <v>0</v>
      </c>
      <c r="L28" s="71">
        <v>0.75</v>
      </c>
      <c r="M28" s="71" t="s">
        <v>337</v>
      </c>
      <c r="N28" s="71">
        <v>2</v>
      </c>
    </row>
    <row r="29" spans="1:28">
      <c r="A29" s="84" t="s">
        <v>338</v>
      </c>
      <c r="B29" s="71">
        <v>10</v>
      </c>
      <c r="C29" s="71">
        <v>0.18</v>
      </c>
      <c r="D29" s="71">
        <v>25</v>
      </c>
      <c r="E29" s="71">
        <v>2</v>
      </c>
      <c r="F29" s="71" t="s">
        <v>49</v>
      </c>
      <c r="G29" s="71" t="s">
        <v>49</v>
      </c>
      <c r="H29"/>
      <c r="J29" s="85" t="s">
        <v>339</v>
      </c>
      <c r="K29" s="71">
        <v>0</v>
      </c>
      <c r="L29" s="71">
        <v>0.9</v>
      </c>
      <c r="M29" s="71"/>
      <c r="N29" s="71">
        <v>2</v>
      </c>
    </row>
    <row r="30" spans="1:28">
      <c r="A30" s="84" t="s">
        <v>340</v>
      </c>
      <c r="B30" s="71">
        <v>10</v>
      </c>
      <c r="C30" s="71">
        <v>0.18</v>
      </c>
      <c r="D30" s="71">
        <v>25</v>
      </c>
      <c r="E30" s="71">
        <v>2</v>
      </c>
      <c r="F30" s="71" t="s">
        <v>49</v>
      </c>
      <c r="G30" s="71" t="s">
        <v>49</v>
      </c>
      <c r="H30"/>
      <c r="J30" s="85" t="s">
        <v>341</v>
      </c>
      <c r="K30" s="71">
        <v>0</v>
      </c>
      <c r="L30" s="71">
        <v>0</v>
      </c>
      <c r="M30" s="71" t="s">
        <v>150</v>
      </c>
      <c r="N30" s="71">
        <v>3</v>
      </c>
    </row>
    <row r="31" spans="1:28">
      <c r="A31" s="84" t="s">
        <v>342</v>
      </c>
      <c r="B31" s="71">
        <v>10</v>
      </c>
      <c r="C31" s="71">
        <v>0.18</v>
      </c>
      <c r="D31" s="71">
        <v>20</v>
      </c>
      <c r="E31" s="71">
        <v>2</v>
      </c>
      <c r="F31" s="71" t="s">
        <v>49</v>
      </c>
      <c r="G31" s="71" t="s">
        <v>49</v>
      </c>
      <c r="H31"/>
      <c r="J31" s="85" t="s">
        <v>343</v>
      </c>
      <c r="K31" s="71">
        <v>100</v>
      </c>
      <c r="L31" s="71">
        <v>0</v>
      </c>
      <c r="M31" s="71" t="s">
        <v>332</v>
      </c>
      <c r="N31" s="71">
        <v>2</v>
      </c>
    </row>
    <row r="32" spans="1:28">
      <c r="A32" s="84" t="s">
        <v>344</v>
      </c>
      <c r="B32" s="71">
        <v>7.5</v>
      </c>
      <c r="C32" s="71">
        <v>0.18</v>
      </c>
      <c r="D32" s="71">
        <v>100</v>
      </c>
      <c r="E32" s="71">
        <v>2</v>
      </c>
      <c r="F32" s="71" t="s">
        <v>49</v>
      </c>
      <c r="G32" s="71" t="s">
        <v>49</v>
      </c>
      <c r="H32"/>
      <c r="J32" s="85" t="s">
        <v>345</v>
      </c>
      <c r="K32" s="71">
        <v>0</v>
      </c>
      <c r="L32" s="71">
        <v>1</v>
      </c>
      <c r="M32" s="71" t="s">
        <v>150</v>
      </c>
      <c r="N32" s="71">
        <v>3</v>
      </c>
    </row>
    <row r="33" spans="1:14">
      <c r="A33" s="84" t="s">
        <v>346</v>
      </c>
      <c r="B33" s="71">
        <v>7.5</v>
      </c>
      <c r="C33" s="71">
        <v>0.18</v>
      </c>
      <c r="D33" s="71">
        <v>100</v>
      </c>
      <c r="E33" s="71">
        <v>2</v>
      </c>
      <c r="F33" s="71" t="s">
        <v>49</v>
      </c>
      <c r="G33" s="71" t="s">
        <v>49</v>
      </c>
      <c r="H33"/>
      <c r="J33" s="85" t="s">
        <v>347</v>
      </c>
      <c r="K33" s="71">
        <v>0</v>
      </c>
      <c r="L33" s="71">
        <v>1.5</v>
      </c>
      <c r="M33" s="71" t="s">
        <v>150</v>
      </c>
      <c r="N33" s="71">
        <v>4</v>
      </c>
    </row>
    <row r="34" spans="1:14">
      <c r="A34" s="84" t="s">
        <v>348</v>
      </c>
      <c r="B34" s="71">
        <v>7.5</v>
      </c>
      <c r="C34" s="71">
        <v>0.12</v>
      </c>
      <c r="D34" s="71">
        <v>20</v>
      </c>
      <c r="E34" s="71">
        <v>2</v>
      </c>
      <c r="F34" s="71" t="s">
        <v>49</v>
      </c>
      <c r="G34" s="71" t="s">
        <v>49</v>
      </c>
      <c r="H34"/>
      <c r="J34" s="85" t="s">
        <v>72</v>
      </c>
      <c r="K34" s="71">
        <v>50</v>
      </c>
      <c r="L34" s="71">
        <v>0</v>
      </c>
      <c r="M34" s="71" t="s">
        <v>349</v>
      </c>
      <c r="N34" s="71">
        <v>2</v>
      </c>
    </row>
    <row r="35" spans="1:14">
      <c r="A35" s="84" t="s">
        <v>350</v>
      </c>
      <c r="B35" s="71">
        <v>7.5</v>
      </c>
      <c r="C35" s="71">
        <v>0.18</v>
      </c>
      <c r="D35" s="71">
        <v>70</v>
      </c>
      <c r="E35" s="71">
        <v>2</v>
      </c>
      <c r="F35" s="71" t="s">
        <v>49</v>
      </c>
      <c r="G35" s="71" t="s">
        <v>49</v>
      </c>
      <c r="H35"/>
      <c r="J35" s="85" t="s">
        <v>351</v>
      </c>
      <c r="K35" s="71">
        <v>70</v>
      </c>
      <c r="L35" s="71">
        <v>0</v>
      </c>
      <c r="M35" s="71" t="s">
        <v>352</v>
      </c>
      <c r="N35" s="71">
        <v>2</v>
      </c>
    </row>
    <row r="36" spans="1:14">
      <c r="A36" s="84" t="s">
        <v>353</v>
      </c>
      <c r="B36" s="71">
        <v>5</v>
      </c>
      <c r="C36" s="71">
        <v>0.06</v>
      </c>
      <c r="D36" s="71">
        <v>25</v>
      </c>
      <c r="E36" s="71">
        <v>1</v>
      </c>
      <c r="F36" s="73" t="s">
        <v>111</v>
      </c>
      <c r="G36" s="71" t="s">
        <v>49</v>
      </c>
      <c r="H36"/>
      <c r="J36" s="85" t="s">
        <v>48</v>
      </c>
      <c r="K36" s="71">
        <v>0</v>
      </c>
      <c r="L36" s="71">
        <v>0</v>
      </c>
      <c r="M36" s="71">
        <v>0</v>
      </c>
      <c r="N36" s="71">
        <v>0</v>
      </c>
    </row>
    <row r="37" spans="1:14">
      <c r="A37" s="84" t="s">
        <v>354</v>
      </c>
      <c r="B37" s="71">
        <v>5</v>
      </c>
      <c r="C37" s="71">
        <v>0.06</v>
      </c>
      <c r="D37" s="71">
        <v>20</v>
      </c>
      <c r="E37" s="71">
        <v>1</v>
      </c>
      <c r="F37" s="73" t="s">
        <v>111</v>
      </c>
      <c r="G37" s="71" t="s">
        <v>49</v>
      </c>
      <c r="H37"/>
      <c r="J37" s="85" t="s">
        <v>355</v>
      </c>
      <c r="K37" s="71">
        <v>0</v>
      </c>
      <c r="L37" s="71">
        <v>0.5</v>
      </c>
      <c r="M37" s="71"/>
      <c r="N37" s="71">
        <v>2</v>
      </c>
    </row>
    <row r="38" spans="1:14">
      <c r="A38" s="84" t="s">
        <v>75</v>
      </c>
      <c r="B38" s="71">
        <v>5</v>
      </c>
      <c r="C38" s="71">
        <v>0.06</v>
      </c>
      <c r="D38" s="71">
        <v>50</v>
      </c>
      <c r="E38" s="71">
        <v>1</v>
      </c>
      <c r="F38" s="73" t="s">
        <v>111</v>
      </c>
      <c r="G38" s="71" t="s">
        <v>49</v>
      </c>
      <c r="H38"/>
    </row>
    <row r="39" spans="1:14">
      <c r="A39" s="84" t="s">
        <v>356</v>
      </c>
      <c r="B39" s="71">
        <v>0</v>
      </c>
      <c r="C39" s="71">
        <v>0.06</v>
      </c>
      <c r="D39" s="71">
        <v>0</v>
      </c>
      <c r="E39" s="71">
        <v>1</v>
      </c>
      <c r="F39" s="73" t="s">
        <v>111</v>
      </c>
      <c r="G39" s="71" t="s">
        <v>111</v>
      </c>
      <c r="H39"/>
    </row>
    <row r="40" spans="1:14">
      <c r="A40" s="84" t="s">
        <v>357</v>
      </c>
      <c r="B40" s="71">
        <v>5</v>
      </c>
      <c r="C40" s="71">
        <v>0.12</v>
      </c>
      <c r="D40" s="71">
        <v>2</v>
      </c>
      <c r="E40" s="71">
        <v>2</v>
      </c>
      <c r="F40" s="73" t="s">
        <v>111</v>
      </c>
      <c r="G40" s="71" t="s">
        <v>49</v>
      </c>
      <c r="H40"/>
    </row>
    <row r="41" spans="1:14">
      <c r="A41" s="84" t="s">
        <v>103</v>
      </c>
      <c r="B41" s="71">
        <v>0</v>
      </c>
      <c r="C41" s="71">
        <v>0</v>
      </c>
      <c r="D41" s="71">
        <v>0</v>
      </c>
      <c r="E41" s="71">
        <v>2</v>
      </c>
      <c r="F41" s="71" t="s">
        <v>49</v>
      </c>
      <c r="G41" s="71" t="s">
        <v>111</v>
      </c>
      <c r="H41"/>
    </row>
    <row r="42" spans="1:14">
      <c r="A42" s="84" t="s">
        <v>358</v>
      </c>
      <c r="B42" s="71">
        <v>5</v>
      </c>
      <c r="C42" s="71">
        <v>0.06</v>
      </c>
      <c r="D42" s="71">
        <v>20</v>
      </c>
      <c r="E42" s="71">
        <v>1</v>
      </c>
      <c r="F42" s="73" t="s">
        <v>111</v>
      </c>
      <c r="G42" s="71" t="s">
        <v>49</v>
      </c>
      <c r="H42"/>
    </row>
    <row r="43" spans="1:14">
      <c r="A43" s="84" t="s">
        <v>359</v>
      </c>
      <c r="B43" s="71">
        <v>5</v>
      </c>
      <c r="C43" s="71">
        <v>0.06</v>
      </c>
      <c r="D43" s="71">
        <v>10</v>
      </c>
      <c r="E43" s="71">
        <v>1</v>
      </c>
      <c r="F43" s="71" t="s">
        <v>49</v>
      </c>
      <c r="G43" s="71" t="s">
        <v>49</v>
      </c>
      <c r="H43"/>
    </row>
    <row r="44" spans="1:14">
      <c r="A44" s="84" t="s">
        <v>360</v>
      </c>
      <c r="B44" s="71">
        <v>5</v>
      </c>
      <c r="C44" s="71">
        <v>0.12</v>
      </c>
      <c r="D44" s="71">
        <v>10</v>
      </c>
      <c r="E44" s="71">
        <v>1</v>
      </c>
      <c r="F44" s="71" t="s">
        <v>49</v>
      </c>
      <c r="G44" s="71" t="s">
        <v>49</v>
      </c>
      <c r="H44"/>
    </row>
    <row r="45" spans="1:14">
      <c r="A45" s="84" t="s">
        <v>361</v>
      </c>
      <c r="B45" s="71">
        <v>5</v>
      </c>
      <c r="C45" s="71">
        <v>0.12</v>
      </c>
      <c r="D45" s="71">
        <v>10</v>
      </c>
      <c r="E45" s="71">
        <v>2</v>
      </c>
      <c r="F45" s="71" t="s">
        <v>49</v>
      </c>
      <c r="G45" s="71" t="s">
        <v>49</v>
      </c>
      <c r="H45"/>
    </row>
    <row r="46" spans="1:14">
      <c r="A46" s="84" t="s">
        <v>362</v>
      </c>
      <c r="B46" s="71">
        <v>7.5</v>
      </c>
      <c r="C46" s="71">
        <v>0.06</v>
      </c>
      <c r="D46" s="71">
        <v>30</v>
      </c>
      <c r="E46" s="71">
        <v>1</v>
      </c>
      <c r="F46" s="73" t="s">
        <v>111</v>
      </c>
      <c r="G46" s="71" t="s">
        <v>49</v>
      </c>
      <c r="H46"/>
    </row>
    <row r="47" spans="1:14">
      <c r="A47" s="84" t="s">
        <v>363</v>
      </c>
      <c r="B47" s="71">
        <v>5</v>
      </c>
      <c r="C47" s="71">
        <v>0.06</v>
      </c>
      <c r="D47" s="71">
        <v>120</v>
      </c>
      <c r="E47" s="71">
        <v>1</v>
      </c>
      <c r="F47" s="73" t="s">
        <v>111</v>
      </c>
      <c r="G47" s="71" t="s">
        <v>49</v>
      </c>
      <c r="H47"/>
    </row>
    <row r="48" spans="1:14">
      <c r="A48" s="84" t="s">
        <v>364</v>
      </c>
      <c r="B48" s="71">
        <v>5</v>
      </c>
      <c r="C48" s="71">
        <v>0.06</v>
      </c>
      <c r="D48" s="71">
        <v>5</v>
      </c>
      <c r="E48" s="71">
        <v>2</v>
      </c>
      <c r="F48" s="73" t="s">
        <v>111</v>
      </c>
      <c r="G48" s="71" t="s">
        <v>49</v>
      </c>
      <c r="H48"/>
    </row>
    <row r="49" spans="1:8">
      <c r="A49" s="84" t="s">
        <v>365</v>
      </c>
      <c r="B49" s="71">
        <v>7.5</v>
      </c>
      <c r="C49" s="71">
        <v>0.06</v>
      </c>
      <c r="D49" s="71">
        <v>15</v>
      </c>
      <c r="E49" s="71">
        <v>1</v>
      </c>
      <c r="F49" s="73" t="s">
        <v>111</v>
      </c>
      <c r="G49" s="71" t="s">
        <v>49</v>
      </c>
      <c r="H49"/>
    </row>
    <row r="50" spans="1:8">
      <c r="A50" s="84" t="s">
        <v>366</v>
      </c>
      <c r="B50" s="71">
        <v>5</v>
      </c>
      <c r="C50" s="71">
        <v>0.06</v>
      </c>
      <c r="D50" s="71">
        <v>4</v>
      </c>
      <c r="E50" s="71">
        <v>1</v>
      </c>
      <c r="F50" s="73" t="s">
        <v>111</v>
      </c>
      <c r="G50" s="71" t="s">
        <v>49</v>
      </c>
      <c r="H50"/>
    </row>
    <row r="51" spans="1:8">
      <c r="A51" s="84" t="s">
        <v>367</v>
      </c>
      <c r="B51" s="71">
        <v>10</v>
      </c>
      <c r="C51" s="71">
        <v>0</v>
      </c>
      <c r="D51" s="71">
        <v>0</v>
      </c>
      <c r="E51" s="71">
        <v>2</v>
      </c>
      <c r="F51" s="71" t="s">
        <v>49</v>
      </c>
      <c r="G51" s="71" t="s">
        <v>49</v>
      </c>
      <c r="H51"/>
    </row>
    <row r="52" spans="1:8">
      <c r="A52" s="84" t="s">
        <v>368</v>
      </c>
      <c r="B52" s="71">
        <v>10</v>
      </c>
      <c r="C52" s="71">
        <v>0.18</v>
      </c>
      <c r="D52" s="71">
        <v>7</v>
      </c>
      <c r="E52" s="71">
        <v>2</v>
      </c>
      <c r="F52" s="71" t="s">
        <v>49</v>
      </c>
      <c r="G52" s="71" t="s">
        <v>49</v>
      </c>
      <c r="H52"/>
    </row>
    <row r="53" spans="1:8">
      <c r="A53" s="84" t="s">
        <v>369</v>
      </c>
      <c r="B53" s="71">
        <v>10</v>
      </c>
      <c r="C53" s="71">
        <v>0.18</v>
      </c>
      <c r="D53" s="71">
        <v>7</v>
      </c>
      <c r="E53" s="71">
        <v>3</v>
      </c>
      <c r="F53" s="71" t="s">
        <v>49</v>
      </c>
      <c r="G53" s="71" t="s">
        <v>49</v>
      </c>
      <c r="H53"/>
    </row>
    <row r="54" spans="1:8">
      <c r="A54" s="84" t="s">
        <v>370</v>
      </c>
      <c r="B54" s="71">
        <v>5</v>
      </c>
      <c r="C54" s="71">
        <v>0.18</v>
      </c>
      <c r="D54" s="71">
        <v>10</v>
      </c>
      <c r="E54" s="71">
        <v>2</v>
      </c>
      <c r="F54" s="71" t="s">
        <v>49</v>
      </c>
      <c r="G54" s="71" t="s">
        <v>49</v>
      </c>
      <c r="H54"/>
    </row>
    <row r="55" spans="1:8">
      <c r="A55" s="84" t="s">
        <v>264</v>
      </c>
      <c r="B55" s="71">
        <v>5</v>
      </c>
      <c r="C55" s="71">
        <v>0.12</v>
      </c>
      <c r="D55" s="71">
        <v>10</v>
      </c>
      <c r="E55" s="71">
        <v>1</v>
      </c>
      <c r="F55" s="71" t="s">
        <v>49</v>
      </c>
      <c r="G55" s="71" t="s">
        <v>49</v>
      </c>
      <c r="H55"/>
    </row>
    <row r="56" spans="1:8">
      <c r="A56" s="84" t="s">
        <v>371</v>
      </c>
      <c r="B56" s="71">
        <v>10</v>
      </c>
      <c r="C56" s="71">
        <v>0.12</v>
      </c>
      <c r="D56" s="71">
        <v>2</v>
      </c>
      <c r="E56" s="71">
        <v>2</v>
      </c>
      <c r="F56" s="71" t="s">
        <v>49</v>
      </c>
      <c r="G56" s="71" t="s">
        <v>49</v>
      </c>
      <c r="H56"/>
    </row>
    <row r="57" spans="1:8">
      <c r="A57" s="84" t="s">
        <v>372</v>
      </c>
      <c r="B57" s="71">
        <v>7.5</v>
      </c>
      <c r="C57" s="71">
        <v>0.12</v>
      </c>
      <c r="D57" s="71">
        <v>7</v>
      </c>
      <c r="E57" s="71">
        <v>2</v>
      </c>
      <c r="F57" s="71" t="s">
        <v>49</v>
      </c>
      <c r="G57" s="71" t="s">
        <v>49</v>
      </c>
      <c r="H57"/>
    </row>
    <row r="58" spans="1:8">
      <c r="A58" s="84" t="s">
        <v>373</v>
      </c>
      <c r="B58" s="71">
        <v>0</v>
      </c>
      <c r="C58" s="71">
        <v>0</v>
      </c>
      <c r="D58" s="71">
        <v>0</v>
      </c>
      <c r="E58" s="71">
        <v>1</v>
      </c>
      <c r="F58" s="71" t="s">
        <v>49</v>
      </c>
      <c r="G58" s="71" t="s">
        <v>49</v>
      </c>
      <c r="H58"/>
    </row>
    <row r="59" spans="1:8">
      <c r="A59" s="84" t="s">
        <v>374</v>
      </c>
      <c r="B59" s="71">
        <v>7.5</v>
      </c>
      <c r="C59" s="71">
        <v>0.06</v>
      </c>
      <c r="D59" s="71">
        <v>100</v>
      </c>
      <c r="E59" s="71">
        <v>1</v>
      </c>
      <c r="F59" s="73" t="s">
        <v>111</v>
      </c>
      <c r="G59" s="71" t="s">
        <v>49</v>
      </c>
      <c r="H59"/>
    </row>
    <row r="60" spans="1:8">
      <c r="A60" s="84" t="s">
        <v>375</v>
      </c>
      <c r="B60" s="71">
        <v>10</v>
      </c>
      <c r="C60" s="71">
        <v>0.06</v>
      </c>
      <c r="D60" s="71">
        <v>0</v>
      </c>
      <c r="E60" s="71">
        <v>2</v>
      </c>
      <c r="F60" s="71" t="s">
        <v>49</v>
      </c>
      <c r="G60" s="71" t="s">
        <v>111</v>
      </c>
      <c r="H60"/>
    </row>
    <row r="61" spans="1:8">
      <c r="A61" s="84" t="s">
        <v>376</v>
      </c>
      <c r="B61" s="71">
        <v>5</v>
      </c>
      <c r="C61" s="71">
        <v>0.12</v>
      </c>
      <c r="D61" s="71">
        <v>50</v>
      </c>
      <c r="E61" s="71">
        <v>1</v>
      </c>
      <c r="F61" s="71" t="s">
        <v>49</v>
      </c>
      <c r="G61" s="71" t="s">
        <v>49</v>
      </c>
      <c r="H61"/>
    </row>
    <row r="62" spans="1:8">
      <c r="A62" s="84" t="s">
        <v>377</v>
      </c>
      <c r="B62" s="71">
        <v>5</v>
      </c>
      <c r="C62" s="71">
        <v>0.06</v>
      </c>
      <c r="D62" s="71">
        <v>10</v>
      </c>
      <c r="E62" s="71">
        <v>1</v>
      </c>
      <c r="F62" s="73" t="s">
        <v>111</v>
      </c>
      <c r="G62" s="71" t="s">
        <v>49</v>
      </c>
      <c r="H62"/>
    </row>
    <row r="63" spans="1:8">
      <c r="A63" s="84" t="s">
        <v>378</v>
      </c>
      <c r="B63" s="71">
        <v>5</v>
      </c>
      <c r="C63" s="71">
        <v>0.06</v>
      </c>
      <c r="D63" s="71">
        <v>2</v>
      </c>
      <c r="E63" s="71">
        <v>1</v>
      </c>
      <c r="F63" s="71" t="s">
        <v>49</v>
      </c>
      <c r="G63" s="71" t="s">
        <v>111</v>
      </c>
      <c r="H63"/>
    </row>
    <row r="64" spans="1:8">
      <c r="A64" s="84" t="s">
        <v>379</v>
      </c>
      <c r="B64" s="71">
        <v>5</v>
      </c>
      <c r="C64" s="71">
        <v>0.06</v>
      </c>
      <c r="D64" s="71">
        <v>5</v>
      </c>
      <c r="E64" s="71">
        <v>1</v>
      </c>
      <c r="F64" s="73" t="s">
        <v>111</v>
      </c>
      <c r="G64" s="71" t="s">
        <v>49</v>
      </c>
      <c r="H64"/>
    </row>
    <row r="65" spans="1:8">
      <c r="A65" s="84" t="s">
        <v>380</v>
      </c>
      <c r="B65" s="71">
        <v>5</v>
      </c>
      <c r="C65" s="71">
        <v>0.06</v>
      </c>
      <c r="D65" s="71">
        <v>30</v>
      </c>
      <c r="E65" s="71">
        <v>1</v>
      </c>
      <c r="F65" s="73" t="s">
        <v>111</v>
      </c>
      <c r="G65" s="71" t="s">
        <v>49</v>
      </c>
      <c r="H65"/>
    </row>
    <row r="66" spans="1:8">
      <c r="A66" s="84" t="s">
        <v>381</v>
      </c>
      <c r="B66" s="71">
        <v>5</v>
      </c>
      <c r="C66" s="71">
        <v>0.06</v>
      </c>
      <c r="D66" s="71">
        <v>60</v>
      </c>
      <c r="E66" s="71">
        <v>1</v>
      </c>
      <c r="F66" s="73" t="s">
        <v>111</v>
      </c>
      <c r="G66" s="71" t="s">
        <v>49</v>
      </c>
      <c r="H66"/>
    </row>
    <row r="67" spans="1:8">
      <c r="A67" s="84" t="s">
        <v>382</v>
      </c>
      <c r="B67" s="71">
        <v>5</v>
      </c>
      <c r="C67" s="71">
        <v>0.06</v>
      </c>
      <c r="D67" s="71">
        <v>150</v>
      </c>
      <c r="E67" s="71">
        <v>1</v>
      </c>
      <c r="F67" s="73" t="s">
        <v>111</v>
      </c>
      <c r="G67" s="71" t="s">
        <v>49</v>
      </c>
      <c r="H67"/>
    </row>
    <row r="68" spans="1:8">
      <c r="A68" s="84" t="s">
        <v>383</v>
      </c>
      <c r="B68" s="71">
        <v>5</v>
      </c>
      <c r="C68" s="71">
        <v>0.06</v>
      </c>
      <c r="D68" s="71">
        <v>70</v>
      </c>
      <c r="E68" s="71">
        <v>1</v>
      </c>
      <c r="F68" s="73" t="s">
        <v>111</v>
      </c>
      <c r="G68" s="71" t="s">
        <v>49</v>
      </c>
      <c r="H68"/>
    </row>
    <row r="69" spans="1:8">
      <c r="A69" s="84" t="s">
        <v>384</v>
      </c>
      <c r="B69" s="71">
        <v>5</v>
      </c>
      <c r="C69" s="71">
        <v>0.06</v>
      </c>
      <c r="D69" s="71">
        <v>50</v>
      </c>
      <c r="E69" s="71">
        <v>1</v>
      </c>
      <c r="F69" s="73" t="s">
        <v>111</v>
      </c>
      <c r="G69" s="71" t="s">
        <v>49</v>
      </c>
      <c r="H69"/>
    </row>
    <row r="70" spans="1:8">
      <c r="A70" s="84" t="s">
        <v>385</v>
      </c>
      <c r="B70" s="71">
        <v>5</v>
      </c>
      <c r="C70" s="71">
        <v>0.12</v>
      </c>
      <c r="D70" s="71">
        <v>10</v>
      </c>
      <c r="E70" s="71">
        <v>1</v>
      </c>
      <c r="F70" s="71" t="s">
        <v>49</v>
      </c>
      <c r="G70" s="71" t="s">
        <v>49</v>
      </c>
      <c r="H70"/>
    </row>
    <row r="71" spans="1:8">
      <c r="A71" s="84" t="s">
        <v>386</v>
      </c>
      <c r="B71" s="71">
        <v>5</v>
      </c>
      <c r="C71" s="71">
        <v>0.06</v>
      </c>
      <c r="D71" s="71">
        <v>150</v>
      </c>
      <c r="E71" s="71">
        <v>1</v>
      </c>
      <c r="F71" s="73" t="s">
        <v>111</v>
      </c>
      <c r="G71" s="71" t="s">
        <v>49</v>
      </c>
      <c r="H71"/>
    </row>
    <row r="72" spans="1:8">
      <c r="A72" s="84" t="s">
        <v>387</v>
      </c>
      <c r="B72" s="71">
        <v>7.5</v>
      </c>
      <c r="C72" s="71">
        <v>0.12</v>
      </c>
      <c r="D72" s="71">
        <v>40</v>
      </c>
      <c r="E72" s="71">
        <v>1</v>
      </c>
      <c r="F72" s="71" t="s">
        <v>49</v>
      </c>
      <c r="G72" s="71" t="s">
        <v>49</v>
      </c>
      <c r="H72"/>
    </row>
    <row r="73" spans="1:8">
      <c r="A73" s="84" t="s">
        <v>388</v>
      </c>
      <c r="B73" s="71">
        <v>7.5</v>
      </c>
      <c r="C73" s="71">
        <v>0.06</v>
      </c>
      <c r="D73" s="71">
        <v>40</v>
      </c>
      <c r="E73" s="71">
        <v>1</v>
      </c>
      <c r="F73" s="73" t="s">
        <v>111</v>
      </c>
      <c r="G73" s="71" t="s">
        <v>49</v>
      </c>
      <c r="H73"/>
    </row>
    <row r="74" spans="1:8">
      <c r="A74" s="84" t="s">
        <v>389</v>
      </c>
      <c r="B74" s="71">
        <v>5</v>
      </c>
      <c r="C74" s="71">
        <v>0.06</v>
      </c>
      <c r="D74" s="71">
        <v>120</v>
      </c>
      <c r="E74" s="71">
        <v>1</v>
      </c>
      <c r="F74" s="73" t="s">
        <v>111</v>
      </c>
      <c r="G74" s="71" t="s">
        <v>49</v>
      </c>
      <c r="H74"/>
    </row>
    <row r="75" spans="1:8">
      <c r="A75" s="84" t="s">
        <v>390</v>
      </c>
      <c r="B75" s="71">
        <v>0</v>
      </c>
      <c r="C75" s="71">
        <v>0.06</v>
      </c>
      <c r="D75" s="71">
        <v>0</v>
      </c>
      <c r="E75" s="71">
        <v>1</v>
      </c>
      <c r="F75" s="73" t="s">
        <v>111</v>
      </c>
      <c r="G75" s="71" t="s">
        <v>111</v>
      </c>
      <c r="H75"/>
    </row>
    <row r="76" spans="1:8">
      <c r="A76" s="84" t="s">
        <v>391</v>
      </c>
      <c r="B76" s="71">
        <v>7.5</v>
      </c>
      <c r="C76" s="71">
        <v>0.06</v>
      </c>
      <c r="D76" s="71">
        <v>25</v>
      </c>
      <c r="E76" s="71">
        <v>2</v>
      </c>
      <c r="F76" s="73" t="s">
        <v>111</v>
      </c>
      <c r="G76" s="71" t="s">
        <v>49</v>
      </c>
      <c r="H76"/>
    </row>
    <row r="77" spans="1:8">
      <c r="A77" s="84" t="s">
        <v>392</v>
      </c>
      <c r="B77" s="71">
        <v>20</v>
      </c>
      <c r="C77" s="71">
        <v>0.12</v>
      </c>
      <c r="D77" s="71">
        <v>25</v>
      </c>
      <c r="E77" s="71">
        <v>2</v>
      </c>
      <c r="F77" s="71" t="s">
        <v>49</v>
      </c>
      <c r="G77" s="71" t="s">
        <v>49</v>
      </c>
      <c r="H77"/>
    </row>
    <row r="78" spans="1:8">
      <c r="A78" s="84" t="s">
        <v>393</v>
      </c>
      <c r="B78" s="71">
        <v>7.5</v>
      </c>
      <c r="C78" s="71">
        <v>0.12</v>
      </c>
      <c r="D78" s="71">
        <v>20</v>
      </c>
      <c r="E78" s="71">
        <v>2</v>
      </c>
      <c r="F78" s="71" t="s">
        <v>49</v>
      </c>
      <c r="G78" s="71" t="s">
        <v>49</v>
      </c>
      <c r="H78"/>
    </row>
    <row r="79" spans="1:8">
      <c r="A79" s="84" t="s">
        <v>394</v>
      </c>
      <c r="B79" s="71">
        <v>7.5</v>
      </c>
      <c r="C79" s="71">
        <v>0.06</v>
      </c>
      <c r="D79" s="71">
        <v>40</v>
      </c>
      <c r="E79" s="71">
        <v>1</v>
      </c>
      <c r="F79" s="73" t="s">
        <v>111</v>
      </c>
      <c r="G79" s="71" t="s">
        <v>49</v>
      </c>
      <c r="H79"/>
    </row>
    <row r="80" spans="1:8">
      <c r="A80" s="84" t="s">
        <v>395</v>
      </c>
      <c r="B80" s="71">
        <v>7.5</v>
      </c>
      <c r="C80" s="71">
        <v>0.18</v>
      </c>
      <c r="D80" s="71">
        <v>10</v>
      </c>
      <c r="E80" s="71">
        <v>2</v>
      </c>
      <c r="F80" s="71" t="s">
        <v>49</v>
      </c>
      <c r="G80" s="71" t="s">
        <v>49</v>
      </c>
      <c r="H80"/>
    </row>
    <row r="81" spans="1:8">
      <c r="A81" s="84" t="s">
        <v>396</v>
      </c>
      <c r="B81" s="71">
        <v>7.5</v>
      </c>
      <c r="C81" s="71">
        <v>0.12</v>
      </c>
      <c r="D81" s="71">
        <v>15</v>
      </c>
      <c r="E81" s="71">
        <v>2</v>
      </c>
      <c r="F81" s="71" t="s">
        <v>49</v>
      </c>
      <c r="G81" s="71" t="s">
        <v>49</v>
      </c>
      <c r="H81"/>
    </row>
    <row r="82" spans="1:8">
      <c r="A82" s="84" t="s">
        <v>397</v>
      </c>
      <c r="B82" s="71">
        <v>7.5</v>
      </c>
      <c r="C82" s="71">
        <v>0.06</v>
      </c>
      <c r="D82" s="71">
        <v>8</v>
      </c>
      <c r="E82" s="71">
        <v>1</v>
      </c>
      <c r="F82" s="73" t="s">
        <v>111</v>
      </c>
      <c r="G82" s="71" t="s">
        <v>49</v>
      </c>
      <c r="H82"/>
    </row>
    <row r="83" spans="1:8">
      <c r="A83" s="84" t="s">
        <v>398</v>
      </c>
      <c r="B83" s="71">
        <v>10</v>
      </c>
      <c r="C83" s="71">
        <v>0.12</v>
      </c>
      <c r="D83" s="71">
        <v>40</v>
      </c>
      <c r="E83" s="71">
        <v>1</v>
      </c>
      <c r="F83" s="71" t="s">
        <v>49</v>
      </c>
      <c r="G83" s="71" t="s">
        <v>49</v>
      </c>
      <c r="H83"/>
    </row>
    <row r="84" spans="1:8">
      <c r="A84" s="84" t="s">
        <v>399</v>
      </c>
      <c r="B84" s="71">
        <v>20</v>
      </c>
      <c r="C84" s="71">
        <v>0.06</v>
      </c>
      <c r="D84" s="71">
        <v>100</v>
      </c>
      <c r="E84" s="71">
        <v>2</v>
      </c>
      <c r="F84" s="73" t="s">
        <v>111</v>
      </c>
      <c r="G84" s="71" t="s">
        <v>49</v>
      </c>
      <c r="H84"/>
    </row>
    <row r="85" spans="1:8">
      <c r="A85" s="84" t="s">
        <v>400</v>
      </c>
      <c r="B85" s="71">
        <v>7.5</v>
      </c>
      <c r="C85" s="71">
        <v>0.18</v>
      </c>
      <c r="D85" s="71">
        <v>120</v>
      </c>
      <c r="E85" s="71">
        <v>1</v>
      </c>
      <c r="F85" s="71" t="s">
        <v>49</v>
      </c>
      <c r="G85" s="71" t="s">
        <v>49</v>
      </c>
      <c r="H85"/>
    </row>
    <row r="86" spans="1:8">
      <c r="A86" s="84" t="s">
        <v>401</v>
      </c>
      <c r="B86" s="71">
        <v>7.5</v>
      </c>
      <c r="C86" s="71">
        <v>0.18</v>
      </c>
      <c r="D86" s="71">
        <v>20</v>
      </c>
      <c r="E86" s="71">
        <v>1</v>
      </c>
      <c r="F86" s="71" t="s">
        <v>49</v>
      </c>
      <c r="G86" s="71" t="s">
        <v>49</v>
      </c>
      <c r="H86"/>
    </row>
    <row r="87" spans="1:8">
      <c r="A87" s="84" t="s">
        <v>402</v>
      </c>
      <c r="B87" s="71">
        <v>20</v>
      </c>
      <c r="C87" s="71">
        <v>0.18</v>
      </c>
      <c r="D87" s="71">
        <v>7</v>
      </c>
      <c r="E87" s="71">
        <v>2</v>
      </c>
      <c r="F87" s="71" t="s">
        <v>49</v>
      </c>
      <c r="G87" s="71" t="s">
        <v>49</v>
      </c>
      <c r="H87"/>
    </row>
    <row r="88" spans="1:8">
      <c r="A88" s="84" t="s">
        <v>403</v>
      </c>
      <c r="B88" s="71">
        <v>20</v>
      </c>
      <c r="C88" s="71">
        <v>0.06</v>
      </c>
      <c r="D88" s="71">
        <v>40</v>
      </c>
      <c r="E88" s="71">
        <v>2</v>
      </c>
      <c r="F88" s="71" t="s">
        <v>49</v>
      </c>
      <c r="G88" s="71" t="s">
        <v>49</v>
      </c>
      <c r="H88"/>
    </row>
    <row r="89" spans="1:8">
      <c r="A89" s="84" t="s">
        <v>404</v>
      </c>
      <c r="B89" s="71">
        <v>20</v>
      </c>
      <c r="C89" s="71">
        <v>0.06</v>
      </c>
      <c r="D89" s="71">
        <v>10</v>
      </c>
      <c r="E89" s="71">
        <v>2</v>
      </c>
      <c r="F89" s="71" t="s">
        <v>49</v>
      </c>
      <c r="G89" s="71" t="s">
        <v>49</v>
      </c>
      <c r="H89"/>
    </row>
    <row r="90" spans="1:8">
      <c r="A90" s="84" t="s">
        <v>405</v>
      </c>
      <c r="B90" s="71">
        <v>7.5</v>
      </c>
      <c r="C90" s="71">
        <v>0.06</v>
      </c>
      <c r="D90" s="71">
        <v>150</v>
      </c>
      <c r="E90" s="71">
        <v>1</v>
      </c>
      <c r="F90" s="73" t="s">
        <v>111</v>
      </c>
      <c r="G90" s="71" t="s">
        <v>49</v>
      </c>
      <c r="H90"/>
    </row>
    <row r="91" spans="1:8">
      <c r="A91" s="84" t="s">
        <v>406</v>
      </c>
      <c r="B91" s="71">
        <v>10</v>
      </c>
      <c r="C91" s="71">
        <v>0.06</v>
      </c>
      <c r="D91" s="71">
        <v>70</v>
      </c>
      <c r="E91" s="71">
        <v>1</v>
      </c>
      <c r="F91" s="73" t="s">
        <v>111</v>
      </c>
      <c r="G91" s="71" t="s">
        <v>49</v>
      </c>
      <c r="H91"/>
    </row>
    <row r="92" spans="1:8">
      <c r="A92" s="71" t="s">
        <v>48</v>
      </c>
      <c r="B92" s="71" t="s">
        <v>407</v>
      </c>
      <c r="C92" s="71" t="s">
        <v>407</v>
      </c>
      <c r="D92" s="71" t="s">
        <v>407</v>
      </c>
      <c r="E92" s="71" t="s">
        <v>407</v>
      </c>
      <c r="F92" s="71" t="s">
        <v>407</v>
      </c>
      <c r="G92" s="71" t="s">
        <v>407</v>
      </c>
      <c r="H92"/>
    </row>
    <row r="93" spans="1:8">
      <c r="A93" s="84" t="s">
        <v>408</v>
      </c>
      <c r="B93" s="71">
        <v>0</v>
      </c>
      <c r="C93" s="71">
        <v>0.48</v>
      </c>
      <c r="D93" s="71">
        <v>0</v>
      </c>
      <c r="E93" s="71">
        <v>2</v>
      </c>
      <c r="F93" s="71" t="s">
        <v>49</v>
      </c>
      <c r="G93" s="71" t="s">
        <v>49</v>
      </c>
    </row>
  </sheetData>
  <pageMargins left="0.7" right="0.7" top="0.75" bottom="0.75" header="0.3" footer="0.3"/>
  <pageSetup scale="22" fitToHeight="0" orientation="landscape" r:id="rId1"/>
  <tableParts count="5">
    <tablePart r:id="rId2"/>
    <tablePart r:id="rId3"/>
    <tablePart r:id="rId4"/>
    <tablePart r:id="rId5"/>
    <tablePart r:id="rId6"/>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46"/>
    <pageSetUpPr fitToPage="1"/>
  </sheetPr>
  <dimension ref="A1:U131"/>
  <sheetViews>
    <sheetView showGridLines="0" topLeftCell="I1" zoomScale="115" zoomScaleNormal="115" zoomScaleSheetLayoutView="145" workbookViewId="0">
      <selection activeCell="U4" sqref="U4"/>
    </sheetView>
  </sheetViews>
  <sheetFormatPr defaultColWidth="9.109375" defaultRowHeight="10.199999999999999"/>
  <cols>
    <col min="1" max="1" width="34" style="1" bestFit="1" customWidth="1"/>
    <col min="2" max="2" width="24.109375" style="1" bestFit="1" customWidth="1"/>
    <col min="3" max="3" width="26.109375" style="1" bestFit="1" customWidth="1"/>
    <col min="4" max="4" width="21.44140625" style="1" bestFit="1" customWidth="1"/>
    <col min="5" max="5" width="22.33203125" style="1" bestFit="1" customWidth="1"/>
    <col min="6" max="6" width="24.88671875" style="1" bestFit="1" customWidth="1"/>
    <col min="7" max="7" width="17.6640625" style="1" bestFit="1" customWidth="1"/>
    <col min="8" max="8" width="16" style="1" bestFit="1" customWidth="1"/>
    <col min="9" max="9" width="15.33203125" style="1" bestFit="1" customWidth="1"/>
    <col min="10" max="10" width="6" style="1" bestFit="1" customWidth="1"/>
    <col min="11" max="12" width="9.109375" style="1"/>
    <col min="13" max="13" width="80.109375" style="1" bestFit="1" customWidth="1"/>
    <col min="14" max="14" width="16.21875" style="1" bestFit="1" customWidth="1"/>
    <col min="15" max="15" width="20.77734375" style="1" bestFit="1" customWidth="1"/>
    <col min="16" max="16" width="16.88671875" style="1" bestFit="1" customWidth="1"/>
    <col min="17" max="17" width="13.109375" style="1" bestFit="1" customWidth="1"/>
    <col min="18" max="18" width="17.33203125" style="1" bestFit="1" customWidth="1"/>
    <col min="19" max="19" width="13.44140625" style="1" bestFit="1" customWidth="1"/>
    <col min="20" max="16384" width="9.109375" style="1"/>
  </cols>
  <sheetData>
    <row r="1" spans="1:21" ht="10.8">
      <c r="A1" s="53" t="s">
        <v>409</v>
      </c>
      <c r="B1" s="145" t="s">
        <v>410</v>
      </c>
      <c r="C1" s="146" t="s">
        <v>411</v>
      </c>
      <c r="D1" s="145" t="s">
        <v>412</v>
      </c>
      <c r="E1" s="145" t="s">
        <v>413</v>
      </c>
      <c r="F1" s="145" t="s">
        <v>414</v>
      </c>
      <c r="G1" s="54" t="s">
        <v>415</v>
      </c>
      <c r="H1" s="147" t="s">
        <v>416</v>
      </c>
      <c r="I1" s="55" t="s">
        <v>417</v>
      </c>
      <c r="J1" s="146" t="s">
        <v>418</v>
      </c>
      <c r="K1" s="12"/>
      <c r="M1" s="12" t="s">
        <v>1024</v>
      </c>
      <c r="N1" s="1" t="s">
        <v>1051</v>
      </c>
      <c r="O1" s="1" t="s">
        <v>1052</v>
      </c>
      <c r="P1" s="1" t="s">
        <v>1053</v>
      </c>
      <c r="Q1" s="1" t="s">
        <v>1054</v>
      </c>
      <c r="R1" s="1" t="s">
        <v>1055</v>
      </c>
      <c r="S1" s="1" t="s">
        <v>1056</v>
      </c>
    </row>
    <row r="2" spans="1:21">
      <c r="A2" s="56" t="s">
        <v>419</v>
      </c>
      <c r="B2" s="57" t="s">
        <v>420</v>
      </c>
      <c r="C2" s="58" t="s">
        <v>421</v>
      </c>
      <c r="D2" s="59">
        <v>10</v>
      </c>
      <c r="E2" s="57" t="s">
        <v>422</v>
      </c>
      <c r="F2" s="57" t="s">
        <v>423</v>
      </c>
      <c r="G2" s="60" t="s">
        <v>421</v>
      </c>
      <c r="H2" s="148" t="s">
        <v>421</v>
      </c>
      <c r="I2" s="148" t="s">
        <v>421</v>
      </c>
      <c r="J2" s="61" t="s">
        <v>424</v>
      </c>
      <c r="K2" s="12"/>
      <c r="M2" s="12" t="s">
        <v>1025</v>
      </c>
      <c r="N2" s="1">
        <v>0.39500000000000002</v>
      </c>
      <c r="O2" s="1">
        <v>0.45300000000000001</v>
      </c>
      <c r="P2" s="1">
        <v>0.41299999999999998</v>
      </c>
      <c r="Q2" s="1">
        <v>0.23200000000000001</v>
      </c>
      <c r="R2" s="1">
        <v>0.25600000000000001</v>
      </c>
      <c r="S2" s="1">
        <v>0.23599999999999999</v>
      </c>
      <c r="U2" s="1" t="s">
        <v>111</v>
      </c>
    </row>
    <row r="3" spans="1:21">
      <c r="A3" s="149" t="s">
        <v>425</v>
      </c>
      <c r="B3" s="150" t="s">
        <v>426</v>
      </c>
      <c r="C3" s="151">
        <v>2</v>
      </c>
      <c r="D3" s="152">
        <v>12</v>
      </c>
      <c r="E3" s="150" t="s">
        <v>422</v>
      </c>
      <c r="F3" s="150" t="s">
        <v>423</v>
      </c>
      <c r="G3" s="153" t="s">
        <v>427</v>
      </c>
      <c r="H3" s="148">
        <v>70</v>
      </c>
      <c r="I3" s="154">
        <v>75</v>
      </c>
      <c r="J3" s="148" t="s">
        <v>424</v>
      </c>
      <c r="K3" s="12"/>
      <c r="M3" s="12" t="s">
        <v>1026</v>
      </c>
      <c r="N3" s="1">
        <v>0.50800000000000001</v>
      </c>
      <c r="O3" s="1">
        <v>0.54800000000000004</v>
      </c>
      <c r="P3" s="1">
        <v>0.501</v>
      </c>
      <c r="Q3" s="1">
        <v>0.34899999999999998</v>
      </c>
      <c r="R3" s="1">
        <v>0.35599999999999998</v>
      </c>
      <c r="S3" s="1">
        <v>0.32500000000000001</v>
      </c>
      <c r="U3" s="1" t="s">
        <v>49</v>
      </c>
    </row>
    <row r="4" spans="1:21">
      <c r="A4" s="149" t="s">
        <v>428</v>
      </c>
      <c r="B4" s="150" t="s">
        <v>426</v>
      </c>
      <c r="C4" s="151">
        <v>2</v>
      </c>
      <c r="D4" s="152">
        <v>12</v>
      </c>
      <c r="E4" s="150" t="s">
        <v>422</v>
      </c>
      <c r="F4" s="150" t="s">
        <v>423</v>
      </c>
      <c r="G4" s="153" t="s">
        <v>421</v>
      </c>
      <c r="H4" s="148" t="s">
        <v>421</v>
      </c>
      <c r="I4" s="148" t="s">
        <v>421</v>
      </c>
      <c r="J4" s="148"/>
      <c r="K4" s="12"/>
      <c r="M4" s="12" t="s">
        <v>1038</v>
      </c>
      <c r="N4" s="1">
        <v>0.13600000000000001</v>
      </c>
      <c r="O4" s="1">
        <v>0.114</v>
      </c>
      <c r="P4" s="1">
        <v>0.105</v>
      </c>
      <c r="Q4" s="1">
        <v>0.13900000000000001</v>
      </c>
      <c r="R4" s="1">
        <v>0.12</v>
      </c>
      <c r="S4" s="1">
        <v>0.107</v>
      </c>
    </row>
    <row r="5" spans="1:21">
      <c r="A5" s="149" t="s">
        <v>429</v>
      </c>
      <c r="B5" s="150" t="s">
        <v>430</v>
      </c>
      <c r="C5" s="151">
        <v>3</v>
      </c>
      <c r="D5" s="152">
        <v>15</v>
      </c>
      <c r="E5" s="150" t="s">
        <v>421</v>
      </c>
      <c r="F5" s="150" t="s">
        <v>421</v>
      </c>
      <c r="G5" s="153" t="s">
        <v>427</v>
      </c>
      <c r="H5" s="148">
        <v>70</v>
      </c>
      <c r="I5" s="154">
        <v>75</v>
      </c>
      <c r="J5" s="62"/>
      <c r="K5" s="12"/>
      <c r="M5" s="12" t="s">
        <v>1039</v>
      </c>
      <c r="N5" s="1">
        <v>0.22500000000000001</v>
      </c>
      <c r="O5" s="1">
        <v>0.188</v>
      </c>
      <c r="P5" s="1">
        <v>0.17599999999999999</v>
      </c>
      <c r="Q5" s="1">
        <v>0.23100000000000001</v>
      </c>
      <c r="R5" s="1">
        <v>0.19700000000000001</v>
      </c>
      <c r="S5" s="1">
        <v>0.17699999999999999</v>
      </c>
    </row>
    <row r="6" spans="1:21">
      <c r="A6" s="149" t="s">
        <v>69</v>
      </c>
      <c r="B6" s="150" t="s">
        <v>426</v>
      </c>
      <c r="C6" s="151" t="s">
        <v>421</v>
      </c>
      <c r="D6" s="152">
        <v>10</v>
      </c>
      <c r="E6" s="150" t="s">
        <v>422</v>
      </c>
      <c r="F6" s="150" t="s">
        <v>423</v>
      </c>
      <c r="G6" s="153" t="s">
        <v>421</v>
      </c>
      <c r="H6" s="148">
        <v>70</v>
      </c>
      <c r="I6" s="154">
        <v>75</v>
      </c>
      <c r="J6" s="62"/>
      <c r="K6" s="12"/>
      <c r="M6" s="12" t="s">
        <v>1040</v>
      </c>
      <c r="N6" s="1">
        <v>0.33500000000000002</v>
      </c>
      <c r="O6" s="1">
        <v>0.28000000000000003</v>
      </c>
      <c r="P6" s="1">
        <v>0.26500000000000001</v>
      </c>
      <c r="Q6" s="1">
        <v>0.34200000000000003</v>
      </c>
      <c r="R6" s="1">
        <v>0.29199999999999998</v>
      </c>
      <c r="S6" s="1">
        <v>0.26400000000000001</v>
      </c>
    </row>
    <row r="7" spans="1:21">
      <c r="A7" s="149" t="s">
        <v>431</v>
      </c>
      <c r="B7" s="150" t="s">
        <v>426</v>
      </c>
      <c r="C7" s="151" t="s">
        <v>421</v>
      </c>
      <c r="D7" s="152">
        <v>10</v>
      </c>
      <c r="E7" s="150" t="s">
        <v>422</v>
      </c>
      <c r="F7" s="150" t="s">
        <v>423</v>
      </c>
      <c r="G7" s="153" t="s">
        <v>421</v>
      </c>
      <c r="H7" s="148">
        <v>72</v>
      </c>
      <c r="I7" s="154">
        <v>78</v>
      </c>
      <c r="J7" s="155"/>
      <c r="K7" s="12"/>
      <c r="M7" s="12" t="s">
        <v>1027</v>
      </c>
      <c r="N7" s="1">
        <v>4.5999999999999999E-2</v>
      </c>
      <c r="O7" s="1">
        <v>4.8000000000000001E-2</v>
      </c>
      <c r="P7" s="1">
        <v>5.1999999999999998E-2</v>
      </c>
      <c r="Q7" s="1">
        <v>4.5999999999999999E-2</v>
      </c>
      <c r="R7" s="1">
        <v>0.05</v>
      </c>
      <c r="S7" s="1">
        <v>5.3999999999999999E-2</v>
      </c>
    </row>
    <row r="8" spans="1:21">
      <c r="A8" s="149" t="s">
        <v>432</v>
      </c>
      <c r="B8" s="150" t="s">
        <v>426</v>
      </c>
      <c r="C8" s="151" t="s">
        <v>421</v>
      </c>
      <c r="D8" s="152">
        <v>10</v>
      </c>
      <c r="E8" s="150" t="s">
        <v>422</v>
      </c>
      <c r="F8" s="150" t="s">
        <v>423</v>
      </c>
      <c r="G8" s="153" t="s">
        <v>421</v>
      </c>
      <c r="H8" s="148" t="s">
        <v>421</v>
      </c>
      <c r="I8" s="148" t="s">
        <v>421</v>
      </c>
      <c r="J8" s="62"/>
      <c r="K8" s="12"/>
      <c r="M8" s="12" t="s">
        <v>1028</v>
      </c>
      <c r="N8" s="1">
        <v>4.5999999999999999E-2</v>
      </c>
      <c r="O8" s="1">
        <v>3.7999999999999999E-2</v>
      </c>
      <c r="P8" s="1">
        <v>3.5000000000000003E-2</v>
      </c>
      <c r="Q8" s="1">
        <v>4.5999999999999999E-2</v>
      </c>
      <c r="R8" s="1">
        <v>0.04</v>
      </c>
      <c r="S8" s="1">
        <v>3.5999999999999997E-2</v>
      </c>
    </row>
    <row r="9" spans="1:21">
      <c r="A9" s="149" t="s">
        <v>71</v>
      </c>
      <c r="B9" s="150" t="s">
        <v>421</v>
      </c>
      <c r="C9" s="151">
        <v>2</v>
      </c>
      <c r="D9" s="152">
        <v>6</v>
      </c>
      <c r="E9" s="150" t="s">
        <v>421</v>
      </c>
      <c r="F9" s="150" t="s">
        <v>421</v>
      </c>
      <c r="G9" s="153" t="s">
        <v>421</v>
      </c>
      <c r="H9" s="148" t="s">
        <v>421</v>
      </c>
      <c r="I9" s="148" t="s">
        <v>421</v>
      </c>
      <c r="J9" s="149"/>
      <c r="K9" s="12"/>
      <c r="M9" s="12" t="s">
        <v>1029</v>
      </c>
      <c r="N9" s="1">
        <v>6.9000000000000006E-2</v>
      </c>
      <c r="O9" s="1">
        <v>5.7000000000000002E-2</v>
      </c>
      <c r="P9" s="1">
        <v>7.0000000000000007E-2</v>
      </c>
      <c r="Q9" s="1">
        <v>5.8000000000000003E-2</v>
      </c>
      <c r="R9" s="1">
        <v>0.06</v>
      </c>
      <c r="S9" s="1">
        <v>7.1999999999999995E-2</v>
      </c>
    </row>
    <row r="10" spans="1:21">
      <c r="A10" s="149" t="s">
        <v>433</v>
      </c>
      <c r="B10" s="150" t="s">
        <v>421</v>
      </c>
      <c r="C10" s="151">
        <v>2</v>
      </c>
      <c r="D10" s="152">
        <v>6</v>
      </c>
      <c r="E10" s="150" t="s">
        <v>421</v>
      </c>
      <c r="F10" s="150" t="s">
        <v>421</v>
      </c>
      <c r="G10" s="153" t="s">
        <v>421</v>
      </c>
      <c r="H10" s="148" t="s">
        <v>421</v>
      </c>
      <c r="I10" s="148" t="s">
        <v>421</v>
      </c>
      <c r="J10" s="149"/>
      <c r="M10" s="12" t="s">
        <v>1041</v>
      </c>
      <c r="N10" s="1">
        <v>0.13500000000000001</v>
      </c>
      <c r="O10" s="1">
        <v>0.114</v>
      </c>
      <c r="P10" s="1">
        <v>0.105</v>
      </c>
      <c r="Q10" s="1">
        <v>0.13900000000000001</v>
      </c>
      <c r="R10" s="1">
        <v>0.12</v>
      </c>
      <c r="S10" s="1">
        <v>0.107</v>
      </c>
    </row>
    <row r="11" spans="1:21">
      <c r="A11" s="149" t="s">
        <v>434</v>
      </c>
      <c r="B11" s="150" t="s">
        <v>426</v>
      </c>
      <c r="C11" s="151">
        <v>2</v>
      </c>
      <c r="D11" s="152">
        <v>12</v>
      </c>
      <c r="E11" s="150" t="s">
        <v>422</v>
      </c>
      <c r="F11" s="150" t="s">
        <v>423</v>
      </c>
      <c r="G11" s="153" t="s">
        <v>421</v>
      </c>
      <c r="H11" s="148">
        <v>68</v>
      </c>
      <c r="I11" s="154">
        <v>73</v>
      </c>
      <c r="J11" s="148" t="s">
        <v>435</v>
      </c>
      <c r="M11" s="12" t="s">
        <v>1030</v>
      </c>
      <c r="N11" s="1">
        <v>0.157</v>
      </c>
      <c r="O11" s="1">
        <v>0.13200000000000001</v>
      </c>
      <c r="P11" s="1">
        <v>0.123</v>
      </c>
      <c r="Q11" s="1">
        <v>0.16300000000000001</v>
      </c>
      <c r="R11" s="1">
        <v>0.13900000000000001</v>
      </c>
      <c r="S11" s="1">
        <v>0.124</v>
      </c>
    </row>
    <row r="12" spans="1:21">
      <c r="A12" s="149" t="s">
        <v>436</v>
      </c>
      <c r="B12" s="150" t="s">
        <v>430</v>
      </c>
      <c r="C12" s="151">
        <v>3</v>
      </c>
      <c r="D12" s="152">
        <v>15</v>
      </c>
      <c r="E12" s="150" t="s">
        <v>421</v>
      </c>
      <c r="F12" s="150" t="s">
        <v>423</v>
      </c>
      <c r="G12" s="153" t="s">
        <v>427</v>
      </c>
      <c r="H12" s="148">
        <v>70</v>
      </c>
      <c r="I12" s="154">
        <v>75</v>
      </c>
      <c r="J12" s="149"/>
      <c r="M12" s="12" t="s">
        <v>1031</v>
      </c>
      <c r="N12" s="1">
        <v>4.4999999999999998E-2</v>
      </c>
      <c r="O12" s="1">
        <v>3.7999999999999999E-2</v>
      </c>
      <c r="P12" s="1">
        <v>3.5000000000000003E-2</v>
      </c>
      <c r="Q12" s="1">
        <v>4.5999999999999999E-2</v>
      </c>
      <c r="R12" s="1">
        <v>0.04</v>
      </c>
      <c r="S12" s="1">
        <v>3.5999999999999997E-2</v>
      </c>
    </row>
    <row r="13" spans="1:21" ht="20.399999999999999">
      <c r="A13" s="149" t="s">
        <v>437</v>
      </c>
      <c r="B13" s="150" t="s">
        <v>430</v>
      </c>
      <c r="C13" s="151" t="s">
        <v>421</v>
      </c>
      <c r="D13" s="152">
        <v>2</v>
      </c>
      <c r="E13" s="150" t="s">
        <v>421</v>
      </c>
      <c r="F13" s="150" t="s">
        <v>421</v>
      </c>
      <c r="G13" s="153" t="s">
        <v>421</v>
      </c>
      <c r="H13" s="148">
        <v>72</v>
      </c>
      <c r="I13" s="154">
        <v>78</v>
      </c>
      <c r="J13" s="149"/>
      <c r="M13" s="367" t="s">
        <v>1057</v>
      </c>
      <c r="N13" s="1">
        <v>0.224</v>
      </c>
      <c r="O13" s="1">
        <v>0.188</v>
      </c>
      <c r="P13" s="1">
        <v>0.17599999999999999</v>
      </c>
      <c r="Q13" s="1">
        <v>0.23100000000000001</v>
      </c>
      <c r="R13" s="1">
        <v>0.19700000000000001</v>
      </c>
      <c r="S13" s="1">
        <v>0.17699999999999999</v>
      </c>
    </row>
    <row r="14" spans="1:21">
      <c r="A14" s="149" t="s">
        <v>438</v>
      </c>
      <c r="B14" s="150" t="s">
        <v>430</v>
      </c>
      <c r="C14" s="151">
        <v>2</v>
      </c>
      <c r="D14" s="152">
        <v>4</v>
      </c>
      <c r="E14" s="150" t="s">
        <v>421</v>
      </c>
      <c r="F14" s="150" t="s">
        <v>423</v>
      </c>
      <c r="G14" s="153" t="s">
        <v>427</v>
      </c>
      <c r="H14" s="148">
        <v>72</v>
      </c>
      <c r="I14" s="154">
        <v>78</v>
      </c>
      <c r="J14" s="149"/>
      <c r="M14" s="12" t="s">
        <v>1042</v>
      </c>
      <c r="N14" s="1">
        <v>0</v>
      </c>
      <c r="O14" s="1">
        <v>0</v>
      </c>
      <c r="P14" s="1">
        <v>0</v>
      </c>
      <c r="Q14" s="1">
        <v>7.0000000000000007E-2</v>
      </c>
      <c r="R14" s="1">
        <v>0.1</v>
      </c>
      <c r="S14" s="1">
        <v>0.107</v>
      </c>
    </row>
    <row r="15" spans="1:21">
      <c r="A15" s="149" t="s">
        <v>439</v>
      </c>
      <c r="B15" s="150" t="s">
        <v>430</v>
      </c>
      <c r="C15" s="151">
        <v>2</v>
      </c>
      <c r="D15" s="152">
        <v>4</v>
      </c>
      <c r="E15" s="150" t="s">
        <v>421</v>
      </c>
      <c r="F15" s="150" t="s">
        <v>421</v>
      </c>
      <c r="G15" s="153" t="s">
        <v>421</v>
      </c>
      <c r="H15" s="148" t="s">
        <v>421</v>
      </c>
      <c r="I15" s="148" t="s">
        <v>421</v>
      </c>
      <c r="J15" s="149"/>
      <c r="M15" s="12" t="s">
        <v>1043</v>
      </c>
      <c r="N15" s="1">
        <v>0.13500000000000001</v>
      </c>
      <c r="O15" s="1">
        <v>0.114</v>
      </c>
      <c r="P15" s="1">
        <v>0.105</v>
      </c>
      <c r="Q15" s="1">
        <v>0.13900000000000001</v>
      </c>
      <c r="R15" s="1">
        <v>0.12</v>
      </c>
      <c r="S15" s="1">
        <v>0.107</v>
      </c>
    </row>
    <row r="16" spans="1:21">
      <c r="A16" s="149" t="s">
        <v>440</v>
      </c>
      <c r="B16" s="150" t="s">
        <v>421</v>
      </c>
      <c r="C16" s="151">
        <v>2</v>
      </c>
      <c r="D16" s="152">
        <v>6</v>
      </c>
      <c r="E16" s="150" t="s">
        <v>421</v>
      </c>
      <c r="F16" s="150" t="s">
        <v>423</v>
      </c>
      <c r="G16" s="153" t="s">
        <v>441</v>
      </c>
      <c r="H16" s="148">
        <v>70</v>
      </c>
      <c r="I16" s="154">
        <v>75</v>
      </c>
      <c r="J16" s="149"/>
      <c r="M16" s="12" t="s">
        <v>1044</v>
      </c>
      <c r="N16" s="1">
        <v>0.16</v>
      </c>
      <c r="O16" s="1">
        <v>0.13400000000000001</v>
      </c>
      <c r="P16" s="1">
        <v>0.124</v>
      </c>
      <c r="Q16" s="1">
        <v>0.16500000000000001</v>
      </c>
      <c r="R16" s="1">
        <v>0.14099999999999999</v>
      </c>
      <c r="S16" s="1">
        <v>0.126</v>
      </c>
    </row>
    <row r="17" spans="1:19">
      <c r="A17" s="149" t="s">
        <v>442</v>
      </c>
      <c r="B17" s="150" t="s">
        <v>421</v>
      </c>
      <c r="C17" s="151">
        <v>2</v>
      </c>
      <c r="D17" s="152">
        <v>6</v>
      </c>
      <c r="E17" s="150" t="s">
        <v>421</v>
      </c>
      <c r="F17" s="150" t="s">
        <v>421</v>
      </c>
      <c r="G17" s="153" t="s">
        <v>427</v>
      </c>
      <c r="H17" s="148" t="s">
        <v>421</v>
      </c>
      <c r="I17" s="148" t="s">
        <v>421</v>
      </c>
      <c r="J17" s="148"/>
      <c r="M17" s="12" t="s">
        <v>1045</v>
      </c>
      <c r="N17" s="1">
        <v>0.184</v>
      </c>
      <c r="O17" s="1">
        <v>0.155</v>
      </c>
      <c r="P17" s="1">
        <v>0.14399999999999999</v>
      </c>
      <c r="Q17" s="1">
        <v>0.19</v>
      </c>
      <c r="R17" s="1">
        <v>0.16300000000000001</v>
      </c>
      <c r="S17" s="1">
        <v>0.14599999999999999</v>
      </c>
    </row>
    <row r="18" spans="1:19">
      <c r="A18" s="149" t="s">
        <v>443</v>
      </c>
      <c r="B18" s="150" t="s">
        <v>426</v>
      </c>
      <c r="C18" s="151">
        <v>2</v>
      </c>
      <c r="D18" s="152">
        <v>10</v>
      </c>
      <c r="E18" s="150" t="s">
        <v>422</v>
      </c>
      <c r="F18" s="150" t="s">
        <v>423</v>
      </c>
      <c r="G18" s="153" t="s">
        <v>421</v>
      </c>
      <c r="H18" s="148" t="s">
        <v>421</v>
      </c>
      <c r="I18" s="148" t="s">
        <v>421</v>
      </c>
      <c r="J18" s="148" t="s">
        <v>444</v>
      </c>
      <c r="M18" s="12" t="s">
        <v>1046</v>
      </c>
      <c r="N18" s="1">
        <v>0.20799999999999999</v>
      </c>
      <c r="O18" s="1">
        <v>0.17499999999999999</v>
      </c>
      <c r="P18" s="1">
        <v>0.16300000000000001</v>
      </c>
      <c r="Q18" s="1">
        <v>0.215</v>
      </c>
      <c r="R18" s="1">
        <v>0.184</v>
      </c>
      <c r="S18" s="1">
        <v>0.16500000000000001</v>
      </c>
    </row>
    <row r="19" spans="1:19">
      <c r="A19" s="149" t="s">
        <v>445</v>
      </c>
      <c r="B19" s="150" t="s">
        <v>430</v>
      </c>
      <c r="C19" s="151">
        <v>4</v>
      </c>
      <c r="D19" s="152">
        <v>20</v>
      </c>
      <c r="E19" s="150" t="s">
        <v>421</v>
      </c>
      <c r="F19" s="150" t="s">
        <v>423</v>
      </c>
      <c r="G19" s="153" t="s">
        <v>446</v>
      </c>
      <c r="H19" s="148">
        <v>68</v>
      </c>
      <c r="I19" s="154">
        <v>75</v>
      </c>
      <c r="J19" s="148" t="s">
        <v>447</v>
      </c>
      <c r="M19" s="12" t="s">
        <v>1047</v>
      </c>
      <c r="N19" s="1">
        <v>0.23200000000000001</v>
      </c>
      <c r="O19" s="1">
        <v>0.19600000000000001</v>
      </c>
      <c r="P19" s="1">
        <v>0.183</v>
      </c>
      <c r="Q19" s="1">
        <v>0.24</v>
      </c>
      <c r="R19" s="1">
        <v>0.20499999999999999</v>
      </c>
      <c r="S19" s="1">
        <v>0.184</v>
      </c>
    </row>
    <row r="20" spans="1:19">
      <c r="A20" s="149" t="s">
        <v>448</v>
      </c>
      <c r="B20" s="150" t="s">
        <v>421</v>
      </c>
      <c r="C20" s="151">
        <v>2</v>
      </c>
      <c r="D20" s="152">
        <v>6</v>
      </c>
      <c r="E20" s="150" t="s">
        <v>421</v>
      </c>
      <c r="F20" s="150" t="s">
        <v>421</v>
      </c>
      <c r="G20" s="153" t="s">
        <v>421</v>
      </c>
      <c r="H20" s="148">
        <v>72</v>
      </c>
      <c r="I20" s="154">
        <v>78</v>
      </c>
      <c r="J20" s="148"/>
      <c r="M20" s="12" t="s">
        <v>1048</v>
      </c>
      <c r="N20" s="1">
        <v>0.25700000000000001</v>
      </c>
      <c r="O20" s="1">
        <v>0.216</v>
      </c>
      <c r="P20" s="1">
        <v>0.20200000000000001</v>
      </c>
      <c r="Q20" s="1">
        <v>0.26400000000000001</v>
      </c>
      <c r="R20" s="1">
        <v>0.22600000000000001</v>
      </c>
      <c r="S20" s="1">
        <v>0.20300000000000001</v>
      </c>
    </row>
    <row r="21" spans="1:19">
      <c r="A21" s="149" t="s">
        <v>449</v>
      </c>
      <c r="B21" s="150" t="s">
        <v>426</v>
      </c>
      <c r="C21" s="151" t="s">
        <v>421</v>
      </c>
      <c r="D21" s="152">
        <v>10</v>
      </c>
      <c r="E21" s="150" t="s">
        <v>422</v>
      </c>
      <c r="F21" s="150" t="s">
        <v>423</v>
      </c>
      <c r="G21" s="153" t="s">
        <v>421</v>
      </c>
      <c r="H21" s="148" t="s">
        <v>421</v>
      </c>
      <c r="I21" s="148" t="s">
        <v>421</v>
      </c>
      <c r="J21" s="148"/>
      <c r="M21" s="12" t="s">
        <v>1049</v>
      </c>
      <c r="N21" s="1">
        <v>0.28100000000000003</v>
      </c>
      <c r="O21" s="1">
        <v>0.23599999999999999</v>
      </c>
      <c r="P21" s="1">
        <v>0.222</v>
      </c>
      <c r="Q21" s="1">
        <v>0.28899999999999998</v>
      </c>
      <c r="R21" s="1">
        <v>0.247</v>
      </c>
      <c r="S21" s="1">
        <v>0.222</v>
      </c>
    </row>
    <row r="22" spans="1:19">
      <c r="A22" s="149" t="s">
        <v>450</v>
      </c>
      <c r="B22" s="150" t="s">
        <v>421</v>
      </c>
      <c r="C22" s="151" t="s">
        <v>421</v>
      </c>
      <c r="D22" s="152">
        <v>2</v>
      </c>
      <c r="E22" s="150" t="s">
        <v>421</v>
      </c>
      <c r="F22" s="150" t="s">
        <v>423</v>
      </c>
      <c r="G22" s="153" t="s">
        <v>421</v>
      </c>
      <c r="H22" s="148">
        <v>72</v>
      </c>
      <c r="I22" s="154">
        <v>78</v>
      </c>
      <c r="J22" s="148"/>
      <c r="M22" s="12" t="s">
        <v>1032</v>
      </c>
      <c r="N22" s="1">
        <v>0.13500000000000001</v>
      </c>
      <c r="O22" s="1">
        <v>0.114</v>
      </c>
      <c r="P22" s="1">
        <v>0.105</v>
      </c>
      <c r="Q22" s="1">
        <v>0.13900000000000001</v>
      </c>
      <c r="R22" s="1">
        <v>0.12</v>
      </c>
      <c r="S22" s="1">
        <v>0.107</v>
      </c>
    </row>
    <row r="23" spans="1:19">
      <c r="A23" s="149" t="s">
        <v>451</v>
      </c>
      <c r="B23" s="150" t="s">
        <v>452</v>
      </c>
      <c r="C23" s="151">
        <v>3</v>
      </c>
      <c r="D23" s="152">
        <v>15</v>
      </c>
      <c r="E23" s="150" t="s">
        <v>421</v>
      </c>
      <c r="F23" s="150" t="s">
        <v>421</v>
      </c>
      <c r="G23" s="153" t="s">
        <v>421</v>
      </c>
      <c r="H23" s="148" t="s">
        <v>421</v>
      </c>
      <c r="I23" s="148" t="s">
        <v>421</v>
      </c>
      <c r="J23" s="148"/>
      <c r="M23" s="12" t="s">
        <v>1050</v>
      </c>
      <c r="N23" s="1">
        <v>0.224</v>
      </c>
      <c r="O23" s="1">
        <v>0.188</v>
      </c>
      <c r="P23" s="1">
        <v>0.17599999999999999</v>
      </c>
      <c r="Q23" s="1">
        <v>0.23100000000000001</v>
      </c>
      <c r="R23" s="1">
        <v>0.19700000000000001</v>
      </c>
      <c r="S23" s="1">
        <v>0.17699999999999999</v>
      </c>
    </row>
    <row r="24" spans="1:19">
      <c r="A24" s="149" t="s">
        <v>453</v>
      </c>
      <c r="B24" s="150" t="s">
        <v>421</v>
      </c>
      <c r="C24" s="151">
        <v>2</v>
      </c>
      <c r="D24" s="152">
        <v>6</v>
      </c>
      <c r="E24" s="150" t="s">
        <v>421</v>
      </c>
      <c r="F24" s="150" t="s">
        <v>421</v>
      </c>
      <c r="G24" s="153" t="s">
        <v>427</v>
      </c>
      <c r="H24" s="148">
        <v>70</v>
      </c>
      <c r="I24" s="154">
        <v>75</v>
      </c>
      <c r="J24" s="148" t="s">
        <v>452</v>
      </c>
      <c r="M24" s="12" t="s">
        <v>1033</v>
      </c>
      <c r="N24" s="1">
        <v>4.4999999999999998E-2</v>
      </c>
      <c r="O24" s="1">
        <v>3.7999999999999999E-2</v>
      </c>
      <c r="P24" s="1">
        <v>3.5000000000000003E-2</v>
      </c>
      <c r="Q24" s="1">
        <v>4.5999999999999999E-2</v>
      </c>
      <c r="R24" s="1">
        <v>0.04</v>
      </c>
      <c r="S24" s="1">
        <v>3.5999999999999997E-2</v>
      </c>
    </row>
    <row r="25" spans="1:19">
      <c r="A25" s="149" t="s">
        <v>454</v>
      </c>
      <c r="B25" s="150" t="s">
        <v>426</v>
      </c>
      <c r="C25" s="151">
        <v>2</v>
      </c>
      <c r="D25" s="152">
        <v>10</v>
      </c>
      <c r="E25" s="150" t="s">
        <v>422</v>
      </c>
      <c r="F25" s="150" t="s">
        <v>423</v>
      </c>
      <c r="G25" s="153" t="s">
        <v>421</v>
      </c>
      <c r="H25" s="148" t="s">
        <v>421</v>
      </c>
      <c r="I25" s="148" t="s">
        <v>421</v>
      </c>
      <c r="J25" s="148"/>
      <c r="M25" s="12" t="s">
        <v>1034</v>
      </c>
      <c r="N25" s="1">
        <v>4.4999999999999998E-2</v>
      </c>
      <c r="O25" s="1">
        <v>3.7999999999999999E-2</v>
      </c>
      <c r="P25" s="1">
        <v>3.5000000000000003E-2</v>
      </c>
      <c r="Q25" s="1">
        <v>4.5999999999999999E-2</v>
      </c>
      <c r="R25" s="1">
        <v>0.04</v>
      </c>
      <c r="S25" s="1">
        <v>3.5999999999999997E-2</v>
      </c>
    </row>
    <row r="26" spans="1:19">
      <c r="A26" s="149" t="s">
        <v>455</v>
      </c>
      <c r="B26" s="150" t="s">
        <v>426</v>
      </c>
      <c r="C26" s="151">
        <v>2</v>
      </c>
      <c r="D26" s="152">
        <v>12</v>
      </c>
      <c r="E26" s="150" t="s">
        <v>422</v>
      </c>
      <c r="F26" s="150" t="s">
        <v>423</v>
      </c>
      <c r="G26" s="153" t="s">
        <v>421</v>
      </c>
      <c r="H26" s="148" t="s">
        <v>421</v>
      </c>
      <c r="I26" s="148" t="s">
        <v>421</v>
      </c>
      <c r="J26" s="148"/>
      <c r="M26" s="12" t="s">
        <v>1035</v>
      </c>
      <c r="N26" s="1">
        <v>3.4000000000000002E-2</v>
      </c>
      <c r="O26" s="1">
        <v>2.9000000000000001E-2</v>
      </c>
      <c r="P26" s="1">
        <v>2.5999999999999999E-2</v>
      </c>
      <c r="Q26" s="1">
        <v>3.5000000000000003E-2</v>
      </c>
      <c r="R26" s="1">
        <v>0.03</v>
      </c>
      <c r="S26" s="1">
        <v>2.7E-2</v>
      </c>
    </row>
    <row r="27" spans="1:19">
      <c r="A27" s="149" t="s">
        <v>456</v>
      </c>
      <c r="B27" s="150" t="s">
        <v>426</v>
      </c>
      <c r="C27" s="151">
        <v>2</v>
      </c>
      <c r="D27" s="152">
        <v>12</v>
      </c>
      <c r="E27" s="150" t="s">
        <v>422</v>
      </c>
      <c r="F27" s="150" t="s">
        <v>421</v>
      </c>
      <c r="G27" s="153" t="s">
        <v>457</v>
      </c>
      <c r="H27" s="148">
        <v>70</v>
      </c>
      <c r="I27" s="154">
        <v>75</v>
      </c>
      <c r="J27" s="148" t="s">
        <v>458</v>
      </c>
      <c r="M27" s="12" t="s">
        <v>1036</v>
      </c>
      <c r="N27" s="1">
        <v>-0.1</v>
      </c>
      <c r="O27" s="1">
        <v>-0.1</v>
      </c>
      <c r="P27" s="1">
        <v>-0.1</v>
      </c>
      <c r="Q27" s="1">
        <v>-0.1</v>
      </c>
      <c r="R27" s="1">
        <v>-0.1</v>
      </c>
      <c r="S27" s="1">
        <v>-0.1</v>
      </c>
    </row>
    <row r="28" spans="1:19">
      <c r="A28" s="149" t="s">
        <v>459</v>
      </c>
      <c r="B28" s="150" t="s">
        <v>421</v>
      </c>
      <c r="C28" s="151">
        <v>2</v>
      </c>
      <c r="D28" s="152">
        <v>6</v>
      </c>
      <c r="E28" s="150" t="s">
        <v>421</v>
      </c>
      <c r="F28" s="150" t="s">
        <v>421</v>
      </c>
      <c r="G28" s="153" t="s">
        <v>427</v>
      </c>
      <c r="H28" s="148">
        <v>70</v>
      </c>
      <c r="I28" s="154">
        <v>75</v>
      </c>
      <c r="J28" s="148"/>
      <c r="M28" s="12" t="s">
        <v>1037</v>
      </c>
      <c r="N28" s="1">
        <v>0</v>
      </c>
      <c r="O28" s="1">
        <v>0</v>
      </c>
      <c r="P28" s="1">
        <v>0</v>
      </c>
      <c r="Q28" s="1">
        <v>7.0000000000000007E-2</v>
      </c>
      <c r="R28" s="1">
        <v>0.1</v>
      </c>
      <c r="S28" s="1">
        <v>8.8999999999999996E-2</v>
      </c>
    </row>
    <row r="29" spans="1:19">
      <c r="A29" s="149" t="s">
        <v>73</v>
      </c>
      <c r="B29" s="150" t="s">
        <v>421</v>
      </c>
      <c r="C29" s="151">
        <v>2</v>
      </c>
      <c r="D29" s="152">
        <v>6</v>
      </c>
      <c r="E29" s="150" t="s">
        <v>421</v>
      </c>
      <c r="F29" s="150" t="s">
        <v>421</v>
      </c>
      <c r="G29" s="153" t="s">
        <v>421</v>
      </c>
      <c r="H29" s="148" t="s">
        <v>421</v>
      </c>
      <c r="I29" s="148" t="s">
        <v>421</v>
      </c>
      <c r="J29" s="148"/>
      <c r="M29" s="12"/>
    </row>
    <row r="30" spans="1:19">
      <c r="A30" s="149" t="s">
        <v>460</v>
      </c>
      <c r="B30" s="150" t="s">
        <v>426</v>
      </c>
      <c r="C30" s="151">
        <v>2</v>
      </c>
      <c r="D30" s="152">
        <v>6</v>
      </c>
      <c r="E30" s="150" t="s">
        <v>422</v>
      </c>
      <c r="F30" s="150" t="s">
        <v>423</v>
      </c>
      <c r="G30" s="153" t="s">
        <v>421</v>
      </c>
      <c r="H30" s="148" t="s">
        <v>421</v>
      </c>
      <c r="I30" s="148" t="s">
        <v>421</v>
      </c>
      <c r="J30" s="148"/>
      <c r="M30" s="12"/>
    </row>
    <row r="31" spans="1:19">
      <c r="A31" s="149" t="s">
        <v>461</v>
      </c>
      <c r="B31" s="150" t="s">
        <v>421</v>
      </c>
      <c r="C31" s="151">
        <v>2</v>
      </c>
      <c r="D31" s="152">
        <v>10</v>
      </c>
      <c r="E31" s="150" t="s">
        <v>421</v>
      </c>
      <c r="F31" s="150" t="s">
        <v>423</v>
      </c>
      <c r="G31" s="153" t="s">
        <v>421</v>
      </c>
      <c r="H31" s="148">
        <v>72</v>
      </c>
      <c r="I31" s="154">
        <v>78</v>
      </c>
      <c r="J31" s="148" t="s">
        <v>462</v>
      </c>
      <c r="M31" s="12"/>
    </row>
    <row r="32" spans="1:19">
      <c r="A32" s="149" t="s">
        <v>463</v>
      </c>
      <c r="B32" s="150" t="s">
        <v>421</v>
      </c>
      <c r="C32" s="151">
        <v>2</v>
      </c>
      <c r="D32" s="152">
        <v>6</v>
      </c>
      <c r="E32" s="150" t="s">
        <v>421</v>
      </c>
      <c r="F32" s="150" t="s">
        <v>423</v>
      </c>
      <c r="G32" s="153" t="s">
        <v>446</v>
      </c>
      <c r="H32" s="148">
        <v>68</v>
      </c>
      <c r="I32" s="154">
        <v>73</v>
      </c>
      <c r="J32" s="148" t="s">
        <v>464</v>
      </c>
      <c r="M32" s="12"/>
    </row>
    <row r="33" spans="1:13">
      <c r="A33" s="149" t="s">
        <v>465</v>
      </c>
      <c r="B33" s="150" t="s">
        <v>426</v>
      </c>
      <c r="C33" s="151">
        <v>2</v>
      </c>
      <c r="D33" s="152">
        <v>10</v>
      </c>
      <c r="E33" s="150" t="s">
        <v>422</v>
      </c>
      <c r="F33" s="150" t="s">
        <v>423</v>
      </c>
      <c r="G33" s="153" t="s">
        <v>421</v>
      </c>
      <c r="H33" s="148" t="s">
        <v>421</v>
      </c>
      <c r="I33" s="148" t="s">
        <v>421</v>
      </c>
      <c r="J33" s="148"/>
      <c r="M33" s="12"/>
    </row>
    <row r="34" spans="1:13">
      <c r="A34" s="149" t="s">
        <v>466</v>
      </c>
      <c r="B34" s="150" t="s">
        <v>426</v>
      </c>
      <c r="C34" s="151">
        <v>2</v>
      </c>
      <c r="D34" s="152">
        <v>6</v>
      </c>
      <c r="E34" s="150" t="s">
        <v>421</v>
      </c>
      <c r="F34" s="150" t="s">
        <v>421</v>
      </c>
      <c r="G34" s="153" t="s">
        <v>421</v>
      </c>
      <c r="H34" s="148">
        <v>72</v>
      </c>
      <c r="I34" s="154">
        <v>80</v>
      </c>
      <c r="J34" s="148"/>
      <c r="M34" s="12"/>
    </row>
    <row r="35" spans="1:13">
      <c r="A35" s="149" t="s">
        <v>467</v>
      </c>
      <c r="B35" s="150" t="s">
        <v>430</v>
      </c>
      <c r="C35" s="151">
        <v>2</v>
      </c>
      <c r="D35" s="152">
        <v>6</v>
      </c>
      <c r="E35" s="150" t="s">
        <v>421</v>
      </c>
      <c r="F35" s="150" t="s">
        <v>421</v>
      </c>
      <c r="G35" s="153" t="s">
        <v>421</v>
      </c>
      <c r="H35" s="148" t="s">
        <v>421</v>
      </c>
      <c r="I35" s="148" t="s">
        <v>421</v>
      </c>
      <c r="J35" s="148"/>
      <c r="M35" s="12"/>
    </row>
    <row r="36" spans="1:13">
      <c r="A36" s="149" t="s">
        <v>468</v>
      </c>
      <c r="B36" s="150" t="s">
        <v>421</v>
      </c>
      <c r="C36" s="151">
        <v>2</v>
      </c>
      <c r="D36" s="152">
        <v>6</v>
      </c>
      <c r="E36" s="150" t="s">
        <v>421</v>
      </c>
      <c r="F36" s="150" t="s">
        <v>421</v>
      </c>
      <c r="G36" s="153" t="s">
        <v>427</v>
      </c>
      <c r="H36" s="148">
        <v>70</v>
      </c>
      <c r="I36" s="154">
        <v>75</v>
      </c>
      <c r="J36" s="148" t="s">
        <v>469</v>
      </c>
      <c r="M36" s="12"/>
    </row>
    <row r="37" spans="1:13">
      <c r="A37" s="149" t="s">
        <v>470</v>
      </c>
      <c r="B37" s="150" t="s">
        <v>430</v>
      </c>
      <c r="C37" s="151">
        <v>5</v>
      </c>
      <c r="D37" s="152">
        <v>15</v>
      </c>
      <c r="E37" s="150" t="s">
        <v>421</v>
      </c>
      <c r="F37" s="150" t="s">
        <v>421</v>
      </c>
      <c r="G37" s="153" t="s">
        <v>421</v>
      </c>
      <c r="H37" s="148" t="s">
        <v>421</v>
      </c>
      <c r="I37" s="148" t="s">
        <v>421</v>
      </c>
      <c r="J37" s="148"/>
      <c r="M37" s="12"/>
    </row>
    <row r="38" spans="1:13">
      <c r="A38" s="149" t="s">
        <v>471</v>
      </c>
      <c r="B38" s="150" t="s">
        <v>430</v>
      </c>
      <c r="C38" s="151">
        <v>2</v>
      </c>
      <c r="D38" s="152">
        <v>6</v>
      </c>
      <c r="E38" s="150" t="s">
        <v>421</v>
      </c>
      <c r="F38" s="150" t="s">
        <v>421</v>
      </c>
      <c r="G38" s="153" t="s">
        <v>421</v>
      </c>
      <c r="H38" s="148" t="s">
        <v>421</v>
      </c>
      <c r="I38" s="148" t="s">
        <v>421</v>
      </c>
      <c r="J38" s="148"/>
      <c r="M38" s="12"/>
    </row>
    <row r="39" spans="1:13">
      <c r="A39" s="149" t="s">
        <v>472</v>
      </c>
      <c r="B39" s="150" t="s">
        <v>426</v>
      </c>
      <c r="C39" s="151" t="s">
        <v>421</v>
      </c>
      <c r="D39" s="152">
        <v>10</v>
      </c>
      <c r="E39" s="150" t="s">
        <v>422</v>
      </c>
      <c r="F39" s="150" t="s">
        <v>423</v>
      </c>
      <c r="G39" s="153" t="s">
        <v>421</v>
      </c>
      <c r="H39" s="148" t="s">
        <v>421</v>
      </c>
      <c r="I39" s="148" t="s">
        <v>421</v>
      </c>
      <c r="J39" s="148"/>
      <c r="M39" s="12"/>
    </row>
    <row r="40" spans="1:13">
      <c r="A40" s="149" t="s">
        <v>473</v>
      </c>
      <c r="B40" s="150" t="s">
        <v>421</v>
      </c>
      <c r="C40" s="151">
        <v>2</v>
      </c>
      <c r="D40" s="152">
        <v>6</v>
      </c>
      <c r="E40" s="150" t="s">
        <v>421</v>
      </c>
      <c r="F40" s="150" t="s">
        <v>421</v>
      </c>
      <c r="G40" s="153" t="s">
        <v>427</v>
      </c>
      <c r="H40" s="148">
        <v>70</v>
      </c>
      <c r="I40" s="154">
        <v>75</v>
      </c>
      <c r="J40" s="148" t="s">
        <v>469</v>
      </c>
      <c r="M40" s="12"/>
    </row>
    <row r="41" spans="1:13">
      <c r="A41" s="149" t="s">
        <v>474</v>
      </c>
      <c r="B41" s="150" t="s">
        <v>421</v>
      </c>
      <c r="C41" s="151">
        <v>2</v>
      </c>
      <c r="D41" s="152">
        <v>6</v>
      </c>
      <c r="E41" s="150" t="s">
        <v>421</v>
      </c>
      <c r="F41" s="150" t="s">
        <v>421</v>
      </c>
      <c r="G41" s="153" t="s">
        <v>427</v>
      </c>
      <c r="H41" s="148">
        <v>70</v>
      </c>
      <c r="I41" s="154">
        <v>75</v>
      </c>
      <c r="J41" s="148" t="s">
        <v>469</v>
      </c>
      <c r="M41" s="12"/>
    </row>
    <row r="42" spans="1:13">
      <c r="A42" s="149" t="s">
        <v>475</v>
      </c>
      <c r="B42" s="150" t="s">
        <v>426</v>
      </c>
      <c r="C42" s="151">
        <v>2</v>
      </c>
      <c r="D42" s="152">
        <v>6</v>
      </c>
      <c r="E42" s="150" t="s">
        <v>422</v>
      </c>
      <c r="F42" s="150" t="s">
        <v>421</v>
      </c>
      <c r="G42" s="153" t="s">
        <v>421</v>
      </c>
      <c r="H42" s="148">
        <v>70</v>
      </c>
      <c r="I42" s="154">
        <v>75</v>
      </c>
      <c r="J42" s="148" t="s">
        <v>476</v>
      </c>
      <c r="M42" s="12"/>
    </row>
    <row r="43" spans="1:13">
      <c r="A43" s="149" t="s">
        <v>477</v>
      </c>
      <c r="B43" s="150" t="s">
        <v>426</v>
      </c>
      <c r="C43" s="151">
        <v>2</v>
      </c>
      <c r="D43" s="152">
        <v>6</v>
      </c>
      <c r="E43" s="150" t="s">
        <v>422</v>
      </c>
      <c r="F43" s="150" t="s">
        <v>421</v>
      </c>
      <c r="G43" s="153" t="s">
        <v>421</v>
      </c>
      <c r="H43" s="148">
        <v>70</v>
      </c>
      <c r="I43" s="154">
        <v>75</v>
      </c>
      <c r="J43" s="148" t="s">
        <v>476</v>
      </c>
      <c r="M43" s="12"/>
    </row>
    <row r="44" spans="1:13">
      <c r="A44" s="149" t="s">
        <v>478</v>
      </c>
      <c r="B44" s="150" t="s">
        <v>426</v>
      </c>
      <c r="C44" s="151">
        <v>2</v>
      </c>
      <c r="D44" s="152">
        <v>6</v>
      </c>
      <c r="E44" s="150" t="s">
        <v>422</v>
      </c>
      <c r="F44" s="150" t="s">
        <v>421</v>
      </c>
      <c r="G44" s="153" t="s">
        <v>421</v>
      </c>
      <c r="H44" s="148">
        <v>70</v>
      </c>
      <c r="I44" s="154">
        <v>75</v>
      </c>
      <c r="J44" s="148" t="s">
        <v>476</v>
      </c>
      <c r="M44" s="12"/>
    </row>
    <row r="45" spans="1:13">
      <c r="A45" s="149" t="s">
        <v>479</v>
      </c>
      <c r="B45" s="150" t="s">
        <v>426</v>
      </c>
      <c r="C45" s="151">
        <v>2</v>
      </c>
      <c r="D45" s="152">
        <v>6</v>
      </c>
      <c r="E45" s="150" t="s">
        <v>421</v>
      </c>
      <c r="F45" s="150" t="s">
        <v>421</v>
      </c>
      <c r="G45" s="153" t="s">
        <v>421</v>
      </c>
      <c r="H45" s="148">
        <v>70</v>
      </c>
      <c r="I45" s="154">
        <v>75</v>
      </c>
      <c r="J45" s="148" t="s">
        <v>476</v>
      </c>
      <c r="M45" s="12"/>
    </row>
    <row r="46" spans="1:13">
      <c r="A46" s="149" t="s">
        <v>480</v>
      </c>
      <c r="B46" s="150" t="s">
        <v>426</v>
      </c>
      <c r="C46" s="151">
        <v>2</v>
      </c>
      <c r="D46" s="152">
        <v>10</v>
      </c>
      <c r="E46" s="150" t="s">
        <v>422</v>
      </c>
      <c r="F46" s="150" t="s">
        <v>421</v>
      </c>
      <c r="G46" s="153" t="s">
        <v>421</v>
      </c>
      <c r="H46" s="148" t="s">
        <v>421</v>
      </c>
      <c r="I46" s="148" t="s">
        <v>421</v>
      </c>
      <c r="J46" s="148" t="s">
        <v>476</v>
      </c>
      <c r="M46" s="12"/>
    </row>
    <row r="47" spans="1:13">
      <c r="A47" s="149" t="s">
        <v>481</v>
      </c>
      <c r="B47" s="150" t="s">
        <v>426</v>
      </c>
      <c r="C47" s="151">
        <v>2</v>
      </c>
      <c r="D47" s="152">
        <v>6</v>
      </c>
      <c r="E47" s="150" t="s">
        <v>422</v>
      </c>
      <c r="F47" s="150" t="s">
        <v>421</v>
      </c>
      <c r="G47" s="153" t="s">
        <v>421</v>
      </c>
      <c r="H47" s="148">
        <v>70</v>
      </c>
      <c r="I47" s="154">
        <v>75</v>
      </c>
      <c r="J47" s="148" t="s">
        <v>476</v>
      </c>
      <c r="M47" s="12"/>
    </row>
    <row r="48" spans="1:13">
      <c r="A48" s="156" t="s">
        <v>482</v>
      </c>
      <c r="B48" s="157" t="s">
        <v>426</v>
      </c>
      <c r="C48" s="151">
        <v>2</v>
      </c>
      <c r="D48" s="152">
        <v>6</v>
      </c>
      <c r="E48" s="157" t="s">
        <v>422</v>
      </c>
      <c r="F48" s="157" t="s">
        <v>421</v>
      </c>
      <c r="G48" s="153" t="s">
        <v>421</v>
      </c>
      <c r="H48" s="158">
        <v>70</v>
      </c>
      <c r="I48" s="154">
        <v>75</v>
      </c>
      <c r="J48" s="158"/>
      <c r="M48" s="12"/>
    </row>
    <row r="49" spans="1:13">
      <c r="A49" s="159" t="s">
        <v>483</v>
      </c>
      <c r="B49" s="160" t="s">
        <v>430</v>
      </c>
      <c r="C49" s="151">
        <v>2</v>
      </c>
      <c r="D49" s="152">
        <v>4</v>
      </c>
      <c r="E49" s="160" t="s">
        <v>421</v>
      </c>
      <c r="F49" s="160" t="s">
        <v>421</v>
      </c>
      <c r="G49" s="153" t="s">
        <v>421</v>
      </c>
      <c r="H49" s="161">
        <v>70</v>
      </c>
      <c r="I49" s="154">
        <v>75</v>
      </c>
      <c r="J49" s="161" t="s">
        <v>476</v>
      </c>
      <c r="M49" s="12"/>
    </row>
    <row r="50" spans="1:13">
      <c r="A50" s="162" t="s">
        <v>484</v>
      </c>
      <c r="B50" s="163" t="s">
        <v>426</v>
      </c>
      <c r="C50" s="151">
        <v>2</v>
      </c>
      <c r="D50" s="152">
        <v>6</v>
      </c>
      <c r="E50" s="163" t="s">
        <v>422</v>
      </c>
      <c r="F50" s="163" t="s">
        <v>421</v>
      </c>
      <c r="G50" s="153" t="s">
        <v>421</v>
      </c>
      <c r="H50" s="164">
        <v>70</v>
      </c>
      <c r="I50" s="154">
        <v>75</v>
      </c>
      <c r="J50" s="164" t="s">
        <v>476</v>
      </c>
      <c r="M50" s="12"/>
    </row>
    <row r="51" spans="1:13">
      <c r="A51" s="165" t="s">
        <v>485</v>
      </c>
      <c r="B51" s="166" t="s">
        <v>426</v>
      </c>
      <c r="C51" s="151">
        <v>2</v>
      </c>
      <c r="D51" s="152">
        <v>6</v>
      </c>
      <c r="E51" s="166" t="s">
        <v>422</v>
      </c>
      <c r="F51" s="166" t="s">
        <v>421</v>
      </c>
      <c r="G51" s="153" t="s">
        <v>421</v>
      </c>
      <c r="H51" s="167">
        <v>70</v>
      </c>
      <c r="I51" s="154">
        <v>75</v>
      </c>
      <c r="J51" s="167" t="s">
        <v>476</v>
      </c>
      <c r="M51" s="12"/>
    </row>
    <row r="52" spans="1:13">
      <c r="A52" s="168" t="s">
        <v>486</v>
      </c>
      <c r="B52" s="169" t="s">
        <v>426</v>
      </c>
      <c r="C52" s="151">
        <v>2</v>
      </c>
      <c r="D52" s="152">
        <v>6</v>
      </c>
      <c r="E52" s="169" t="s">
        <v>422</v>
      </c>
      <c r="F52" s="169" t="s">
        <v>421</v>
      </c>
      <c r="G52" s="153" t="s">
        <v>421</v>
      </c>
      <c r="H52" s="170">
        <v>70</v>
      </c>
      <c r="I52" s="154">
        <v>75</v>
      </c>
      <c r="J52" s="170" t="s">
        <v>476</v>
      </c>
      <c r="M52" s="12"/>
    </row>
    <row r="53" spans="1:13">
      <c r="A53" s="171" t="s">
        <v>487</v>
      </c>
      <c r="B53" s="172" t="s">
        <v>426</v>
      </c>
      <c r="C53" s="151">
        <v>2</v>
      </c>
      <c r="D53" s="152">
        <v>6</v>
      </c>
      <c r="E53" s="172" t="s">
        <v>422</v>
      </c>
      <c r="F53" s="172" t="s">
        <v>421</v>
      </c>
      <c r="G53" s="153" t="s">
        <v>421</v>
      </c>
      <c r="H53" s="173">
        <v>70</v>
      </c>
      <c r="I53" s="154">
        <v>75</v>
      </c>
      <c r="J53" s="173" t="s">
        <v>476</v>
      </c>
      <c r="M53" s="12"/>
    </row>
    <row r="54" spans="1:13">
      <c r="A54" s="174" t="s">
        <v>488</v>
      </c>
      <c r="B54" s="175" t="s">
        <v>426</v>
      </c>
      <c r="C54" s="151">
        <v>2</v>
      </c>
      <c r="D54" s="152">
        <v>10</v>
      </c>
      <c r="E54" s="175" t="s">
        <v>422</v>
      </c>
      <c r="F54" s="175" t="s">
        <v>421</v>
      </c>
      <c r="G54" s="153" t="s">
        <v>421</v>
      </c>
      <c r="H54" s="176">
        <v>70</v>
      </c>
      <c r="I54" s="154">
        <v>75</v>
      </c>
      <c r="J54" s="176"/>
      <c r="M54" s="12"/>
    </row>
    <row r="55" spans="1:13">
      <c r="A55" s="177" t="s">
        <v>489</v>
      </c>
      <c r="B55" s="178" t="s">
        <v>421</v>
      </c>
      <c r="C55" s="151">
        <v>2</v>
      </c>
      <c r="D55" s="152">
        <v>6</v>
      </c>
      <c r="E55" s="178" t="s">
        <v>421</v>
      </c>
      <c r="F55" s="178" t="s">
        <v>421</v>
      </c>
      <c r="G55" s="153" t="s">
        <v>421</v>
      </c>
      <c r="H55" s="179" t="s">
        <v>421</v>
      </c>
      <c r="I55" s="179" t="s">
        <v>421</v>
      </c>
      <c r="J55" s="179"/>
      <c r="M55" s="12"/>
    </row>
    <row r="56" spans="1:13">
      <c r="A56" s="180" t="s">
        <v>490</v>
      </c>
      <c r="B56" s="178" t="s">
        <v>430</v>
      </c>
      <c r="C56" s="151">
        <v>3</v>
      </c>
      <c r="D56" s="152">
        <v>15</v>
      </c>
      <c r="E56" s="178" t="s">
        <v>421</v>
      </c>
      <c r="F56" s="178" t="s">
        <v>423</v>
      </c>
      <c r="G56" s="153" t="s">
        <v>446</v>
      </c>
      <c r="H56" s="179">
        <v>70</v>
      </c>
      <c r="I56" s="154">
        <v>75</v>
      </c>
      <c r="J56" s="179"/>
      <c r="M56" s="12"/>
    </row>
    <row r="57" spans="1:13">
      <c r="A57" s="180" t="s">
        <v>47</v>
      </c>
      <c r="B57" s="178" t="s">
        <v>426</v>
      </c>
      <c r="C57" s="151">
        <v>2</v>
      </c>
      <c r="D57" s="152">
        <v>10</v>
      </c>
      <c r="E57" s="178" t="s">
        <v>422</v>
      </c>
      <c r="F57" s="178" t="s">
        <v>423</v>
      </c>
      <c r="G57" s="153" t="s">
        <v>421</v>
      </c>
      <c r="H57" s="179" t="s">
        <v>421</v>
      </c>
      <c r="I57" s="179" t="s">
        <v>421</v>
      </c>
      <c r="J57" s="179"/>
      <c r="M57" s="12"/>
    </row>
    <row r="58" spans="1:13">
      <c r="A58" s="180" t="s">
        <v>491</v>
      </c>
      <c r="B58" s="178" t="s">
        <v>426</v>
      </c>
      <c r="C58" s="151" t="s">
        <v>421</v>
      </c>
      <c r="D58" s="152">
        <v>10</v>
      </c>
      <c r="E58" s="178" t="s">
        <v>422</v>
      </c>
      <c r="F58" s="178" t="s">
        <v>423</v>
      </c>
      <c r="G58" s="153" t="s">
        <v>421</v>
      </c>
      <c r="H58" s="179" t="s">
        <v>421</v>
      </c>
      <c r="I58" s="179" t="s">
        <v>421</v>
      </c>
      <c r="J58" s="179"/>
      <c r="M58" s="12"/>
    </row>
    <row r="59" spans="1:13">
      <c r="A59" s="180" t="s">
        <v>492</v>
      </c>
      <c r="B59" s="178" t="s">
        <v>426</v>
      </c>
      <c r="C59" s="151" t="s">
        <v>421</v>
      </c>
      <c r="D59" s="152">
        <v>8</v>
      </c>
      <c r="E59" s="178" t="s">
        <v>422</v>
      </c>
      <c r="F59" s="178" t="s">
        <v>421</v>
      </c>
      <c r="G59" s="153" t="s">
        <v>421</v>
      </c>
      <c r="H59" s="179" t="s">
        <v>421</v>
      </c>
      <c r="I59" s="179" t="s">
        <v>421</v>
      </c>
      <c r="J59" s="179" t="s">
        <v>493</v>
      </c>
      <c r="M59" s="12"/>
    </row>
    <row r="60" spans="1:13">
      <c r="A60" s="180" t="s">
        <v>494</v>
      </c>
      <c r="B60" s="178" t="s">
        <v>421</v>
      </c>
      <c r="C60" s="151">
        <v>2</v>
      </c>
      <c r="D60" s="152">
        <v>4</v>
      </c>
      <c r="E60" s="178" t="s">
        <v>421</v>
      </c>
      <c r="F60" s="178" t="s">
        <v>421</v>
      </c>
      <c r="G60" s="153" t="s">
        <v>427</v>
      </c>
      <c r="H60" s="179">
        <v>70</v>
      </c>
      <c r="I60" s="154">
        <v>75</v>
      </c>
      <c r="J60" s="179"/>
      <c r="M60" s="12"/>
    </row>
    <row r="61" spans="1:13">
      <c r="A61" s="180" t="s">
        <v>495</v>
      </c>
      <c r="B61" s="178" t="s">
        <v>426</v>
      </c>
      <c r="C61" s="151">
        <v>2</v>
      </c>
      <c r="D61" s="152">
        <v>12</v>
      </c>
      <c r="E61" s="178" t="s">
        <v>422</v>
      </c>
      <c r="F61" s="178" t="s">
        <v>423</v>
      </c>
      <c r="G61" s="153" t="s">
        <v>421</v>
      </c>
      <c r="H61" s="179">
        <v>68</v>
      </c>
      <c r="I61" s="154">
        <v>75</v>
      </c>
      <c r="J61" s="179" t="s">
        <v>435</v>
      </c>
      <c r="M61" s="12"/>
    </row>
    <row r="62" spans="1:13">
      <c r="A62" s="180" t="s">
        <v>496</v>
      </c>
      <c r="B62" s="178" t="s">
        <v>421</v>
      </c>
      <c r="C62" s="151">
        <v>2</v>
      </c>
      <c r="D62" s="152">
        <v>6</v>
      </c>
      <c r="E62" s="178" t="s">
        <v>421</v>
      </c>
      <c r="F62" s="178" t="s">
        <v>421</v>
      </c>
      <c r="G62" s="153" t="s">
        <v>421</v>
      </c>
      <c r="H62" s="179" t="s">
        <v>421</v>
      </c>
      <c r="I62" s="179" t="s">
        <v>421</v>
      </c>
      <c r="J62" s="179"/>
      <c r="M62" s="12"/>
    </row>
    <row r="63" spans="1:13">
      <c r="A63" s="180" t="s">
        <v>497</v>
      </c>
      <c r="B63" s="178" t="s">
        <v>426</v>
      </c>
      <c r="C63" s="151">
        <v>2</v>
      </c>
      <c r="D63" s="152">
        <v>12</v>
      </c>
      <c r="E63" s="178" t="s">
        <v>422</v>
      </c>
      <c r="F63" s="178" t="s">
        <v>423</v>
      </c>
      <c r="G63" s="153" t="s">
        <v>427</v>
      </c>
      <c r="H63" s="179">
        <v>72</v>
      </c>
      <c r="I63" s="154">
        <v>78</v>
      </c>
      <c r="J63" s="179"/>
      <c r="M63" s="12"/>
    </row>
    <row r="64" spans="1:13">
      <c r="A64" s="180" t="s">
        <v>498</v>
      </c>
      <c r="B64" s="178" t="s">
        <v>430</v>
      </c>
      <c r="C64" s="151">
        <v>2</v>
      </c>
      <c r="D64" s="152">
        <v>6</v>
      </c>
      <c r="E64" s="178" t="s">
        <v>421</v>
      </c>
      <c r="F64" s="178" t="s">
        <v>423</v>
      </c>
      <c r="G64" s="153" t="s">
        <v>441</v>
      </c>
      <c r="H64" s="179">
        <v>72</v>
      </c>
      <c r="I64" s="154">
        <v>78</v>
      </c>
      <c r="J64" s="179"/>
      <c r="M64" s="12"/>
    </row>
    <row r="65" spans="1:13">
      <c r="A65" s="180" t="s">
        <v>499</v>
      </c>
      <c r="B65" s="178" t="s">
        <v>452</v>
      </c>
      <c r="C65" s="151">
        <v>2</v>
      </c>
      <c r="D65" s="152">
        <v>10</v>
      </c>
      <c r="E65" s="178" t="s">
        <v>421</v>
      </c>
      <c r="F65" s="178" t="s">
        <v>423</v>
      </c>
      <c r="G65" s="153" t="s">
        <v>421</v>
      </c>
      <c r="H65" s="179" t="s">
        <v>421</v>
      </c>
      <c r="I65" s="179" t="s">
        <v>421</v>
      </c>
      <c r="J65" s="179"/>
      <c r="M65" s="12"/>
    </row>
    <row r="66" spans="1:13">
      <c r="A66" s="180" t="s">
        <v>500</v>
      </c>
      <c r="B66" s="178" t="s">
        <v>421</v>
      </c>
      <c r="C66" s="151">
        <v>2</v>
      </c>
      <c r="D66" s="152">
        <v>6</v>
      </c>
      <c r="E66" s="178" t="s">
        <v>421</v>
      </c>
      <c r="F66" s="178" t="s">
        <v>423</v>
      </c>
      <c r="G66" s="153" t="s">
        <v>441</v>
      </c>
      <c r="H66" s="179">
        <v>72</v>
      </c>
      <c r="I66" s="154">
        <v>78</v>
      </c>
      <c r="J66" s="179"/>
      <c r="M66" s="12"/>
    </row>
    <row r="67" spans="1:13">
      <c r="A67" s="180" t="s">
        <v>501</v>
      </c>
      <c r="B67" s="178" t="s">
        <v>426</v>
      </c>
      <c r="C67" s="151" t="s">
        <v>421</v>
      </c>
      <c r="D67" s="152">
        <v>10</v>
      </c>
      <c r="E67" s="178" t="s">
        <v>422</v>
      </c>
      <c r="F67" s="178" t="s">
        <v>423</v>
      </c>
      <c r="G67" s="153" t="s">
        <v>421</v>
      </c>
      <c r="H67" s="179">
        <v>70</v>
      </c>
      <c r="I67" s="154">
        <v>75</v>
      </c>
      <c r="J67" s="179" t="s">
        <v>502</v>
      </c>
      <c r="M67" s="12"/>
    </row>
    <row r="68" spans="1:13">
      <c r="A68" s="180" t="s">
        <v>503</v>
      </c>
      <c r="B68" s="178" t="s">
        <v>421</v>
      </c>
      <c r="C68" s="151" t="s">
        <v>421</v>
      </c>
      <c r="D68" s="152">
        <v>2</v>
      </c>
      <c r="E68" s="178" t="s">
        <v>421</v>
      </c>
      <c r="F68" s="178" t="s">
        <v>421</v>
      </c>
      <c r="G68" s="153" t="s">
        <v>421</v>
      </c>
      <c r="H68" s="179" t="s">
        <v>421</v>
      </c>
      <c r="I68" s="179" t="s">
        <v>421</v>
      </c>
      <c r="J68" s="179"/>
      <c r="M68" s="12"/>
    </row>
    <row r="69" spans="1:13">
      <c r="A69" s="180" t="s">
        <v>504</v>
      </c>
      <c r="B69" s="178" t="s">
        <v>426</v>
      </c>
      <c r="C69" s="151">
        <v>2</v>
      </c>
      <c r="D69" s="152">
        <v>6</v>
      </c>
      <c r="E69" s="178" t="s">
        <v>422</v>
      </c>
      <c r="F69" s="178" t="s">
        <v>423</v>
      </c>
      <c r="G69" s="153" t="s">
        <v>421</v>
      </c>
      <c r="H69" s="179" t="s">
        <v>421</v>
      </c>
      <c r="I69" s="179" t="s">
        <v>421</v>
      </c>
      <c r="J69" s="179"/>
      <c r="M69" s="12"/>
    </row>
    <row r="70" spans="1:13">
      <c r="A70" s="180" t="s">
        <v>505</v>
      </c>
      <c r="B70" s="178" t="s">
        <v>426</v>
      </c>
      <c r="C70" s="151" t="s">
        <v>421</v>
      </c>
      <c r="D70" s="152">
        <v>6</v>
      </c>
      <c r="E70" s="178" t="s">
        <v>422</v>
      </c>
      <c r="F70" s="178" t="s">
        <v>423</v>
      </c>
      <c r="G70" s="153" t="s">
        <v>421</v>
      </c>
      <c r="H70" s="179">
        <v>70</v>
      </c>
      <c r="I70" s="154">
        <v>75</v>
      </c>
      <c r="J70" s="179"/>
      <c r="M70" s="12"/>
    </row>
    <row r="71" spans="1:13">
      <c r="A71" s="180" t="s">
        <v>506</v>
      </c>
      <c r="B71" s="178" t="s">
        <v>426</v>
      </c>
      <c r="C71" s="151">
        <v>2</v>
      </c>
      <c r="D71" s="152">
        <v>6</v>
      </c>
      <c r="E71" s="178" t="s">
        <v>422</v>
      </c>
      <c r="F71" s="178" t="s">
        <v>421</v>
      </c>
      <c r="G71" s="153" t="s">
        <v>421</v>
      </c>
      <c r="H71" s="179">
        <v>70</v>
      </c>
      <c r="I71" s="154">
        <v>75</v>
      </c>
      <c r="J71" s="179"/>
      <c r="M71" s="12"/>
    </row>
    <row r="72" spans="1:13">
      <c r="A72" s="180" t="s">
        <v>507</v>
      </c>
      <c r="B72" s="151" t="s">
        <v>421</v>
      </c>
      <c r="C72" s="151" t="s">
        <v>421</v>
      </c>
      <c r="D72" s="152">
        <v>2</v>
      </c>
      <c r="E72" s="178" t="s">
        <v>421</v>
      </c>
      <c r="F72" s="178" t="s">
        <v>421</v>
      </c>
      <c r="G72" s="178" t="s">
        <v>421</v>
      </c>
      <c r="H72" s="178" t="s">
        <v>421</v>
      </c>
      <c r="I72" s="178" t="s">
        <v>421</v>
      </c>
      <c r="J72" s="179" t="s">
        <v>508</v>
      </c>
      <c r="M72" s="12"/>
    </row>
    <row r="73" spans="1:13">
      <c r="A73" s="180" t="s">
        <v>509</v>
      </c>
      <c r="B73" s="178" t="s">
        <v>421</v>
      </c>
      <c r="C73" s="151">
        <v>2</v>
      </c>
      <c r="D73" s="152">
        <v>6</v>
      </c>
      <c r="E73" s="178" t="s">
        <v>421</v>
      </c>
      <c r="F73" s="178" t="s">
        <v>421</v>
      </c>
      <c r="G73" s="153" t="s">
        <v>421</v>
      </c>
      <c r="H73" s="179">
        <v>70</v>
      </c>
      <c r="I73" s="154">
        <v>75</v>
      </c>
      <c r="J73" s="179"/>
      <c r="M73" s="12"/>
    </row>
    <row r="74" spans="1:13">
      <c r="A74" s="180" t="s">
        <v>510</v>
      </c>
      <c r="B74" s="178" t="s">
        <v>421</v>
      </c>
      <c r="C74" s="151">
        <v>2</v>
      </c>
      <c r="D74" s="152">
        <v>6</v>
      </c>
      <c r="E74" s="178" t="s">
        <v>421</v>
      </c>
      <c r="F74" s="178" t="s">
        <v>421</v>
      </c>
      <c r="G74" s="153" t="s">
        <v>421</v>
      </c>
      <c r="H74" s="179">
        <v>70</v>
      </c>
      <c r="I74" s="154">
        <v>75</v>
      </c>
      <c r="J74" s="179"/>
      <c r="M74" s="12"/>
    </row>
    <row r="75" spans="1:13">
      <c r="A75" s="180" t="s">
        <v>511</v>
      </c>
      <c r="B75" s="178" t="s">
        <v>430</v>
      </c>
      <c r="C75" s="151">
        <v>4</v>
      </c>
      <c r="D75" s="152">
        <v>20</v>
      </c>
      <c r="E75" s="178" t="s">
        <v>421</v>
      </c>
      <c r="F75" s="178" t="s">
        <v>423</v>
      </c>
      <c r="G75" s="153" t="s">
        <v>446</v>
      </c>
      <c r="H75" s="179">
        <v>68</v>
      </c>
      <c r="I75" s="154">
        <v>75</v>
      </c>
      <c r="J75" s="179"/>
      <c r="M75" s="12"/>
    </row>
    <row r="76" spans="1:13">
      <c r="A76" s="180" t="s">
        <v>512</v>
      </c>
      <c r="B76" s="178" t="s">
        <v>430</v>
      </c>
      <c r="C76" s="151">
        <v>4</v>
      </c>
      <c r="D76" s="152">
        <v>20</v>
      </c>
      <c r="E76" s="178" t="s">
        <v>421</v>
      </c>
      <c r="F76" s="178" t="s">
        <v>423</v>
      </c>
      <c r="G76" s="153" t="s">
        <v>446</v>
      </c>
      <c r="H76" s="179">
        <v>68</v>
      </c>
      <c r="I76" s="154">
        <v>75</v>
      </c>
      <c r="J76" s="179" t="s">
        <v>447</v>
      </c>
      <c r="M76" s="12"/>
    </row>
    <row r="77" spans="1:13">
      <c r="A77" s="180" t="s">
        <v>179</v>
      </c>
      <c r="B77" s="178" t="s">
        <v>421</v>
      </c>
      <c r="C77" s="151" t="s">
        <v>421</v>
      </c>
      <c r="D77" s="152">
        <v>2</v>
      </c>
      <c r="E77" s="178" t="s">
        <v>421</v>
      </c>
      <c r="F77" s="178" t="s">
        <v>421</v>
      </c>
      <c r="G77" s="153" t="s">
        <v>421</v>
      </c>
      <c r="H77" s="179" t="s">
        <v>421</v>
      </c>
      <c r="I77" s="179" t="s">
        <v>421</v>
      </c>
      <c r="J77" s="179"/>
      <c r="M77" s="12"/>
    </row>
    <row r="78" spans="1:13">
      <c r="A78" s="180" t="s">
        <v>513</v>
      </c>
      <c r="B78" s="178" t="s">
        <v>421</v>
      </c>
      <c r="C78" s="151">
        <v>2</v>
      </c>
      <c r="D78" s="152">
        <v>6</v>
      </c>
      <c r="E78" s="178" t="s">
        <v>421</v>
      </c>
      <c r="F78" s="178" t="s">
        <v>423</v>
      </c>
      <c r="G78" s="153" t="s">
        <v>421</v>
      </c>
      <c r="H78" s="179" t="s">
        <v>421</v>
      </c>
      <c r="I78" s="179" t="s">
        <v>421</v>
      </c>
      <c r="J78" s="179"/>
      <c r="M78" s="12"/>
    </row>
    <row r="79" spans="1:13">
      <c r="A79" s="180" t="s">
        <v>514</v>
      </c>
      <c r="B79" s="178" t="s">
        <v>421</v>
      </c>
      <c r="C79" s="151">
        <v>2</v>
      </c>
      <c r="D79" s="152">
        <v>4</v>
      </c>
      <c r="E79" s="178" t="s">
        <v>421</v>
      </c>
      <c r="F79" s="178" t="s">
        <v>421</v>
      </c>
      <c r="G79" s="153" t="s">
        <v>427</v>
      </c>
      <c r="H79" s="179">
        <v>70</v>
      </c>
      <c r="I79" s="154">
        <v>75</v>
      </c>
      <c r="J79" s="179" t="s">
        <v>515</v>
      </c>
      <c r="M79" s="12"/>
    </row>
    <row r="80" spans="1:13">
      <c r="A80" s="181" t="s">
        <v>516</v>
      </c>
      <c r="B80" s="182" t="s">
        <v>421</v>
      </c>
      <c r="C80" s="151">
        <v>2</v>
      </c>
      <c r="D80" s="152">
        <v>6</v>
      </c>
      <c r="E80" s="182" t="s">
        <v>421</v>
      </c>
      <c r="F80" s="182" t="s">
        <v>421</v>
      </c>
      <c r="G80" s="153" t="s">
        <v>421</v>
      </c>
      <c r="H80" s="183" t="s">
        <v>421</v>
      </c>
      <c r="I80" s="183" t="s">
        <v>421</v>
      </c>
      <c r="J80" s="183"/>
    </row>
    <row r="81" spans="1:13">
      <c r="A81" s="184" t="s">
        <v>517</v>
      </c>
      <c r="B81" s="185" t="s">
        <v>430</v>
      </c>
      <c r="C81" s="151">
        <v>2</v>
      </c>
      <c r="D81" s="152">
        <v>4</v>
      </c>
      <c r="E81" s="185" t="s">
        <v>421</v>
      </c>
      <c r="F81" s="185" t="s">
        <v>421</v>
      </c>
      <c r="G81" s="153" t="s">
        <v>421</v>
      </c>
      <c r="H81" s="186" t="s">
        <v>421</v>
      </c>
      <c r="I81" s="186" t="s">
        <v>421</v>
      </c>
      <c r="J81" s="186" t="s">
        <v>294</v>
      </c>
      <c r="M81" s="12"/>
    </row>
    <row r="82" spans="1:13">
      <c r="A82" s="187" t="s">
        <v>518</v>
      </c>
      <c r="B82" s="188" t="s">
        <v>421</v>
      </c>
      <c r="C82" s="151">
        <v>2</v>
      </c>
      <c r="D82" s="152">
        <v>4</v>
      </c>
      <c r="E82" s="188" t="s">
        <v>421</v>
      </c>
      <c r="F82" s="188" t="s">
        <v>421</v>
      </c>
      <c r="G82" s="153" t="s">
        <v>421</v>
      </c>
      <c r="H82" s="189" t="s">
        <v>421</v>
      </c>
      <c r="I82" s="189" t="s">
        <v>421</v>
      </c>
      <c r="J82" s="189"/>
      <c r="M82" s="12"/>
    </row>
    <row r="83" spans="1:13">
      <c r="A83" s="190" t="s">
        <v>519</v>
      </c>
      <c r="B83" s="191" t="s">
        <v>430</v>
      </c>
      <c r="C83" s="151" t="s">
        <v>421</v>
      </c>
      <c r="D83" s="152" t="s">
        <v>421</v>
      </c>
      <c r="E83" s="191" t="s">
        <v>421</v>
      </c>
      <c r="F83" s="191" t="s">
        <v>421</v>
      </c>
      <c r="G83" s="153" t="s">
        <v>520</v>
      </c>
      <c r="H83" s="192">
        <v>68</v>
      </c>
      <c r="I83" s="192">
        <v>68</v>
      </c>
      <c r="J83" s="192" t="s">
        <v>294</v>
      </c>
      <c r="M83" s="12"/>
    </row>
    <row r="84" spans="1:13">
      <c r="A84" s="193" t="s">
        <v>521</v>
      </c>
      <c r="B84" s="194" t="s">
        <v>426</v>
      </c>
      <c r="C84" s="151" t="s">
        <v>421</v>
      </c>
      <c r="D84" s="152">
        <v>30</v>
      </c>
      <c r="E84" s="194" t="s">
        <v>422</v>
      </c>
      <c r="F84" s="194" t="s">
        <v>423</v>
      </c>
      <c r="G84" s="153" t="s">
        <v>520</v>
      </c>
      <c r="H84" s="195">
        <v>68</v>
      </c>
      <c r="I84" s="195">
        <v>68</v>
      </c>
      <c r="J84" s="195" t="s">
        <v>294</v>
      </c>
    </row>
    <row r="85" spans="1:13">
      <c r="A85" s="196" t="s">
        <v>522</v>
      </c>
      <c r="B85" s="197" t="s">
        <v>426</v>
      </c>
      <c r="C85" s="151" t="s">
        <v>421</v>
      </c>
      <c r="D85" s="152">
        <v>12</v>
      </c>
      <c r="E85" s="197" t="s">
        <v>422</v>
      </c>
      <c r="F85" s="197" t="s">
        <v>421</v>
      </c>
      <c r="G85" s="153" t="s">
        <v>421</v>
      </c>
      <c r="H85" s="198" t="s">
        <v>421</v>
      </c>
      <c r="I85" s="198" t="s">
        <v>421</v>
      </c>
      <c r="J85" s="198" t="s">
        <v>523</v>
      </c>
    </row>
    <row r="86" spans="1:13">
      <c r="A86" s="199" t="s">
        <v>524</v>
      </c>
      <c r="B86" s="200" t="s">
        <v>426</v>
      </c>
      <c r="C86" s="151" t="s">
        <v>421</v>
      </c>
      <c r="D86" s="152">
        <v>12</v>
      </c>
      <c r="E86" s="200" t="s">
        <v>422</v>
      </c>
      <c r="F86" s="200" t="s">
        <v>421</v>
      </c>
      <c r="G86" s="153" t="s">
        <v>421</v>
      </c>
      <c r="H86" s="201" t="s">
        <v>421</v>
      </c>
      <c r="I86" s="201" t="s">
        <v>421</v>
      </c>
      <c r="J86" s="201" t="s">
        <v>294</v>
      </c>
    </row>
    <row r="87" spans="1:13">
      <c r="A87" s="202" t="s">
        <v>525</v>
      </c>
      <c r="B87" s="203" t="s">
        <v>430</v>
      </c>
      <c r="C87" s="151" t="s">
        <v>421</v>
      </c>
      <c r="D87" s="152">
        <v>30</v>
      </c>
      <c r="E87" s="203" t="s">
        <v>421</v>
      </c>
      <c r="F87" s="203" t="s">
        <v>421</v>
      </c>
      <c r="G87" s="153" t="s">
        <v>520</v>
      </c>
      <c r="H87" s="204">
        <v>68</v>
      </c>
      <c r="I87" s="204">
        <v>68</v>
      </c>
      <c r="J87" s="204" t="s">
        <v>294</v>
      </c>
    </row>
    <row r="88" spans="1:13">
      <c r="A88" s="205" t="s">
        <v>526</v>
      </c>
      <c r="B88" s="206" t="s">
        <v>430</v>
      </c>
      <c r="C88" s="151" t="s">
        <v>421</v>
      </c>
      <c r="D88" s="152">
        <v>30</v>
      </c>
      <c r="E88" s="206" t="s">
        <v>421</v>
      </c>
      <c r="F88" s="206" t="s">
        <v>423</v>
      </c>
      <c r="G88" s="153" t="s">
        <v>520</v>
      </c>
      <c r="H88" s="207">
        <v>68</v>
      </c>
      <c r="I88" s="207">
        <v>68</v>
      </c>
      <c r="J88" s="207" t="s">
        <v>294</v>
      </c>
    </row>
    <row r="89" spans="1:13">
      <c r="A89" s="208" t="s">
        <v>527</v>
      </c>
      <c r="B89" s="209" t="s">
        <v>421</v>
      </c>
      <c r="C89" s="151" t="s">
        <v>421</v>
      </c>
      <c r="D89" s="152" t="s">
        <v>421</v>
      </c>
      <c r="E89" s="209" t="s">
        <v>421</v>
      </c>
      <c r="F89" s="209" t="s">
        <v>421</v>
      </c>
      <c r="G89" s="153" t="s">
        <v>421</v>
      </c>
      <c r="H89" s="210" t="s">
        <v>421</v>
      </c>
      <c r="I89" s="210" t="s">
        <v>421</v>
      </c>
      <c r="J89" s="210"/>
    </row>
    <row r="90" spans="1:13">
      <c r="A90" s="211" t="s">
        <v>528</v>
      </c>
      <c r="B90" s="212" t="s">
        <v>426</v>
      </c>
      <c r="C90" s="151">
        <v>2</v>
      </c>
      <c r="D90" s="152">
        <v>6</v>
      </c>
      <c r="E90" s="212" t="s">
        <v>421</v>
      </c>
      <c r="F90" s="212" t="s">
        <v>421</v>
      </c>
      <c r="G90" s="153" t="s">
        <v>421</v>
      </c>
      <c r="H90" s="213">
        <v>70</v>
      </c>
      <c r="I90" s="154">
        <v>75</v>
      </c>
      <c r="J90" s="213"/>
    </row>
    <row r="91" spans="1:13">
      <c r="A91" s="214" t="s">
        <v>529</v>
      </c>
      <c r="B91" s="215" t="s">
        <v>426</v>
      </c>
      <c r="C91" s="151">
        <v>2</v>
      </c>
      <c r="D91" s="152">
        <v>6</v>
      </c>
      <c r="E91" s="215" t="s">
        <v>421</v>
      </c>
      <c r="F91" s="215" t="s">
        <v>421</v>
      </c>
      <c r="G91" s="153" t="s">
        <v>457</v>
      </c>
      <c r="H91" s="216">
        <v>72</v>
      </c>
      <c r="I91" s="154">
        <v>80</v>
      </c>
      <c r="J91" s="216"/>
    </row>
    <row r="92" spans="1:13">
      <c r="A92" s="217" t="s">
        <v>530</v>
      </c>
      <c r="B92" s="218" t="s">
        <v>421</v>
      </c>
      <c r="C92" s="151">
        <v>2</v>
      </c>
      <c r="D92" s="152">
        <v>6</v>
      </c>
      <c r="E92" s="218" t="s">
        <v>422</v>
      </c>
      <c r="F92" s="218" t="s">
        <v>423</v>
      </c>
      <c r="G92" s="153" t="s">
        <v>446</v>
      </c>
      <c r="H92" s="219">
        <v>70</v>
      </c>
      <c r="I92" s="154">
        <v>75</v>
      </c>
      <c r="J92" s="219"/>
    </row>
    <row r="93" spans="1:13">
      <c r="A93" s="220" t="s">
        <v>531</v>
      </c>
      <c r="B93" s="221" t="s">
        <v>426</v>
      </c>
      <c r="C93" s="151">
        <v>2</v>
      </c>
      <c r="D93" s="152">
        <v>12</v>
      </c>
      <c r="E93" s="221" t="s">
        <v>422</v>
      </c>
      <c r="F93" s="221" t="s">
        <v>421</v>
      </c>
      <c r="G93" s="153" t="s">
        <v>421</v>
      </c>
      <c r="H93" s="222" t="s">
        <v>421</v>
      </c>
      <c r="I93" s="222" t="s">
        <v>421</v>
      </c>
      <c r="J93" s="222" t="s">
        <v>458</v>
      </c>
    </row>
    <row r="94" spans="1:13">
      <c r="A94" s="223" t="s">
        <v>532</v>
      </c>
      <c r="B94" s="224" t="s">
        <v>430</v>
      </c>
      <c r="C94" s="151">
        <v>3</v>
      </c>
      <c r="D94" s="152">
        <v>15</v>
      </c>
      <c r="E94" s="224" t="s">
        <v>421</v>
      </c>
      <c r="F94" s="224" t="s">
        <v>423</v>
      </c>
      <c r="G94" s="153" t="s">
        <v>446</v>
      </c>
      <c r="H94" s="225">
        <v>70</v>
      </c>
      <c r="I94" s="154">
        <v>75</v>
      </c>
      <c r="J94" s="225" t="s">
        <v>533</v>
      </c>
    </row>
    <row r="95" spans="1:13">
      <c r="A95" s="226" t="s">
        <v>534</v>
      </c>
      <c r="B95" s="227" t="s">
        <v>535</v>
      </c>
      <c r="C95" s="151" t="s">
        <v>421</v>
      </c>
      <c r="D95" s="152">
        <v>10</v>
      </c>
      <c r="E95" s="227" t="s">
        <v>421</v>
      </c>
      <c r="F95" s="227" t="s">
        <v>423</v>
      </c>
      <c r="G95" s="153" t="s">
        <v>421</v>
      </c>
      <c r="H95" s="228" t="s">
        <v>421</v>
      </c>
      <c r="I95" s="228" t="s">
        <v>421</v>
      </c>
      <c r="J95" s="228" t="s">
        <v>536</v>
      </c>
    </row>
    <row r="96" spans="1:13">
      <c r="A96" s="229" t="s">
        <v>537</v>
      </c>
      <c r="B96" s="230" t="s">
        <v>430</v>
      </c>
      <c r="C96" s="151">
        <v>2</v>
      </c>
      <c r="D96" s="152">
        <v>12</v>
      </c>
      <c r="E96" s="230" t="s">
        <v>421</v>
      </c>
      <c r="F96" s="230" t="s">
        <v>423</v>
      </c>
      <c r="G96" s="153" t="s">
        <v>427</v>
      </c>
      <c r="H96" s="231">
        <v>70</v>
      </c>
      <c r="I96" s="154">
        <v>75</v>
      </c>
      <c r="J96" s="231" t="s">
        <v>536</v>
      </c>
    </row>
    <row r="97" spans="1:10">
      <c r="A97" s="232" t="s">
        <v>538</v>
      </c>
      <c r="B97" s="233" t="s">
        <v>426</v>
      </c>
      <c r="C97" s="151">
        <v>2</v>
      </c>
      <c r="D97" s="152">
        <v>12</v>
      </c>
      <c r="E97" s="233" t="s">
        <v>422</v>
      </c>
      <c r="F97" s="233" t="s">
        <v>421</v>
      </c>
      <c r="G97" s="153" t="s">
        <v>427</v>
      </c>
      <c r="H97" s="234">
        <v>70</v>
      </c>
      <c r="I97" s="154">
        <v>75</v>
      </c>
      <c r="J97" s="234" t="s">
        <v>539</v>
      </c>
    </row>
    <row r="98" spans="1:10">
      <c r="A98" s="235" t="s">
        <v>540</v>
      </c>
      <c r="B98" s="236" t="s">
        <v>421</v>
      </c>
      <c r="C98" s="151">
        <v>2</v>
      </c>
      <c r="D98" s="152">
        <v>6</v>
      </c>
      <c r="E98" s="236" t="s">
        <v>421</v>
      </c>
      <c r="F98" s="236" t="s">
        <v>423</v>
      </c>
      <c r="G98" s="153" t="s">
        <v>446</v>
      </c>
      <c r="H98" s="237">
        <v>70</v>
      </c>
      <c r="I98" s="154">
        <v>75</v>
      </c>
      <c r="J98" s="237"/>
    </row>
    <row r="99" spans="1:10">
      <c r="A99" s="238" t="s">
        <v>541</v>
      </c>
      <c r="B99" s="239" t="s">
        <v>421</v>
      </c>
      <c r="C99" s="151">
        <v>2</v>
      </c>
      <c r="D99" s="152">
        <v>6</v>
      </c>
      <c r="E99" s="239" t="s">
        <v>421</v>
      </c>
      <c r="F99" s="239" t="s">
        <v>421</v>
      </c>
      <c r="G99" s="153" t="s">
        <v>421</v>
      </c>
      <c r="H99" s="240" t="s">
        <v>421</v>
      </c>
      <c r="I99" s="240" t="s">
        <v>421</v>
      </c>
      <c r="J99" s="240"/>
    </row>
    <row r="100" spans="1:10">
      <c r="A100" s="241" t="s">
        <v>542</v>
      </c>
      <c r="B100" s="242" t="s">
        <v>421</v>
      </c>
      <c r="C100" s="151">
        <v>4</v>
      </c>
      <c r="D100" s="152">
        <v>4</v>
      </c>
      <c r="E100" s="242" t="s">
        <v>421</v>
      </c>
      <c r="F100" s="242" t="s">
        <v>421</v>
      </c>
      <c r="G100" s="153" t="s">
        <v>421</v>
      </c>
      <c r="H100" s="243">
        <v>70</v>
      </c>
      <c r="I100" s="154">
        <v>75</v>
      </c>
      <c r="J100" s="243"/>
    </row>
    <row r="101" spans="1:10">
      <c r="A101" s="244" t="s">
        <v>543</v>
      </c>
      <c r="B101" s="245" t="s">
        <v>421</v>
      </c>
      <c r="C101" s="151">
        <v>2</v>
      </c>
      <c r="D101" s="152">
        <v>2</v>
      </c>
      <c r="E101" s="245" t="s">
        <v>421</v>
      </c>
      <c r="F101" s="245" t="s">
        <v>421</v>
      </c>
      <c r="G101" s="153" t="s">
        <v>421</v>
      </c>
      <c r="H101" s="246">
        <v>70</v>
      </c>
      <c r="I101" s="154">
        <v>75</v>
      </c>
      <c r="J101" s="246"/>
    </row>
    <row r="102" spans="1:10">
      <c r="A102" s="247" t="s">
        <v>544</v>
      </c>
      <c r="B102" s="248" t="s">
        <v>421</v>
      </c>
      <c r="C102" s="151" t="s">
        <v>421</v>
      </c>
      <c r="D102" s="152">
        <v>4</v>
      </c>
      <c r="E102" s="248" t="s">
        <v>421</v>
      </c>
      <c r="F102" s="248" t="s">
        <v>421</v>
      </c>
      <c r="G102" s="153" t="s">
        <v>421</v>
      </c>
      <c r="H102" s="249" t="s">
        <v>421</v>
      </c>
      <c r="I102" s="249" t="s">
        <v>421</v>
      </c>
      <c r="J102" s="249"/>
    </row>
    <row r="103" spans="1:10">
      <c r="A103" s="250" t="s">
        <v>545</v>
      </c>
      <c r="B103" s="251" t="s">
        <v>421</v>
      </c>
      <c r="C103" s="151">
        <v>2</v>
      </c>
      <c r="D103" s="152">
        <v>6</v>
      </c>
      <c r="E103" s="251" t="s">
        <v>421</v>
      </c>
      <c r="F103" s="251" t="s">
        <v>421</v>
      </c>
      <c r="G103" s="153" t="s">
        <v>421</v>
      </c>
      <c r="H103" s="252" t="s">
        <v>421</v>
      </c>
      <c r="I103" s="252" t="s">
        <v>421</v>
      </c>
      <c r="J103" s="252"/>
    </row>
    <row r="104" spans="1:10">
      <c r="A104" s="253" t="s">
        <v>546</v>
      </c>
      <c r="B104" s="254" t="s">
        <v>421</v>
      </c>
      <c r="C104" s="255">
        <v>2</v>
      </c>
      <c r="D104" s="256">
        <v>4</v>
      </c>
      <c r="E104" s="254" t="s">
        <v>421</v>
      </c>
      <c r="F104" s="254" t="s">
        <v>421</v>
      </c>
      <c r="G104" s="257" t="s">
        <v>421</v>
      </c>
      <c r="H104" s="252" t="s">
        <v>421</v>
      </c>
      <c r="I104" s="252" t="s">
        <v>421</v>
      </c>
      <c r="J104" s="154"/>
    </row>
    <row r="105" spans="1:10">
      <c r="A105" s="253" t="s">
        <v>547</v>
      </c>
      <c r="B105" s="254" t="s">
        <v>426</v>
      </c>
      <c r="C105" s="255" t="s">
        <v>421</v>
      </c>
      <c r="D105" s="256">
        <v>10</v>
      </c>
      <c r="E105" s="254" t="s">
        <v>422</v>
      </c>
      <c r="F105" s="254" t="s">
        <v>423</v>
      </c>
      <c r="G105" s="257" t="s">
        <v>421</v>
      </c>
      <c r="H105" s="252" t="s">
        <v>421</v>
      </c>
      <c r="I105" s="252" t="s">
        <v>421</v>
      </c>
      <c r="J105" s="258"/>
    </row>
    <row r="106" spans="1:10">
      <c r="A106" s="259" t="s">
        <v>548</v>
      </c>
      <c r="B106" s="260" t="s">
        <v>426</v>
      </c>
      <c r="C106" s="255" t="s">
        <v>421</v>
      </c>
      <c r="D106" s="256">
        <v>10</v>
      </c>
      <c r="E106" s="260" t="s">
        <v>422</v>
      </c>
      <c r="F106" s="260" t="s">
        <v>423</v>
      </c>
      <c r="G106" s="257" t="s">
        <v>421</v>
      </c>
      <c r="H106" s="252" t="s">
        <v>421</v>
      </c>
      <c r="I106" s="252" t="s">
        <v>421</v>
      </c>
      <c r="J106" s="258"/>
    </row>
    <row r="107" spans="1:10">
      <c r="A107" s="259" t="s">
        <v>549</v>
      </c>
      <c r="B107" s="260" t="s">
        <v>426</v>
      </c>
      <c r="C107" s="255">
        <v>2</v>
      </c>
      <c r="D107" s="256">
        <v>6</v>
      </c>
      <c r="E107" s="260" t="s">
        <v>422</v>
      </c>
      <c r="F107" s="260" t="s">
        <v>423</v>
      </c>
      <c r="G107" s="257" t="s">
        <v>421</v>
      </c>
      <c r="H107" s="252">
        <v>72</v>
      </c>
      <c r="I107" s="261">
        <v>78</v>
      </c>
      <c r="J107" s="261"/>
    </row>
    <row r="108" spans="1:10">
      <c r="A108" s="262" t="s">
        <v>550</v>
      </c>
      <c r="B108" s="263" t="s">
        <v>426</v>
      </c>
      <c r="C108" s="255">
        <v>2</v>
      </c>
      <c r="D108" s="256">
        <v>10</v>
      </c>
      <c r="E108" s="263" t="s">
        <v>422</v>
      </c>
      <c r="F108" s="263" t="s">
        <v>423</v>
      </c>
      <c r="G108" s="257" t="s">
        <v>421</v>
      </c>
      <c r="H108" s="252" t="s">
        <v>421</v>
      </c>
      <c r="I108" s="252" t="s">
        <v>421</v>
      </c>
      <c r="J108" s="261"/>
    </row>
    <row r="109" spans="1:10">
      <c r="A109" s="262" t="s">
        <v>551</v>
      </c>
      <c r="B109" s="263" t="s">
        <v>421</v>
      </c>
      <c r="C109" s="255">
        <v>2</v>
      </c>
      <c r="D109" s="256">
        <v>6</v>
      </c>
      <c r="E109" s="263" t="s">
        <v>422</v>
      </c>
      <c r="F109" s="263" t="s">
        <v>421</v>
      </c>
      <c r="G109" s="257" t="s">
        <v>421</v>
      </c>
      <c r="H109" s="252" t="s">
        <v>421</v>
      </c>
      <c r="I109" s="252" t="s">
        <v>421</v>
      </c>
      <c r="J109" s="264"/>
    </row>
    <row r="110" spans="1:10">
      <c r="A110" s="265" t="s">
        <v>552</v>
      </c>
      <c r="B110" s="266" t="s">
        <v>421</v>
      </c>
      <c r="C110" s="255">
        <v>2</v>
      </c>
      <c r="D110" s="256">
        <v>6</v>
      </c>
      <c r="E110" s="266" t="s">
        <v>421</v>
      </c>
      <c r="F110" s="266" t="s">
        <v>421</v>
      </c>
      <c r="G110" s="257" t="s">
        <v>421</v>
      </c>
      <c r="H110" s="252" t="s">
        <v>421</v>
      </c>
      <c r="I110" s="252" t="s">
        <v>421</v>
      </c>
      <c r="J110" s="264"/>
    </row>
    <row r="111" spans="1:10">
      <c r="A111" s="265" t="s">
        <v>553</v>
      </c>
      <c r="B111" s="266" t="s">
        <v>430</v>
      </c>
      <c r="C111" s="255">
        <v>2</v>
      </c>
      <c r="D111" s="256">
        <v>4</v>
      </c>
      <c r="E111" s="266" t="s">
        <v>421</v>
      </c>
      <c r="F111" s="266" t="s">
        <v>421</v>
      </c>
      <c r="G111" s="257" t="s">
        <v>427</v>
      </c>
      <c r="H111" s="252">
        <v>72</v>
      </c>
      <c r="I111" s="267">
        <v>78</v>
      </c>
      <c r="J111" s="267"/>
    </row>
    <row r="112" spans="1:10">
      <c r="A112" s="268" t="s">
        <v>554</v>
      </c>
      <c r="B112" s="266" t="s">
        <v>426</v>
      </c>
      <c r="C112" s="255" t="s">
        <v>421</v>
      </c>
      <c r="D112" s="256">
        <v>10</v>
      </c>
      <c r="E112" s="266" t="s">
        <v>422</v>
      </c>
      <c r="F112" s="266" t="s">
        <v>423</v>
      </c>
      <c r="G112" s="257" t="s">
        <v>421</v>
      </c>
      <c r="H112" s="252" t="s">
        <v>421</v>
      </c>
      <c r="I112" s="252" t="s">
        <v>421</v>
      </c>
      <c r="J112" s="267"/>
    </row>
    <row r="113" spans="1:13">
      <c r="A113" s="268" t="s">
        <v>555</v>
      </c>
      <c r="B113" s="266" t="s">
        <v>421</v>
      </c>
      <c r="C113" s="255">
        <v>2</v>
      </c>
      <c r="D113" s="256">
        <v>6</v>
      </c>
      <c r="E113" s="266" t="s">
        <v>421</v>
      </c>
      <c r="F113" s="266" t="s">
        <v>423</v>
      </c>
      <c r="G113" s="257" t="s">
        <v>421</v>
      </c>
      <c r="H113" s="252" t="s">
        <v>421</v>
      </c>
      <c r="I113" s="252" t="s">
        <v>421</v>
      </c>
      <c r="J113" s="267"/>
    </row>
    <row r="114" spans="1:13">
      <c r="A114" s="268" t="s">
        <v>556</v>
      </c>
      <c r="B114" s="266" t="s">
        <v>426</v>
      </c>
      <c r="C114" s="255" t="s">
        <v>421</v>
      </c>
      <c r="D114" s="256">
        <v>10</v>
      </c>
      <c r="E114" s="266" t="s">
        <v>422</v>
      </c>
      <c r="F114" s="266" t="s">
        <v>423</v>
      </c>
      <c r="G114" s="257" t="s">
        <v>421</v>
      </c>
      <c r="H114" s="252" t="s">
        <v>421</v>
      </c>
      <c r="I114" s="252" t="s">
        <v>421</v>
      </c>
      <c r="J114" s="267"/>
    </row>
    <row r="115" spans="1:13">
      <c r="A115" s="268" t="s">
        <v>557</v>
      </c>
      <c r="B115" s="266" t="s">
        <v>430</v>
      </c>
      <c r="C115" s="255">
        <v>3</v>
      </c>
      <c r="D115" s="256">
        <v>15</v>
      </c>
      <c r="E115" s="266" t="s">
        <v>421</v>
      </c>
      <c r="F115" s="266" t="s">
        <v>423</v>
      </c>
      <c r="G115" s="257" t="s">
        <v>446</v>
      </c>
      <c r="H115" s="252">
        <v>70</v>
      </c>
      <c r="I115" s="267">
        <v>75</v>
      </c>
      <c r="J115" s="267" t="s">
        <v>337</v>
      </c>
      <c r="M115" s="12"/>
    </row>
    <row r="116" spans="1:13">
      <c r="A116" s="268" t="s">
        <v>558</v>
      </c>
      <c r="B116" s="266" t="s">
        <v>421</v>
      </c>
      <c r="C116" s="255">
        <v>2</v>
      </c>
      <c r="D116" s="256">
        <v>6</v>
      </c>
      <c r="E116" s="266" t="s">
        <v>421</v>
      </c>
      <c r="F116" s="266" t="s">
        <v>421</v>
      </c>
      <c r="G116" s="257" t="s">
        <v>446</v>
      </c>
      <c r="H116" s="252">
        <v>70</v>
      </c>
      <c r="I116" s="267">
        <v>75</v>
      </c>
      <c r="J116" s="267" t="s">
        <v>452</v>
      </c>
      <c r="M116" s="12"/>
    </row>
    <row r="117" spans="1:13">
      <c r="A117" s="268" t="s">
        <v>559</v>
      </c>
      <c r="B117" s="266" t="s">
        <v>421</v>
      </c>
      <c r="C117" s="255">
        <v>2</v>
      </c>
      <c r="D117" s="256">
        <v>6</v>
      </c>
      <c r="E117" s="266" t="s">
        <v>421</v>
      </c>
      <c r="F117" s="266" t="s">
        <v>421</v>
      </c>
      <c r="G117" s="257" t="s">
        <v>427</v>
      </c>
      <c r="H117" s="252">
        <v>70</v>
      </c>
      <c r="I117" s="267">
        <v>75</v>
      </c>
      <c r="J117" s="267" t="s">
        <v>464</v>
      </c>
      <c r="M117" s="12"/>
    </row>
    <row r="118" spans="1:13">
      <c r="A118" s="268" t="s">
        <v>560</v>
      </c>
      <c r="B118" s="266" t="s">
        <v>426</v>
      </c>
      <c r="C118" s="255">
        <v>2</v>
      </c>
      <c r="D118" s="256">
        <v>12</v>
      </c>
      <c r="E118" s="266" t="s">
        <v>422</v>
      </c>
      <c r="F118" s="266" t="s">
        <v>421</v>
      </c>
      <c r="G118" s="257" t="s">
        <v>427</v>
      </c>
      <c r="H118" s="252">
        <v>70</v>
      </c>
      <c r="I118" s="267">
        <v>75</v>
      </c>
      <c r="J118" s="267" t="s">
        <v>458</v>
      </c>
      <c r="M118" s="12"/>
    </row>
    <row r="119" spans="1:13">
      <c r="A119" s="268" t="s">
        <v>561</v>
      </c>
      <c r="B119" s="266" t="s">
        <v>421</v>
      </c>
      <c r="C119" s="255">
        <v>2</v>
      </c>
      <c r="D119" s="256">
        <v>6</v>
      </c>
      <c r="E119" s="266" t="s">
        <v>421</v>
      </c>
      <c r="F119" s="266" t="s">
        <v>421</v>
      </c>
      <c r="G119" s="257" t="s">
        <v>421</v>
      </c>
      <c r="H119" s="252" t="s">
        <v>421</v>
      </c>
      <c r="I119" s="252" t="s">
        <v>421</v>
      </c>
      <c r="J119" s="267"/>
      <c r="M119" s="12"/>
    </row>
    <row r="120" spans="1:13">
      <c r="A120" s="268" t="s">
        <v>562</v>
      </c>
      <c r="B120" s="266" t="s">
        <v>421</v>
      </c>
      <c r="C120" s="255">
        <v>2</v>
      </c>
      <c r="D120" s="256">
        <v>2</v>
      </c>
      <c r="E120" s="266" t="s">
        <v>421</v>
      </c>
      <c r="F120" s="266" t="s">
        <v>421</v>
      </c>
      <c r="G120" s="257" t="s">
        <v>421</v>
      </c>
      <c r="H120" s="252" t="s">
        <v>421</v>
      </c>
      <c r="I120" s="252" t="s">
        <v>421</v>
      </c>
      <c r="J120" s="267"/>
      <c r="M120" s="12"/>
    </row>
    <row r="121" spans="1:13">
      <c r="A121" s="268" t="s">
        <v>563</v>
      </c>
      <c r="B121" s="266" t="s">
        <v>426</v>
      </c>
      <c r="C121" s="255">
        <v>2</v>
      </c>
      <c r="D121" s="256">
        <v>12</v>
      </c>
      <c r="E121" s="266" t="s">
        <v>422</v>
      </c>
      <c r="F121" s="266" t="s">
        <v>423</v>
      </c>
      <c r="G121" s="257" t="s">
        <v>421</v>
      </c>
      <c r="H121" s="252" t="s">
        <v>421</v>
      </c>
      <c r="I121" s="252" t="s">
        <v>421</v>
      </c>
      <c r="J121" s="267"/>
      <c r="M121" s="12"/>
    </row>
    <row r="122" spans="1:13">
      <c r="A122" s="268" t="s">
        <v>564</v>
      </c>
      <c r="B122" s="266" t="s">
        <v>426</v>
      </c>
      <c r="C122" s="255">
        <v>2</v>
      </c>
      <c r="D122" s="256">
        <v>10</v>
      </c>
      <c r="E122" s="266" t="s">
        <v>422</v>
      </c>
      <c r="F122" s="266" t="s">
        <v>421</v>
      </c>
      <c r="G122" s="257" t="s">
        <v>421</v>
      </c>
      <c r="H122" s="252" t="s">
        <v>421</v>
      </c>
      <c r="I122" s="252" t="s">
        <v>421</v>
      </c>
      <c r="J122" s="267" t="s">
        <v>458</v>
      </c>
      <c r="M122" s="12"/>
    </row>
    <row r="123" spans="1:13">
      <c r="A123" s="268" t="s">
        <v>565</v>
      </c>
      <c r="B123" s="266" t="s">
        <v>426</v>
      </c>
      <c r="C123" s="255" t="s">
        <v>421</v>
      </c>
      <c r="D123" s="256">
        <v>10</v>
      </c>
      <c r="E123" s="266" t="s">
        <v>422</v>
      </c>
      <c r="F123" s="266" t="s">
        <v>423</v>
      </c>
      <c r="G123" s="257" t="s">
        <v>421</v>
      </c>
      <c r="H123" s="252" t="s">
        <v>421</v>
      </c>
      <c r="I123" s="252" t="s">
        <v>421</v>
      </c>
      <c r="J123" s="267"/>
      <c r="M123" s="12"/>
    </row>
    <row r="124" spans="1:13">
      <c r="A124" s="268" t="s">
        <v>566</v>
      </c>
      <c r="B124" s="266" t="s">
        <v>421</v>
      </c>
      <c r="C124" s="255">
        <v>2</v>
      </c>
      <c r="D124" s="256">
        <v>6</v>
      </c>
      <c r="E124" s="266" t="s">
        <v>421</v>
      </c>
      <c r="F124" s="266" t="s">
        <v>423</v>
      </c>
      <c r="G124" s="257" t="s">
        <v>567</v>
      </c>
      <c r="H124" s="252">
        <v>70</v>
      </c>
      <c r="I124" s="267">
        <v>75</v>
      </c>
      <c r="J124" s="267"/>
      <c r="M124" s="12"/>
    </row>
    <row r="125" spans="1:13">
      <c r="A125" s="269" t="s">
        <v>568</v>
      </c>
      <c r="B125" s="266" t="s">
        <v>421</v>
      </c>
      <c r="C125" s="255">
        <v>2</v>
      </c>
      <c r="D125" s="256">
        <v>6</v>
      </c>
      <c r="E125" s="266" t="s">
        <v>421</v>
      </c>
      <c r="F125" s="266" t="s">
        <v>421</v>
      </c>
      <c r="G125" s="257" t="s">
        <v>427</v>
      </c>
      <c r="H125" s="252">
        <v>72</v>
      </c>
      <c r="I125" s="267">
        <v>78</v>
      </c>
      <c r="J125" s="267"/>
      <c r="M125" s="12"/>
    </row>
    <row r="126" spans="1:13">
      <c r="A126" s="268" t="s">
        <v>74</v>
      </c>
      <c r="B126" s="266" t="s">
        <v>407</v>
      </c>
      <c r="C126" s="255" t="s">
        <v>407</v>
      </c>
      <c r="D126" s="256" t="s">
        <v>407</v>
      </c>
      <c r="E126" s="266" t="s">
        <v>407</v>
      </c>
      <c r="F126" s="266" t="s">
        <v>407</v>
      </c>
      <c r="G126" s="257" t="s">
        <v>407</v>
      </c>
      <c r="H126" s="267" t="s">
        <v>407</v>
      </c>
      <c r="I126" s="267" t="s">
        <v>407</v>
      </c>
      <c r="J126" s="267"/>
      <c r="M126" s="12"/>
    </row>
    <row r="127" spans="1:13">
      <c r="A127" s="269" t="s">
        <v>569</v>
      </c>
      <c r="B127" s="266" t="s">
        <v>430</v>
      </c>
      <c r="C127" s="255">
        <v>3</v>
      </c>
      <c r="D127" s="256">
        <v>15</v>
      </c>
      <c r="E127" s="266" t="s">
        <v>421</v>
      </c>
      <c r="F127" s="266" t="s">
        <v>423</v>
      </c>
      <c r="G127" s="257" t="s">
        <v>427</v>
      </c>
      <c r="H127" s="267">
        <v>70</v>
      </c>
      <c r="I127" s="267">
        <v>75</v>
      </c>
      <c r="J127" s="267"/>
      <c r="M127" s="12"/>
    </row>
    <row r="128" spans="1:13">
      <c r="M128" s="12"/>
    </row>
    <row r="129" spans="13:13">
      <c r="M129" s="12"/>
    </row>
    <row r="130" spans="13:13">
      <c r="M130" s="12"/>
    </row>
    <row r="131" spans="13:13">
      <c r="M131" s="12"/>
    </row>
  </sheetData>
  <sortState xmlns:xlrd2="http://schemas.microsoft.com/office/spreadsheetml/2017/richdata2" ref="A2:I132">
    <sortCondition ref="A2:A132"/>
  </sortState>
  <phoneticPr fontId="0" type="noConversion"/>
  <hyperlinks>
    <hyperlink ref="A13" r:id="rId1" location="clean_ing" display="https://up.codes/viewer/california/ca-mechanical-code-2022/chapter/2/definitions - clean_ing" xr:uid="{95CDA9FD-FA84-FA4F-BC65-7F49FA7A1A62}"/>
    <hyperlink ref="A14" r:id="rId2" location="clean_ing" display="https://up.codes/viewer/california/ca-mechanical-code-2022/chapter/2/definitions - clean_ing" xr:uid="{C13121A4-FFD6-CF4D-87ED-E06733C7910A}"/>
    <hyperlink ref="A24" r:id="rId3" location="department" display="https://up.codes/viewer/california/ca-mechanical-code-2022/chapter/2/definitions - department" xr:uid="{B541B4C5-265F-3D47-B6E7-7E1E336F23CC}"/>
    <hyperlink ref="A39" r:id="rId4" location="closet" display="https://up.codes/viewer/california/ca-mechanical-code-2022/chapter/2/definitions - closet" xr:uid="{558AAA58-EBD4-8D4B-A4C5-3B0985AC8D06}"/>
    <hyperlink ref="A112" r:id="rId5" location="equipment" display="https://up.codes/viewer/california/ca-mechanical-code-2022/chapter/2/definitions - equipment" xr:uid="{5EE138BF-BCB6-6141-BF5B-4936B44B64C6}"/>
  </hyperlinks>
  <printOptions verticalCentered="1"/>
  <pageMargins left="0.97" right="0.47" top="0.62" bottom="0.51" header="0.41" footer="0.32"/>
  <pageSetup paperSize="3" scale="94" orientation="landscape" r:id="rId6"/>
  <headerFooter alignWithMargins="0">
    <oddFooter>&amp;L&amp;"Arial Narrow,Regular"&amp;6* Refer to UMC Table 4-A for exact information&amp;R&amp;"Arial Narrow,Regular"&amp;8&amp;D</oddFooter>
  </headerFooter>
  <tableParts count="2">
    <tablePart r:id="rId7"/>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C5B1A-CD98-47F6-B83C-A7B472EB85D4}">
  <sheetPr codeName="Sheet5">
    <tabColor indexed="43"/>
  </sheetPr>
  <dimension ref="B5:I51"/>
  <sheetViews>
    <sheetView topLeftCell="A24" zoomScale="115" zoomScaleNormal="115" workbookViewId="0">
      <selection activeCell="C32" sqref="C32"/>
    </sheetView>
  </sheetViews>
  <sheetFormatPr defaultColWidth="8.88671875" defaultRowHeight="13.2"/>
  <cols>
    <col min="2" max="2" width="18.44140625" bestFit="1" customWidth="1"/>
    <col min="4" max="4" width="22.33203125" bestFit="1" customWidth="1"/>
    <col min="5" max="5" width="10.44140625" bestFit="1" customWidth="1"/>
    <col min="7" max="7" width="41.44140625" bestFit="1" customWidth="1"/>
    <col min="8" max="8" width="63.44140625" style="90" customWidth="1"/>
    <col min="9" max="9" width="69.6640625" customWidth="1"/>
  </cols>
  <sheetData>
    <row r="5" spans="2:9">
      <c r="B5" s="11" t="s">
        <v>570</v>
      </c>
      <c r="G5" s="427" t="s">
        <v>571</v>
      </c>
      <c r="H5" s="427"/>
      <c r="I5" s="427"/>
    </row>
    <row r="6" spans="2:9">
      <c r="G6" s="11" t="s">
        <v>572</v>
      </c>
      <c r="H6" s="89" t="s">
        <v>573</v>
      </c>
      <c r="I6" s="11" t="s">
        <v>51</v>
      </c>
    </row>
    <row r="7" spans="2:9" ht="13.8">
      <c r="B7" s="428" t="s">
        <v>736</v>
      </c>
      <c r="C7" s="429"/>
      <c r="D7" s="429"/>
      <c r="E7" s="429"/>
      <c r="G7" s="11" t="s">
        <v>574</v>
      </c>
      <c r="H7" s="89" t="s">
        <v>575</v>
      </c>
      <c r="I7" s="11" t="s">
        <v>576</v>
      </c>
    </row>
    <row r="8" spans="2:9" ht="13.8">
      <c r="B8" s="5" t="s">
        <v>735</v>
      </c>
      <c r="C8" s="5" t="s">
        <v>52</v>
      </c>
      <c r="D8" s="6" t="s">
        <v>577</v>
      </c>
      <c r="E8" s="6" t="s">
        <v>578</v>
      </c>
      <c r="G8" s="11" t="s">
        <v>579</v>
      </c>
      <c r="H8" s="89" t="s">
        <v>580</v>
      </c>
      <c r="I8" s="11" t="s">
        <v>581</v>
      </c>
    </row>
    <row r="9" spans="2:9" ht="26.4">
      <c r="B9" s="4">
        <v>45</v>
      </c>
      <c r="C9" s="4">
        <v>1</v>
      </c>
      <c r="D9" s="7">
        <v>6</v>
      </c>
      <c r="E9" s="7">
        <v>30</v>
      </c>
      <c r="G9" t="s">
        <v>582</v>
      </c>
      <c r="I9" s="90" t="s">
        <v>583</v>
      </c>
    </row>
    <row r="10" spans="2:9" ht="26.4">
      <c r="B10" s="4">
        <v>90</v>
      </c>
      <c r="C10" s="4">
        <v>400</v>
      </c>
      <c r="D10" s="7">
        <v>8</v>
      </c>
      <c r="E10" s="7">
        <v>30</v>
      </c>
      <c r="G10" t="s">
        <v>584</v>
      </c>
      <c r="I10" s="90" t="s">
        <v>585</v>
      </c>
    </row>
    <row r="11" spans="2:9" ht="26.4">
      <c r="B11" s="4">
        <v>145</v>
      </c>
      <c r="C11" s="4">
        <v>700</v>
      </c>
      <c r="D11" s="7">
        <v>10</v>
      </c>
      <c r="E11" s="7">
        <v>35</v>
      </c>
      <c r="G11" t="s">
        <v>586</v>
      </c>
      <c r="I11" s="90" t="s">
        <v>587</v>
      </c>
    </row>
    <row r="12" spans="2:9" ht="26.4">
      <c r="B12" s="4">
        <v>190</v>
      </c>
      <c r="C12" s="4">
        <v>1000</v>
      </c>
      <c r="D12" s="7">
        <v>12</v>
      </c>
      <c r="E12" s="7">
        <v>45</v>
      </c>
      <c r="G12" t="s">
        <v>588</v>
      </c>
      <c r="I12" s="90" t="s">
        <v>589</v>
      </c>
    </row>
    <row r="13" spans="2:9" ht="26.4">
      <c r="B13" s="4">
        <v>300</v>
      </c>
      <c r="C13" s="4">
        <v>1500</v>
      </c>
      <c r="D13" s="7">
        <v>14</v>
      </c>
      <c r="E13" s="7">
        <v>55</v>
      </c>
      <c r="G13" t="s">
        <v>590</v>
      </c>
      <c r="I13" s="90" t="s">
        <v>591</v>
      </c>
    </row>
    <row r="14" spans="2:9" ht="27" thickBot="1">
      <c r="B14" s="8">
        <v>385</v>
      </c>
      <c r="C14" s="8">
        <v>2100</v>
      </c>
      <c r="D14" s="9">
        <v>16</v>
      </c>
      <c r="E14" s="9">
        <v>60</v>
      </c>
      <c r="G14" t="s">
        <v>592</v>
      </c>
      <c r="I14" s="90" t="s">
        <v>593</v>
      </c>
    </row>
    <row r="15" spans="2:9">
      <c r="G15" t="s">
        <v>594</v>
      </c>
      <c r="I15" s="90" t="s">
        <v>595</v>
      </c>
    </row>
    <row r="16" spans="2:9" ht="26.4">
      <c r="B16" s="426" t="s">
        <v>596</v>
      </c>
      <c r="C16" s="426"/>
      <c r="D16" s="426"/>
      <c r="E16" s="426"/>
      <c r="F16" s="426"/>
      <c r="G16" t="s">
        <v>597</v>
      </c>
      <c r="I16" s="90" t="s">
        <v>598</v>
      </c>
    </row>
    <row r="17" spans="2:9">
      <c r="B17" s="87" t="s">
        <v>599</v>
      </c>
      <c r="C17" s="88" cm="1">
        <f t="array" ref="C17">GetStandardAtmPressure(INPUT_OUTPUTS!$G$6)</f>
        <v>14.696</v>
      </c>
      <c r="D17" s="87" t="s">
        <v>600</v>
      </c>
      <c r="E17" s="87"/>
      <c r="F17" s="87"/>
      <c r="G17" t="s">
        <v>601</v>
      </c>
      <c r="I17" s="90" t="s">
        <v>602</v>
      </c>
    </row>
    <row r="18" spans="2:9" ht="26.4">
      <c r="B18" s="87" t="s">
        <v>603</v>
      </c>
      <c r="C18" s="88" cm="1">
        <f t="array" ref="C18">GetDryAirDensity(75,$C$17)</f>
        <v>7.4189320746836998E-2</v>
      </c>
      <c r="D18" s="87" t="s">
        <v>604</v>
      </c>
      <c r="E18" s="87"/>
      <c r="F18" s="87"/>
      <c r="G18" t="s">
        <v>605</v>
      </c>
      <c r="I18" s="90" t="s">
        <v>606</v>
      </c>
    </row>
    <row r="19" spans="2:9" ht="26.4">
      <c r="B19" s="87" t="s">
        <v>607</v>
      </c>
      <c r="C19" s="88">
        <f>C18*60*0.24</f>
        <v>1.0683262187544529</v>
      </c>
      <c r="D19" s="87"/>
      <c r="E19" s="87"/>
      <c r="F19" s="87"/>
      <c r="G19" t="s">
        <v>608</v>
      </c>
      <c r="I19" s="90" t="s">
        <v>609</v>
      </c>
    </row>
    <row r="20" spans="2:9">
      <c r="B20" s="87" t="s">
        <v>610</v>
      </c>
      <c r="C20" s="88">
        <f>$C$18*60</f>
        <v>4.4513592448102202</v>
      </c>
      <c r="D20" s="87"/>
      <c r="E20" s="87"/>
      <c r="F20" s="87"/>
      <c r="G20" t="s">
        <v>611</v>
      </c>
      <c r="I20" s="90" t="s">
        <v>612</v>
      </c>
    </row>
    <row r="21" spans="2:9" ht="26.4">
      <c r="G21" t="s">
        <v>613</v>
      </c>
      <c r="I21" s="90" t="s">
        <v>614</v>
      </c>
    </row>
    <row r="22" spans="2:9" ht="26.4">
      <c r="B22" s="87" t="s">
        <v>747</v>
      </c>
      <c r="E22" s="11" t="s">
        <v>111</v>
      </c>
      <c r="G22" t="s">
        <v>615</v>
      </c>
      <c r="I22" s="90" t="s">
        <v>616</v>
      </c>
    </row>
    <row r="23" spans="2:9">
      <c r="B23" s="11" t="s">
        <v>748</v>
      </c>
      <c r="E23" s="11" t="s">
        <v>49</v>
      </c>
      <c r="G23" t="s">
        <v>617</v>
      </c>
      <c r="I23" s="90" t="s">
        <v>618</v>
      </c>
    </row>
    <row r="24" spans="2:9">
      <c r="B24" s="11" t="s">
        <v>749</v>
      </c>
      <c r="G24" t="s">
        <v>619</v>
      </c>
      <c r="I24" s="90" t="s">
        <v>620</v>
      </c>
    </row>
    <row r="25" spans="2:9">
      <c r="G25" t="s">
        <v>621</v>
      </c>
      <c r="I25" s="90" t="s">
        <v>622</v>
      </c>
    </row>
    <row r="26" spans="2:9" ht="26.4">
      <c r="G26" t="s">
        <v>623</v>
      </c>
      <c r="I26" s="90" t="s">
        <v>624</v>
      </c>
    </row>
    <row r="27" spans="2:9">
      <c r="G27" t="s">
        <v>625</v>
      </c>
      <c r="I27" s="90" t="s">
        <v>626</v>
      </c>
    </row>
    <row r="28" spans="2:9">
      <c r="D28" s="11"/>
      <c r="G28" t="s">
        <v>627</v>
      </c>
      <c r="I28" s="90" t="s">
        <v>628</v>
      </c>
    </row>
    <row r="29" spans="2:9">
      <c r="B29" s="72" t="s">
        <v>1066</v>
      </c>
      <c r="C29" s="72" t="s">
        <v>1</v>
      </c>
      <c r="D29" s="72" t="s">
        <v>1067</v>
      </c>
      <c r="G29" t="s">
        <v>629</v>
      </c>
      <c r="I29" s="90" t="s">
        <v>630</v>
      </c>
    </row>
    <row r="30" spans="2:9">
      <c r="B30" s="372">
        <v>0.75</v>
      </c>
      <c r="C30" s="70">
        <v>3.6</v>
      </c>
      <c r="D30" s="70">
        <v>3.4</v>
      </c>
      <c r="G30" t="s">
        <v>631</v>
      </c>
      <c r="I30" s="90" t="s">
        <v>632</v>
      </c>
    </row>
    <row r="31" spans="2:9">
      <c r="B31" s="70">
        <v>1</v>
      </c>
      <c r="C31" s="70">
        <v>7.4</v>
      </c>
      <c r="D31" s="70">
        <v>6.8</v>
      </c>
      <c r="G31" t="s">
        <v>633</v>
      </c>
      <c r="I31" s="90" t="s">
        <v>634</v>
      </c>
    </row>
    <row r="32" spans="2:9">
      <c r="B32" s="372">
        <v>1.25</v>
      </c>
      <c r="C32" s="70">
        <v>13.2</v>
      </c>
      <c r="D32" s="70">
        <v>11.9</v>
      </c>
      <c r="G32" t="s">
        <v>635</v>
      </c>
      <c r="I32" s="90" t="s">
        <v>636</v>
      </c>
    </row>
    <row r="33" spans="2:9">
      <c r="B33" s="372">
        <v>1.5</v>
      </c>
      <c r="C33" s="70">
        <v>21</v>
      </c>
      <c r="D33" s="70">
        <v>19</v>
      </c>
      <c r="G33" t="s">
        <v>637</v>
      </c>
      <c r="I33" s="90" t="s">
        <v>638</v>
      </c>
    </row>
    <row r="34" spans="2:9">
      <c r="B34" s="70">
        <v>2</v>
      </c>
      <c r="C34" s="70">
        <v>44</v>
      </c>
      <c r="D34" s="70">
        <v>39</v>
      </c>
      <c r="G34" t="s">
        <v>639</v>
      </c>
      <c r="I34" s="90" t="s">
        <v>640</v>
      </c>
    </row>
    <row r="35" spans="2:9">
      <c r="B35" s="372">
        <v>2.5</v>
      </c>
      <c r="C35" s="70">
        <v>79</v>
      </c>
      <c r="D35" s="70">
        <v>59</v>
      </c>
      <c r="G35" t="s">
        <v>641</v>
      </c>
      <c r="I35" s="90" t="s">
        <v>642</v>
      </c>
    </row>
    <row r="36" spans="2:9">
      <c r="B36" s="70">
        <v>3</v>
      </c>
      <c r="C36" s="70">
        <v>127</v>
      </c>
      <c r="D36" s="70">
        <v>85</v>
      </c>
      <c r="G36" t="s">
        <v>643</v>
      </c>
      <c r="I36" s="90" t="s">
        <v>644</v>
      </c>
    </row>
    <row r="37" spans="2:9">
      <c r="B37" s="70">
        <v>4</v>
      </c>
      <c r="C37" s="70">
        <v>224</v>
      </c>
      <c r="D37" s="70">
        <v>149</v>
      </c>
      <c r="G37" t="s">
        <v>645</v>
      </c>
      <c r="I37" s="90" t="s">
        <v>646</v>
      </c>
    </row>
    <row r="38" spans="2:9">
      <c r="B38" s="70">
        <v>6</v>
      </c>
      <c r="C38" s="70">
        <v>500</v>
      </c>
      <c r="D38" s="70">
        <v>335</v>
      </c>
      <c r="G38" t="s">
        <v>647</v>
      </c>
      <c r="I38" s="90" t="s">
        <v>648</v>
      </c>
    </row>
    <row r="39" spans="2:9" ht="26.4">
      <c r="G39" t="s">
        <v>649</v>
      </c>
      <c r="I39" s="90" t="s">
        <v>650</v>
      </c>
    </row>
    <row r="40" spans="2:9" ht="39.6">
      <c r="G40" t="s">
        <v>651</v>
      </c>
      <c r="I40" s="90" t="s">
        <v>652</v>
      </c>
    </row>
    <row r="41" spans="2:9">
      <c r="G41" t="s">
        <v>653</v>
      </c>
      <c r="I41" s="90" t="s">
        <v>654</v>
      </c>
    </row>
    <row r="42" spans="2:9" ht="26.4">
      <c r="G42" t="s">
        <v>655</v>
      </c>
      <c r="I42" s="90" t="s">
        <v>656</v>
      </c>
    </row>
    <row r="43" spans="2:9" ht="26.4">
      <c r="G43" t="s">
        <v>657</v>
      </c>
      <c r="I43" s="90" t="s">
        <v>658</v>
      </c>
    </row>
    <row r="44" spans="2:9">
      <c r="G44" t="s">
        <v>659</v>
      </c>
      <c r="I44" s="90" t="s">
        <v>660</v>
      </c>
    </row>
    <row r="45" spans="2:9">
      <c r="G45" t="s">
        <v>661</v>
      </c>
      <c r="I45" s="90" t="s">
        <v>662</v>
      </c>
    </row>
    <row r="46" spans="2:9">
      <c r="G46" t="s">
        <v>663</v>
      </c>
      <c r="I46" s="90" t="s">
        <v>664</v>
      </c>
    </row>
    <row r="47" spans="2:9" ht="26.4">
      <c r="G47" t="s">
        <v>665</v>
      </c>
      <c r="I47" s="90" t="s">
        <v>666</v>
      </c>
    </row>
    <row r="48" spans="2:9">
      <c r="G48" t="s">
        <v>667</v>
      </c>
      <c r="I48" s="90" t="s">
        <v>668</v>
      </c>
    </row>
    <row r="49" spans="7:9" ht="39.6">
      <c r="G49" t="s">
        <v>669</v>
      </c>
      <c r="I49" s="90" t="s">
        <v>670</v>
      </c>
    </row>
    <row r="50" spans="7:9" ht="39.6">
      <c r="G50" t="s">
        <v>671</v>
      </c>
      <c r="I50" s="90" t="s">
        <v>672</v>
      </c>
    </row>
    <row r="51" spans="7:9" ht="39.6">
      <c r="G51" t="s">
        <v>673</v>
      </c>
      <c r="I51" s="90" t="s">
        <v>674</v>
      </c>
    </row>
  </sheetData>
  <mergeCells count="3">
    <mergeCell ref="B16:F16"/>
    <mergeCell ref="G5:I5"/>
    <mergeCell ref="B7:E7"/>
  </mergeCells>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 � � � � � � � � � � � � � � � � � � � � � � � � � � � � � � � � � � � � � � � � � � � � � � � � � � � � � � � � � � � � � � � � � � � � � � � � � � � � � � � � � � � � � � � � � � � � � � � � � � � � � � � 
</file>

<file path=customXml/item5.xml>�� 
</file>

<file path=customXml/item6.xml>�� 
</file>

<file path=customXml/item7.xml>�� � � � � � � � � � � � � � � � � � � � � � � � � � � 
</file>

<file path=customXml/item8.xml>�� 
</file>

<file path=customXml/item9.xml>�� 
</file>

<file path=customXml/item10.xml>�� 
</file>

<file path=customXml/item11.xml>�� � � � � � � � � � � � � � � � � � � � � � � � � � � � � � � � � � � � � � � � � � � � � � � � � � � � �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CB84C39A-D797-4B6B-905F-6C86027DD256}">
  <ds:schemaRefs/>
</ds:datastoreItem>
</file>

<file path=customXml/itemProps2.xml><?xml version="1.0" encoding="utf-8"?>
<ds:datastoreItem xmlns:ds="http://schemas.openxmlformats.org/officeDocument/2006/customXml" ds:itemID="{0F7AA644-22B3-4EF8-B9C4-D3F5557CFEE3}">
  <ds:schemaRefs/>
</ds:datastoreItem>
</file>

<file path=customXml/itemProps3.xml><?xml version="1.0" encoding="utf-8"?>
<ds:datastoreItem xmlns:ds="http://schemas.openxmlformats.org/officeDocument/2006/customXml" ds:itemID="{C6A71342-598D-44A1-871B-880BDE6775E5}">
  <ds:schemaRefs/>
</ds:datastoreItem>
</file>

<file path=customXml/itemProps4.xml><?xml version="1.0" encoding="utf-8"?>
<ds:datastoreItem xmlns:ds="http://schemas.openxmlformats.org/officeDocument/2006/customXml" ds:itemID="{3F31C53F-DFA4-4BD6-960C-02D3696858DE}">
  <ds:schemaRefs/>
</ds:datastoreItem>
</file>

<file path=customXml/itemProps5.xml><?xml version="1.0" encoding="utf-8"?>
<ds:datastoreItem xmlns:ds="http://schemas.openxmlformats.org/officeDocument/2006/customXml" ds:itemID="{92114E93-BF99-481B-8587-DAE6BA6DE52A}">
  <ds:schemaRefs/>
</ds:datastoreItem>
</file>

<file path=customXml/itemProps6.xml><?xml version="1.0" encoding="utf-8"?>
<ds:datastoreItem xmlns:ds="http://schemas.openxmlformats.org/officeDocument/2006/customXml" ds:itemID="{1CB8CE2C-68EE-453A-B6B9-954186C78856}">
  <ds:schemaRefs/>
</ds:datastoreItem>
</file>

<file path=customXml/itemProps7.xml><?xml version="1.0" encoding="utf-8"?>
<ds:datastoreItem xmlns:ds="http://schemas.openxmlformats.org/officeDocument/2006/customXml" ds:itemID="{B9C24CED-5D5E-4E5B-B592-42D9FEBCEE78}">
  <ds:schemaRefs/>
</ds:datastoreItem>
</file>

<file path=customXml/itemProps8.xml><?xml version="1.0" encoding="utf-8"?>
<ds:datastoreItem xmlns:ds="http://schemas.openxmlformats.org/officeDocument/2006/customXml" ds:itemID="{2ACA1A40-4F6D-4B0C-91AA-28C30B17735D}">
  <ds:schemaRefs/>
</ds:datastoreItem>
</file>

<file path=customXml/itemProps9.xml><?xml version="1.0" encoding="utf-8"?>
<ds:datastoreItem xmlns:ds="http://schemas.openxmlformats.org/officeDocument/2006/customXml" ds:itemID="{6D507B4B-C9ED-44F3-8037-6886F3127BF6}">
  <ds:schemaRefs/>
</ds:datastoreItem>
</file>

<file path=customXml/itemProps10.xml><?xml version="1.0" encoding="utf-8"?>
<ds:datastoreItem xmlns:ds="http://schemas.openxmlformats.org/officeDocument/2006/customXml" ds:itemID="{9EB7E48D-2BC1-483D-AA97-799BE1E01A1B}">
  <ds:schemaRefs>
    <ds:schemaRef ds:uri="http://schemas.microsoft.com/DataMashup"/>
  </ds:schemaRefs>
</ds:datastoreItem>
</file>

<file path=customXml/itemProps11.xml><?xml version="1.0" encoding="utf-8"?>
<ds:datastoreItem xmlns:ds="http://schemas.openxmlformats.org/officeDocument/2006/customXml" ds:itemID="{EB08F863-D170-47EA-A84C-83549087351D}">
  <ds:schemaRefs/>
</ds:datastoreItem>
</file>

<file path=customXml/itemProps12.xml><?xml version="1.0" encoding="utf-8"?>
<ds:datastoreItem xmlns:ds="http://schemas.openxmlformats.org/officeDocument/2006/customXml" ds:itemID="{B879EA12-6ED4-4302-8229-16FB2C15B211}">
  <ds:schemaRefs/>
</ds:datastoreItem>
</file>

<file path=customXml/itemProps13.xml><?xml version="1.0" encoding="utf-8"?>
<ds:datastoreItem xmlns:ds="http://schemas.openxmlformats.org/officeDocument/2006/customXml" ds:itemID="{7202CCF7-04C4-426D-A15B-FCB4AAD73971}">
  <ds:schemaRefs/>
</ds:datastoreItem>
</file>

<file path=customXml/itemProps14.xml><?xml version="1.0" encoding="utf-8"?>
<ds:datastoreItem xmlns:ds="http://schemas.openxmlformats.org/officeDocument/2006/customXml" ds:itemID="{73E72D33-8CDB-48B3-81B1-83AB753555E6}">
  <ds:schemaRefs/>
</ds:datastoreItem>
</file>

<file path=customXml/itemProps15.xml><?xml version="1.0" encoding="utf-8"?>
<ds:datastoreItem xmlns:ds="http://schemas.openxmlformats.org/officeDocument/2006/customXml" ds:itemID="{D850471A-0CDE-4413-A0DB-4B7F901D2BD9}">
  <ds:schemaRefs/>
</ds:datastoreItem>
</file>

<file path=customXml/itemProps16.xml><?xml version="1.0" encoding="utf-8"?>
<ds:datastoreItem xmlns:ds="http://schemas.openxmlformats.org/officeDocument/2006/customXml" ds:itemID="{266B7FBF-DD56-45E8-82C2-2D120A01DE6F}">
  <ds:schemaRefs/>
</ds:datastoreItem>
</file>

<file path=customXml/itemProps17.xml><?xml version="1.0" encoding="utf-8"?>
<ds:datastoreItem xmlns:ds="http://schemas.openxmlformats.org/officeDocument/2006/customXml" ds:itemID="{E75927D6-4CFF-4134-B821-644F60184EB2}">
  <ds:schemaRefs/>
</ds:datastoreItem>
</file>

<file path=customXml/itemProps18.xml><?xml version="1.0" encoding="utf-8"?>
<ds:datastoreItem xmlns:ds="http://schemas.openxmlformats.org/officeDocument/2006/customXml" ds:itemID="{E99A482B-E5E1-49A2-BB12-907608BC0E0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INPUT_OUTPUTS</vt:lpstr>
      <vt:lpstr>Humidifier_Schedule</vt:lpstr>
      <vt:lpstr>AshraeTable4a</vt:lpstr>
      <vt:lpstr>CAV_SCHEDULES</vt:lpstr>
      <vt:lpstr>62.1_MULTI_ZONE</vt:lpstr>
      <vt:lpstr>VAV_SCHEDULES</vt:lpstr>
      <vt:lpstr>Room Temperature</vt:lpstr>
      <vt:lpstr>AH1</vt:lpstr>
      <vt:lpstr>AH2</vt:lpstr>
      <vt:lpstr>AHU_SCHEDULES</vt:lpstr>
      <vt:lpstr>Sequences</vt:lpstr>
      <vt:lpstr>HCAI_Fan_Power</vt:lpstr>
      <vt:lpstr>62.1_SINGLE_ZONE</vt:lpstr>
      <vt:lpstr>Title_24</vt:lpstr>
      <vt:lpstr>CH_and_Boiler_Schedule </vt:lpstr>
      <vt:lpstr>Misc_Rooms</vt:lpstr>
      <vt:lpstr>FCU_SCHEDULES</vt:lpstr>
      <vt:lpstr>CALIFORNIA_TABLE</vt:lpstr>
      <vt:lpstr>ASHRAE Table</vt:lpstr>
      <vt:lpstr>UMC Table 4-A</vt:lpstr>
      <vt:lpstr>DO NOT TOUCH</vt:lpstr>
      <vt:lpstr>Sequences!_Ref38822284</vt:lpstr>
      <vt:lpstr>Sequences!_Ref440015150</vt:lpstr>
      <vt:lpstr>Sequences!_Ref440015169</vt:lpstr>
      <vt:lpstr>Sequences!_Ref440033356</vt:lpstr>
      <vt:lpstr>Sequences!_Ref73449741</vt:lpstr>
      <vt:lpstr>Sequences!_Ref73449755</vt:lpstr>
      <vt:lpstr>Sequences!_Ref73450375</vt:lpstr>
      <vt:lpstr>Sequences!_Ref73450525</vt:lpstr>
      <vt:lpstr>Sequences!_Ref73451565</vt:lpstr>
      <vt:lpstr>Sequences!_Ref73451586</vt:lpstr>
      <vt:lpstr>AshraeTable4a!AHU_1AC_AV</vt:lpstr>
      <vt:lpstr>'62.1_MULTI_ZONE'!AHUs</vt:lpstr>
      <vt:lpstr>AHU_SCHEDULES!Print_Area</vt:lpstr>
      <vt:lpstr>AshraeTable4a!Print_Area</vt:lpstr>
      <vt:lpstr>FCU_SCHEDULES!Print_Area</vt:lpstr>
      <vt:lpstr>'UMC Table 4-A'!Print_Area</vt:lpstr>
      <vt:lpstr>AshraeTable4a!Print_Titles</vt:lpstr>
      <vt:lpstr>'UMC Table 4-A'!Print_Titles</vt:lpstr>
      <vt:lpstr>table_4_a</vt:lpstr>
    </vt:vector>
  </TitlesOfParts>
  <Manager/>
  <Company>GEM ENGINEERING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 Pajouhesh</dc:creator>
  <cp:keywords/>
  <dc:description/>
  <cp:lastModifiedBy>Rushikesh Patil</cp:lastModifiedBy>
  <cp:revision/>
  <cp:lastPrinted>2024-08-27T03:27:04Z</cp:lastPrinted>
  <dcterms:created xsi:type="dcterms:W3CDTF">2001-05-17T15:02:58Z</dcterms:created>
  <dcterms:modified xsi:type="dcterms:W3CDTF">2024-08-29T21:54:19Z</dcterms:modified>
  <cp:category/>
  <cp:contentStatus/>
</cp:coreProperties>
</file>